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hidePivotFieldList="1" defaultThemeVersion="124226"/>
  <mc:AlternateContent xmlns:mc="http://schemas.openxmlformats.org/markup-compatibility/2006">
    <mc:Choice Requires="x15">
      <x15ac:absPath xmlns:x15ac="http://schemas.microsoft.com/office/spreadsheetml/2010/11/ac" url="S:\Apportionment_NEW\Tools and Forms\Pension Tools\PRT 2024\"/>
    </mc:Choice>
  </mc:AlternateContent>
  <xr:revisionPtr revIDLastSave="0" documentId="13_ncr:1_{AE2F1259-F3C0-410D-BECE-17CCBD2FA651}" xr6:coauthVersionLast="47" xr6:coauthVersionMax="47" xr10:uidLastSave="{00000000-0000-0000-0000-000000000000}"/>
  <bookViews>
    <workbookView xWindow="29880" yWindow="225" windowWidth="24105" windowHeight="15150" tabRatio="797" activeTab="2" xr2:uid="{00000000-000D-0000-FFFF-FFFF00000000}"/>
  </bookViews>
  <sheets>
    <sheet name="Read the Instructions" sheetId="21" r:id="rId1"/>
    <sheet name="2020 PRT" sheetId="1" state="hidden" r:id="rId2"/>
    <sheet name="2024Comp&amp;Contr" sheetId="72" r:id="rId3"/>
    <sheet name="Collective NPL" sheetId="9" state="hidden" r:id="rId4"/>
    <sheet name="CCDDD List" sheetId="50" r:id="rId5"/>
    <sheet name="Total Contributions" sheetId="5" r:id="rId6"/>
    <sheet name="2024 ER Compensation" sheetId="93" r:id="rId7"/>
    <sheet name="Do not delete" sheetId="90" state="hidden" r:id="rId8"/>
    <sheet name="2024 PEFI ER Contributions" sheetId="95" r:id="rId9"/>
    <sheet name="Note Tables 1&amp;2" sheetId="25" state="hidden" r:id="rId10"/>
  </sheets>
  <definedNames>
    <definedName name="_xlnm._FilterDatabase" localSheetId="1" hidden="1">'2020 PRT'!$A$1:$G$4</definedName>
    <definedName name="_xlnm._FilterDatabase" localSheetId="2" hidden="1">'2024Comp&amp;Contr'!$A$1:$G$4</definedName>
    <definedName name="_xlnm._FilterDatabase" localSheetId="3" hidden="1">'Collective NPL'!$A$1:$B$325</definedName>
    <definedName name="_xlnm.Print_Area" localSheetId="1">'2020 PRT'!$A$1:$G$53</definedName>
    <definedName name="_xlnm.Print_Area" localSheetId="2">'2024Comp&amp;Contr'!$A$1:$G$33</definedName>
    <definedName name="_xlnm.Print_Area" localSheetId="0">'Read the Instructions'!$B$1:$F$20</definedName>
    <definedName name="_xlnm.Print_Titles" localSheetId="0">'Read the 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T3" i="95" l="1"/>
  <c r="BS3" i="95"/>
  <c r="BR3" i="95"/>
  <c r="BQ3" i="95"/>
  <c r="BP3" i="95"/>
  <c r="BO3" i="95"/>
  <c r="AS45" i="95"/>
  <c r="AR45" i="95"/>
  <c r="AV45" i="95" s="1"/>
  <c r="AU2" i="95"/>
  <c r="AS2" i="95"/>
  <c r="AR2" i="95"/>
  <c r="AN2" i="95"/>
  <c r="AM2" i="95"/>
  <c r="AL2" i="95"/>
  <c r="AK2" i="95"/>
  <c r="AJ2" i="95"/>
  <c r="AO45" i="95"/>
  <c r="AN45" i="95"/>
  <c r="AM45" i="95"/>
  <c r="AL45" i="95"/>
  <c r="AK45" i="95"/>
  <c r="AJ45" i="95"/>
  <c r="AD4" i="95"/>
  <c r="AC4" i="95"/>
  <c r="AB4" i="95"/>
  <c r="AA4" i="95"/>
  <c r="Z4" i="95"/>
  <c r="Y4" i="95"/>
  <c r="P327" i="95"/>
  <c r="P326" i="95"/>
  <c r="P325" i="95"/>
  <c r="P324" i="95"/>
  <c r="P323" i="95"/>
  <c r="P322" i="95"/>
  <c r="P321" i="95"/>
  <c r="P320" i="95"/>
  <c r="P319" i="95"/>
  <c r="P318" i="95"/>
  <c r="P317" i="95"/>
  <c r="P316" i="95"/>
  <c r="P315" i="95"/>
  <c r="P314" i="95"/>
  <c r="P313" i="95"/>
  <c r="P312" i="95"/>
  <c r="P311" i="95"/>
  <c r="P310" i="95"/>
  <c r="P309" i="95"/>
  <c r="P308" i="95"/>
  <c r="P307" i="95"/>
  <c r="P306" i="95"/>
  <c r="P305" i="95"/>
  <c r="P304" i="95"/>
  <c r="P303" i="95"/>
  <c r="P302" i="95"/>
  <c r="P301" i="95"/>
  <c r="P300" i="95"/>
  <c r="P299" i="95"/>
  <c r="P298" i="95"/>
  <c r="P297" i="95"/>
  <c r="P296" i="95"/>
  <c r="P295" i="95"/>
  <c r="P294" i="95"/>
  <c r="P293" i="95"/>
  <c r="P292" i="95"/>
  <c r="P291" i="95"/>
  <c r="P290" i="95"/>
  <c r="P289" i="95"/>
  <c r="P288" i="95"/>
  <c r="P287" i="95"/>
  <c r="P286" i="95"/>
  <c r="P285" i="95"/>
  <c r="P284" i="95"/>
  <c r="P283" i="95"/>
  <c r="P282" i="95"/>
  <c r="P281" i="95"/>
  <c r="P280" i="95"/>
  <c r="P279" i="95"/>
  <c r="P278" i="95"/>
  <c r="P277" i="95"/>
  <c r="P276" i="95"/>
  <c r="P275" i="95"/>
  <c r="P274" i="95"/>
  <c r="P273" i="95"/>
  <c r="P272" i="95"/>
  <c r="P271" i="95"/>
  <c r="P270" i="95"/>
  <c r="P269" i="95"/>
  <c r="P268" i="95"/>
  <c r="P267" i="95"/>
  <c r="P266" i="95"/>
  <c r="P265" i="95"/>
  <c r="P264" i="95"/>
  <c r="P263" i="95"/>
  <c r="P262" i="95"/>
  <c r="P261" i="95"/>
  <c r="P260" i="95"/>
  <c r="P259" i="95"/>
  <c r="P258" i="95"/>
  <c r="P257" i="95"/>
  <c r="P256" i="95"/>
  <c r="P255" i="95"/>
  <c r="P254" i="95"/>
  <c r="P253" i="95"/>
  <c r="P252" i="95"/>
  <c r="P251" i="95"/>
  <c r="P250" i="95"/>
  <c r="P249" i="95"/>
  <c r="P248" i="95"/>
  <c r="P247" i="95"/>
  <c r="P246" i="95"/>
  <c r="P245" i="95"/>
  <c r="P244" i="95"/>
  <c r="P243" i="95"/>
  <c r="P242" i="95"/>
  <c r="P241" i="95"/>
  <c r="P240" i="95"/>
  <c r="P239" i="95"/>
  <c r="P238" i="95"/>
  <c r="P237" i="95"/>
  <c r="P236" i="95"/>
  <c r="P235" i="95"/>
  <c r="P234" i="95"/>
  <c r="P233" i="95"/>
  <c r="P232" i="95"/>
  <c r="P231" i="95"/>
  <c r="P230" i="95"/>
  <c r="P229" i="95"/>
  <c r="P228" i="95"/>
  <c r="P227" i="95"/>
  <c r="P226" i="95"/>
  <c r="P225" i="95"/>
  <c r="P224" i="95"/>
  <c r="P223" i="95"/>
  <c r="P222" i="95"/>
  <c r="P221" i="95"/>
  <c r="P220" i="95"/>
  <c r="P219" i="95"/>
  <c r="P218" i="95"/>
  <c r="P217" i="95"/>
  <c r="P216" i="95"/>
  <c r="P215" i="95"/>
  <c r="P214" i="95"/>
  <c r="P213" i="95"/>
  <c r="P212" i="95"/>
  <c r="P211" i="95"/>
  <c r="P210" i="95"/>
  <c r="P209" i="95"/>
  <c r="P208" i="95"/>
  <c r="P207" i="95"/>
  <c r="P206" i="95"/>
  <c r="P205" i="95"/>
  <c r="P204" i="95"/>
  <c r="P203" i="95"/>
  <c r="P202" i="95"/>
  <c r="P201" i="95"/>
  <c r="P200" i="95"/>
  <c r="P199" i="95"/>
  <c r="P198" i="95"/>
  <c r="P197" i="95"/>
  <c r="P196" i="95"/>
  <c r="P195" i="95"/>
  <c r="P194" i="95"/>
  <c r="P193" i="95"/>
  <c r="P192" i="95"/>
  <c r="P191" i="95"/>
  <c r="P190" i="95"/>
  <c r="P189" i="95"/>
  <c r="P188" i="95"/>
  <c r="P187" i="95"/>
  <c r="P186" i="95"/>
  <c r="P185" i="95"/>
  <c r="P184" i="95"/>
  <c r="P183" i="95"/>
  <c r="P182" i="95"/>
  <c r="P181" i="95"/>
  <c r="P180" i="95"/>
  <c r="P179" i="95"/>
  <c r="P178" i="95"/>
  <c r="P177" i="95"/>
  <c r="P176" i="95"/>
  <c r="P175" i="95"/>
  <c r="P174" i="95"/>
  <c r="P173" i="95"/>
  <c r="P172" i="95"/>
  <c r="P171" i="95"/>
  <c r="P170" i="95"/>
  <c r="P169" i="95"/>
  <c r="P168" i="95"/>
  <c r="P167" i="95"/>
  <c r="P166" i="95"/>
  <c r="P165" i="95"/>
  <c r="P164" i="95"/>
  <c r="P163" i="95"/>
  <c r="P162" i="95"/>
  <c r="P161" i="95"/>
  <c r="P160" i="95"/>
  <c r="P159" i="95"/>
  <c r="P158" i="95"/>
  <c r="P157" i="95"/>
  <c r="P156" i="95"/>
  <c r="P155" i="95"/>
  <c r="P154" i="95"/>
  <c r="P153" i="95"/>
  <c r="P152" i="95"/>
  <c r="P151" i="95"/>
  <c r="P150" i="95"/>
  <c r="P149" i="95"/>
  <c r="P148" i="95"/>
  <c r="P147" i="95"/>
  <c r="P146" i="95"/>
  <c r="P145" i="95"/>
  <c r="P144" i="95"/>
  <c r="P143" i="95"/>
  <c r="P142" i="95"/>
  <c r="P141" i="95"/>
  <c r="P140" i="95"/>
  <c r="P139" i="95"/>
  <c r="P138" i="95"/>
  <c r="P137" i="95"/>
  <c r="P136" i="95"/>
  <c r="P135" i="95"/>
  <c r="P134" i="95"/>
  <c r="P133" i="95"/>
  <c r="P132" i="95"/>
  <c r="P131" i="95"/>
  <c r="P130" i="95"/>
  <c r="P129" i="95"/>
  <c r="P128" i="95"/>
  <c r="P127" i="95"/>
  <c r="P126" i="95"/>
  <c r="P125" i="95"/>
  <c r="P124" i="95"/>
  <c r="P123" i="95"/>
  <c r="P122" i="95"/>
  <c r="P121" i="95"/>
  <c r="P120" i="95"/>
  <c r="P119" i="95"/>
  <c r="P118" i="95"/>
  <c r="P117" i="95"/>
  <c r="P116" i="95"/>
  <c r="P115" i="95"/>
  <c r="P114" i="95"/>
  <c r="P113" i="95"/>
  <c r="P112" i="95"/>
  <c r="P111" i="95"/>
  <c r="P110" i="95"/>
  <c r="P109" i="95"/>
  <c r="P108" i="95"/>
  <c r="P107" i="95"/>
  <c r="P106" i="95"/>
  <c r="P105" i="95"/>
  <c r="P104" i="95"/>
  <c r="P103" i="95"/>
  <c r="P102" i="95"/>
  <c r="P101" i="95"/>
  <c r="P100" i="95"/>
  <c r="P99" i="95"/>
  <c r="P98" i="95"/>
  <c r="P97" i="95"/>
  <c r="P96" i="95"/>
  <c r="P95" i="95"/>
  <c r="P94" i="95"/>
  <c r="P93" i="95"/>
  <c r="P92" i="95"/>
  <c r="P91" i="95"/>
  <c r="P90" i="95"/>
  <c r="P89" i="95"/>
  <c r="P88" i="95"/>
  <c r="P87" i="95"/>
  <c r="P86" i="95"/>
  <c r="P85" i="95"/>
  <c r="P84" i="95"/>
  <c r="P83" i="95"/>
  <c r="P82" i="95"/>
  <c r="P81" i="95"/>
  <c r="P80" i="95"/>
  <c r="P79" i="95"/>
  <c r="P78" i="95"/>
  <c r="P77" i="95"/>
  <c r="P76" i="95"/>
  <c r="P75" i="95"/>
  <c r="P74" i="95"/>
  <c r="P73" i="95"/>
  <c r="P72" i="95"/>
  <c r="P71" i="95"/>
  <c r="P70" i="95"/>
  <c r="P69" i="95"/>
  <c r="P68" i="95"/>
  <c r="P67" i="95"/>
  <c r="P66" i="95"/>
  <c r="P65" i="95"/>
  <c r="P64" i="95"/>
  <c r="P63" i="95"/>
  <c r="P62" i="95"/>
  <c r="P61" i="95"/>
  <c r="P60" i="95"/>
  <c r="P59" i="95"/>
  <c r="P58" i="95"/>
  <c r="P57" i="95"/>
  <c r="P56" i="95"/>
  <c r="P55" i="95"/>
  <c r="P54" i="95"/>
  <c r="P53" i="95"/>
  <c r="P52" i="95"/>
  <c r="P51" i="95"/>
  <c r="P50" i="95"/>
  <c r="P49" i="95"/>
  <c r="P48" i="95"/>
  <c r="P47" i="95"/>
  <c r="P46" i="95"/>
  <c r="P45" i="95"/>
  <c r="P44" i="95"/>
  <c r="P43" i="95"/>
  <c r="P42" i="95"/>
  <c r="P41" i="95"/>
  <c r="P40" i="95"/>
  <c r="P39" i="95"/>
  <c r="P38" i="95"/>
  <c r="P37" i="95"/>
  <c r="P36" i="95"/>
  <c r="P35" i="95"/>
  <c r="P34" i="95"/>
  <c r="P33" i="95"/>
  <c r="P32" i="95"/>
  <c r="P31" i="95"/>
  <c r="P30" i="95"/>
  <c r="P29" i="95"/>
  <c r="P28" i="95"/>
  <c r="P27" i="95"/>
  <c r="P26" i="95"/>
  <c r="P25" i="95"/>
  <c r="P24" i="95"/>
  <c r="P23" i="95"/>
  <c r="P22" i="95"/>
  <c r="P21" i="95"/>
  <c r="P20" i="95"/>
  <c r="P19" i="95"/>
  <c r="P18" i="95"/>
  <c r="P17" i="95"/>
  <c r="P16" i="95"/>
  <c r="P15" i="95"/>
  <c r="P14" i="95"/>
  <c r="P13" i="95"/>
  <c r="P12" i="95"/>
  <c r="P11" i="95"/>
  <c r="P10" i="95"/>
  <c r="P9" i="95"/>
  <c r="P8" i="95"/>
  <c r="P7" i="95"/>
  <c r="F9" i="72"/>
  <c r="E9" i="72"/>
  <c r="D9" i="72"/>
  <c r="C9" i="72"/>
  <c r="B9" i="72"/>
  <c r="AW45" i="95" l="1"/>
  <c r="AV2" i="95"/>
  <c r="E324" i="50" l="1"/>
  <c r="K45"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Q8" i="9" l="1"/>
  <c r="Q9" i="9" s="1"/>
  <c r="Q10" i="9" s="1"/>
  <c r="Q11" i="9" s="1"/>
  <c r="Q12" i="9" s="1"/>
  <c r="Q13" i="9" s="1"/>
  <c r="Q14" i="9" s="1"/>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Q44" i="9" s="1"/>
  <c r="BD3" i="95" l="1"/>
  <c r="BC3" i="95"/>
  <c r="BB3" i="95"/>
  <c r="BA3" i="95"/>
  <c r="AZ3" i="95"/>
  <c r="BE327" i="95"/>
  <c r="BE326" i="95"/>
  <c r="BE325" i="95"/>
  <c r="BE324" i="95"/>
  <c r="BE323" i="95"/>
  <c r="BE322" i="95"/>
  <c r="BE321" i="95"/>
  <c r="BE320" i="95"/>
  <c r="BE319" i="95"/>
  <c r="BE318" i="95"/>
  <c r="BE317" i="95"/>
  <c r="BE316" i="95"/>
  <c r="BE315" i="95"/>
  <c r="BE314" i="95"/>
  <c r="BE313" i="95"/>
  <c r="BE312" i="95"/>
  <c r="BE311" i="95"/>
  <c r="BE310" i="95"/>
  <c r="BE309" i="95"/>
  <c r="BE308" i="95"/>
  <c r="BE307" i="95"/>
  <c r="BE306" i="95"/>
  <c r="BE305" i="95"/>
  <c r="BE304" i="95"/>
  <c r="BE303" i="95"/>
  <c r="BE302" i="95"/>
  <c r="BE301" i="95"/>
  <c r="BE300" i="95"/>
  <c r="BE299" i="95"/>
  <c r="BE298" i="95"/>
  <c r="BE297" i="95"/>
  <c r="BE296" i="95"/>
  <c r="BE295" i="95"/>
  <c r="BE294" i="95"/>
  <c r="BE293" i="95"/>
  <c r="BE292" i="95"/>
  <c r="BE291" i="95"/>
  <c r="BE290" i="95"/>
  <c r="BE289" i="95"/>
  <c r="BE288" i="95"/>
  <c r="BE287" i="95"/>
  <c r="BE286" i="95"/>
  <c r="BE285" i="95"/>
  <c r="BE284" i="95"/>
  <c r="BE283" i="95"/>
  <c r="BE282" i="95"/>
  <c r="BE281" i="95"/>
  <c r="BE280" i="95"/>
  <c r="BE279" i="95"/>
  <c r="BE278" i="95"/>
  <c r="BE277" i="95"/>
  <c r="BE276" i="95"/>
  <c r="BE275" i="95"/>
  <c r="BE274" i="95"/>
  <c r="BE273" i="95"/>
  <c r="BE272" i="95"/>
  <c r="BE271" i="95"/>
  <c r="BE270" i="95"/>
  <c r="BE269" i="95"/>
  <c r="BE268" i="95"/>
  <c r="BE267" i="95"/>
  <c r="BE266" i="95"/>
  <c r="BE265" i="95"/>
  <c r="BE264" i="95"/>
  <c r="BE263" i="95"/>
  <c r="BE262" i="95"/>
  <c r="BE261" i="95"/>
  <c r="BE260" i="95"/>
  <c r="BE259" i="95"/>
  <c r="BE258" i="95"/>
  <c r="BE257" i="95"/>
  <c r="BE256" i="95"/>
  <c r="BE255" i="95"/>
  <c r="BE254" i="95"/>
  <c r="BE253" i="95"/>
  <c r="BE252" i="95"/>
  <c r="BE251" i="95"/>
  <c r="BE250" i="95"/>
  <c r="BE249" i="95"/>
  <c r="BE248" i="95"/>
  <c r="BE247" i="95"/>
  <c r="BE246" i="95"/>
  <c r="BE245" i="95"/>
  <c r="BE244" i="95"/>
  <c r="BE243" i="95"/>
  <c r="BE242" i="95"/>
  <c r="BE241" i="95"/>
  <c r="BE240" i="95"/>
  <c r="BE239" i="95"/>
  <c r="BE238" i="95"/>
  <c r="BE237" i="95"/>
  <c r="BE236" i="95"/>
  <c r="BE235" i="95"/>
  <c r="BE234" i="95"/>
  <c r="BE233" i="95"/>
  <c r="BE232" i="95"/>
  <c r="BE231" i="95"/>
  <c r="BE230" i="95"/>
  <c r="BE229" i="95"/>
  <c r="BE228" i="95"/>
  <c r="BE227" i="95"/>
  <c r="BE226" i="95"/>
  <c r="BE225" i="95"/>
  <c r="BE224" i="95"/>
  <c r="BE223" i="95"/>
  <c r="BE222" i="95"/>
  <c r="BE221" i="95"/>
  <c r="BE220" i="95"/>
  <c r="BE219" i="95"/>
  <c r="BE218" i="95"/>
  <c r="BE217" i="95"/>
  <c r="BE216" i="95"/>
  <c r="BE215" i="95"/>
  <c r="BE214" i="95"/>
  <c r="BE213" i="95"/>
  <c r="BE212" i="95"/>
  <c r="BE211" i="95"/>
  <c r="BE210" i="95"/>
  <c r="BE209" i="95"/>
  <c r="BE208" i="95"/>
  <c r="BE207" i="95"/>
  <c r="BE206" i="95"/>
  <c r="BE205" i="95"/>
  <c r="BE204" i="95"/>
  <c r="BE203" i="95"/>
  <c r="BE202" i="95"/>
  <c r="BE201" i="95"/>
  <c r="BE200" i="95"/>
  <c r="BE199" i="95"/>
  <c r="BE198" i="95"/>
  <c r="BE197" i="95"/>
  <c r="BE196" i="95"/>
  <c r="BE195" i="95"/>
  <c r="BE194" i="95"/>
  <c r="BE193" i="95"/>
  <c r="BE192" i="95"/>
  <c r="BE191" i="95"/>
  <c r="BE190" i="95"/>
  <c r="BE189" i="95"/>
  <c r="BE188" i="95"/>
  <c r="BE187" i="95"/>
  <c r="BE186" i="95"/>
  <c r="BE185" i="95"/>
  <c r="BE184" i="95"/>
  <c r="BE183" i="95"/>
  <c r="BE182" i="95"/>
  <c r="BE181" i="95"/>
  <c r="BE180" i="95"/>
  <c r="BE179" i="95"/>
  <c r="BE178" i="95"/>
  <c r="BE177" i="95"/>
  <c r="BE176" i="95"/>
  <c r="BE175" i="95"/>
  <c r="BE174" i="95"/>
  <c r="BE173" i="95"/>
  <c r="BE172" i="95"/>
  <c r="BE171" i="95"/>
  <c r="BE170" i="95"/>
  <c r="BE169" i="95"/>
  <c r="BE168" i="95"/>
  <c r="BE167" i="95"/>
  <c r="BE166" i="95"/>
  <c r="BE165" i="95"/>
  <c r="BE164" i="95"/>
  <c r="BE163" i="95"/>
  <c r="BE162" i="95"/>
  <c r="BE161" i="95"/>
  <c r="BE160" i="95"/>
  <c r="BE159" i="95"/>
  <c r="BE158" i="95"/>
  <c r="BE157" i="95"/>
  <c r="BE156" i="95"/>
  <c r="BE155" i="95"/>
  <c r="BE154" i="95"/>
  <c r="BE153" i="95"/>
  <c r="BE152" i="95"/>
  <c r="BE151" i="95"/>
  <c r="BE150" i="95"/>
  <c r="BE149" i="95"/>
  <c r="BE148" i="95"/>
  <c r="BE147" i="95"/>
  <c r="BE146" i="95"/>
  <c r="BE145" i="95"/>
  <c r="BE144" i="95"/>
  <c r="BE143" i="95"/>
  <c r="BE142" i="95"/>
  <c r="BE141" i="95"/>
  <c r="BE140" i="95"/>
  <c r="BE139" i="95"/>
  <c r="BE138" i="95"/>
  <c r="BE137" i="95"/>
  <c r="BE136" i="95"/>
  <c r="BE135" i="95"/>
  <c r="BE134" i="95"/>
  <c r="BE133" i="95"/>
  <c r="BE132" i="95"/>
  <c r="BE131" i="95"/>
  <c r="BE130" i="95"/>
  <c r="BE129" i="95"/>
  <c r="BE128" i="95"/>
  <c r="BE127" i="95"/>
  <c r="BE126" i="95"/>
  <c r="BE125" i="95"/>
  <c r="BE124" i="95"/>
  <c r="BE123" i="95"/>
  <c r="BE122" i="95"/>
  <c r="BE121" i="95"/>
  <c r="BE120" i="95"/>
  <c r="BE119" i="95"/>
  <c r="BE118" i="95"/>
  <c r="BE117" i="95"/>
  <c r="BE116" i="95"/>
  <c r="BE115" i="95"/>
  <c r="BE114" i="95"/>
  <c r="BE113" i="95"/>
  <c r="BE112" i="95"/>
  <c r="BE111" i="95"/>
  <c r="BE110" i="95"/>
  <c r="BE109" i="95"/>
  <c r="BE108" i="95"/>
  <c r="BE107" i="95"/>
  <c r="BE106" i="95"/>
  <c r="BE105" i="95"/>
  <c r="BE104" i="95"/>
  <c r="BE103" i="95"/>
  <c r="BE102" i="95"/>
  <c r="BE101" i="95"/>
  <c r="BE100" i="95"/>
  <c r="BE99" i="95"/>
  <c r="BE98" i="95"/>
  <c r="BE97" i="95"/>
  <c r="BE96" i="95"/>
  <c r="BE95" i="95"/>
  <c r="BE94" i="95"/>
  <c r="BE93" i="95"/>
  <c r="BE92" i="95"/>
  <c r="BE91" i="95"/>
  <c r="BE90" i="95"/>
  <c r="BE89" i="95"/>
  <c r="BE88" i="95"/>
  <c r="BE87" i="95"/>
  <c r="BE86" i="95"/>
  <c r="BE85" i="95"/>
  <c r="BE84" i="95"/>
  <c r="BE83" i="95"/>
  <c r="BE82" i="95"/>
  <c r="BE81" i="95"/>
  <c r="BE80" i="95"/>
  <c r="BE79" i="95"/>
  <c r="BE78" i="95"/>
  <c r="BE77" i="95"/>
  <c r="BE76" i="95"/>
  <c r="BE75" i="95"/>
  <c r="BE74" i="95"/>
  <c r="BE73" i="95"/>
  <c r="BE72" i="95"/>
  <c r="BE71" i="95"/>
  <c r="BE70" i="95"/>
  <c r="BE69" i="95"/>
  <c r="BE68" i="95"/>
  <c r="BE67" i="95"/>
  <c r="BE66" i="95"/>
  <c r="BE65" i="95"/>
  <c r="BE64" i="95"/>
  <c r="BE63" i="95"/>
  <c r="BE62" i="95"/>
  <c r="BE61" i="95"/>
  <c r="BE60" i="95"/>
  <c r="BE59" i="95"/>
  <c r="BE58" i="95"/>
  <c r="BE57" i="95"/>
  <c r="BE56" i="95"/>
  <c r="BE55" i="95"/>
  <c r="BE54" i="95"/>
  <c r="BE53" i="95"/>
  <c r="BE52" i="95"/>
  <c r="BE51" i="95"/>
  <c r="BE50" i="95"/>
  <c r="BE49" i="95"/>
  <c r="BE48" i="95"/>
  <c r="BE47" i="95"/>
  <c r="BE46" i="95"/>
  <c r="BE44" i="95"/>
  <c r="BE43" i="95"/>
  <c r="BE42" i="95"/>
  <c r="BE41" i="95"/>
  <c r="BE40" i="95"/>
  <c r="BE39" i="95"/>
  <c r="BE38" i="95"/>
  <c r="BE37" i="95"/>
  <c r="BE36" i="95"/>
  <c r="BE35" i="95"/>
  <c r="BE34" i="95"/>
  <c r="BE33" i="95"/>
  <c r="BE32" i="95"/>
  <c r="BE31" i="95"/>
  <c r="BE30" i="95"/>
  <c r="BE29" i="95"/>
  <c r="BE28" i="95"/>
  <c r="BE27" i="95"/>
  <c r="BE26" i="95"/>
  <c r="BE25" i="95"/>
  <c r="BE24" i="95"/>
  <c r="BE23" i="95"/>
  <c r="BE22" i="95"/>
  <c r="BE21" i="95"/>
  <c r="BE20" i="95"/>
  <c r="BE19" i="95"/>
  <c r="BE18" i="95"/>
  <c r="BE17" i="95"/>
  <c r="BE16" i="95"/>
  <c r="BE15" i="95"/>
  <c r="BE14" i="95"/>
  <c r="BE13" i="95"/>
  <c r="BE12" i="95"/>
  <c r="BE11" i="95"/>
  <c r="BE10" i="95"/>
  <c r="BE9" i="95"/>
  <c r="BE8" i="95"/>
  <c r="BE7" i="95"/>
  <c r="AN327" i="95"/>
  <c r="AM327" i="95"/>
  <c r="AL327" i="95"/>
  <c r="AK327" i="95"/>
  <c r="AJ327" i="95"/>
  <c r="AN326" i="95"/>
  <c r="AM326" i="95"/>
  <c r="AL326" i="95"/>
  <c r="AK326" i="95"/>
  <c r="AJ326" i="95"/>
  <c r="AN325" i="95"/>
  <c r="AM325" i="95"/>
  <c r="AL325" i="95"/>
  <c r="AK325" i="95"/>
  <c r="AJ325" i="95"/>
  <c r="AN324" i="95"/>
  <c r="AM324" i="95"/>
  <c r="AL324" i="95"/>
  <c r="AK324" i="95"/>
  <c r="AJ324" i="95"/>
  <c r="AN323" i="95"/>
  <c r="AM323" i="95"/>
  <c r="AL323" i="95"/>
  <c r="AK323" i="95"/>
  <c r="AJ323" i="95"/>
  <c r="AN322" i="95"/>
  <c r="AM322" i="95"/>
  <c r="AL322" i="95"/>
  <c r="AK322" i="95"/>
  <c r="AJ322" i="95"/>
  <c r="AN321" i="95"/>
  <c r="AM321" i="95"/>
  <c r="AL321" i="95"/>
  <c r="AK321" i="95"/>
  <c r="AJ321" i="95"/>
  <c r="AN320" i="95"/>
  <c r="AM320" i="95"/>
  <c r="AL320" i="95"/>
  <c r="AK320" i="95"/>
  <c r="AJ320" i="95"/>
  <c r="AN319" i="95"/>
  <c r="AM319" i="95"/>
  <c r="AL319" i="95"/>
  <c r="AK319" i="95"/>
  <c r="AJ319" i="95"/>
  <c r="AN318" i="95"/>
  <c r="AM318" i="95"/>
  <c r="AL318" i="95"/>
  <c r="AK318" i="95"/>
  <c r="AJ318" i="95"/>
  <c r="AN317" i="95"/>
  <c r="AM317" i="95"/>
  <c r="AL317" i="95"/>
  <c r="AK317" i="95"/>
  <c r="AJ317" i="95"/>
  <c r="AN316" i="95"/>
  <c r="AM316" i="95"/>
  <c r="AL316" i="95"/>
  <c r="AK316" i="95"/>
  <c r="AJ316" i="95"/>
  <c r="AN315" i="95"/>
  <c r="AM315" i="95"/>
  <c r="AL315" i="95"/>
  <c r="AK315" i="95"/>
  <c r="AJ315" i="95"/>
  <c r="AN314" i="95"/>
  <c r="AM314" i="95"/>
  <c r="AL314" i="95"/>
  <c r="AK314" i="95"/>
  <c r="AJ314" i="95"/>
  <c r="AN313" i="95"/>
  <c r="AM313" i="95"/>
  <c r="AL313" i="95"/>
  <c r="AK313" i="95"/>
  <c r="AJ313" i="95"/>
  <c r="AN312" i="95"/>
  <c r="AM312" i="95"/>
  <c r="AL312" i="95"/>
  <c r="AK312" i="95"/>
  <c r="AJ312" i="95"/>
  <c r="AN311" i="95"/>
  <c r="AM311" i="95"/>
  <c r="AL311" i="95"/>
  <c r="AK311" i="95"/>
  <c r="AJ311" i="95"/>
  <c r="AN310" i="95"/>
  <c r="AM310" i="95"/>
  <c r="AL310" i="95"/>
  <c r="AK310" i="95"/>
  <c r="AJ310" i="95"/>
  <c r="AN309" i="95"/>
  <c r="AM309" i="95"/>
  <c r="AL309" i="95"/>
  <c r="AK309" i="95"/>
  <c r="AJ309" i="95"/>
  <c r="AN308" i="95"/>
  <c r="AM308" i="95"/>
  <c r="AL308" i="95"/>
  <c r="AK308" i="95"/>
  <c r="AJ308" i="95"/>
  <c r="AN307" i="95"/>
  <c r="AM307" i="95"/>
  <c r="AL307" i="95"/>
  <c r="AK307" i="95"/>
  <c r="AJ307" i="95"/>
  <c r="AN306" i="95"/>
  <c r="AM306" i="95"/>
  <c r="AL306" i="95"/>
  <c r="AK306" i="95"/>
  <c r="AJ306" i="95"/>
  <c r="AN305" i="95"/>
  <c r="AM305" i="95"/>
  <c r="AL305" i="95"/>
  <c r="AK305" i="95"/>
  <c r="AJ305" i="95"/>
  <c r="AN304" i="95"/>
  <c r="AM304" i="95"/>
  <c r="AL304" i="95"/>
  <c r="AK304" i="95"/>
  <c r="AJ304" i="95"/>
  <c r="AN303" i="95"/>
  <c r="AM303" i="95"/>
  <c r="AL303" i="95"/>
  <c r="AK303" i="95"/>
  <c r="AJ303" i="95"/>
  <c r="AN302" i="95"/>
  <c r="AM302" i="95"/>
  <c r="AL302" i="95"/>
  <c r="AK302" i="95"/>
  <c r="AJ302" i="95"/>
  <c r="AN301" i="95"/>
  <c r="AM301" i="95"/>
  <c r="AL301" i="95"/>
  <c r="AK301" i="95"/>
  <c r="AJ301" i="95"/>
  <c r="AN300" i="95"/>
  <c r="AM300" i="95"/>
  <c r="AL300" i="95"/>
  <c r="AK300" i="95"/>
  <c r="AJ300" i="95"/>
  <c r="AN299" i="95"/>
  <c r="AM299" i="95"/>
  <c r="AL299" i="95"/>
  <c r="AK299" i="95"/>
  <c r="AJ299" i="95"/>
  <c r="AN298" i="95"/>
  <c r="AM298" i="95"/>
  <c r="AL298" i="95"/>
  <c r="AK298" i="95"/>
  <c r="AJ298" i="95"/>
  <c r="AN297" i="95"/>
  <c r="AM297" i="95"/>
  <c r="AL297" i="95"/>
  <c r="AK297" i="95"/>
  <c r="AJ297" i="95"/>
  <c r="AN296" i="95"/>
  <c r="AM296" i="95"/>
  <c r="AL296" i="95"/>
  <c r="AK296" i="95"/>
  <c r="AJ296" i="95"/>
  <c r="AN295" i="95"/>
  <c r="AM295" i="95"/>
  <c r="AL295" i="95"/>
  <c r="AK295" i="95"/>
  <c r="AJ295" i="95"/>
  <c r="AN294" i="95"/>
  <c r="AM294" i="95"/>
  <c r="AL294" i="95"/>
  <c r="AK294" i="95"/>
  <c r="AJ294" i="95"/>
  <c r="AN293" i="95"/>
  <c r="AM293" i="95"/>
  <c r="AL293" i="95"/>
  <c r="AK293" i="95"/>
  <c r="AJ293" i="95"/>
  <c r="AN292" i="95"/>
  <c r="AM292" i="95"/>
  <c r="AL292" i="95"/>
  <c r="AK292" i="95"/>
  <c r="AJ292" i="95"/>
  <c r="AN291" i="95"/>
  <c r="AM291" i="95"/>
  <c r="AL291" i="95"/>
  <c r="AK291" i="95"/>
  <c r="AJ291" i="95"/>
  <c r="AN290" i="95"/>
  <c r="AM290" i="95"/>
  <c r="AL290" i="95"/>
  <c r="AK290" i="95"/>
  <c r="AJ290" i="95"/>
  <c r="AN289" i="95"/>
  <c r="AM289" i="95"/>
  <c r="AL289" i="95"/>
  <c r="AK289" i="95"/>
  <c r="AJ289" i="95"/>
  <c r="AN288" i="95"/>
  <c r="AM288" i="95"/>
  <c r="AL288" i="95"/>
  <c r="AK288" i="95"/>
  <c r="AJ288" i="95"/>
  <c r="AN287" i="95"/>
  <c r="AM287" i="95"/>
  <c r="AL287" i="95"/>
  <c r="AK287" i="95"/>
  <c r="AJ287" i="95"/>
  <c r="AN286" i="95"/>
  <c r="AM286" i="95"/>
  <c r="AL286" i="95"/>
  <c r="AK286" i="95"/>
  <c r="AJ286" i="95"/>
  <c r="AN285" i="95"/>
  <c r="AM285" i="95"/>
  <c r="AL285" i="95"/>
  <c r="AK285" i="95"/>
  <c r="AJ285" i="95"/>
  <c r="AN284" i="95"/>
  <c r="AM284" i="95"/>
  <c r="AL284" i="95"/>
  <c r="AK284" i="95"/>
  <c r="AJ284" i="95"/>
  <c r="AN283" i="95"/>
  <c r="AM283" i="95"/>
  <c r="AL283" i="95"/>
  <c r="AK283" i="95"/>
  <c r="AJ283" i="95"/>
  <c r="AN282" i="95"/>
  <c r="AM282" i="95"/>
  <c r="AL282" i="95"/>
  <c r="AK282" i="95"/>
  <c r="AJ282" i="95"/>
  <c r="AN281" i="95"/>
  <c r="AM281" i="95"/>
  <c r="AL281" i="95"/>
  <c r="AK281" i="95"/>
  <c r="AJ281" i="95"/>
  <c r="AN280" i="95"/>
  <c r="AM280" i="95"/>
  <c r="AL280" i="95"/>
  <c r="AK280" i="95"/>
  <c r="AJ280" i="95"/>
  <c r="AN279" i="95"/>
  <c r="AM279" i="95"/>
  <c r="AL279" i="95"/>
  <c r="AK279" i="95"/>
  <c r="AJ279" i="95"/>
  <c r="AN278" i="95"/>
  <c r="AM278" i="95"/>
  <c r="AL278" i="95"/>
  <c r="AK278" i="95"/>
  <c r="AJ278" i="95"/>
  <c r="AN277" i="95"/>
  <c r="AM277" i="95"/>
  <c r="AL277" i="95"/>
  <c r="AK277" i="95"/>
  <c r="AJ277" i="95"/>
  <c r="AN276" i="95"/>
  <c r="AM276" i="95"/>
  <c r="AL276" i="95"/>
  <c r="AK276" i="95"/>
  <c r="AJ276" i="95"/>
  <c r="AN275" i="95"/>
  <c r="AM275" i="95"/>
  <c r="AL275" i="95"/>
  <c r="AK275" i="95"/>
  <c r="AJ275" i="95"/>
  <c r="AN274" i="95"/>
  <c r="AM274" i="95"/>
  <c r="AL274" i="95"/>
  <c r="AK274" i="95"/>
  <c r="AJ274" i="95"/>
  <c r="AN273" i="95"/>
  <c r="AM273" i="95"/>
  <c r="AL273" i="95"/>
  <c r="AK273" i="95"/>
  <c r="AJ273" i="95"/>
  <c r="AN272" i="95"/>
  <c r="AM272" i="95"/>
  <c r="AL272" i="95"/>
  <c r="AK272" i="95"/>
  <c r="AJ272" i="95"/>
  <c r="AN271" i="95"/>
  <c r="AM271" i="95"/>
  <c r="AL271" i="95"/>
  <c r="AK271" i="95"/>
  <c r="AJ271" i="95"/>
  <c r="AN270" i="95"/>
  <c r="AM270" i="95"/>
  <c r="AL270" i="95"/>
  <c r="AK270" i="95"/>
  <c r="AJ270" i="95"/>
  <c r="AN269" i="95"/>
  <c r="AM269" i="95"/>
  <c r="AL269" i="95"/>
  <c r="AK269" i="95"/>
  <c r="AJ269" i="95"/>
  <c r="AN268" i="95"/>
  <c r="AM268" i="95"/>
  <c r="AL268" i="95"/>
  <c r="AK268" i="95"/>
  <c r="AJ268" i="95"/>
  <c r="AN267" i="95"/>
  <c r="AM267" i="95"/>
  <c r="AL267" i="95"/>
  <c r="AK267" i="95"/>
  <c r="AJ267" i="95"/>
  <c r="AN266" i="95"/>
  <c r="AM266" i="95"/>
  <c r="AL266" i="95"/>
  <c r="AK266" i="95"/>
  <c r="AJ266" i="95"/>
  <c r="AN265" i="95"/>
  <c r="AM265" i="95"/>
  <c r="AL265" i="95"/>
  <c r="AK265" i="95"/>
  <c r="AJ265" i="95"/>
  <c r="AN264" i="95"/>
  <c r="AM264" i="95"/>
  <c r="AL264" i="95"/>
  <c r="AK264" i="95"/>
  <c r="AJ264" i="95"/>
  <c r="AN263" i="95"/>
  <c r="AM263" i="95"/>
  <c r="AL263" i="95"/>
  <c r="AK263" i="95"/>
  <c r="AJ263" i="95"/>
  <c r="AN262" i="95"/>
  <c r="AM262" i="95"/>
  <c r="AL262" i="95"/>
  <c r="AK262" i="95"/>
  <c r="AJ262" i="95"/>
  <c r="AN261" i="95"/>
  <c r="AM261" i="95"/>
  <c r="AL261" i="95"/>
  <c r="AK261" i="95"/>
  <c r="AJ261" i="95"/>
  <c r="AN260" i="95"/>
  <c r="AM260" i="95"/>
  <c r="AL260" i="95"/>
  <c r="AK260" i="95"/>
  <c r="AJ260" i="95"/>
  <c r="AN259" i="95"/>
  <c r="AM259" i="95"/>
  <c r="AL259" i="95"/>
  <c r="AK259" i="95"/>
  <c r="AJ259" i="95"/>
  <c r="AN258" i="95"/>
  <c r="AM258" i="95"/>
  <c r="AL258" i="95"/>
  <c r="AK258" i="95"/>
  <c r="AJ258" i="95"/>
  <c r="AN257" i="95"/>
  <c r="AM257" i="95"/>
  <c r="AL257" i="95"/>
  <c r="AK257" i="95"/>
  <c r="AJ257" i="95"/>
  <c r="AN256" i="95"/>
  <c r="AM256" i="95"/>
  <c r="AL256" i="95"/>
  <c r="AK256" i="95"/>
  <c r="AJ256" i="95"/>
  <c r="AN255" i="95"/>
  <c r="AM255" i="95"/>
  <c r="AL255" i="95"/>
  <c r="AK255" i="95"/>
  <c r="AJ255" i="95"/>
  <c r="AN254" i="95"/>
  <c r="AM254" i="95"/>
  <c r="AL254" i="95"/>
  <c r="AK254" i="95"/>
  <c r="AJ254" i="95"/>
  <c r="AN253" i="95"/>
  <c r="AM253" i="95"/>
  <c r="AL253" i="95"/>
  <c r="AK253" i="95"/>
  <c r="AJ253" i="95"/>
  <c r="AN252" i="95"/>
  <c r="AM252" i="95"/>
  <c r="AL252" i="95"/>
  <c r="AK252" i="95"/>
  <c r="AJ252" i="95"/>
  <c r="AN251" i="95"/>
  <c r="AM251" i="95"/>
  <c r="AL251" i="95"/>
  <c r="AK251" i="95"/>
  <c r="AJ251" i="95"/>
  <c r="AN250" i="95"/>
  <c r="AM250" i="95"/>
  <c r="AL250" i="95"/>
  <c r="AK250" i="95"/>
  <c r="AJ250" i="95"/>
  <c r="AN249" i="95"/>
  <c r="AM249" i="95"/>
  <c r="AL249" i="95"/>
  <c r="AK249" i="95"/>
  <c r="AJ249" i="95"/>
  <c r="AN248" i="95"/>
  <c r="AM248" i="95"/>
  <c r="AL248" i="95"/>
  <c r="AK248" i="95"/>
  <c r="AJ248" i="95"/>
  <c r="AN247" i="95"/>
  <c r="AM247" i="95"/>
  <c r="AL247" i="95"/>
  <c r="AK247" i="95"/>
  <c r="AJ247" i="95"/>
  <c r="AN246" i="95"/>
  <c r="AM246" i="95"/>
  <c r="AL246" i="95"/>
  <c r="AK246" i="95"/>
  <c r="AJ246" i="95"/>
  <c r="AN245" i="95"/>
  <c r="AM245" i="95"/>
  <c r="AL245" i="95"/>
  <c r="AK245" i="95"/>
  <c r="AJ245" i="95"/>
  <c r="AN244" i="95"/>
  <c r="AM244" i="95"/>
  <c r="AL244" i="95"/>
  <c r="AK244" i="95"/>
  <c r="AJ244" i="95"/>
  <c r="AN243" i="95"/>
  <c r="AM243" i="95"/>
  <c r="AL243" i="95"/>
  <c r="AK243" i="95"/>
  <c r="AJ243" i="95"/>
  <c r="AN242" i="95"/>
  <c r="AM242" i="95"/>
  <c r="AL242" i="95"/>
  <c r="AK242" i="95"/>
  <c r="AJ242" i="95"/>
  <c r="AN241" i="95"/>
  <c r="AM241" i="95"/>
  <c r="AL241" i="95"/>
  <c r="AK241" i="95"/>
  <c r="AJ241" i="95"/>
  <c r="AN240" i="95"/>
  <c r="AM240" i="95"/>
  <c r="AL240" i="95"/>
  <c r="AK240" i="95"/>
  <c r="AJ240" i="95"/>
  <c r="AN239" i="95"/>
  <c r="AM239" i="95"/>
  <c r="AL239" i="95"/>
  <c r="AK239" i="95"/>
  <c r="AJ239" i="95"/>
  <c r="AN238" i="95"/>
  <c r="AM238" i="95"/>
  <c r="AL238" i="95"/>
  <c r="AK238" i="95"/>
  <c r="AJ238" i="95"/>
  <c r="AN237" i="95"/>
  <c r="AM237" i="95"/>
  <c r="AL237" i="95"/>
  <c r="AK237" i="95"/>
  <c r="AJ237" i="95"/>
  <c r="AN236" i="95"/>
  <c r="AM236" i="95"/>
  <c r="AL236" i="95"/>
  <c r="AK236" i="95"/>
  <c r="AJ236" i="95"/>
  <c r="AN235" i="95"/>
  <c r="AM235" i="95"/>
  <c r="AL235" i="95"/>
  <c r="AK235" i="95"/>
  <c r="AJ235" i="95"/>
  <c r="AN234" i="95"/>
  <c r="AM234" i="95"/>
  <c r="AL234" i="95"/>
  <c r="AK234" i="95"/>
  <c r="AJ234" i="95"/>
  <c r="AN233" i="95"/>
  <c r="AM233" i="95"/>
  <c r="AL233" i="95"/>
  <c r="AK233" i="95"/>
  <c r="AJ233" i="95"/>
  <c r="AN232" i="95"/>
  <c r="AM232" i="95"/>
  <c r="AL232" i="95"/>
  <c r="AK232" i="95"/>
  <c r="AJ232" i="95"/>
  <c r="AN231" i="95"/>
  <c r="AM231" i="95"/>
  <c r="AL231" i="95"/>
  <c r="AK231" i="95"/>
  <c r="AJ231" i="95"/>
  <c r="AN230" i="95"/>
  <c r="AM230" i="95"/>
  <c r="AL230" i="95"/>
  <c r="AK230" i="95"/>
  <c r="AJ230" i="95"/>
  <c r="AN229" i="95"/>
  <c r="AM229" i="95"/>
  <c r="AL229" i="95"/>
  <c r="AK229" i="95"/>
  <c r="AJ229" i="95"/>
  <c r="AN228" i="95"/>
  <c r="AM228" i="95"/>
  <c r="AL228" i="95"/>
  <c r="AK228" i="95"/>
  <c r="AJ228" i="95"/>
  <c r="AN227" i="95"/>
  <c r="AM227" i="95"/>
  <c r="AL227" i="95"/>
  <c r="AK227" i="95"/>
  <c r="AJ227" i="95"/>
  <c r="AN226" i="95"/>
  <c r="AM226" i="95"/>
  <c r="AL226" i="95"/>
  <c r="AK226" i="95"/>
  <c r="AJ226" i="95"/>
  <c r="AN225" i="95"/>
  <c r="AM225" i="95"/>
  <c r="AL225" i="95"/>
  <c r="AK225" i="95"/>
  <c r="AJ225" i="95"/>
  <c r="AN224" i="95"/>
  <c r="AM224" i="95"/>
  <c r="AL224" i="95"/>
  <c r="AK224" i="95"/>
  <c r="AJ224" i="95"/>
  <c r="AN223" i="95"/>
  <c r="AM223" i="95"/>
  <c r="AL223" i="95"/>
  <c r="AK223" i="95"/>
  <c r="AJ223" i="95"/>
  <c r="AN222" i="95"/>
  <c r="AM222" i="95"/>
  <c r="AL222" i="95"/>
  <c r="AK222" i="95"/>
  <c r="AJ222" i="95"/>
  <c r="AN221" i="95"/>
  <c r="AM221" i="95"/>
  <c r="AL221" i="95"/>
  <c r="AK221" i="95"/>
  <c r="AJ221" i="95"/>
  <c r="AN220" i="95"/>
  <c r="AM220" i="95"/>
  <c r="AL220" i="95"/>
  <c r="AK220" i="95"/>
  <c r="AJ220" i="95"/>
  <c r="AN219" i="95"/>
  <c r="AM219" i="95"/>
  <c r="AL219" i="95"/>
  <c r="AK219" i="95"/>
  <c r="AJ219" i="95"/>
  <c r="AN218" i="95"/>
  <c r="AM218" i="95"/>
  <c r="AL218" i="95"/>
  <c r="AK218" i="95"/>
  <c r="AJ218" i="95"/>
  <c r="AN217" i="95"/>
  <c r="AM217" i="95"/>
  <c r="AL217" i="95"/>
  <c r="AK217" i="95"/>
  <c r="AJ217" i="95"/>
  <c r="AN216" i="95"/>
  <c r="AM216" i="95"/>
  <c r="AL216" i="95"/>
  <c r="AK216" i="95"/>
  <c r="AJ216" i="95"/>
  <c r="AN215" i="95"/>
  <c r="AM215" i="95"/>
  <c r="AL215" i="95"/>
  <c r="AK215" i="95"/>
  <c r="AJ215" i="95"/>
  <c r="AN214" i="95"/>
  <c r="AM214" i="95"/>
  <c r="AL214" i="95"/>
  <c r="AK214" i="95"/>
  <c r="AJ214" i="95"/>
  <c r="AN213" i="95"/>
  <c r="AM213" i="95"/>
  <c r="AL213" i="95"/>
  <c r="AK213" i="95"/>
  <c r="AJ213" i="95"/>
  <c r="AN212" i="95"/>
  <c r="AM212" i="95"/>
  <c r="AL212" i="95"/>
  <c r="AK212" i="95"/>
  <c r="AJ212" i="95"/>
  <c r="AN211" i="95"/>
  <c r="AM211" i="95"/>
  <c r="AL211" i="95"/>
  <c r="AK211" i="95"/>
  <c r="AJ211" i="95"/>
  <c r="AN210" i="95"/>
  <c r="AM210" i="95"/>
  <c r="AL210" i="95"/>
  <c r="AK210" i="95"/>
  <c r="AJ210" i="95"/>
  <c r="AN209" i="95"/>
  <c r="AM209" i="95"/>
  <c r="AL209" i="95"/>
  <c r="AK209" i="95"/>
  <c r="AJ209" i="95"/>
  <c r="AN208" i="95"/>
  <c r="AM208" i="95"/>
  <c r="AL208" i="95"/>
  <c r="AK208" i="95"/>
  <c r="AJ208" i="95"/>
  <c r="AN207" i="95"/>
  <c r="AM207" i="95"/>
  <c r="AL207" i="95"/>
  <c r="AK207" i="95"/>
  <c r="AJ207" i="95"/>
  <c r="AN206" i="95"/>
  <c r="AM206" i="95"/>
  <c r="AL206" i="95"/>
  <c r="AK206" i="95"/>
  <c r="AJ206" i="95"/>
  <c r="AN205" i="95"/>
  <c r="AM205" i="95"/>
  <c r="AL205" i="95"/>
  <c r="AK205" i="95"/>
  <c r="AJ205" i="95"/>
  <c r="AN204" i="95"/>
  <c r="AM204" i="95"/>
  <c r="AL204" i="95"/>
  <c r="AK204" i="95"/>
  <c r="AJ204" i="95"/>
  <c r="AN203" i="95"/>
  <c r="AM203" i="95"/>
  <c r="AL203" i="95"/>
  <c r="AK203" i="95"/>
  <c r="AJ203" i="95"/>
  <c r="AN202" i="95"/>
  <c r="AM202" i="95"/>
  <c r="AL202" i="95"/>
  <c r="AK202" i="95"/>
  <c r="AJ202" i="95"/>
  <c r="AN201" i="95"/>
  <c r="AM201" i="95"/>
  <c r="AL201" i="95"/>
  <c r="AK201" i="95"/>
  <c r="AJ201" i="95"/>
  <c r="AN200" i="95"/>
  <c r="AM200" i="95"/>
  <c r="AL200" i="95"/>
  <c r="AK200" i="95"/>
  <c r="AJ200" i="95"/>
  <c r="AN199" i="95"/>
  <c r="AM199" i="95"/>
  <c r="AL199" i="95"/>
  <c r="AK199" i="95"/>
  <c r="AJ199" i="95"/>
  <c r="AN198" i="95"/>
  <c r="AM198" i="95"/>
  <c r="AL198" i="95"/>
  <c r="AK198" i="95"/>
  <c r="AJ198" i="95"/>
  <c r="AN197" i="95"/>
  <c r="AM197" i="95"/>
  <c r="AL197" i="95"/>
  <c r="AK197" i="95"/>
  <c r="AJ197" i="95"/>
  <c r="AN196" i="95"/>
  <c r="AM196" i="95"/>
  <c r="AL196" i="95"/>
  <c r="AK196" i="95"/>
  <c r="AJ196" i="95"/>
  <c r="AN195" i="95"/>
  <c r="AM195" i="95"/>
  <c r="AL195" i="95"/>
  <c r="AK195" i="95"/>
  <c r="AJ195" i="95"/>
  <c r="AN194" i="95"/>
  <c r="AM194" i="95"/>
  <c r="AL194" i="95"/>
  <c r="AK194" i="95"/>
  <c r="AJ194" i="95"/>
  <c r="AN193" i="95"/>
  <c r="AM193" i="95"/>
  <c r="AL193" i="95"/>
  <c r="AK193" i="95"/>
  <c r="AJ193" i="95"/>
  <c r="AN192" i="95"/>
  <c r="AM192" i="95"/>
  <c r="AL192" i="95"/>
  <c r="AK192" i="95"/>
  <c r="AJ192" i="95"/>
  <c r="AN191" i="95"/>
  <c r="AM191" i="95"/>
  <c r="AL191" i="95"/>
  <c r="AK191" i="95"/>
  <c r="AJ191" i="95"/>
  <c r="AN190" i="95"/>
  <c r="AM190" i="95"/>
  <c r="AL190" i="95"/>
  <c r="AK190" i="95"/>
  <c r="AJ190" i="95"/>
  <c r="AN189" i="95"/>
  <c r="AM189" i="95"/>
  <c r="AL189" i="95"/>
  <c r="AK189" i="95"/>
  <c r="AJ189" i="95"/>
  <c r="AN188" i="95"/>
  <c r="AM188" i="95"/>
  <c r="AL188" i="95"/>
  <c r="AK188" i="95"/>
  <c r="AJ188" i="95"/>
  <c r="AN187" i="95"/>
  <c r="AM187" i="95"/>
  <c r="AL187" i="95"/>
  <c r="AK187" i="95"/>
  <c r="AJ187" i="95"/>
  <c r="AN186" i="95"/>
  <c r="AM186" i="95"/>
  <c r="AL186" i="95"/>
  <c r="AK186" i="95"/>
  <c r="AJ186" i="95"/>
  <c r="AN185" i="95"/>
  <c r="AM185" i="95"/>
  <c r="AL185" i="95"/>
  <c r="AK185" i="95"/>
  <c r="AJ185" i="95"/>
  <c r="AN184" i="95"/>
  <c r="AM184" i="95"/>
  <c r="AL184" i="95"/>
  <c r="AK184" i="95"/>
  <c r="AJ184" i="95"/>
  <c r="AN183" i="95"/>
  <c r="AM183" i="95"/>
  <c r="AL183" i="95"/>
  <c r="AK183" i="95"/>
  <c r="AJ183" i="95"/>
  <c r="AN182" i="95"/>
  <c r="AM182" i="95"/>
  <c r="AL182" i="95"/>
  <c r="AK182" i="95"/>
  <c r="AJ182" i="95"/>
  <c r="AN181" i="95"/>
  <c r="AM181" i="95"/>
  <c r="AL181" i="95"/>
  <c r="AK181" i="95"/>
  <c r="AJ181" i="95"/>
  <c r="AN180" i="95"/>
  <c r="AM180" i="95"/>
  <c r="AL180" i="95"/>
  <c r="AK180" i="95"/>
  <c r="AJ180" i="95"/>
  <c r="AN179" i="95"/>
  <c r="AM179" i="95"/>
  <c r="AL179" i="95"/>
  <c r="AK179" i="95"/>
  <c r="AJ179" i="95"/>
  <c r="AN178" i="95"/>
  <c r="AM178" i="95"/>
  <c r="AL178" i="95"/>
  <c r="AK178" i="95"/>
  <c r="AJ178" i="95"/>
  <c r="AN177" i="95"/>
  <c r="AM177" i="95"/>
  <c r="AL177" i="95"/>
  <c r="AK177" i="95"/>
  <c r="AJ177" i="95"/>
  <c r="AN176" i="95"/>
  <c r="AM176" i="95"/>
  <c r="AL176" i="95"/>
  <c r="AK176" i="95"/>
  <c r="AJ176" i="95"/>
  <c r="AN175" i="95"/>
  <c r="AM175" i="95"/>
  <c r="AL175" i="95"/>
  <c r="AK175" i="95"/>
  <c r="AJ175" i="95"/>
  <c r="AN174" i="95"/>
  <c r="AM174" i="95"/>
  <c r="AL174" i="95"/>
  <c r="AK174" i="95"/>
  <c r="AJ174" i="95"/>
  <c r="AN173" i="95"/>
  <c r="AM173" i="95"/>
  <c r="AL173" i="95"/>
  <c r="AK173" i="95"/>
  <c r="AJ173" i="95"/>
  <c r="AN172" i="95"/>
  <c r="AM172" i="95"/>
  <c r="AL172" i="95"/>
  <c r="AK172" i="95"/>
  <c r="AJ172" i="95"/>
  <c r="AN171" i="95"/>
  <c r="AM171" i="95"/>
  <c r="AL171" i="95"/>
  <c r="AK171" i="95"/>
  <c r="AJ171" i="95"/>
  <c r="AN170" i="95"/>
  <c r="AM170" i="95"/>
  <c r="AL170" i="95"/>
  <c r="AK170" i="95"/>
  <c r="AJ170" i="95"/>
  <c r="AN169" i="95"/>
  <c r="AM169" i="95"/>
  <c r="AL169" i="95"/>
  <c r="AK169" i="95"/>
  <c r="AJ169" i="95"/>
  <c r="AN168" i="95"/>
  <c r="AM168" i="95"/>
  <c r="AL168" i="95"/>
  <c r="AK168" i="95"/>
  <c r="AJ168" i="95"/>
  <c r="AN167" i="95"/>
  <c r="AM167" i="95"/>
  <c r="AL167" i="95"/>
  <c r="AK167" i="95"/>
  <c r="AJ167" i="95"/>
  <c r="AN166" i="95"/>
  <c r="AM166" i="95"/>
  <c r="AL166" i="95"/>
  <c r="AK166" i="95"/>
  <c r="AJ166" i="95"/>
  <c r="AN165" i="95"/>
  <c r="AM165" i="95"/>
  <c r="AL165" i="95"/>
  <c r="AK165" i="95"/>
  <c r="AJ165" i="95"/>
  <c r="AN164" i="95"/>
  <c r="AM164" i="95"/>
  <c r="AL164" i="95"/>
  <c r="AK164" i="95"/>
  <c r="AJ164" i="95"/>
  <c r="AN163" i="95"/>
  <c r="AM163" i="95"/>
  <c r="AL163" i="95"/>
  <c r="AK163" i="95"/>
  <c r="AJ163" i="95"/>
  <c r="AN162" i="95"/>
  <c r="AM162" i="95"/>
  <c r="AL162" i="95"/>
  <c r="AK162" i="95"/>
  <c r="AJ162" i="95"/>
  <c r="AN161" i="95"/>
  <c r="AM161" i="95"/>
  <c r="AL161" i="95"/>
  <c r="AK161" i="95"/>
  <c r="AJ161" i="95"/>
  <c r="AN160" i="95"/>
  <c r="AM160" i="95"/>
  <c r="AL160" i="95"/>
  <c r="AK160" i="95"/>
  <c r="AJ160" i="95"/>
  <c r="AN159" i="95"/>
  <c r="AM159" i="95"/>
  <c r="AL159" i="95"/>
  <c r="AK159" i="95"/>
  <c r="AJ159" i="95"/>
  <c r="AN158" i="95"/>
  <c r="AM158" i="95"/>
  <c r="AL158" i="95"/>
  <c r="AK158" i="95"/>
  <c r="AJ158" i="95"/>
  <c r="AN157" i="95"/>
  <c r="AM157" i="95"/>
  <c r="AL157" i="95"/>
  <c r="AK157" i="95"/>
  <c r="AJ157" i="95"/>
  <c r="AN156" i="95"/>
  <c r="AM156" i="95"/>
  <c r="AL156" i="95"/>
  <c r="AK156" i="95"/>
  <c r="AJ156" i="95"/>
  <c r="AN155" i="95"/>
  <c r="AM155" i="95"/>
  <c r="AL155" i="95"/>
  <c r="AK155" i="95"/>
  <c r="AJ155" i="95"/>
  <c r="AN154" i="95"/>
  <c r="AM154" i="95"/>
  <c r="AL154" i="95"/>
  <c r="AK154" i="95"/>
  <c r="AJ154" i="95"/>
  <c r="AN153" i="95"/>
  <c r="AM153" i="95"/>
  <c r="AL153" i="95"/>
  <c r="AK153" i="95"/>
  <c r="AJ153" i="95"/>
  <c r="AN152" i="95"/>
  <c r="AM152" i="95"/>
  <c r="AL152" i="95"/>
  <c r="AK152" i="95"/>
  <c r="AJ152" i="95"/>
  <c r="AN151" i="95"/>
  <c r="AM151" i="95"/>
  <c r="AL151" i="95"/>
  <c r="AK151" i="95"/>
  <c r="AJ151" i="95"/>
  <c r="AN150" i="95"/>
  <c r="AM150" i="95"/>
  <c r="AL150" i="95"/>
  <c r="AK150" i="95"/>
  <c r="AJ150" i="95"/>
  <c r="AN149" i="95"/>
  <c r="AM149" i="95"/>
  <c r="AL149" i="95"/>
  <c r="AK149" i="95"/>
  <c r="AJ149" i="95"/>
  <c r="AN148" i="95"/>
  <c r="AM148" i="95"/>
  <c r="AL148" i="95"/>
  <c r="AK148" i="95"/>
  <c r="AJ148" i="95"/>
  <c r="AN147" i="95"/>
  <c r="AM147" i="95"/>
  <c r="AL147" i="95"/>
  <c r="AK147" i="95"/>
  <c r="AJ147" i="95"/>
  <c r="AN146" i="95"/>
  <c r="AM146" i="95"/>
  <c r="AL146" i="95"/>
  <c r="AK146" i="95"/>
  <c r="AJ146" i="95"/>
  <c r="AN145" i="95"/>
  <c r="AM145" i="95"/>
  <c r="AL145" i="95"/>
  <c r="AK145" i="95"/>
  <c r="AJ145" i="95"/>
  <c r="AN144" i="95"/>
  <c r="AM144" i="95"/>
  <c r="AL144" i="95"/>
  <c r="AK144" i="95"/>
  <c r="AJ144" i="95"/>
  <c r="AN143" i="95"/>
  <c r="AM143" i="95"/>
  <c r="AL143" i="95"/>
  <c r="AK143" i="95"/>
  <c r="AJ143" i="95"/>
  <c r="AN142" i="95"/>
  <c r="AM142" i="95"/>
  <c r="AL142" i="95"/>
  <c r="AK142" i="95"/>
  <c r="AJ142" i="95"/>
  <c r="AN141" i="95"/>
  <c r="AM141" i="95"/>
  <c r="AL141" i="95"/>
  <c r="AK141" i="95"/>
  <c r="AJ141" i="95"/>
  <c r="AN140" i="95"/>
  <c r="AM140" i="95"/>
  <c r="AL140" i="95"/>
  <c r="AK140" i="95"/>
  <c r="AJ140" i="95"/>
  <c r="AN139" i="95"/>
  <c r="AM139" i="95"/>
  <c r="AL139" i="95"/>
  <c r="AK139" i="95"/>
  <c r="AJ139" i="95"/>
  <c r="AN138" i="95"/>
  <c r="AM138" i="95"/>
  <c r="AL138" i="95"/>
  <c r="AK138" i="95"/>
  <c r="AJ138" i="95"/>
  <c r="AN137" i="95"/>
  <c r="AM137" i="95"/>
  <c r="AL137" i="95"/>
  <c r="AK137" i="95"/>
  <c r="AJ137" i="95"/>
  <c r="AN136" i="95"/>
  <c r="AM136" i="95"/>
  <c r="AL136" i="95"/>
  <c r="AK136" i="95"/>
  <c r="AJ136" i="95"/>
  <c r="AN135" i="95"/>
  <c r="AM135" i="95"/>
  <c r="AL135" i="95"/>
  <c r="AK135" i="95"/>
  <c r="AJ135" i="95"/>
  <c r="AN134" i="95"/>
  <c r="AM134" i="95"/>
  <c r="AL134" i="95"/>
  <c r="AK134" i="95"/>
  <c r="AJ134" i="95"/>
  <c r="AN133" i="95"/>
  <c r="AM133" i="95"/>
  <c r="AL133" i="95"/>
  <c r="AK133" i="95"/>
  <c r="AJ133" i="95"/>
  <c r="AN132" i="95"/>
  <c r="AM132" i="95"/>
  <c r="AL132" i="95"/>
  <c r="AK132" i="95"/>
  <c r="AJ132" i="95"/>
  <c r="AN131" i="95"/>
  <c r="AM131" i="95"/>
  <c r="AL131" i="95"/>
  <c r="AK131" i="95"/>
  <c r="AJ131" i="95"/>
  <c r="AN130" i="95"/>
  <c r="AM130" i="95"/>
  <c r="AL130" i="95"/>
  <c r="AK130" i="95"/>
  <c r="AJ130" i="95"/>
  <c r="AN129" i="95"/>
  <c r="AM129" i="95"/>
  <c r="AL129" i="95"/>
  <c r="AK129" i="95"/>
  <c r="AJ129" i="95"/>
  <c r="AN128" i="95"/>
  <c r="AM128" i="95"/>
  <c r="AL128" i="95"/>
  <c r="AK128" i="95"/>
  <c r="AJ128" i="95"/>
  <c r="AN127" i="95"/>
  <c r="AM127" i="95"/>
  <c r="AL127" i="95"/>
  <c r="AK127" i="95"/>
  <c r="AJ127" i="95"/>
  <c r="AN126" i="95"/>
  <c r="AM126" i="95"/>
  <c r="AL126" i="95"/>
  <c r="AK126" i="95"/>
  <c r="AJ126" i="95"/>
  <c r="AN125" i="95"/>
  <c r="AM125" i="95"/>
  <c r="AL125" i="95"/>
  <c r="AK125" i="95"/>
  <c r="AJ125" i="95"/>
  <c r="AN124" i="95"/>
  <c r="AM124" i="95"/>
  <c r="AL124" i="95"/>
  <c r="AK124" i="95"/>
  <c r="AJ124" i="95"/>
  <c r="AN123" i="95"/>
  <c r="AM123" i="95"/>
  <c r="AL123" i="95"/>
  <c r="AK123" i="95"/>
  <c r="AJ123" i="95"/>
  <c r="AN122" i="95"/>
  <c r="AM122" i="95"/>
  <c r="AL122" i="95"/>
  <c r="AK122" i="95"/>
  <c r="AJ122" i="95"/>
  <c r="AN121" i="95"/>
  <c r="AM121" i="95"/>
  <c r="AL121" i="95"/>
  <c r="AK121" i="95"/>
  <c r="AJ121" i="95"/>
  <c r="AN120" i="95"/>
  <c r="AM120" i="95"/>
  <c r="AL120" i="95"/>
  <c r="AK120" i="95"/>
  <c r="AJ120" i="95"/>
  <c r="AN119" i="95"/>
  <c r="AM119" i="95"/>
  <c r="AL119" i="95"/>
  <c r="AK119" i="95"/>
  <c r="AJ119" i="95"/>
  <c r="AN118" i="95"/>
  <c r="AM118" i="95"/>
  <c r="AL118" i="95"/>
  <c r="AK118" i="95"/>
  <c r="AJ118" i="95"/>
  <c r="AN117" i="95"/>
  <c r="AM117" i="95"/>
  <c r="AL117" i="95"/>
  <c r="AK117" i="95"/>
  <c r="AJ117" i="95"/>
  <c r="AN116" i="95"/>
  <c r="AM116" i="95"/>
  <c r="AL116" i="95"/>
  <c r="AK116" i="95"/>
  <c r="AJ116" i="95"/>
  <c r="AN115" i="95"/>
  <c r="AM115" i="95"/>
  <c r="AL115" i="95"/>
  <c r="AK115" i="95"/>
  <c r="AJ115" i="95"/>
  <c r="AN114" i="95"/>
  <c r="AM114" i="95"/>
  <c r="AL114" i="95"/>
  <c r="AK114" i="95"/>
  <c r="AJ114" i="95"/>
  <c r="AN113" i="95"/>
  <c r="AM113" i="95"/>
  <c r="AL113" i="95"/>
  <c r="AK113" i="95"/>
  <c r="AJ113" i="95"/>
  <c r="AN112" i="95"/>
  <c r="AM112" i="95"/>
  <c r="AL112" i="95"/>
  <c r="AK112" i="95"/>
  <c r="AJ112" i="95"/>
  <c r="AN111" i="95"/>
  <c r="AM111" i="95"/>
  <c r="AL111" i="95"/>
  <c r="AK111" i="95"/>
  <c r="AJ111" i="95"/>
  <c r="AN110" i="95"/>
  <c r="AM110" i="95"/>
  <c r="AL110" i="95"/>
  <c r="AK110" i="95"/>
  <c r="AJ110" i="95"/>
  <c r="AN109" i="95"/>
  <c r="AM109" i="95"/>
  <c r="AL109" i="95"/>
  <c r="AK109" i="95"/>
  <c r="AJ109" i="95"/>
  <c r="AN108" i="95"/>
  <c r="AM108" i="95"/>
  <c r="AL108" i="95"/>
  <c r="AK108" i="95"/>
  <c r="AJ108" i="95"/>
  <c r="AN107" i="95"/>
  <c r="AM107" i="95"/>
  <c r="AL107" i="95"/>
  <c r="AK107" i="95"/>
  <c r="AJ107" i="95"/>
  <c r="AN106" i="95"/>
  <c r="AM106" i="95"/>
  <c r="AL106" i="95"/>
  <c r="AK106" i="95"/>
  <c r="AJ106" i="95"/>
  <c r="AN105" i="95"/>
  <c r="AM105" i="95"/>
  <c r="AL105" i="95"/>
  <c r="AK105" i="95"/>
  <c r="AJ105" i="95"/>
  <c r="AN104" i="95"/>
  <c r="AM104" i="95"/>
  <c r="AL104" i="95"/>
  <c r="AK104" i="95"/>
  <c r="AJ104" i="95"/>
  <c r="AN103" i="95"/>
  <c r="AM103" i="95"/>
  <c r="AL103" i="95"/>
  <c r="AK103" i="95"/>
  <c r="AJ103" i="95"/>
  <c r="AN102" i="95"/>
  <c r="AM102" i="95"/>
  <c r="AL102" i="95"/>
  <c r="AK102" i="95"/>
  <c r="AJ102" i="95"/>
  <c r="AN101" i="95"/>
  <c r="AM101" i="95"/>
  <c r="AL101" i="95"/>
  <c r="AK101" i="95"/>
  <c r="AJ101" i="95"/>
  <c r="AN100" i="95"/>
  <c r="AM100" i="95"/>
  <c r="AL100" i="95"/>
  <c r="AK100" i="95"/>
  <c r="AJ100" i="95"/>
  <c r="AN99" i="95"/>
  <c r="AM99" i="95"/>
  <c r="AL99" i="95"/>
  <c r="AK99" i="95"/>
  <c r="AJ99" i="95"/>
  <c r="AN98" i="95"/>
  <c r="AM98" i="95"/>
  <c r="AL98" i="95"/>
  <c r="AK98" i="95"/>
  <c r="AJ98" i="95"/>
  <c r="AN97" i="95"/>
  <c r="AM97" i="95"/>
  <c r="AL97" i="95"/>
  <c r="AK97" i="95"/>
  <c r="AJ97" i="95"/>
  <c r="AN96" i="95"/>
  <c r="AM96" i="95"/>
  <c r="AL96" i="95"/>
  <c r="AK96" i="95"/>
  <c r="AJ96" i="95"/>
  <c r="AN95" i="95"/>
  <c r="AM95" i="95"/>
  <c r="AL95" i="95"/>
  <c r="AK95" i="95"/>
  <c r="AJ95" i="95"/>
  <c r="AN94" i="95"/>
  <c r="AM94" i="95"/>
  <c r="AL94" i="95"/>
  <c r="AK94" i="95"/>
  <c r="AJ94" i="95"/>
  <c r="AN93" i="95"/>
  <c r="AM93" i="95"/>
  <c r="AL93" i="95"/>
  <c r="AK93" i="95"/>
  <c r="AJ93" i="95"/>
  <c r="AN92" i="95"/>
  <c r="AM92" i="95"/>
  <c r="AL92" i="95"/>
  <c r="AK92" i="95"/>
  <c r="AJ92" i="95"/>
  <c r="AN91" i="95"/>
  <c r="AM91" i="95"/>
  <c r="AL91" i="95"/>
  <c r="AK91" i="95"/>
  <c r="AJ91" i="95"/>
  <c r="AN90" i="95"/>
  <c r="AM90" i="95"/>
  <c r="AL90" i="95"/>
  <c r="AK90" i="95"/>
  <c r="AJ90" i="95"/>
  <c r="AN89" i="95"/>
  <c r="AM89" i="95"/>
  <c r="AL89" i="95"/>
  <c r="AK89" i="95"/>
  <c r="AJ89" i="95"/>
  <c r="AN88" i="95"/>
  <c r="AM88" i="95"/>
  <c r="AL88" i="95"/>
  <c r="AK88" i="95"/>
  <c r="AJ88" i="95"/>
  <c r="AN87" i="95"/>
  <c r="AM87" i="95"/>
  <c r="AL87" i="95"/>
  <c r="AK87" i="95"/>
  <c r="AJ87" i="95"/>
  <c r="AN86" i="95"/>
  <c r="AM86" i="95"/>
  <c r="AL86" i="95"/>
  <c r="AK86" i="95"/>
  <c r="AJ86" i="95"/>
  <c r="AN85" i="95"/>
  <c r="AM85" i="95"/>
  <c r="AL85" i="95"/>
  <c r="AK85" i="95"/>
  <c r="AJ85" i="95"/>
  <c r="AN84" i="95"/>
  <c r="AM84" i="95"/>
  <c r="AL84" i="95"/>
  <c r="AK84" i="95"/>
  <c r="AJ84" i="95"/>
  <c r="AN83" i="95"/>
  <c r="AM83" i="95"/>
  <c r="AL83" i="95"/>
  <c r="AK83" i="95"/>
  <c r="AJ83" i="95"/>
  <c r="AN82" i="95"/>
  <c r="AM82" i="95"/>
  <c r="AL82" i="95"/>
  <c r="AK82" i="95"/>
  <c r="AJ82" i="95"/>
  <c r="AN81" i="95"/>
  <c r="AM81" i="95"/>
  <c r="AL81" i="95"/>
  <c r="AK81" i="95"/>
  <c r="AJ81" i="95"/>
  <c r="AN80" i="95"/>
  <c r="AM80" i="95"/>
  <c r="AL80" i="95"/>
  <c r="AK80" i="95"/>
  <c r="AJ80" i="95"/>
  <c r="AN79" i="95"/>
  <c r="AM79" i="95"/>
  <c r="AL79" i="95"/>
  <c r="AK79" i="95"/>
  <c r="AJ79" i="95"/>
  <c r="AN78" i="95"/>
  <c r="AM78" i="95"/>
  <c r="AL78" i="95"/>
  <c r="AK78" i="95"/>
  <c r="AJ78" i="95"/>
  <c r="AN77" i="95"/>
  <c r="AM77" i="95"/>
  <c r="AL77" i="95"/>
  <c r="AK77" i="95"/>
  <c r="AJ77" i="95"/>
  <c r="AN76" i="95"/>
  <c r="AM76" i="95"/>
  <c r="AL76" i="95"/>
  <c r="AK76" i="95"/>
  <c r="AJ76" i="95"/>
  <c r="AN75" i="95"/>
  <c r="AM75" i="95"/>
  <c r="AL75" i="95"/>
  <c r="AK75" i="95"/>
  <c r="AJ75" i="95"/>
  <c r="AN74" i="95"/>
  <c r="AM74" i="95"/>
  <c r="AL74" i="95"/>
  <c r="AK74" i="95"/>
  <c r="AJ74" i="95"/>
  <c r="AN73" i="95"/>
  <c r="AM73" i="95"/>
  <c r="AL73" i="95"/>
  <c r="AK73" i="95"/>
  <c r="AJ73" i="95"/>
  <c r="AN72" i="95"/>
  <c r="AM72" i="95"/>
  <c r="AL72" i="95"/>
  <c r="AK72" i="95"/>
  <c r="AJ72" i="95"/>
  <c r="AN71" i="95"/>
  <c r="AM71" i="95"/>
  <c r="AL71" i="95"/>
  <c r="AK71" i="95"/>
  <c r="AJ71" i="95"/>
  <c r="AN70" i="95"/>
  <c r="AM70" i="95"/>
  <c r="AL70" i="95"/>
  <c r="AK70" i="95"/>
  <c r="AJ70" i="95"/>
  <c r="AN69" i="95"/>
  <c r="AM69" i="95"/>
  <c r="AL69" i="95"/>
  <c r="AK69" i="95"/>
  <c r="AJ69" i="95"/>
  <c r="AN68" i="95"/>
  <c r="AM68" i="95"/>
  <c r="AL68" i="95"/>
  <c r="AK68" i="95"/>
  <c r="AJ68" i="95"/>
  <c r="AN67" i="95"/>
  <c r="AM67" i="95"/>
  <c r="AL67" i="95"/>
  <c r="AK67" i="95"/>
  <c r="AJ67" i="95"/>
  <c r="AN66" i="95"/>
  <c r="AM66" i="95"/>
  <c r="AL66" i="95"/>
  <c r="AK66" i="95"/>
  <c r="AJ66" i="95"/>
  <c r="AN65" i="95"/>
  <c r="AM65" i="95"/>
  <c r="AL65" i="95"/>
  <c r="AK65" i="95"/>
  <c r="AJ65" i="95"/>
  <c r="AN64" i="95"/>
  <c r="AM64" i="95"/>
  <c r="AL64" i="95"/>
  <c r="AK64" i="95"/>
  <c r="AJ64" i="95"/>
  <c r="AN63" i="95"/>
  <c r="AM63" i="95"/>
  <c r="AL63" i="95"/>
  <c r="AK63" i="95"/>
  <c r="AJ63" i="95"/>
  <c r="AN62" i="95"/>
  <c r="AM62" i="95"/>
  <c r="AL62" i="95"/>
  <c r="AK62" i="95"/>
  <c r="AJ62" i="95"/>
  <c r="AN61" i="95"/>
  <c r="AM61" i="95"/>
  <c r="AL61" i="95"/>
  <c r="AK61" i="95"/>
  <c r="AJ61" i="95"/>
  <c r="AN60" i="95"/>
  <c r="AM60" i="95"/>
  <c r="AL60" i="95"/>
  <c r="AK60" i="95"/>
  <c r="AJ60" i="95"/>
  <c r="AN59" i="95"/>
  <c r="AM59" i="95"/>
  <c r="AL59" i="95"/>
  <c r="AK59" i="95"/>
  <c r="AJ59" i="95"/>
  <c r="AN58" i="95"/>
  <c r="AM58" i="95"/>
  <c r="AL58" i="95"/>
  <c r="AK58" i="95"/>
  <c r="AJ58" i="95"/>
  <c r="AN57" i="95"/>
  <c r="AM57" i="95"/>
  <c r="AL57" i="95"/>
  <c r="AK57" i="95"/>
  <c r="AJ57" i="95"/>
  <c r="AN56" i="95"/>
  <c r="AM56" i="95"/>
  <c r="AL56" i="95"/>
  <c r="AK56" i="95"/>
  <c r="AJ56" i="95"/>
  <c r="AN55" i="95"/>
  <c r="AM55" i="95"/>
  <c r="AL55" i="95"/>
  <c r="AK55" i="95"/>
  <c r="AJ55" i="95"/>
  <c r="AN54" i="95"/>
  <c r="AM54" i="95"/>
  <c r="AL54" i="95"/>
  <c r="AK54" i="95"/>
  <c r="AJ54" i="95"/>
  <c r="AN53" i="95"/>
  <c r="AM53" i="95"/>
  <c r="AL53" i="95"/>
  <c r="AK53" i="95"/>
  <c r="AJ53" i="95"/>
  <c r="AN52" i="95"/>
  <c r="AM52" i="95"/>
  <c r="AL52" i="95"/>
  <c r="AK52" i="95"/>
  <c r="AJ52" i="95"/>
  <c r="AN51" i="95"/>
  <c r="AM51" i="95"/>
  <c r="AL51" i="95"/>
  <c r="AK51" i="95"/>
  <c r="AJ51" i="95"/>
  <c r="AN50" i="95"/>
  <c r="AM50" i="95"/>
  <c r="AL50" i="95"/>
  <c r="AK50" i="95"/>
  <c r="AJ50" i="95"/>
  <c r="AN49" i="95"/>
  <c r="AM49" i="95"/>
  <c r="AL49" i="95"/>
  <c r="AK49" i="95"/>
  <c r="AJ49" i="95"/>
  <c r="AN48" i="95"/>
  <c r="AM48" i="95"/>
  <c r="AL48" i="95"/>
  <c r="AK48" i="95"/>
  <c r="AJ48" i="95"/>
  <c r="AN47" i="95"/>
  <c r="AM47" i="95"/>
  <c r="AL47" i="95"/>
  <c r="AK47" i="95"/>
  <c r="AJ47" i="95"/>
  <c r="AN46" i="95"/>
  <c r="AM46" i="95"/>
  <c r="AL46" i="95"/>
  <c r="AK46" i="95"/>
  <c r="AJ46" i="95"/>
  <c r="AN44" i="95"/>
  <c r="AM44" i="95"/>
  <c r="AL44" i="95"/>
  <c r="AK44" i="95"/>
  <c r="AJ44" i="95"/>
  <c r="AN43" i="95"/>
  <c r="AM43" i="95"/>
  <c r="AL43" i="95"/>
  <c r="AK43" i="95"/>
  <c r="AJ43" i="95"/>
  <c r="AN42" i="95"/>
  <c r="AM42" i="95"/>
  <c r="AL42" i="95"/>
  <c r="AK42" i="95"/>
  <c r="AJ42" i="95"/>
  <c r="AN41" i="95"/>
  <c r="AM41" i="95"/>
  <c r="AL41" i="95"/>
  <c r="AK41" i="95"/>
  <c r="AJ41" i="95"/>
  <c r="AN40" i="95"/>
  <c r="AM40" i="95"/>
  <c r="AL40" i="95"/>
  <c r="AK40" i="95"/>
  <c r="AJ40" i="95"/>
  <c r="AN39" i="95"/>
  <c r="AM39" i="95"/>
  <c r="AL39" i="95"/>
  <c r="AK39" i="95"/>
  <c r="AJ39" i="95"/>
  <c r="AN38" i="95"/>
  <c r="AM38" i="95"/>
  <c r="AL38" i="95"/>
  <c r="AK38" i="95"/>
  <c r="AJ38" i="95"/>
  <c r="AN37" i="95"/>
  <c r="AM37" i="95"/>
  <c r="AL37" i="95"/>
  <c r="AK37" i="95"/>
  <c r="AJ37" i="95"/>
  <c r="AN36" i="95"/>
  <c r="AM36" i="95"/>
  <c r="AL36" i="95"/>
  <c r="AK36" i="95"/>
  <c r="AJ36" i="95"/>
  <c r="AN35" i="95"/>
  <c r="AM35" i="95"/>
  <c r="AL35" i="95"/>
  <c r="AK35" i="95"/>
  <c r="AJ35" i="95"/>
  <c r="AN34" i="95"/>
  <c r="AM34" i="95"/>
  <c r="AL34" i="95"/>
  <c r="AK34" i="95"/>
  <c r="AJ34" i="95"/>
  <c r="AN33" i="95"/>
  <c r="AM33" i="95"/>
  <c r="AL33" i="95"/>
  <c r="AK33" i="95"/>
  <c r="AJ33" i="95"/>
  <c r="AN32" i="95"/>
  <c r="AM32" i="95"/>
  <c r="AL32" i="95"/>
  <c r="AK32" i="95"/>
  <c r="AJ32" i="95"/>
  <c r="AN31" i="95"/>
  <c r="AM31" i="95"/>
  <c r="AL31" i="95"/>
  <c r="AK31" i="95"/>
  <c r="AJ31" i="95"/>
  <c r="AN30" i="95"/>
  <c r="AM30" i="95"/>
  <c r="AL30" i="95"/>
  <c r="AK30" i="95"/>
  <c r="AJ30" i="95"/>
  <c r="AN29" i="95"/>
  <c r="AM29" i="95"/>
  <c r="AL29" i="95"/>
  <c r="AK29" i="95"/>
  <c r="AJ29" i="95"/>
  <c r="AN28" i="95"/>
  <c r="AM28" i="95"/>
  <c r="AL28" i="95"/>
  <c r="AK28" i="95"/>
  <c r="AJ28" i="95"/>
  <c r="AN27" i="95"/>
  <c r="AM27" i="95"/>
  <c r="AL27" i="95"/>
  <c r="AK27" i="95"/>
  <c r="AJ27" i="95"/>
  <c r="AN26" i="95"/>
  <c r="AM26" i="95"/>
  <c r="AL26" i="95"/>
  <c r="AK26" i="95"/>
  <c r="AJ26" i="95"/>
  <c r="AN25" i="95"/>
  <c r="AM25" i="95"/>
  <c r="AL25" i="95"/>
  <c r="AK25" i="95"/>
  <c r="AJ25" i="95"/>
  <c r="AN24" i="95"/>
  <c r="AM24" i="95"/>
  <c r="AL24" i="95"/>
  <c r="AK24" i="95"/>
  <c r="AJ24" i="95"/>
  <c r="AN23" i="95"/>
  <c r="AM23" i="95"/>
  <c r="AL23" i="95"/>
  <c r="AK23" i="95"/>
  <c r="AJ23" i="95"/>
  <c r="AN22" i="95"/>
  <c r="AM22" i="95"/>
  <c r="AL22" i="95"/>
  <c r="AK22" i="95"/>
  <c r="AJ22" i="95"/>
  <c r="AN21" i="95"/>
  <c r="AM21" i="95"/>
  <c r="AL21" i="95"/>
  <c r="AK21" i="95"/>
  <c r="AJ21" i="95"/>
  <c r="AN20" i="95"/>
  <c r="AM20" i="95"/>
  <c r="AL20" i="95"/>
  <c r="AK20" i="95"/>
  <c r="AJ20" i="95"/>
  <c r="AN19" i="95"/>
  <c r="AM19" i="95"/>
  <c r="AL19" i="95"/>
  <c r="AK19" i="95"/>
  <c r="AJ19" i="95"/>
  <c r="AN18" i="95"/>
  <c r="AM18" i="95"/>
  <c r="AL18" i="95"/>
  <c r="AK18" i="95"/>
  <c r="AJ18" i="95"/>
  <c r="AN17" i="95"/>
  <c r="AM17" i="95"/>
  <c r="AL17" i="95"/>
  <c r="AK17" i="95"/>
  <c r="AJ17" i="95"/>
  <c r="AN16" i="95"/>
  <c r="AM16" i="95"/>
  <c r="AL16" i="95"/>
  <c r="AK16" i="95"/>
  <c r="AJ16" i="95"/>
  <c r="AN15" i="95"/>
  <c r="AM15" i="95"/>
  <c r="AL15" i="95"/>
  <c r="AK15" i="95"/>
  <c r="AJ15" i="95"/>
  <c r="AN14" i="95"/>
  <c r="AM14" i="95"/>
  <c r="AL14" i="95"/>
  <c r="AK14" i="95"/>
  <c r="AJ14" i="95"/>
  <c r="AN13" i="95"/>
  <c r="AM13" i="95"/>
  <c r="AL13" i="95"/>
  <c r="AK13" i="95"/>
  <c r="AJ13" i="95"/>
  <c r="AN12" i="95"/>
  <c r="AM12" i="95"/>
  <c r="AL12" i="95"/>
  <c r="AK12" i="95"/>
  <c r="AJ12" i="95"/>
  <c r="AN11" i="95"/>
  <c r="AM11" i="95"/>
  <c r="AL11" i="95"/>
  <c r="AK11" i="95"/>
  <c r="AJ11" i="95"/>
  <c r="AN10" i="95"/>
  <c r="AM10" i="95"/>
  <c r="AL10" i="95"/>
  <c r="AK10" i="95"/>
  <c r="AJ10" i="95"/>
  <c r="AN9" i="95"/>
  <c r="AM9" i="95"/>
  <c r="AL9" i="95"/>
  <c r="AK9" i="95"/>
  <c r="AJ9" i="95"/>
  <c r="AN8" i="95"/>
  <c r="AM8" i="95"/>
  <c r="AL8" i="95"/>
  <c r="AK8" i="95"/>
  <c r="AJ8" i="95"/>
  <c r="AL7" i="95"/>
  <c r="AK7" i="95"/>
  <c r="AN7" i="95"/>
  <c r="AM7" i="95"/>
  <c r="AJ7" i="95"/>
  <c r="I2" i="93"/>
  <c r="G2" i="93"/>
  <c r="F2" i="93"/>
  <c r="E2" i="93"/>
  <c r="D2" i="93"/>
  <c r="H2" i="93" l="1"/>
  <c r="BE3" i="95"/>
  <c r="AO3" i="95"/>
  <c r="E25" i="72"/>
  <c r="B25" i="72"/>
  <c r="E24" i="72"/>
  <c r="B24" i="72"/>
  <c r="F23" i="72"/>
  <c r="B23" i="72"/>
  <c r="F22" i="72"/>
  <c r="E22" i="72"/>
  <c r="D22" i="72"/>
  <c r="C22" i="72"/>
  <c r="B22" i="72"/>
  <c r="B20" i="72"/>
  <c r="F17" i="72"/>
  <c r="E17" i="72"/>
  <c r="D17" i="72"/>
  <c r="C17" i="72"/>
  <c r="B17" i="72"/>
  <c r="F16" i="72"/>
  <c r="E16" i="72"/>
  <c r="D16" i="72"/>
  <c r="C16" i="72"/>
  <c r="B16" i="72"/>
  <c r="F13" i="72"/>
  <c r="E13" i="72"/>
  <c r="D13" i="72"/>
  <c r="C13" i="72"/>
  <c r="B13" i="72"/>
  <c r="F11" i="72"/>
  <c r="E11" i="72"/>
  <c r="D11" i="72"/>
  <c r="C11" i="72"/>
  <c r="B11" i="72"/>
  <c r="F10" i="72"/>
  <c r="E10" i="72"/>
  <c r="D10" i="72"/>
  <c r="C10" i="72"/>
  <c r="B10" i="72"/>
  <c r="AS327" i="95"/>
  <c r="AR327" i="95"/>
  <c r="AS326" i="95"/>
  <c r="AR326" i="95"/>
  <c r="AS325" i="95"/>
  <c r="AR325" i="95"/>
  <c r="AS324" i="95"/>
  <c r="AR324" i="95"/>
  <c r="AS323" i="95"/>
  <c r="AR323" i="95"/>
  <c r="AS322" i="95"/>
  <c r="AR322" i="95"/>
  <c r="AS321" i="95"/>
  <c r="AR321" i="95"/>
  <c r="AS320" i="95"/>
  <c r="AR320" i="95"/>
  <c r="AS319" i="95"/>
  <c r="AR319" i="95"/>
  <c r="AS318" i="95"/>
  <c r="AR318" i="95"/>
  <c r="AS317" i="95"/>
  <c r="AR317" i="95"/>
  <c r="AS316" i="95"/>
  <c r="AR316" i="95"/>
  <c r="AS315" i="95"/>
  <c r="AR315" i="95"/>
  <c r="AO315" i="95"/>
  <c r="AS314" i="95"/>
  <c r="AR314" i="95"/>
  <c r="AS313" i="95"/>
  <c r="AR313" i="95"/>
  <c r="AS312" i="95"/>
  <c r="AR312" i="95"/>
  <c r="AS311" i="95"/>
  <c r="AR311" i="95"/>
  <c r="AS310" i="95"/>
  <c r="AR310" i="95"/>
  <c r="AS309" i="95"/>
  <c r="AR309" i="95"/>
  <c r="AS308" i="95"/>
  <c r="AR308" i="95"/>
  <c r="AS307" i="95"/>
  <c r="AR307" i="95"/>
  <c r="AS306" i="95"/>
  <c r="AR306" i="95"/>
  <c r="AS305" i="95"/>
  <c r="AR305" i="95"/>
  <c r="AS304" i="95"/>
  <c r="AR304" i="95"/>
  <c r="AS303" i="95"/>
  <c r="AR303" i="95"/>
  <c r="AS302" i="95"/>
  <c r="AR302" i="95"/>
  <c r="AS301" i="95"/>
  <c r="AR301" i="95"/>
  <c r="AS300" i="95"/>
  <c r="AR300" i="95"/>
  <c r="AS299" i="95"/>
  <c r="AR299" i="95"/>
  <c r="AS298" i="95"/>
  <c r="AR298" i="95"/>
  <c r="AS297" i="95"/>
  <c r="AR297" i="95"/>
  <c r="AS296" i="95"/>
  <c r="AR296" i="95"/>
  <c r="AS295" i="95"/>
  <c r="AR295" i="95"/>
  <c r="AS294" i="95"/>
  <c r="AR294" i="95"/>
  <c r="AS293" i="95"/>
  <c r="AR293" i="95"/>
  <c r="AS292" i="95"/>
  <c r="AR292" i="95"/>
  <c r="AS291" i="95"/>
  <c r="AR291" i="95"/>
  <c r="AS290" i="95"/>
  <c r="AR290" i="95"/>
  <c r="AS289" i="95"/>
  <c r="AR289" i="95"/>
  <c r="AS288" i="95"/>
  <c r="AR288" i="95"/>
  <c r="AO288" i="95"/>
  <c r="AS287" i="95"/>
  <c r="AR287" i="95"/>
  <c r="AS286" i="95"/>
  <c r="AR286" i="95"/>
  <c r="AS285" i="95"/>
  <c r="AR285" i="95"/>
  <c r="AS284" i="95"/>
  <c r="AR284" i="95"/>
  <c r="AS283" i="95"/>
  <c r="AR283" i="95"/>
  <c r="AS282" i="95"/>
  <c r="AR282" i="95"/>
  <c r="AS281" i="95"/>
  <c r="AR281" i="95"/>
  <c r="AS280" i="95"/>
  <c r="AR280" i="95"/>
  <c r="AS279" i="95"/>
  <c r="AR279" i="95"/>
  <c r="AS278" i="95"/>
  <c r="AR278" i="95"/>
  <c r="AS277" i="95"/>
  <c r="AR277" i="95"/>
  <c r="AS276" i="95"/>
  <c r="AR276" i="95"/>
  <c r="AO276" i="95"/>
  <c r="AS275" i="95"/>
  <c r="AR275" i="95"/>
  <c r="AS274" i="95"/>
  <c r="AR274" i="95"/>
  <c r="AS273" i="95"/>
  <c r="AR273" i="95"/>
  <c r="AS272" i="95"/>
  <c r="AR272" i="95"/>
  <c r="AS271" i="95"/>
  <c r="AR271" i="95"/>
  <c r="AS270" i="95"/>
  <c r="AR270" i="95"/>
  <c r="AS269" i="95"/>
  <c r="AR269" i="95"/>
  <c r="AS268" i="95"/>
  <c r="AR268" i="95"/>
  <c r="AS267" i="95"/>
  <c r="AR267" i="95"/>
  <c r="AS266" i="95"/>
  <c r="AR266" i="95"/>
  <c r="AS265" i="95"/>
  <c r="AR265" i="95"/>
  <c r="AS264" i="95"/>
  <c r="AR264" i="95"/>
  <c r="AS263" i="95"/>
  <c r="AR263" i="95"/>
  <c r="AS262" i="95"/>
  <c r="AR262" i="95"/>
  <c r="AS261" i="95"/>
  <c r="AR261" i="95"/>
  <c r="AS260" i="95"/>
  <c r="AR260" i="95"/>
  <c r="AS259" i="95"/>
  <c r="AR259" i="95"/>
  <c r="AO259" i="95"/>
  <c r="AS258" i="95"/>
  <c r="AR258" i="95"/>
  <c r="AS257" i="95"/>
  <c r="AR257" i="95"/>
  <c r="AS256" i="95"/>
  <c r="AR256" i="95"/>
  <c r="AS255" i="95"/>
  <c r="AR255" i="95"/>
  <c r="AS254" i="95"/>
  <c r="AR254" i="95"/>
  <c r="AS253" i="95"/>
  <c r="AR253" i="95"/>
  <c r="AS252" i="95"/>
  <c r="AR252" i="95"/>
  <c r="AS251" i="95"/>
  <c r="AR251" i="95"/>
  <c r="AO251" i="95"/>
  <c r="AS250" i="95"/>
  <c r="AR250" i="95"/>
  <c r="AO250" i="95"/>
  <c r="AS249" i="95"/>
  <c r="AR249" i="95"/>
  <c r="AS248" i="95"/>
  <c r="AR248" i="95"/>
  <c r="AS247" i="95"/>
  <c r="AR247" i="95"/>
  <c r="AS246" i="95"/>
  <c r="AR246" i="95"/>
  <c r="AS245" i="95"/>
  <c r="AR245" i="95"/>
  <c r="AS244" i="95"/>
  <c r="AR244" i="95"/>
  <c r="AS243" i="95"/>
  <c r="AR243" i="95"/>
  <c r="AS242" i="95"/>
  <c r="AR242" i="95"/>
  <c r="F19" i="72"/>
  <c r="E19" i="72"/>
  <c r="D19" i="72"/>
  <c r="C19" i="72"/>
  <c r="AU241" i="95"/>
  <c r="AR241" i="95"/>
  <c r="AS240" i="95"/>
  <c r="AR240" i="95"/>
  <c r="AO240" i="95"/>
  <c r="AS239" i="95"/>
  <c r="AR239" i="95"/>
  <c r="AS238" i="95"/>
  <c r="AR238" i="95"/>
  <c r="AS237" i="95"/>
  <c r="AR237" i="95"/>
  <c r="AS236" i="95"/>
  <c r="AR236" i="95"/>
  <c r="AS235" i="95"/>
  <c r="AR235" i="95"/>
  <c r="AS234" i="95"/>
  <c r="AR234" i="95"/>
  <c r="AS233" i="95"/>
  <c r="AR233" i="95"/>
  <c r="AS232" i="95"/>
  <c r="AR232" i="95"/>
  <c r="AO232" i="95"/>
  <c r="AS231" i="95"/>
  <c r="AR231" i="95"/>
  <c r="AS230" i="95"/>
  <c r="AR230" i="95"/>
  <c r="AS229" i="95"/>
  <c r="AR229" i="95"/>
  <c r="AS228" i="95"/>
  <c r="AR228" i="95"/>
  <c r="AS227" i="95"/>
  <c r="AR227" i="95"/>
  <c r="AS226" i="95"/>
  <c r="AR226" i="95"/>
  <c r="AS225" i="95"/>
  <c r="AR225" i="95"/>
  <c r="AS224" i="95"/>
  <c r="AR224" i="95"/>
  <c r="AO224" i="95"/>
  <c r="AS223" i="95"/>
  <c r="AR223" i="95"/>
  <c r="AS222" i="95"/>
  <c r="AR222" i="95"/>
  <c r="AS221" i="95"/>
  <c r="AR221" i="95"/>
  <c r="AS220" i="95"/>
  <c r="AR220" i="95"/>
  <c r="AS219" i="95"/>
  <c r="AR219" i="95"/>
  <c r="AS218" i="95"/>
  <c r="AR218" i="95"/>
  <c r="AO218" i="95"/>
  <c r="AS217" i="95"/>
  <c r="AR217" i="95"/>
  <c r="AS216" i="95"/>
  <c r="AR216" i="95"/>
  <c r="AS215" i="95"/>
  <c r="AR215" i="95"/>
  <c r="AS214" i="95"/>
  <c r="AR214" i="95"/>
  <c r="AS213" i="95"/>
  <c r="AR213" i="95"/>
  <c r="AS212" i="95"/>
  <c r="AR212" i="95"/>
  <c r="AS211" i="95"/>
  <c r="AR211" i="95"/>
  <c r="AS210" i="95"/>
  <c r="AR210" i="95"/>
  <c r="AS209" i="95"/>
  <c r="AR209" i="95"/>
  <c r="AS208" i="95"/>
  <c r="AR208" i="95"/>
  <c r="AS207" i="95"/>
  <c r="AR207" i="95"/>
  <c r="AS206" i="95"/>
  <c r="AR206" i="95"/>
  <c r="AS205" i="95"/>
  <c r="AR205" i="95"/>
  <c r="AS204" i="95"/>
  <c r="AR204" i="95"/>
  <c r="AS203" i="95"/>
  <c r="AR203" i="95"/>
  <c r="AS202" i="95"/>
  <c r="AR202" i="95"/>
  <c r="AS201" i="95"/>
  <c r="AR201" i="95"/>
  <c r="AS200" i="95"/>
  <c r="AR200" i="95"/>
  <c r="AS199" i="95"/>
  <c r="AR199" i="95"/>
  <c r="AS198" i="95"/>
  <c r="AR198" i="95"/>
  <c r="AS197" i="95"/>
  <c r="AR197" i="95"/>
  <c r="AS196" i="95"/>
  <c r="AR196" i="95"/>
  <c r="AS195" i="95"/>
  <c r="AR195" i="95"/>
  <c r="AS194" i="95"/>
  <c r="AR194" i="95"/>
  <c r="AS193" i="95"/>
  <c r="AR193" i="95"/>
  <c r="AS192" i="95"/>
  <c r="AR192" i="95"/>
  <c r="AS191" i="95"/>
  <c r="AR191" i="95"/>
  <c r="AS190" i="95"/>
  <c r="AR190" i="95"/>
  <c r="AS189" i="95"/>
  <c r="AR189" i="95"/>
  <c r="AS188" i="95"/>
  <c r="AR188" i="95"/>
  <c r="AS187" i="95"/>
  <c r="AR187" i="95"/>
  <c r="AS186" i="95"/>
  <c r="AR186" i="95"/>
  <c r="AO186" i="95"/>
  <c r="AS185" i="95"/>
  <c r="AR185" i="95"/>
  <c r="AO185" i="95"/>
  <c r="AS184" i="95"/>
  <c r="AR184" i="95"/>
  <c r="AS183" i="95"/>
  <c r="AR183" i="95"/>
  <c r="AS182" i="95"/>
  <c r="AR182" i="95"/>
  <c r="AS181" i="95"/>
  <c r="AR181" i="95"/>
  <c r="AS180" i="95"/>
  <c r="AR180" i="95"/>
  <c r="AS179" i="95"/>
  <c r="AR179" i="95"/>
  <c r="AS178" i="95"/>
  <c r="AR178" i="95"/>
  <c r="AS177" i="95"/>
  <c r="AR177" i="95"/>
  <c r="AS176" i="95"/>
  <c r="AR176" i="95"/>
  <c r="AS175" i="95"/>
  <c r="AR175" i="95"/>
  <c r="AS174" i="95"/>
  <c r="AR174" i="95"/>
  <c r="AS173" i="95"/>
  <c r="AR173" i="95"/>
  <c r="AS172" i="95"/>
  <c r="AR172" i="95"/>
  <c r="AS171" i="95"/>
  <c r="AR171" i="95"/>
  <c r="AS170" i="95"/>
  <c r="AR170" i="95"/>
  <c r="AS169" i="95"/>
  <c r="AR169" i="95"/>
  <c r="AS168" i="95"/>
  <c r="AR168" i="95"/>
  <c r="AS167" i="95"/>
  <c r="AR167" i="95"/>
  <c r="AS166" i="95"/>
  <c r="AR166" i="95"/>
  <c r="AS165" i="95"/>
  <c r="AR165" i="95"/>
  <c r="AS164" i="95"/>
  <c r="AR164" i="95"/>
  <c r="AS163" i="95"/>
  <c r="AR163" i="95"/>
  <c r="AS162" i="95"/>
  <c r="AR162" i="95"/>
  <c r="AS161" i="95"/>
  <c r="AR161" i="95"/>
  <c r="AS160" i="95"/>
  <c r="AR160" i="95"/>
  <c r="AS159" i="95"/>
  <c r="AR159" i="95"/>
  <c r="AS158" i="95"/>
  <c r="AR158" i="95"/>
  <c r="AS157" i="95"/>
  <c r="AR157" i="95"/>
  <c r="AS156" i="95"/>
  <c r="AR156" i="95"/>
  <c r="AS155" i="95"/>
  <c r="AR155" i="95"/>
  <c r="AS154" i="95"/>
  <c r="AR154" i="95"/>
  <c r="AS153" i="95"/>
  <c r="AR153" i="95"/>
  <c r="AS152" i="95"/>
  <c r="AR152" i="95"/>
  <c r="AS151" i="95"/>
  <c r="AR151" i="95"/>
  <c r="AS150" i="95"/>
  <c r="AR150" i="95"/>
  <c r="AS149" i="95"/>
  <c r="AR149" i="95"/>
  <c r="AS148" i="95"/>
  <c r="AR148" i="95"/>
  <c r="AS147" i="95"/>
  <c r="AR147" i="95"/>
  <c r="AS146" i="95"/>
  <c r="AR146" i="95"/>
  <c r="AS145" i="95"/>
  <c r="AR145" i="95"/>
  <c r="AS144" i="95"/>
  <c r="AR144" i="95"/>
  <c r="AS143" i="95"/>
  <c r="AR143" i="95"/>
  <c r="AS142" i="95"/>
  <c r="AR142" i="95"/>
  <c r="AS141" i="95"/>
  <c r="AR141" i="95"/>
  <c r="AS140" i="95"/>
  <c r="AR140" i="95"/>
  <c r="AS139" i="95"/>
  <c r="AR139" i="95"/>
  <c r="AS138" i="95"/>
  <c r="AR138" i="95"/>
  <c r="AS137" i="95"/>
  <c r="AR137" i="95"/>
  <c r="AS136" i="95"/>
  <c r="AR136" i="95"/>
  <c r="AS135" i="95"/>
  <c r="AR135" i="95"/>
  <c r="AS134" i="95"/>
  <c r="AR134" i="95"/>
  <c r="AS133" i="95"/>
  <c r="AR133" i="95"/>
  <c r="AS132" i="95"/>
  <c r="AR132" i="95"/>
  <c r="AS131" i="95"/>
  <c r="AR131" i="95"/>
  <c r="AO131" i="95"/>
  <c r="AS130" i="95"/>
  <c r="AR130" i="95"/>
  <c r="AS129" i="95"/>
  <c r="AR129" i="95"/>
  <c r="AS128" i="95"/>
  <c r="AR128" i="95"/>
  <c r="AS127" i="95"/>
  <c r="AR127" i="95"/>
  <c r="AS126" i="95"/>
  <c r="AR126" i="95"/>
  <c r="AS125" i="95"/>
  <c r="AR125" i="95"/>
  <c r="AS124" i="95"/>
  <c r="AR124" i="95"/>
  <c r="AS123" i="95"/>
  <c r="AR123" i="95"/>
  <c r="AO123" i="95"/>
  <c r="AS122" i="95"/>
  <c r="AR122" i="95"/>
  <c r="AS121" i="95"/>
  <c r="AR121" i="95"/>
  <c r="AV121" i="95" s="1"/>
  <c r="AS120" i="95"/>
  <c r="AR120" i="95"/>
  <c r="AS119" i="95"/>
  <c r="AR119" i="95"/>
  <c r="AO119" i="95"/>
  <c r="AS118" i="95"/>
  <c r="AR118" i="95"/>
  <c r="AO118" i="95"/>
  <c r="AS117" i="95"/>
  <c r="AR117" i="95"/>
  <c r="AS116" i="95"/>
  <c r="AR116" i="95"/>
  <c r="AS115" i="95"/>
  <c r="AR115" i="95"/>
  <c r="AO115" i="95"/>
  <c r="AS114" i="95"/>
  <c r="AR114" i="95"/>
  <c r="AS113" i="95"/>
  <c r="AR113" i="95"/>
  <c r="AS112" i="95"/>
  <c r="AR112" i="95"/>
  <c r="AS111" i="95"/>
  <c r="AR111" i="95"/>
  <c r="AS110" i="95"/>
  <c r="AR110" i="95"/>
  <c r="AS109" i="95"/>
  <c r="AR109" i="95"/>
  <c r="AS108" i="95"/>
  <c r="AR108" i="95"/>
  <c r="AS107" i="95"/>
  <c r="AR107" i="95"/>
  <c r="AO107" i="95"/>
  <c r="AS106" i="95"/>
  <c r="AR106" i="95"/>
  <c r="AS105" i="95"/>
  <c r="AR105" i="95"/>
  <c r="AS104" i="95"/>
  <c r="AR104" i="95"/>
  <c r="AS103" i="95"/>
  <c r="AR103" i="95"/>
  <c r="AV103" i="95" s="1"/>
  <c r="AO103" i="95"/>
  <c r="AS102" i="95"/>
  <c r="AR102" i="95"/>
  <c r="AO102" i="95"/>
  <c r="AS101" i="95"/>
  <c r="AR101" i="95"/>
  <c r="AS100" i="95"/>
  <c r="AR100" i="95"/>
  <c r="AS99" i="95"/>
  <c r="AR99" i="95"/>
  <c r="AS98" i="95"/>
  <c r="AR98" i="95"/>
  <c r="AS97" i="95"/>
  <c r="AR97" i="95"/>
  <c r="AS96" i="95"/>
  <c r="AR96" i="95"/>
  <c r="AS95" i="95"/>
  <c r="AR95" i="95"/>
  <c r="AS94" i="95"/>
  <c r="AR94" i="95"/>
  <c r="AS93" i="95"/>
  <c r="AR93" i="95"/>
  <c r="AS92" i="95"/>
  <c r="AR92" i="95"/>
  <c r="AS91" i="95"/>
  <c r="AR91" i="95"/>
  <c r="AS90" i="95"/>
  <c r="AR90" i="95"/>
  <c r="AS89" i="95"/>
  <c r="AR89" i="95"/>
  <c r="AS88" i="95"/>
  <c r="AR88" i="95"/>
  <c r="AS87" i="95"/>
  <c r="AR87" i="95"/>
  <c r="AO87" i="95"/>
  <c r="AS86" i="95"/>
  <c r="AR86" i="95"/>
  <c r="AS85" i="95"/>
  <c r="AR85" i="95"/>
  <c r="AS84" i="95"/>
  <c r="AR84" i="95"/>
  <c r="AS83" i="95"/>
  <c r="AR83" i="95"/>
  <c r="AS82" i="95"/>
  <c r="AR82" i="95"/>
  <c r="AS81" i="95"/>
  <c r="AR81" i="95"/>
  <c r="AS80" i="95"/>
  <c r="AR80" i="95"/>
  <c r="AS79" i="95"/>
  <c r="AR79" i="95"/>
  <c r="AS78" i="95"/>
  <c r="AR78" i="95"/>
  <c r="AS77" i="95"/>
  <c r="AR77" i="95"/>
  <c r="AS76" i="95"/>
  <c r="AR76" i="95"/>
  <c r="AS75" i="95"/>
  <c r="AR75" i="95"/>
  <c r="AS74" i="95"/>
  <c r="AR74" i="95"/>
  <c r="AS73" i="95"/>
  <c r="AR73" i="95"/>
  <c r="AS72" i="95"/>
  <c r="AR72" i="95"/>
  <c r="AS71" i="95"/>
  <c r="AR71" i="95"/>
  <c r="AS70" i="95"/>
  <c r="AR70" i="95"/>
  <c r="AS69" i="95"/>
  <c r="AR69" i="95"/>
  <c r="AS68" i="95"/>
  <c r="AR68" i="95"/>
  <c r="AO68" i="95"/>
  <c r="AS67" i="95"/>
  <c r="AR67" i="95"/>
  <c r="AS66" i="95"/>
  <c r="AR66" i="95"/>
  <c r="AO66" i="95"/>
  <c r="AS65" i="95"/>
  <c r="AR65" i="95"/>
  <c r="AS64" i="95"/>
  <c r="AR64" i="95"/>
  <c r="AS63" i="95"/>
  <c r="AR63" i="95"/>
  <c r="AS62" i="95"/>
  <c r="AR62" i="95"/>
  <c r="AS61" i="95"/>
  <c r="AR61" i="95"/>
  <c r="AS60" i="95"/>
  <c r="AR60" i="95"/>
  <c r="AO60" i="95"/>
  <c r="AS59" i="95"/>
  <c r="AR59" i="95"/>
  <c r="AS58" i="95"/>
  <c r="AR58" i="95"/>
  <c r="AV58" i="95" s="1"/>
  <c r="AS57" i="95"/>
  <c r="AR57" i="95"/>
  <c r="AS56" i="95"/>
  <c r="AR56" i="95"/>
  <c r="AO56" i="95"/>
  <c r="AS55" i="95"/>
  <c r="AR55" i="95"/>
  <c r="AS54" i="95"/>
  <c r="AR54" i="95"/>
  <c r="AS53" i="95"/>
  <c r="AR53" i="95"/>
  <c r="AS52" i="95"/>
  <c r="AR52" i="95"/>
  <c r="AS51" i="95"/>
  <c r="AR51" i="95"/>
  <c r="AS50" i="95"/>
  <c r="AR50" i="95"/>
  <c r="AS49" i="95"/>
  <c r="AR49" i="95"/>
  <c r="AS48" i="95"/>
  <c r="AR48" i="95"/>
  <c r="AS47" i="95"/>
  <c r="AR47" i="95"/>
  <c r="AS46" i="95"/>
  <c r="AR46" i="95"/>
  <c r="AS44" i="95"/>
  <c r="AR44" i="95"/>
  <c r="AS43" i="95"/>
  <c r="AR43" i="95"/>
  <c r="AO43" i="95"/>
  <c r="AS42" i="95"/>
  <c r="AR42" i="95"/>
  <c r="AS41" i="95"/>
  <c r="AR41" i="95"/>
  <c r="AS40" i="95"/>
  <c r="AR40" i="95"/>
  <c r="AS39" i="95"/>
  <c r="AR39" i="95"/>
  <c r="AS38" i="95"/>
  <c r="AR38" i="95"/>
  <c r="AS37" i="95"/>
  <c r="AR37" i="95"/>
  <c r="AS36" i="95"/>
  <c r="AR36" i="95"/>
  <c r="AS35" i="95"/>
  <c r="AR35" i="95"/>
  <c r="AS34" i="95"/>
  <c r="AR34" i="95"/>
  <c r="AO34" i="95"/>
  <c r="AS33" i="95"/>
  <c r="AR33" i="95"/>
  <c r="AS32" i="95"/>
  <c r="AR32" i="95"/>
  <c r="AS31" i="95"/>
  <c r="AR31" i="95"/>
  <c r="AS30" i="95"/>
  <c r="AR30" i="95"/>
  <c r="AS29" i="95"/>
  <c r="AR29" i="95"/>
  <c r="AS28" i="95"/>
  <c r="AR28" i="95"/>
  <c r="AO28" i="95"/>
  <c r="AS27" i="95"/>
  <c r="AR27" i="95"/>
  <c r="AO27" i="95"/>
  <c r="AS26" i="95"/>
  <c r="AR26" i="95"/>
  <c r="AO26" i="95"/>
  <c r="AS25" i="95"/>
  <c r="AR25" i="95"/>
  <c r="AO25" i="95"/>
  <c r="AS24" i="95"/>
  <c r="AR24" i="95"/>
  <c r="AO24" i="95"/>
  <c r="AS23" i="95"/>
  <c r="AR23" i="95"/>
  <c r="AS22" i="95"/>
  <c r="AR22" i="95"/>
  <c r="AS21" i="95"/>
  <c r="AR21" i="95"/>
  <c r="AO21" i="95"/>
  <c r="AS20" i="95"/>
  <c r="AR20" i="95"/>
  <c r="AO20" i="95"/>
  <c r="AS19" i="95"/>
  <c r="AR19" i="95"/>
  <c r="AS18" i="95"/>
  <c r="AR18" i="95"/>
  <c r="AS17" i="95"/>
  <c r="AR17" i="95"/>
  <c r="AS16" i="95"/>
  <c r="AR16" i="95"/>
  <c r="AS15" i="95"/>
  <c r="AR15" i="95"/>
  <c r="AS14" i="95"/>
  <c r="AR14" i="95"/>
  <c r="AS13" i="95"/>
  <c r="AR13" i="95"/>
  <c r="AS12" i="95"/>
  <c r="AR12" i="95"/>
  <c r="AS11" i="95"/>
  <c r="AR11" i="95"/>
  <c r="AS10" i="95"/>
  <c r="AR10" i="95"/>
  <c r="AO10" i="95"/>
  <c r="AS9" i="95"/>
  <c r="AR9" i="95"/>
  <c r="AS8" i="95"/>
  <c r="AR8" i="95"/>
  <c r="AS7" i="95"/>
  <c r="AR7" i="95"/>
  <c r="BM3" i="95"/>
  <c r="BL3" i="95"/>
  <c r="BK3" i="95"/>
  <c r="BI3" i="95"/>
  <c r="BH3" i="95"/>
  <c r="BG3" i="95"/>
  <c r="R3" i="95"/>
  <c r="R2" i="95" s="1"/>
  <c r="P3" i="95"/>
  <c r="N3" i="95"/>
  <c r="N2" i="95" s="1"/>
  <c r="L3" i="95"/>
  <c r="L2" i="95" s="1"/>
  <c r="J3" i="95"/>
  <c r="J2" i="95" s="1"/>
  <c r="H3" i="95"/>
  <c r="H2" i="95" s="1"/>
  <c r="F3" i="95"/>
  <c r="F2" i="95" s="1"/>
  <c r="D3" i="95"/>
  <c r="D2" i="95" s="1"/>
  <c r="AV11" i="95" l="1"/>
  <c r="AV87" i="95"/>
  <c r="AV110" i="95"/>
  <c r="AV128" i="95"/>
  <c r="AV131" i="95"/>
  <c r="AV222" i="95"/>
  <c r="AV62" i="95"/>
  <c r="AV181" i="95"/>
  <c r="AV24" i="95"/>
  <c r="AW24" i="95" s="1"/>
  <c r="AV54" i="95"/>
  <c r="AV315" i="95"/>
  <c r="AV319" i="95"/>
  <c r="AV304" i="95"/>
  <c r="AV22" i="95"/>
  <c r="AV35" i="95"/>
  <c r="AV39" i="95"/>
  <c r="AV232" i="95"/>
  <c r="AW232" i="95" s="1"/>
  <c r="AV249" i="95"/>
  <c r="AV264" i="95"/>
  <c r="AV7" i="95"/>
  <c r="C23" i="72" s="1"/>
  <c r="C20" i="72"/>
  <c r="AV81" i="95"/>
  <c r="AV107" i="95"/>
  <c r="AW107" i="95" s="1"/>
  <c r="AV111" i="95"/>
  <c r="AV129" i="95"/>
  <c r="AV101" i="95"/>
  <c r="AV104" i="95"/>
  <c r="AV137" i="95"/>
  <c r="AV226" i="95"/>
  <c r="AV90" i="95"/>
  <c r="AV182" i="95"/>
  <c r="AV290" i="95"/>
  <c r="AV298" i="95"/>
  <c r="AV302" i="95"/>
  <c r="AV37" i="95"/>
  <c r="AV120" i="95"/>
  <c r="AV197" i="95"/>
  <c r="AV221" i="95"/>
  <c r="AV136" i="95"/>
  <c r="AV186" i="95"/>
  <c r="AW186" i="95" s="1"/>
  <c r="AV198" i="95"/>
  <c r="AV202" i="95"/>
  <c r="AV145" i="95"/>
  <c r="AV153" i="95"/>
  <c r="AV225" i="95"/>
  <c r="AV257" i="95"/>
  <c r="AV16" i="95"/>
  <c r="AV63" i="95"/>
  <c r="AV70" i="95"/>
  <c r="AV74" i="95"/>
  <c r="AV78" i="95"/>
  <c r="AV86" i="95"/>
  <c r="AV130" i="95"/>
  <c r="AV230" i="95"/>
  <c r="AV241" i="95"/>
  <c r="AV277" i="95"/>
  <c r="AV285" i="95"/>
  <c r="AV154" i="95"/>
  <c r="AV166" i="95"/>
  <c r="AV174" i="95"/>
  <c r="AV188" i="95"/>
  <c r="AV192" i="95"/>
  <c r="AV196" i="95"/>
  <c r="AV200" i="95"/>
  <c r="AV204" i="95"/>
  <c r="AV208" i="95"/>
  <c r="AV216" i="95"/>
  <c r="AV15" i="95"/>
  <c r="AV28" i="95"/>
  <c r="AW28" i="95" s="1"/>
  <c r="AV43" i="95"/>
  <c r="AV48" i="95"/>
  <c r="AV52" i="95"/>
  <c r="AV93" i="95"/>
  <c r="AV97" i="95"/>
  <c r="AV115" i="95"/>
  <c r="AW115" i="95" s="1"/>
  <c r="AV118" i="95"/>
  <c r="AW118" i="95" s="1"/>
  <c r="AV122" i="95"/>
  <c r="AV144" i="95"/>
  <c r="AV183" i="95"/>
  <c r="AV190" i="95"/>
  <c r="AV206" i="95"/>
  <c r="AV210" i="95"/>
  <c r="AV256" i="95"/>
  <c r="AV20" i="95"/>
  <c r="AW20" i="95" s="1"/>
  <c r="AV23" i="95"/>
  <c r="AV26" i="95"/>
  <c r="AW26" i="95" s="1"/>
  <c r="AV33" i="95"/>
  <c r="AV56" i="95"/>
  <c r="AW56" i="95" s="1"/>
  <c r="AV94" i="95"/>
  <c r="AV98" i="95"/>
  <c r="AV105" i="95"/>
  <c r="AV112" i="95"/>
  <c r="AV119" i="95"/>
  <c r="AW119" i="95" s="1"/>
  <c r="AV141" i="95"/>
  <c r="AV149" i="95"/>
  <c r="AV157" i="95"/>
  <c r="AV165" i="95"/>
  <c r="AV169" i="95"/>
  <c r="AV173" i="95"/>
  <c r="AV177" i="95"/>
  <c r="AV184" i="95"/>
  <c r="AV218" i="95"/>
  <c r="AW218" i="95" s="1"/>
  <c r="AV229" i="95"/>
  <c r="AV240" i="95"/>
  <c r="AW240" i="95" s="1"/>
  <c r="AV280" i="95"/>
  <c r="AV284" i="95"/>
  <c r="AV41" i="95"/>
  <c r="AV60" i="95"/>
  <c r="AW60" i="95" s="1"/>
  <c r="AV71" i="95"/>
  <c r="AV79" i="95"/>
  <c r="AV113" i="95"/>
  <c r="AV123" i="95"/>
  <c r="AW123" i="95" s="1"/>
  <c r="AV138" i="95"/>
  <c r="AV146" i="95"/>
  <c r="AV150" i="95"/>
  <c r="AV233" i="95"/>
  <c r="D20" i="72"/>
  <c r="AV261" i="95"/>
  <c r="AV269" i="95"/>
  <c r="AV292" i="95"/>
  <c r="AV300" i="95"/>
  <c r="AV308" i="95"/>
  <c r="AV46" i="95"/>
  <c r="AV50" i="95"/>
  <c r="AV95" i="95"/>
  <c r="AV106" i="95"/>
  <c r="AV258" i="95"/>
  <c r="AV96" i="95"/>
  <c r="AV14" i="95"/>
  <c r="AV18" i="95"/>
  <c r="AV68" i="95"/>
  <c r="AW68" i="95" s="1"/>
  <c r="AV76" i="95"/>
  <c r="AV84" i="95"/>
  <c r="AV114" i="95"/>
  <c r="AV139" i="95"/>
  <c r="AV143" i="95"/>
  <c r="AV147" i="95"/>
  <c r="AV238" i="95"/>
  <c r="AV254" i="95"/>
  <c r="AV262" i="95"/>
  <c r="AV266" i="95"/>
  <c r="AV274" i="95"/>
  <c r="AV289" i="95"/>
  <c r="AV297" i="95"/>
  <c r="AV313" i="95"/>
  <c r="AV159" i="95"/>
  <c r="AV175" i="95"/>
  <c r="AV193" i="95"/>
  <c r="AV209" i="95"/>
  <c r="AV213" i="95"/>
  <c r="AV248" i="95"/>
  <c r="AV278" i="95"/>
  <c r="AV321" i="95"/>
  <c r="AV325" i="95"/>
  <c r="AO295" i="95"/>
  <c r="AO125" i="95"/>
  <c r="AO228" i="95"/>
  <c r="AO141" i="95"/>
  <c r="AO258" i="95"/>
  <c r="AW258" i="95" s="1"/>
  <c r="AO23" i="95"/>
  <c r="AO163" i="95"/>
  <c r="AO287" i="95"/>
  <c r="AO81" i="95"/>
  <c r="AO212" i="95"/>
  <c r="AV66" i="95"/>
  <c r="AW66" i="95" s="1"/>
  <c r="AV125" i="95"/>
  <c r="AV133" i="95"/>
  <c r="AV142" i="95"/>
  <c r="AV281" i="95"/>
  <c r="AV305" i="95"/>
  <c r="AV9" i="95"/>
  <c r="AV92" i="95"/>
  <c r="AV117" i="95"/>
  <c r="AV134" i="95"/>
  <c r="AV282" i="95"/>
  <c r="AV89" i="95"/>
  <c r="AV185" i="95"/>
  <c r="AW185" i="95" s="1"/>
  <c r="AV201" i="95"/>
  <c r="AV217" i="95"/>
  <c r="AV253" i="95"/>
  <c r="AV21" i="95"/>
  <c r="AW21" i="95" s="1"/>
  <c r="AV88" i="95"/>
  <c r="AV317" i="95"/>
  <c r="AV25" i="95"/>
  <c r="AW25" i="95" s="1"/>
  <c r="AV109" i="95"/>
  <c r="AV126" i="95"/>
  <c r="AV27" i="95"/>
  <c r="AW27" i="95" s="1"/>
  <c r="AV102" i="95"/>
  <c r="AW102" i="95" s="1"/>
  <c r="AV250" i="95"/>
  <c r="AW250" i="95" s="1"/>
  <c r="AO51" i="95"/>
  <c r="AO236" i="95"/>
  <c r="AO244" i="95"/>
  <c r="AW131" i="95"/>
  <c r="AO172" i="95"/>
  <c r="AO280" i="95"/>
  <c r="AO299" i="95"/>
  <c r="AO95" i="95"/>
  <c r="AW95" i="95" s="1"/>
  <c r="AO216" i="95"/>
  <c r="AO226" i="95"/>
  <c r="AO38" i="95"/>
  <c r="AO65" i="95"/>
  <c r="AO126" i="95"/>
  <c r="AO143" i="95"/>
  <c r="AO127" i="95"/>
  <c r="AO142" i="95"/>
  <c r="AO268" i="95"/>
  <c r="AO324" i="95"/>
  <c r="AO47" i="95"/>
  <c r="AO55" i="95"/>
  <c r="AO134" i="95"/>
  <c r="AO42" i="95"/>
  <c r="AO52" i="95"/>
  <c r="AO63" i="95"/>
  <c r="AO91" i="95"/>
  <c r="AO135" i="95"/>
  <c r="AO252" i="95"/>
  <c r="AO260" i="95"/>
  <c r="AV286" i="95"/>
  <c r="AV194" i="95"/>
  <c r="AV293" i="95"/>
  <c r="AV301" i="95"/>
  <c r="AV311" i="95"/>
  <c r="AV17" i="95"/>
  <c r="AV246" i="95"/>
  <c r="AV237" i="95"/>
  <c r="AV245" i="95"/>
  <c r="AV265" i="95"/>
  <c r="AV273" i="95"/>
  <c r="AV283" i="95"/>
  <c r="AV291" i="95"/>
  <c r="AV309" i="95"/>
  <c r="AV318" i="95"/>
  <c r="AV326" i="95"/>
  <c r="AV272" i="95"/>
  <c r="AV13" i="95"/>
  <c r="AV29" i="95"/>
  <c r="AV65" i="95"/>
  <c r="AV73" i="95"/>
  <c r="AV82" i="95"/>
  <c r="AV91" i="95"/>
  <c r="AV99" i="95"/>
  <c r="AV127" i="95"/>
  <c r="AV135" i="95"/>
  <c r="AV161" i="95"/>
  <c r="AV170" i="95"/>
  <c r="AV178" i="95"/>
  <c r="AV189" i="95"/>
  <c r="AV205" i="95"/>
  <c r="AV214" i="95"/>
  <c r="AV224" i="95"/>
  <c r="AW224" i="95" s="1"/>
  <c r="AV234" i="95"/>
  <c r="AV270" i="95"/>
  <c r="AV296" i="95"/>
  <c r="AV306" i="95"/>
  <c r="AV314" i="95"/>
  <c r="AV323" i="95"/>
  <c r="AO18" i="95"/>
  <c r="AW18" i="95" s="1"/>
  <c r="AO89" i="95"/>
  <c r="AO323" i="95"/>
  <c r="AO202" i="95"/>
  <c r="AO219" i="95"/>
  <c r="AO220" i="95"/>
  <c r="AO248" i="95"/>
  <c r="AO286" i="95"/>
  <c r="AO22" i="95"/>
  <c r="AW22" i="95" s="1"/>
  <c r="AO76" i="95"/>
  <c r="AO139" i="95"/>
  <c r="AO147" i="95"/>
  <c r="AO227" i="95"/>
  <c r="AO256" i="95"/>
  <c r="AO284" i="95"/>
  <c r="AO319" i="95"/>
  <c r="AO327" i="95"/>
  <c r="AO59" i="95"/>
  <c r="AO111" i="95"/>
  <c r="AO291" i="95"/>
  <c r="AO99" i="95"/>
  <c r="AO109" i="95"/>
  <c r="AO110" i="95"/>
  <c r="AO153" i="95"/>
  <c r="AO198" i="95"/>
  <c r="AW198" i="95" s="1"/>
  <c r="AO264" i="95"/>
  <c r="AW264" i="95" s="1"/>
  <c r="AO272" i="95"/>
  <c r="AO71" i="95"/>
  <c r="AO15" i="95"/>
  <c r="AO16" i="95"/>
  <c r="AO29" i="95"/>
  <c r="AO48" i="95"/>
  <c r="AO73" i="95"/>
  <c r="AO82" i="95"/>
  <c r="AO84" i="95"/>
  <c r="AO150" i="95"/>
  <c r="AO157" i="95"/>
  <c r="AO159" i="95"/>
  <c r="AO164" i="95"/>
  <c r="AO171" i="95"/>
  <c r="AO189" i="95"/>
  <c r="AO190" i="95"/>
  <c r="AO206" i="95"/>
  <c r="AO234" i="95"/>
  <c r="AO235" i="95"/>
  <c r="AO266" i="95"/>
  <c r="AO267" i="95"/>
  <c r="AO293" i="95"/>
  <c r="AO294" i="95"/>
  <c r="AO303" i="95"/>
  <c r="AO310" i="95"/>
  <c r="AV8" i="95"/>
  <c r="AV10" i="95"/>
  <c r="AW10" i="95" s="1"/>
  <c r="AO13" i="95"/>
  <c r="AV36" i="95"/>
  <c r="AV38" i="95"/>
  <c r="AO41" i="95"/>
  <c r="AW41" i="95" s="1"/>
  <c r="AO44" i="95"/>
  <c r="AV53" i="95"/>
  <c r="AV55" i="95"/>
  <c r="AO58" i="95"/>
  <c r="AW58" i="95" s="1"/>
  <c r="AO61" i="95"/>
  <c r="AV67" i="95"/>
  <c r="AO70" i="95"/>
  <c r="AO72" i="95"/>
  <c r="AO75" i="95"/>
  <c r="AV77" i="95"/>
  <c r="AO93" i="95"/>
  <c r="AV108" i="95"/>
  <c r="AV124" i="95"/>
  <c r="AV140" i="95"/>
  <c r="AV151" i="95"/>
  <c r="AV152" i="95"/>
  <c r="AO156" i="95"/>
  <c r="AV164" i="95"/>
  <c r="AV180" i="95"/>
  <c r="AO192" i="95"/>
  <c r="AW192" i="95" s="1"/>
  <c r="AO208" i="95"/>
  <c r="AV220" i="95"/>
  <c r="AO230" i="95"/>
  <c r="AW230" i="95" s="1"/>
  <c r="AO231" i="95"/>
  <c r="AV252" i="95"/>
  <c r="AO262" i="95"/>
  <c r="AO263" i="95"/>
  <c r="AO289" i="95"/>
  <c r="AO290" i="95"/>
  <c r="AV303" i="95"/>
  <c r="AV316" i="95"/>
  <c r="AO321" i="95"/>
  <c r="AO322" i="95"/>
  <c r="AO9" i="95"/>
  <c r="AO11" i="95"/>
  <c r="AW11" i="95" s="1"/>
  <c r="AO12" i="95"/>
  <c r="AV19" i="95"/>
  <c r="AO30" i="95"/>
  <c r="AV32" i="95"/>
  <c r="AV34" i="95"/>
  <c r="AW34" i="95" s="1"/>
  <c r="AO37" i="95"/>
  <c r="AW37" i="95" s="1"/>
  <c r="AO39" i="95"/>
  <c r="AO40" i="95"/>
  <c r="AV49" i="95"/>
  <c r="AV51" i="95"/>
  <c r="AO54" i="95"/>
  <c r="AO57" i="95"/>
  <c r="AV64" i="95"/>
  <c r="AO69" i="95"/>
  <c r="AV75" i="95"/>
  <c r="AO78" i="95"/>
  <c r="AO80" i="95"/>
  <c r="AO83" i="95"/>
  <c r="AV85" i="95"/>
  <c r="AO90" i="95"/>
  <c r="AW90" i="95" s="1"/>
  <c r="AO105" i="95"/>
  <c r="AO106" i="95"/>
  <c r="AO121" i="95"/>
  <c r="AW121" i="95" s="1"/>
  <c r="AO122" i="95"/>
  <c r="AO137" i="95"/>
  <c r="AO138" i="95"/>
  <c r="AO158" i="95"/>
  <c r="AV162" i="95"/>
  <c r="AV163" i="95"/>
  <c r="AO166" i="95"/>
  <c r="AW166" i="95" s="1"/>
  <c r="AV176" i="95"/>
  <c r="AV179" i="95"/>
  <c r="AO181" i="95"/>
  <c r="AO182" i="95"/>
  <c r="AO183" i="95"/>
  <c r="AO188" i="95"/>
  <c r="AW188" i="95" s="1"/>
  <c r="AO204" i="95"/>
  <c r="AV212" i="95"/>
  <c r="AO222" i="95"/>
  <c r="AO223" i="95"/>
  <c r="AV244" i="95"/>
  <c r="AO254" i="95"/>
  <c r="AO255" i="95"/>
  <c r="AV276" i="95"/>
  <c r="AW276" i="95" s="1"/>
  <c r="AO282" i="95"/>
  <c r="AO283" i="95"/>
  <c r="AV299" i="95"/>
  <c r="AO306" i="95"/>
  <c r="AO311" i="95"/>
  <c r="AW311" i="95" s="1"/>
  <c r="AV312" i="95"/>
  <c r="AO318" i="95"/>
  <c r="AV327" i="95"/>
  <c r="AO7" i="95"/>
  <c r="AO8" i="95"/>
  <c r="AV30" i="95"/>
  <c r="AV31" i="95"/>
  <c r="AO33" i="95"/>
  <c r="AO35" i="95"/>
  <c r="AO36" i="95"/>
  <c r="AV44" i="95"/>
  <c r="AV47" i="95"/>
  <c r="AO50" i="95"/>
  <c r="AO53" i="95"/>
  <c r="AV61" i="95"/>
  <c r="AV72" i="95"/>
  <c r="AO77" i="95"/>
  <c r="AV83" i="95"/>
  <c r="AO86" i="95"/>
  <c r="AV100" i="95"/>
  <c r="AV116" i="95"/>
  <c r="AV132" i="95"/>
  <c r="AV148" i="95"/>
  <c r="AV158" i="95"/>
  <c r="AV171" i="95"/>
  <c r="AV172" i="95"/>
  <c r="AO179" i="95"/>
  <c r="AO184" i="95"/>
  <c r="AO200" i="95"/>
  <c r="AO214" i="95"/>
  <c r="AO215" i="95"/>
  <c r="AV236" i="95"/>
  <c r="AV242" i="95"/>
  <c r="AO246" i="95"/>
  <c r="AO247" i="95"/>
  <c r="AV268" i="95"/>
  <c r="AO278" i="95"/>
  <c r="AO279" i="95"/>
  <c r="AV294" i="95"/>
  <c r="AV295" i="95"/>
  <c r="AO301" i="95"/>
  <c r="AO302" i="95"/>
  <c r="AO313" i="95"/>
  <c r="AO314" i="95"/>
  <c r="AV324" i="95"/>
  <c r="AO94" i="95"/>
  <c r="AO17" i="95"/>
  <c r="AO19" i="95"/>
  <c r="AW43" i="95"/>
  <c r="AO74" i="95"/>
  <c r="AO79" i="95"/>
  <c r="AO101" i="95"/>
  <c r="AW101" i="95" s="1"/>
  <c r="AO117" i="95"/>
  <c r="AO133" i="95"/>
  <c r="AO149" i="95"/>
  <c r="AO154" i="95"/>
  <c r="AW154" i="95" s="1"/>
  <c r="AO168" i="95"/>
  <c r="AO180" i="95"/>
  <c r="AO194" i="95"/>
  <c r="AO210" i="95"/>
  <c r="AO211" i="95"/>
  <c r="AO242" i="95"/>
  <c r="AO243" i="95"/>
  <c r="AO274" i="95"/>
  <c r="AW274" i="95" s="1"/>
  <c r="AO275" i="95"/>
  <c r="AO307" i="95"/>
  <c r="AO14" i="95"/>
  <c r="AV12" i="95"/>
  <c r="AO31" i="95"/>
  <c r="AO32" i="95"/>
  <c r="AV40" i="95"/>
  <c r="AV42" i="95"/>
  <c r="AO46" i="95"/>
  <c r="AO49" i="95"/>
  <c r="AV57" i="95"/>
  <c r="AV59" i="95"/>
  <c r="AO62" i="95"/>
  <c r="AO64" i="95"/>
  <c r="AO67" i="95"/>
  <c r="AV69" i="95"/>
  <c r="AV80" i="95"/>
  <c r="AO85" i="95"/>
  <c r="AO97" i="95"/>
  <c r="AO98" i="95"/>
  <c r="AO113" i="95"/>
  <c r="AO114" i="95"/>
  <c r="AO129" i="95"/>
  <c r="AO130" i="95"/>
  <c r="AO145" i="95"/>
  <c r="AO146" i="95"/>
  <c r="AV155" i="95"/>
  <c r="AV156" i="95"/>
  <c r="AO167" i="95"/>
  <c r="AV168" i="95"/>
  <c r="AO196" i="95"/>
  <c r="AV228" i="95"/>
  <c r="AO238" i="95"/>
  <c r="AO239" i="95"/>
  <c r="AV260" i="95"/>
  <c r="AO270" i="95"/>
  <c r="AO271" i="95"/>
  <c r="AV287" i="95"/>
  <c r="AV288" i="95"/>
  <c r="AW288" i="95" s="1"/>
  <c r="AO297" i="95"/>
  <c r="AO298" i="95"/>
  <c r="AV307" i="95"/>
  <c r="AV320" i="95"/>
  <c r="AO325" i="95"/>
  <c r="AO326" i="95"/>
  <c r="B19" i="72"/>
  <c r="AW87" i="95"/>
  <c r="AW103" i="95"/>
  <c r="AO100" i="95"/>
  <c r="AO108" i="95"/>
  <c r="AO116" i="95"/>
  <c r="AO124" i="95"/>
  <c r="AO132" i="95"/>
  <c r="AO140" i="95"/>
  <c r="AO148" i="95"/>
  <c r="AO88" i="95"/>
  <c r="AW88" i="95" s="1"/>
  <c r="AO152" i="95"/>
  <c r="AO173" i="95"/>
  <c r="AO174" i="95"/>
  <c r="AO96" i="95"/>
  <c r="AO151" i="95"/>
  <c r="AV167" i="95"/>
  <c r="AO104" i="95"/>
  <c r="AO112" i="95"/>
  <c r="AO120" i="95"/>
  <c r="AO128" i="95"/>
  <c r="AO136" i="95"/>
  <c r="AO144" i="95"/>
  <c r="AO176" i="95"/>
  <c r="AO155" i="95"/>
  <c r="AO162" i="95"/>
  <c r="AO193" i="95"/>
  <c r="AO92" i="95"/>
  <c r="AO160" i="95"/>
  <c r="AW315" i="95"/>
  <c r="AV160" i="95"/>
  <c r="AO169" i="95"/>
  <c r="AW169" i="95" s="1"/>
  <c r="AO170" i="95"/>
  <c r="AV310" i="95"/>
  <c r="AO317" i="95"/>
  <c r="AO316" i="95"/>
  <c r="AO161" i="95"/>
  <c r="AO175" i="95"/>
  <c r="AO177" i="95"/>
  <c r="AO178" i="95"/>
  <c r="AV187" i="95"/>
  <c r="AV191" i="95"/>
  <c r="AV195" i="95"/>
  <c r="AV199" i="95"/>
  <c r="AV203" i="95"/>
  <c r="AV207" i="95"/>
  <c r="AV211" i="95"/>
  <c r="AV215" i="95"/>
  <c r="AV219" i="95"/>
  <c r="AV223" i="95"/>
  <c r="AV227" i="95"/>
  <c r="AV231" i="95"/>
  <c r="AV235" i="95"/>
  <c r="AV239" i="95"/>
  <c r="AV243" i="95"/>
  <c r="AV247" i="95"/>
  <c r="AV251" i="95"/>
  <c r="AW251" i="95" s="1"/>
  <c r="AV255" i="95"/>
  <c r="AV259" i="95"/>
  <c r="AW259" i="95" s="1"/>
  <c r="AV263" i="95"/>
  <c r="AV267" i="95"/>
  <c r="AV271" i="95"/>
  <c r="AV275" i="95"/>
  <c r="AV279" i="95"/>
  <c r="AO309" i="95"/>
  <c r="AO312" i="95"/>
  <c r="AO320" i="95"/>
  <c r="AO285" i="95"/>
  <c r="AO292" i="95"/>
  <c r="AO296" i="95"/>
  <c r="AO300" i="95"/>
  <c r="AO304" i="95"/>
  <c r="AW304" i="95" s="1"/>
  <c r="AO305" i="95"/>
  <c r="AW305" i="95" s="1"/>
  <c r="AO308" i="95"/>
  <c r="AO197" i="95"/>
  <c r="AW197" i="95" s="1"/>
  <c r="AO201" i="95"/>
  <c r="AO205" i="95"/>
  <c r="AO209" i="95"/>
  <c r="AO213" i="95"/>
  <c r="AO217" i="95"/>
  <c r="AO221" i="95"/>
  <c r="AW221" i="95" s="1"/>
  <c r="AO225" i="95"/>
  <c r="AO229" i="95"/>
  <c r="AO233" i="95"/>
  <c r="AO237" i="95"/>
  <c r="AO241" i="95"/>
  <c r="AO245" i="95"/>
  <c r="AO249" i="95"/>
  <c r="AO253" i="95"/>
  <c r="AO257" i="95"/>
  <c r="AW257" i="95" s="1"/>
  <c r="AO261" i="95"/>
  <c r="AW261" i="95" s="1"/>
  <c r="AO265" i="95"/>
  <c r="AO269" i="95"/>
  <c r="AO273" i="95"/>
  <c r="AO277" i="95"/>
  <c r="AO281" i="95"/>
  <c r="AO165" i="95"/>
  <c r="AO187" i="95"/>
  <c r="AO191" i="95"/>
  <c r="AO195" i="95"/>
  <c r="AO199" i="95"/>
  <c r="AO203" i="95"/>
  <c r="AO207" i="95"/>
  <c r="AV322" i="95"/>
  <c r="E8" i="9"/>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AC2" i="93"/>
  <c r="AB2" i="93"/>
  <c r="AA2" i="93"/>
  <c r="Z2" i="93"/>
  <c r="Y2" i="93"/>
  <c r="X2" i="93"/>
  <c r="W2" i="93"/>
  <c r="V2" i="93"/>
  <c r="U2" i="93"/>
  <c r="T2" i="93"/>
  <c r="S2" i="93"/>
  <c r="R2" i="93"/>
  <c r="Q2" i="93"/>
  <c r="P2" i="93"/>
  <c r="O2" i="93"/>
  <c r="N2" i="93"/>
  <c r="M2" i="93"/>
  <c r="L2" i="93"/>
  <c r="K2" i="93"/>
  <c r="D1" i="93"/>
  <c r="E1" i="93" s="1"/>
  <c r="F1" i="93" s="1"/>
  <c r="G1" i="93" s="1"/>
  <c r="H1" i="93" s="1"/>
  <c r="I1" i="93" s="1"/>
  <c r="J1" i="93" s="1"/>
  <c r="K1" i="93" s="1"/>
  <c r="L1" i="93" s="1"/>
  <c r="M1" i="93" s="1"/>
  <c r="N1" i="93" s="1"/>
  <c r="O1" i="93" s="1"/>
  <c r="P1" i="93" s="1"/>
  <c r="Q1" i="93" s="1"/>
  <c r="R1" i="93" s="1"/>
  <c r="S1" i="93" s="1"/>
  <c r="T1" i="93" s="1"/>
  <c r="U1" i="93" s="1"/>
  <c r="V1" i="93" s="1"/>
  <c r="W1" i="93" s="1"/>
  <c r="X1" i="93" s="1"/>
  <c r="Y1" i="93" s="1"/>
  <c r="Z1" i="93" s="1"/>
  <c r="AA1" i="93" s="1"/>
  <c r="AB1" i="93" s="1"/>
  <c r="AC1" i="93" s="1"/>
  <c r="AD1" i="93" s="1"/>
  <c r="AW110" i="95" l="1"/>
  <c r="AW226" i="95"/>
  <c r="AW225" i="95"/>
  <c r="AW308" i="95"/>
  <c r="AW104" i="95"/>
  <c r="E20" i="72"/>
  <c r="F20" i="72"/>
  <c r="AW128" i="95"/>
  <c r="AW146" i="95"/>
  <c r="AW74" i="95"/>
  <c r="AW302" i="95"/>
  <c r="AW54" i="95"/>
  <c r="AW286" i="95"/>
  <c r="AW238" i="95"/>
  <c r="AW249" i="95"/>
  <c r="AW165" i="95"/>
  <c r="AW67" i="95"/>
  <c r="AW16" i="95"/>
  <c r="AW114" i="95"/>
  <c r="AW129" i="95"/>
  <c r="AW181" i="95"/>
  <c r="AW213" i="95"/>
  <c r="AW62" i="95"/>
  <c r="AW222" i="95"/>
  <c r="AW12" i="95"/>
  <c r="AW106" i="95"/>
  <c r="AW190" i="95"/>
  <c r="AW323" i="95"/>
  <c r="AW81" i="95"/>
  <c r="AW144" i="95"/>
  <c r="AW124" i="95"/>
  <c r="AW314" i="95"/>
  <c r="AW79" i="95"/>
  <c r="AW282" i="95"/>
  <c r="AW321" i="95"/>
  <c r="AW189" i="95"/>
  <c r="AW76" i="95"/>
  <c r="AW127" i="95"/>
  <c r="AW319" i="95"/>
  <c r="AW35" i="95"/>
  <c r="AW137" i="95"/>
  <c r="AW125" i="95"/>
  <c r="AW141" i="95"/>
  <c r="AW183" i="95"/>
  <c r="AW269" i="95"/>
  <c r="AW292" i="95"/>
  <c r="AW96" i="95"/>
  <c r="AW149" i="95"/>
  <c r="AW33" i="95"/>
  <c r="AW182" i="95"/>
  <c r="AW111" i="95"/>
  <c r="AW63" i="95"/>
  <c r="AW142" i="95"/>
  <c r="AW136" i="95"/>
  <c r="AW133" i="95"/>
  <c r="AW48" i="95"/>
  <c r="AW89" i="95"/>
  <c r="AW52" i="95"/>
  <c r="AW157" i="95"/>
  <c r="AW143" i="95"/>
  <c r="AW256" i="95"/>
  <c r="AW216" i="95"/>
  <c r="AW277" i="95"/>
  <c r="AW241" i="95"/>
  <c r="AW278" i="95"/>
  <c r="AW200" i="95"/>
  <c r="AW39" i="95"/>
  <c r="AW297" i="95"/>
  <c r="AW196" i="95"/>
  <c r="AW229" i="95"/>
  <c r="AW317" i="95"/>
  <c r="AW307" i="95"/>
  <c r="AW194" i="95"/>
  <c r="AW248" i="95"/>
  <c r="AW272" i="95"/>
  <c r="AW155" i="95"/>
  <c r="AW298" i="95"/>
  <c r="AW145" i="95"/>
  <c r="AW46" i="95"/>
  <c r="AW180" i="95"/>
  <c r="AW86" i="95"/>
  <c r="AW204" i="95"/>
  <c r="AW105" i="95"/>
  <c r="AW303" i="95"/>
  <c r="AW134" i="95"/>
  <c r="AW285" i="95"/>
  <c r="AW318" i="95"/>
  <c r="AW70" i="95"/>
  <c r="AW260" i="95"/>
  <c r="AW175" i="95"/>
  <c r="AW320" i="95"/>
  <c r="AW51" i="95"/>
  <c r="AW290" i="95"/>
  <c r="AW130" i="95"/>
  <c r="AW284" i="95"/>
  <c r="AW280" i="95"/>
  <c r="AW245" i="95"/>
  <c r="AW300" i="95"/>
  <c r="AW120" i="95"/>
  <c r="AW208" i="95"/>
  <c r="AW159" i="95"/>
  <c r="AW109" i="95"/>
  <c r="AW174" i="95"/>
  <c r="AW77" i="95"/>
  <c r="AW173" i="95"/>
  <c r="AW295" i="95"/>
  <c r="AW325" i="95"/>
  <c r="AW98" i="95"/>
  <c r="AW117" i="95"/>
  <c r="AW214" i="95"/>
  <c r="AW78" i="95"/>
  <c r="AW65" i="95"/>
  <c r="AW153" i="95"/>
  <c r="AW316" i="95"/>
  <c r="AW97" i="95"/>
  <c r="AW210" i="95"/>
  <c r="AW9" i="95"/>
  <c r="AW93" i="95"/>
  <c r="AW55" i="95"/>
  <c r="AW150" i="95"/>
  <c r="AW291" i="95"/>
  <c r="AW147" i="95"/>
  <c r="AW202" i="95"/>
  <c r="AW301" i="95"/>
  <c r="AW253" i="95"/>
  <c r="AW92" i="95"/>
  <c r="AW228" i="95"/>
  <c r="AW293" i="95"/>
  <c r="AW322" i="95"/>
  <c r="AW281" i="95"/>
  <c r="AW217" i="95"/>
  <c r="AW193" i="95"/>
  <c r="AW112" i="95"/>
  <c r="AW100" i="95"/>
  <c r="AW94" i="95"/>
  <c r="AW254" i="95"/>
  <c r="AW138" i="95"/>
  <c r="AW84" i="95"/>
  <c r="AW64" i="95"/>
  <c r="AW32" i="95"/>
  <c r="AW266" i="95"/>
  <c r="AW15" i="95"/>
  <c r="AW273" i="95"/>
  <c r="AW209" i="95"/>
  <c r="AW177" i="95"/>
  <c r="AW113" i="95"/>
  <c r="AW50" i="95"/>
  <c r="AW122" i="95"/>
  <c r="AW289" i="95"/>
  <c r="AW71" i="95"/>
  <c r="AW99" i="95"/>
  <c r="AW220" i="95"/>
  <c r="AW23" i="95"/>
  <c r="AW156" i="95"/>
  <c r="AW59" i="95"/>
  <c r="AW184" i="95"/>
  <c r="AW299" i="95"/>
  <c r="AW75" i="95"/>
  <c r="AW234" i="95"/>
  <c r="AW135" i="95"/>
  <c r="AW265" i="95"/>
  <c r="AW233" i="95"/>
  <c r="AW57" i="95"/>
  <c r="AW14" i="95"/>
  <c r="AW313" i="95"/>
  <c r="AW44" i="95"/>
  <c r="AW212" i="95"/>
  <c r="AW262" i="95"/>
  <c r="AW206" i="95"/>
  <c r="AW139" i="95"/>
  <c r="AW244" i="95"/>
  <c r="AW235" i="95"/>
  <c r="AW7" i="95"/>
  <c r="AO2" i="95"/>
  <c r="AW47" i="95"/>
  <c r="AW80" i="95"/>
  <c r="AW236" i="95"/>
  <c r="AW38" i="95"/>
  <c r="AW126" i="95"/>
  <c r="AW163" i="95"/>
  <c r="AW287" i="95"/>
  <c r="AW310" i="95"/>
  <c r="AW263" i="95"/>
  <c r="AW91" i="95"/>
  <c r="AW172" i="95"/>
  <c r="AW326" i="95"/>
  <c r="AW158" i="95"/>
  <c r="AW162" i="95"/>
  <c r="AW152" i="95"/>
  <c r="AW83" i="95"/>
  <c r="AW164" i="95"/>
  <c r="AW72" i="95"/>
  <c r="AW237" i="95"/>
  <c r="AW205" i="95"/>
  <c r="AW82" i="95"/>
  <c r="AW201" i="95"/>
  <c r="AW30" i="95"/>
  <c r="AW239" i="95"/>
  <c r="AW42" i="95"/>
  <c r="AW255" i="95"/>
  <c r="AW252" i="95"/>
  <c r="AW267" i="95"/>
  <c r="AW327" i="95"/>
  <c r="AW61" i="95"/>
  <c r="AW85" i="95"/>
  <c r="AW73" i="95"/>
  <c r="AW324" i="95"/>
  <c r="AW49" i="95"/>
  <c r="AW17" i="95"/>
  <c r="AW268" i="95"/>
  <c r="AW306" i="95"/>
  <c r="AW178" i="95"/>
  <c r="AW151" i="95"/>
  <c r="AW140" i="95"/>
  <c r="AW168" i="95"/>
  <c r="AW13" i="95"/>
  <c r="AW19" i="95"/>
  <c r="AW296" i="95"/>
  <c r="AW312" i="95"/>
  <c r="AW132" i="95"/>
  <c r="AW270" i="95"/>
  <c r="AW246" i="95"/>
  <c r="AW283" i="95"/>
  <c r="AW29" i="95"/>
  <c r="AW309" i="95"/>
  <c r="AW170" i="95"/>
  <c r="AW161" i="95"/>
  <c r="AW116" i="95"/>
  <c r="AW243" i="95"/>
  <c r="AW227" i="95"/>
  <c r="AW219" i="95"/>
  <c r="AW203" i="95"/>
  <c r="AW223" i="95"/>
  <c r="AW294" i="95"/>
  <c r="AW31" i="95"/>
  <c r="AW40" i="95"/>
  <c r="AW108" i="95"/>
  <c r="AW36" i="95"/>
  <c r="AW279" i="95"/>
  <c r="AW247" i="95"/>
  <c r="AW231" i="95"/>
  <c r="AW215" i="95"/>
  <c r="AW199" i="95"/>
  <c r="AW242" i="95"/>
  <c r="AW275" i="95"/>
  <c r="AW211" i="95"/>
  <c r="AW195" i="95"/>
  <c r="AW176" i="95"/>
  <c r="AW69" i="95"/>
  <c r="AW8" i="95"/>
  <c r="AW148" i="95"/>
  <c r="AW171" i="95"/>
  <c r="AW53" i="95"/>
  <c r="AW271" i="95"/>
  <c r="AW167" i="95"/>
  <c r="AW179" i="95"/>
  <c r="AW160" i="95"/>
  <c r="AW207" i="95"/>
  <c r="AW191" i="95"/>
  <c r="AW187" i="95"/>
  <c r="E5" i="50"/>
  <c r="E6" i="50" s="1"/>
  <c r="E7" i="50" s="1"/>
  <c r="E8" i="50" s="1"/>
  <c r="E9" i="50" s="1"/>
  <c r="E10" i="50" s="1"/>
  <c r="E11" i="50" s="1"/>
  <c r="E12" i="50" s="1"/>
  <c r="E13" i="50" s="1"/>
  <c r="E14" i="50" s="1"/>
  <c r="E15" i="50" s="1"/>
  <c r="E16" i="50" s="1"/>
  <c r="E17" i="50" s="1"/>
  <c r="E18" i="50" s="1"/>
  <c r="E19" i="50" s="1"/>
  <c r="E20" i="50" s="1"/>
  <c r="E21" i="50" s="1"/>
  <c r="E22" i="50" s="1"/>
  <c r="E23" i="50" s="1"/>
  <c r="E24" i="50" s="1"/>
  <c r="E25" i="50" s="1"/>
  <c r="E26" i="50" s="1"/>
  <c r="E27" i="50" s="1"/>
  <c r="E28" i="50" s="1"/>
  <c r="E29" i="50" s="1"/>
  <c r="E30" i="50" s="1"/>
  <c r="E31" i="50" s="1"/>
  <c r="E32" i="50" s="1"/>
  <c r="E33" i="50" s="1"/>
  <c r="E34" i="50" s="1"/>
  <c r="E35" i="50" s="1"/>
  <c r="E36" i="50" s="1"/>
  <c r="E37" i="50" s="1"/>
  <c r="E38" i="50" s="1"/>
  <c r="E39" i="50" s="1"/>
  <c r="E40" i="50" s="1"/>
  <c r="E41" i="50" s="1"/>
  <c r="E42" i="50" s="1"/>
  <c r="E43" i="50" s="1"/>
  <c r="E44" i="50" s="1"/>
  <c r="E45" i="50" s="1"/>
  <c r="E46" i="50" s="1"/>
  <c r="E47" i="50" s="1"/>
  <c r="E48" i="50" s="1"/>
  <c r="E49" i="50" s="1"/>
  <c r="E50" i="50" s="1"/>
  <c r="E51" i="50" s="1"/>
  <c r="E52" i="50" s="1"/>
  <c r="E53" i="50" s="1"/>
  <c r="E54" i="50" s="1"/>
  <c r="E55" i="50" s="1"/>
  <c r="E56" i="50" s="1"/>
  <c r="E57" i="50" s="1"/>
  <c r="E58" i="50" s="1"/>
  <c r="E59" i="50" s="1"/>
  <c r="E60" i="50" s="1"/>
  <c r="E61" i="50" s="1"/>
  <c r="E62" i="50" s="1"/>
  <c r="E63" i="50" s="1"/>
  <c r="E64" i="50" s="1"/>
  <c r="E65" i="50" s="1"/>
  <c r="E66" i="50" s="1"/>
  <c r="E67" i="50" s="1"/>
  <c r="E68" i="50" s="1"/>
  <c r="E69" i="50" s="1"/>
  <c r="E70" i="50" s="1"/>
  <c r="E71" i="50" s="1"/>
  <c r="E72" i="50" s="1"/>
  <c r="E73" i="50" s="1"/>
  <c r="E74" i="50" s="1"/>
  <c r="E75" i="50" s="1"/>
  <c r="E76" i="50" s="1"/>
  <c r="E77" i="50" s="1"/>
  <c r="E78" i="50" s="1"/>
  <c r="E79" i="50" s="1"/>
  <c r="E80" i="50" s="1"/>
  <c r="E81" i="50" s="1"/>
  <c r="E82" i="50" s="1"/>
  <c r="E83" i="50" s="1"/>
  <c r="E84" i="50" s="1"/>
  <c r="E85" i="50" s="1"/>
  <c r="E86" i="50" s="1"/>
  <c r="E87" i="50" s="1"/>
  <c r="E88" i="50" s="1"/>
  <c r="E89" i="50" s="1"/>
  <c r="E90" i="50" s="1"/>
  <c r="E91" i="50" s="1"/>
  <c r="E92" i="50" s="1"/>
  <c r="E93" i="50" s="1"/>
  <c r="E94" i="50" s="1"/>
  <c r="E95" i="50" s="1"/>
  <c r="E96" i="50" s="1"/>
  <c r="E97" i="50" s="1"/>
  <c r="E98" i="50" s="1"/>
  <c r="E99" i="50" s="1"/>
  <c r="E100" i="50" s="1"/>
  <c r="E101" i="50" s="1"/>
  <c r="E102" i="50" s="1"/>
  <c r="E103" i="50" s="1"/>
  <c r="E104" i="50" s="1"/>
  <c r="E105" i="50" s="1"/>
  <c r="E106" i="50" s="1"/>
  <c r="E107" i="50" s="1"/>
  <c r="E108" i="50" s="1"/>
  <c r="E109" i="50" s="1"/>
  <c r="E110" i="50" s="1"/>
  <c r="E111" i="50" s="1"/>
  <c r="E112" i="50" s="1"/>
  <c r="E113" i="50" s="1"/>
  <c r="E114" i="50" s="1"/>
  <c r="E115" i="50" s="1"/>
  <c r="E116" i="50" s="1"/>
  <c r="E117" i="50" s="1"/>
  <c r="E118" i="50" s="1"/>
  <c r="E119" i="50" s="1"/>
  <c r="E120" i="50" s="1"/>
  <c r="E121" i="50" s="1"/>
  <c r="E122" i="50" s="1"/>
  <c r="E123" i="50" s="1"/>
  <c r="E124" i="50" s="1"/>
  <c r="E125" i="50" s="1"/>
  <c r="E126" i="50" s="1"/>
  <c r="E127" i="50" s="1"/>
  <c r="E128" i="50" s="1"/>
  <c r="E129" i="50" s="1"/>
  <c r="E130" i="50" s="1"/>
  <c r="E131" i="50" s="1"/>
  <c r="E132" i="50" s="1"/>
  <c r="E133" i="50" s="1"/>
  <c r="E134" i="50" s="1"/>
  <c r="E135" i="50" s="1"/>
  <c r="E136" i="50" s="1"/>
  <c r="E137" i="50" s="1"/>
  <c r="E138" i="50" s="1"/>
  <c r="E139" i="50" s="1"/>
  <c r="E140" i="50" s="1"/>
  <c r="E141" i="50" s="1"/>
  <c r="E142" i="50" s="1"/>
  <c r="E143" i="50" s="1"/>
  <c r="E144" i="50" s="1"/>
  <c r="E145" i="50" s="1"/>
  <c r="E146" i="50" s="1"/>
  <c r="E147" i="50" s="1"/>
  <c r="E148" i="50" s="1"/>
  <c r="E149" i="50" s="1"/>
  <c r="E150" i="50" s="1"/>
  <c r="E151" i="50" s="1"/>
  <c r="E152" i="50" s="1"/>
  <c r="E153" i="50" s="1"/>
  <c r="E154" i="50" s="1"/>
  <c r="E155" i="50" s="1"/>
  <c r="E156" i="50" s="1"/>
  <c r="E157" i="50" s="1"/>
  <c r="E158" i="50" s="1"/>
  <c r="E159" i="50" s="1"/>
  <c r="E160" i="50" s="1"/>
  <c r="E161" i="50" s="1"/>
  <c r="E162" i="50" s="1"/>
  <c r="E163" i="50" s="1"/>
  <c r="E164" i="50" s="1"/>
  <c r="E165" i="50" s="1"/>
  <c r="E166" i="50" s="1"/>
  <c r="E167" i="50" s="1"/>
  <c r="E168" i="50" s="1"/>
  <c r="E169" i="50" s="1"/>
  <c r="E170" i="50" s="1"/>
  <c r="E171" i="50" s="1"/>
  <c r="E172" i="50" s="1"/>
  <c r="E173" i="50" s="1"/>
  <c r="E174" i="50" s="1"/>
  <c r="E175" i="50" s="1"/>
  <c r="E176" i="50" s="1"/>
  <c r="E177" i="50" s="1"/>
  <c r="E178" i="50" s="1"/>
  <c r="E179" i="50" s="1"/>
  <c r="E180" i="50" s="1"/>
  <c r="E181" i="50" s="1"/>
  <c r="E182" i="50" s="1"/>
  <c r="E183" i="50" s="1"/>
  <c r="E184" i="50" s="1"/>
  <c r="E185" i="50" s="1"/>
  <c r="E186" i="50" s="1"/>
  <c r="E187" i="50" s="1"/>
  <c r="E188" i="50" s="1"/>
  <c r="E189" i="50" s="1"/>
  <c r="E190" i="50" s="1"/>
  <c r="E191" i="50" s="1"/>
  <c r="E192" i="50" s="1"/>
  <c r="E193" i="50" s="1"/>
  <c r="E194" i="50" s="1"/>
  <c r="E195" i="50" s="1"/>
  <c r="E196" i="50" s="1"/>
  <c r="E197" i="50" s="1"/>
  <c r="E198" i="50" s="1"/>
  <c r="E199" i="50" s="1"/>
  <c r="E200" i="50" s="1"/>
  <c r="E201" i="50" s="1"/>
  <c r="E202" i="50" s="1"/>
  <c r="E203" i="50" s="1"/>
  <c r="E204" i="50" s="1"/>
  <c r="E205" i="50" s="1"/>
  <c r="E206" i="50" s="1"/>
  <c r="E207" i="50" s="1"/>
  <c r="E208" i="50" s="1"/>
  <c r="E209" i="50" s="1"/>
  <c r="E210" i="50" s="1"/>
  <c r="E211" i="50" s="1"/>
  <c r="E212" i="50" s="1"/>
  <c r="E213" i="50" s="1"/>
  <c r="E214" i="50" s="1"/>
  <c r="E215" i="50" s="1"/>
  <c r="E216" i="50" s="1"/>
  <c r="E217" i="50" s="1"/>
  <c r="E218" i="50" s="1"/>
  <c r="E219" i="50" s="1"/>
  <c r="E220" i="50" s="1"/>
  <c r="E221" i="50" s="1"/>
  <c r="E222" i="50" s="1"/>
  <c r="E223" i="50" s="1"/>
  <c r="E224" i="50" s="1"/>
  <c r="E225" i="50" s="1"/>
  <c r="E226" i="50" s="1"/>
  <c r="E227" i="50" s="1"/>
  <c r="E228" i="50" s="1"/>
  <c r="E229" i="50" s="1"/>
  <c r="E230" i="50" s="1"/>
  <c r="E231" i="50" s="1"/>
  <c r="E232" i="50" s="1"/>
  <c r="E233" i="50" s="1"/>
  <c r="E234" i="50" s="1"/>
  <c r="E235" i="50" s="1"/>
  <c r="E236" i="50" s="1"/>
  <c r="E237" i="50" s="1"/>
  <c r="E238" i="50" s="1"/>
  <c r="E239" i="50" s="1"/>
  <c r="E240" i="50" s="1"/>
  <c r="E241" i="50" s="1"/>
  <c r="E242" i="50" s="1"/>
  <c r="E243" i="50" s="1"/>
  <c r="E244" i="50" s="1"/>
  <c r="E245" i="50" s="1"/>
  <c r="E246" i="50" s="1"/>
  <c r="E247" i="50" s="1"/>
  <c r="E248" i="50" s="1"/>
  <c r="E249" i="50" s="1"/>
  <c r="E250" i="50" s="1"/>
  <c r="E251" i="50" s="1"/>
  <c r="E252" i="50" s="1"/>
  <c r="E253" i="50" s="1"/>
  <c r="E254" i="50" s="1"/>
  <c r="E255" i="50" s="1"/>
  <c r="E256" i="50" s="1"/>
  <c r="E257" i="50" s="1"/>
  <c r="E258" i="50" s="1"/>
  <c r="E259" i="50" s="1"/>
  <c r="E260" i="50" s="1"/>
  <c r="E261" i="50" s="1"/>
  <c r="E262" i="50" s="1"/>
  <c r="E263" i="50" s="1"/>
  <c r="E264" i="50" s="1"/>
  <c r="E265" i="50" s="1"/>
  <c r="E266" i="50" s="1"/>
  <c r="E267" i="50" s="1"/>
  <c r="E268" i="50" s="1"/>
  <c r="E269" i="50" s="1"/>
  <c r="E270" i="50" s="1"/>
  <c r="E271" i="50" s="1"/>
  <c r="E272" i="50" s="1"/>
  <c r="E273" i="50" s="1"/>
  <c r="E274" i="50" s="1"/>
  <c r="E275" i="50" s="1"/>
  <c r="E276" i="50" s="1"/>
  <c r="E277" i="50" s="1"/>
  <c r="E278" i="50" s="1"/>
  <c r="E279" i="50" s="1"/>
  <c r="E280" i="50" s="1"/>
  <c r="E281" i="50" s="1"/>
  <c r="E282" i="50" s="1"/>
  <c r="E283" i="50" s="1"/>
  <c r="E284" i="50" s="1"/>
  <c r="A3" i="90"/>
  <c r="A2" i="90" s="1"/>
  <c r="A1" i="90" s="1"/>
  <c r="B1" i="90"/>
  <c r="B3" i="90" s="1"/>
  <c r="B2" i="90" s="1"/>
  <c r="D23" i="72" l="1"/>
  <c r="E23" i="72"/>
  <c r="E285" i="50"/>
  <c r="E286" i="50" s="1"/>
  <c r="E287" i="50" s="1"/>
  <c r="E288" i="50" s="1"/>
  <c r="E289" i="50" s="1"/>
  <c r="E290" i="50" s="1"/>
  <c r="E291" i="50" s="1"/>
  <c r="E292" i="50" s="1"/>
  <c r="E293" i="50" s="1"/>
  <c r="E294" i="50" s="1"/>
  <c r="E295" i="50" s="1"/>
  <c r="E296" i="50" s="1"/>
  <c r="E297" i="50" s="1"/>
  <c r="E298" i="50" s="1"/>
  <c r="E299" i="50" s="1"/>
  <c r="E300" i="50" s="1"/>
  <c r="E301" i="50" s="1"/>
  <c r="E302" i="50" s="1"/>
  <c r="E303" i="50" s="1"/>
  <c r="E304" i="50" s="1"/>
  <c r="E305" i="50" s="1"/>
  <c r="E306" i="50" s="1"/>
  <c r="E307" i="50" s="1"/>
  <c r="E308" i="50" s="1"/>
  <c r="E309" i="50" s="1"/>
  <c r="E310" i="50" s="1"/>
  <c r="E311" i="50" s="1"/>
  <c r="E312" i="50" s="1"/>
  <c r="E313" i="50" s="1"/>
  <c r="E314" i="50" s="1"/>
  <c r="E315" i="50" s="1"/>
  <c r="E316" i="50" s="1"/>
  <c r="E317" i="50" s="1"/>
  <c r="E318" i="50" s="1"/>
  <c r="E319" i="50" s="1"/>
  <c r="E320" i="50" s="1"/>
  <c r="E321" i="50" s="1"/>
  <c r="E322" i="50" s="1"/>
  <c r="E323" i="50" s="1"/>
  <c r="B2" i="72"/>
  <c r="F94" i="1"/>
  <c r="E94" i="1"/>
  <c r="D94" i="1"/>
  <c r="C94" i="1"/>
  <c r="B94" i="1"/>
  <c r="F93" i="1"/>
  <c r="E93" i="1"/>
  <c r="D93" i="1"/>
  <c r="C93" i="1"/>
  <c r="B93" i="1"/>
  <c r="F92" i="1"/>
  <c r="E92" i="1"/>
  <c r="D92" i="1"/>
  <c r="C92" i="1"/>
  <c r="B92" i="1"/>
  <c r="F87" i="1"/>
  <c r="E87" i="1"/>
  <c r="D87" i="1"/>
  <c r="C87" i="1"/>
  <c r="B87" i="1"/>
  <c r="F86" i="1"/>
  <c r="E86" i="1"/>
  <c r="D86" i="1"/>
  <c r="C86" i="1"/>
  <c r="B86" i="1"/>
  <c r="F85" i="1"/>
  <c r="E85" i="1"/>
  <c r="D85" i="1"/>
  <c r="C85" i="1"/>
  <c r="B85" i="1"/>
  <c r="F80" i="1"/>
  <c r="E80" i="1"/>
  <c r="D80" i="1"/>
  <c r="C80" i="1"/>
  <c r="B80" i="1"/>
  <c r="F79" i="1"/>
  <c r="E79" i="1"/>
  <c r="D79" i="1"/>
  <c r="C79" i="1"/>
  <c r="B79" i="1"/>
  <c r="F78" i="1"/>
  <c r="E78" i="1"/>
  <c r="D78" i="1"/>
  <c r="C78" i="1"/>
  <c r="B78" i="1"/>
  <c r="F73" i="1"/>
  <c r="E73" i="1"/>
  <c r="D73" i="1"/>
  <c r="C73" i="1"/>
  <c r="B73" i="1"/>
  <c r="F72" i="1"/>
  <c r="E72" i="1"/>
  <c r="D72" i="1"/>
  <c r="C72" i="1"/>
  <c r="B72" i="1"/>
  <c r="F71" i="1"/>
  <c r="E71" i="1"/>
  <c r="D71" i="1"/>
  <c r="C71" i="1"/>
  <c r="B71" i="1"/>
  <c r="F66" i="1"/>
  <c r="E66" i="1"/>
  <c r="D66" i="1"/>
  <c r="C66" i="1"/>
  <c r="B66" i="1"/>
  <c r="F65" i="1"/>
  <c r="E65" i="1"/>
  <c r="D65" i="1"/>
  <c r="C65" i="1"/>
  <c r="B65" i="1"/>
  <c r="F64" i="1"/>
  <c r="E64" i="1"/>
  <c r="D64" i="1"/>
  <c r="C64" i="1"/>
  <c r="B64" i="1"/>
  <c r="F107" i="1"/>
  <c r="E107" i="1"/>
  <c r="D107" i="1"/>
  <c r="C107" i="1"/>
  <c r="B107" i="1"/>
  <c r="F106" i="1"/>
  <c r="E106" i="1"/>
  <c r="D106" i="1"/>
  <c r="C106" i="1"/>
  <c r="B106" i="1"/>
  <c r="F99" i="1"/>
  <c r="E99" i="1"/>
  <c r="D99" i="1"/>
  <c r="C99" i="1"/>
  <c r="B99" i="1"/>
  <c r="F100" i="1"/>
  <c r="E100" i="1"/>
  <c r="D100" i="1"/>
  <c r="C100" i="1"/>
  <c r="F101" i="1"/>
  <c r="E101" i="1"/>
  <c r="D101" i="1"/>
  <c r="C101" i="1"/>
  <c r="B101" i="1"/>
  <c r="B100" i="1"/>
  <c r="B67" i="1"/>
  <c r="C67" i="1"/>
  <c r="D67" i="1"/>
  <c r="E67" i="1"/>
  <c r="F67" i="1"/>
  <c r="E74" i="1" l="1"/>
  <c r="C74" i="1"/>
  <c r="F74" i="1"/>
  <c r="D74" i="1"/>
  <c r="B74" i="1"/>
  <c r="E48" i="25" l="1"/>
  <c r="A48" i="25"/>
  <c r="H48" i="25" s="1"/>
  <c r="E47" i="25"/>
  <c r="A47" i="25" s="1"/>
  <c r="H47" i="25" s="1"/>
  <c r="E41" i="25"/>
  <c r="A41" i="25" s="1"/>
  <c r="H41" i="25" s="1"/>
  <c r="E40" i="25"/>
  <c r="A40" i="25"/>
  <c r="H40" i="25" s="1"/>
  <c r="A39" i="25"/>
  <c r="H39" i="25" s="1"/>
  <c r="E38" i="25"/>
  <c r="A38" i="25" s="1"/>
  <c r="H38" i="25" s="1"/>
  <c r="E37" i="25"/>
  <c r="A37" i="25"/>
  <c r="H37" i="25" s="1"/>
  <c r="A36" i="25"/>
  <c r="H36" i="25" s="1"/>
  <c r="A6" i="25"/>
  <c r="C55" i="1"/>
  <c r="C51" i="1"/>
  <c r="C47" i="1"/>
  <c r="C43" i="1"/>
  <c r="C39" i="1"/>
  <c r="E13" i="1"/>
  <c r="E25" i="1"/>
  <c r="D25" i="1"/>
  <c r="C25" i="1"/>
  <c r="E12" i="1"/>
  <c r="E9" i="1" l="1"/>
  <c r="E10" i="1"/>
  <c r="E11" i="1"/>
  <c r="B25" i="1"/>
  <c r="B13" i="1"/>
  <c r="B10" i="1"/>
  <c r="B9" i="1"/>
  <c r="B11" i="1"/>
  <c r="B12" i="1"/>
  <c r="G4" i="1"/>
  <c r="F31" i="1"/>
  <c r="E31" i="1"/>
  <c r="D31" i="1"/>
  <c r="C31" i="1"/>
  <c r="B31" i="1"/>
  <c r="F24" i="1"/>
  <c r="E24" i="1"/>
  <c r="D24" i="1"/>
  <c r="C24" i="1"/>
  <c r="B24" i="1"/>
  <c r="B30" i="1" l="1"/>
  <c r="B40" i="1"/>
  <c r="F30" i="1"/>
  <c r="B56" i="1"/>
  <c r="E30" i="1"/>
  <c r="B52" i="1"/>
  <c r="B44" i="1"/>
  <c r="C30" i="1"/>
  <c r="B48" i="1"/>
  <c r="D30" i="1"/>
  <c r="F63" i="1" l="1"/>
  <c r="E63" i="1"/>
  <c r="D63" i="1"/>
  <c r="C63" i="1"/>
  <c r="B63" i="1"/>
  <c r="G67" i="1"/>
  <c r="G66" i="1"/>
  <c r="G64" i="1"/>
  <c r="V18" i="25" l="1"/>
  <c r="U18" i="25"/>
  <c r="W17" i="25"/>
  <c r="V17" i="25"/>
  <c r="U17" i="25"/>
  <c r="V11" i="25"/>
  <c r="U11" i="25"/>
  <c r="V10" i="25"/>
  <c r="U10" i="25"/>
  <c r="W9" i="25"/>
  <c r="V9" i="25"/>
  <c r="U9" i="25"/>
  <c r="V8" i="25"/>
  <c r="U8" i="25"/>
  <c r="V7" i="25"/>
  <c r="U7" i="25"/>
  <c r="W6" i="25"/>
  <c r="V6" i="25"/>
  <c r="U6" i="25"/>
  <c r="E18" i="25"/>
  <c r="W18" i="25" s="1"/>
  <c r="E17" i="25"/>
  <c r="E11" i="25"/>
  <c r="W11" i="25" s="1"/>
  <c r="E10" i="25"/>
  <c r="W10" i="25" s="1"/>
  <c r="E8" i="25"/>
  <c r="W8" i="25" s="1"/>
  <c r="E7" i="25"/>
  <c r="W7" i="25" s="1"/>
  <c r="F25" i="1" l="1"/>
  <c r="G74" i="1"/>
  <c r="G71" i="1"/>
  <c r="F70" i="1" l="1"/>
  <c r="E70" i="1"/>
  <c r="D70" i="1"/>
  <c r="C70" i="1"/>
  <c r="B70" i="1"/>
  <c r="G73" i="1" l="1"/>
  <c r="A18" i="25" l="1"/>
  <c r="H18" i="25" s="1"/>
  <c r="A17" i="25"/>
  <c r="H17" i="25" s="1"/>
  <c r="F77" i="1" l="1"/>
  <c r="E77" i="1"/>
  <c r="D77" i="1"/>
  <c r="C77" i="1"/>
  <c r="B77" i="1"/>
  <c r="E81" i="1" l="1"/>
  <c r="B81" i="1"/>
  <c r="F81" i="1"/>
  <c r="C81" i="1"/>
  <c r="D81" i="1"/>
  <c r="G80" i="1"/>
  <c r="G78" i="1"/>
  <c r="G81" i="1" l="1"/>
  <c r="A11" i="25" l="1"/>
  <c r="H11" i="25" s="1"/>
  <c r="A10" i="25"/>
  <c r="H10" i="25" s="1"/>
  <c r="A9" i="25"/>
  <c r="H9" i="25" s="1"/>
  <c r="A8" i="25"/>
  <c r="H8" i="25" s="1"/>
  <c r="A7" i="25"/>
  <c r="H7" i="25" s="1"/>
  <c r="H6" i="25"/>
  <c r="F88" i="1" l="1"/>
  <c r="F84" i="1" l="1"/>
  <c r="E84" i="1"/>
  <c r="D84" i="1"/>
  <c r="C84" i="1"/>
  <c r="B84" i="1"/>
  <c r="G87" i="1" l="1"/>
  <c r="G85" i="1"/>
  <c r="E88" i="1" l="1"/>
  <c r="B88" i="1" l="1"/>
  <c r="C88" i="1"/>
  <c r="D88" i="1"/>
  <c r="G88" i="1" l="1"/>
  <c r="F91" i="1" l="1"/>
  <c r="E91" i="1"/>
  <c r="D91" i="1"/>
  <c r="C91" i="1"/>
  <c r="B91" i="1"/>
  <c r="G94" i="1" l="1"/>
  <c r="G92" i="1"/>
  <c r="F95" i="1" l="1"/>
  <c r="B95" i="1"/>
  <c r="C95" i="1"/>
  <c r="D95" i="1"/>
  <c r="E95" i="1"/>
  <c r="F109" i="1"/>
  <c r="F102" i="1"/>
  <c r="G95" i="1" l="1"/>
  <c r="F105" i="1" l="1"/>
  <c r="F98" i="1"/>
  <c r="D13" i="1" l="1"/>
  <c r="C13" i="1"/>
  <c r="G99" i="1"/>
  <c r="E32" i="1" l="1"/>
  <c r="B32" i="1"/>
  <c r="C32" i="1"/>
  <c r="D32" i="1"/>
  <c r="F32" i="1"/>
  <c r="I24" i="1"/>
  <c r="D48" i="1"/>
  <c r="D49" i="1" s="1"/>
  <c r="C48" i="1"/>
  <c r="C49" i="1" s="1"/>
  <c r="B49" i="1"/>
  <c r="B53" i="1"/>
  <c r="C52" i="1"/>
  <c r="C53" i="1" s="1"/>
  <c r="D52" i="1"/>
  <c r="D53" i="1" s="1"/>
  <c r="D56" i="1"/>
  <c r="D57" i="1" s="1"/>
  <c r="B57" i="1"/>
  <c r="C56" i="1"/>
  <c r="C57" i="1" s="1"/>
  <c r="D44" i="1"/>
  <c r="D45" i="1" s="1"/>
  <c r="B45" i="1"/>
  <c r="C44" i="1"/>
  <c r="C45" i="1" s="1"/>
  <c r="D40" i="1"/>
  <c r="D41" i="1" s="1"/>
  <c r="C40" i="1"/>
  <c r="C41" i="1" s="1"/>
  <c r="B41" i="1"/>
  <c r="J25" i="1" l="1"/>
  <c r="C109" i="1" l="1"/>
  <c r="B102" i="1"/>
  <c r="E105" i="1"/>
  <c r="D105" i="1"/>
  <c r="C105" i="1"/>
  <c r="B105" i="1"/>
  <c r="E98" i="1"/>
  <c r="D98" i="1"/>
  <c r="C98" i="1"/>
  <c r="B98" i="1"/>
  <c r="D109" i="1" l="1"/>
  <c r="E109" i="1"/>
  <c r="B109" i="1"/>
  <c r="C102" i="1"/>
  <c r="D102" i="1"/>
  <c r="E102" i="1"/>
  <c r="G101" i="1"/>
  <c r="G106" i="1"/>
  <c r="C32" i="72" l="1"/>
  <c r="F12" i="72"/>
  <c r="E12" i="72"/>
  <c r="F32" i="72"/>
  <c r="B32" i="72"/>
  <c r="E32" i="72"/>
  <c r="D12" i="72"/>
  <c r="D32" i="72"/>
  <c r="G4" i="72"/>
  <c r="C12" i="72"/>
  <c r="G109" i="1"/>
  <c r="G102" i="1"/>
  <c r="F31" i="72" l="1"/>
  <c r="F33" i="72" s="1"/>
  <c r="B31" i="72"/>
  <c r="B33" i="72" s="1"/>
  <c r="D31" i="72"/>
  <c r="D33" i="72" s="1"/>
  <c r="E31" i="72"/>
  <c r="E33" i="72" s="1"/>
  <c r="C31" i="72"/>
  <c r="G23" i="72"/>
  <c r="F27" i="72"/>
  <c r="G16" i="72"/>
  <c r="G13" i="72"/>
  <c r="C27" i="72"/>
  <c r="E27" i="72"/>
  <c r="G20" i="72"/>
  <c r="B12" i="72"/>
  <c r="G10" i="72"/>
  <c r="D27" i="72"/>
  <c r="G24" i="72"/>
  <c r="G25" i="72"/>
  <c r="G17" i="72"/>
  <c r="B27" i="72"/>
  <c r="G22" i="72"/>
  <c r="G32" i="72" s="1"/>
  <c r="G19" i="72"/>
  <c r="D12" i="1"/>
  <c r="C12" i="1"/>
  <c r="D9" i="1"/>
  <c r="C9" i="1"/>
  <c r="B16" i="1"/>
  <c r="D11" i="1"/>
  <c r="C11" i="1"/>
  <c r="C10" i="1"/>
  <c r="D10" i="1"/>
  <c r="I25" i="1"/>
  <c r="G31" i="72" l="1"/>
  <c r="G33" i="72" s="1"/>
  <c r="C33" i="72"/>
  <c r="D20" i="1"/>
  <c r="J26" i="1"/>
  <c r="G27" i="72"/>
  <c r="C16" i="1"/>
  <c r="D16" i="1"/>
  <c r="E16" i="1" l="1"/>
  <c r="E45" i="9"/>
  <c r="E46" i="9"/>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92" i="9" s="1"/>
  <c r="E93" i="9" s="1"/>
  <c r="E94" i="9" s="1"/>
  <c r="E95" i="9" s="1"/>
  <c r="E96" i="9" s="1"/>
  <c r="E97" i="9" s="1"/>
  <c r="E98" i="9" s="1"/>
  <c r="E99" i="9" s="1"/>
  <c r="E100" i="9" s="1"/>
  <c r="E101" i="9" s="1"/>
  <c r="E102" i="9" s="1"/>
  <c r="E103" i="9" s="1"/>
  <c r="E104" i="9" s="1"/>
  <c r="E105" i="9" s="1"/>
  <c r="E106" i="9" s="1"/>
  <c r="E107" i="9" s="1"/>
  <c r="E108" i="9" s="1"/>
  <c r="E109" i="9" s="1"/>
  <c r="E110" i="9" s="1"/>
  <c r="E111" i="9" s="1"/>
  <c r="E112" i="9" s="1"/>
  <c r="E113" i="9" s="1"/>
  <c r="E114" i="9" s="1"/>
  <c r="E115" i="9" s="1"/>
  <c r="E116" i="9" s="1"/>
  <c r="E117" i="9" s="1"/>
  <c r="E118" i="9" s="1"/>
  <c r="E119" i="9" s="1"/>
  <c r="E120" i="9" s="1"/>
  <c r="E121" i="9" s="1"/>
  <c r="E122" i="9" s="1"/>
  <c r="E123" i="9" s="1"/>
  <c r="E124" i="9" s="1"/>
  <c r="E125" i="9" s="1"/>
  <c r="E126" i="9" s="1"/>
  <c r="E127" i="9" s="1"/>
  <c r="E128" i="9" s="1"/>
  <c r="E129" i="9" s="1"/>
  <c r="E130" i="9" s="1"/>
  <c r="E131" i="9" s="1"/>
  <c r="E132" i="9" s="1"/>
  <c r="E133" i="9" s="1"/>
  <c r="E134" i="9" s="1"/>
  <c r="E135" i="9" s="1"/>
  <c r="E136" i="9" s="1"/>
  <c r="E137" i="9" s="1"/>
  <c r="E138" i="9" s="1"/>
  <c r="E139" i="9" s="1"/>
  <c r="E140" i="9" s="1"/>
  <c r="E141" i="9" s="1"/>
  <c r="E142" i="9" s="1"/>
  <c r="E143" i="9" s="1"/>
  <c r="E144" i="9" s="1"/>
  <c r="E145" i="9" s="1"/>
  <c r="E146" i="9" s="1"/>
  <c r="E147" i="9" s="1"/>
  <c r="E148" i="9" s="1"/>
  <c r="E149" i="9" s="1"/>
  <c r="E150" i="9" s="1"/>
  <c r="E151" i="9" s="1"/>
  <c r="E152" i="9" s="1"/>
  <c r="E153" i="9" s="1"/>
  <c r="E154" i="9" s="1"/>
  <c r="E155" i="9" s="1"/>
  <c r="E156" i="9" s="1"/>
  <c r="E157" i="9" s="1"/>
  <c r="E158" i="9" s="1"/>
  <c r="E159" i="9" s="1"/>
  <c r="E160" i="9" s="1"/>
  <c r="E161" i="9" s="1"/>
  <c r="E162" i="9" s="1"/>
  <c r="E163" i="9" s="1"/>
  <c r="E164" i="9" s="1"/>
  <c r="E165" i="9" s="1"/>
  <c r="E166" i="9" s="1"/>
  <c r="E167" i="9" s="1"/>
  <c r="E168" i="9" s="1"/>
  <c r="E169" i="9" s="1"/>
  <c r="E170" i="9" s="1"/>
  <c r="E171" i="9" s="1"/>
  <c r="E172" i="9" s="1"/>
  <c r="E173" i="9" s="1"/>
  <c r="E174" i="9" s="1"/>
  <c r="E175" i="9" s="1"/>
  <c r="E176" i="9" s="1"/>
  <c r="E177" i="9" s="1"/>
  <c r="E178" i="9" s="1"/>
  <c r="E179" i="9" s="1"/>
  <c r="E180" i="9" s="1"/>
  <c r="E181" i="9" s="1"/>
  <c r="E182" i="9" s="1"/>
  <c r="E183" i="9" s="1"/>
  <c r="E184" i="9" s="1"/>
  <c r="E185" i="9" s="1"/>
  <c r="E186" i="9" s="1"/>
  <c r="E187" i="9" s="1"/>
  <c r="E188" i="9" s="1"/>
  <c r="E189" i="9" s="1"/>
  <c r="E190" i="9" s="1"/>
  <c r="E191" i="9" s="1"/>
  <c r="E192" i="9" s="1"/>
  <c r="E193" i="9" s="1"/>
  <c r="E194" i="9" s="1"/>
  <c r="E195" i="9" s="1"/>
  <c r="E196" i="9" s="1"/>
  <c r="E197" i="9" s="1"/>
  <c r="E198" i="9" s="1"/>
  <c r="E199" i="9" s="1"/>
  <c r="E200" i="9" s="1"/>
  <c r="E201" i="9" s="1"/>
  <c r="E202" i="9" s="1"/>
  <c r="E203" i="9" s="1"/>
  <c r="E204" i="9" s="1"/>
  <c r="E205" i="9" s="1"/>
  <c r="E206" i="9" s="1"/>
  <c r="E207" i="9" s="1"/>
  <c r="E208" i="9" s="1"/>
  <c r="E209" i="9" s="1"/>
  <c r="E210" i="9" s="1"/>
  <c r="E211" i="9" s="1"/>
  <c r="E212" i="9" s="1"/>
  <c r="E213" i="9" s="1"/>
  <c r="E214" i="9" s="1"/>
  <c r="E215" i="9" s="1"/>
  <c r="E216" i="9" s="1"/>
  <c r="E217" i="9" s="1"/>
  <c r="E218" i="9" s="1"/>
  <c r="E219" i="9" s="1"/>
  <c r="E220" i="9" s="1"/>
  <c r="E221" i="9" s="1"/>
  <c r="E222" i="9" s="1"/>
  <c r="E223" i="9" s="1"/>
  <c r="E224" i="9" s="1"/>
  <c r="E225" i="9" s="1"/>
  <c r="E226" i="9" s="1"/>
  <c r="E227" i="9" s="1"/>
  <c r="E228" i="9" s="1"/>
  <c r="E229" i="9" s="1"/>
  <c r="E230" i="9" s="1"/>
  <c r="E231" i="9" s="1"/>
  <c r="E232" i="9" s="1"/>
  <c r="E233" i="9" s="1"/>
  <c r="E234" i="9" s="1"/>
  <c r="E235" i="9" s="1"/>
  <c r="E236" i="9" s="1"/>
  <c r="E237" i="9" s="1"/>
  <c r="E238" i="9" s="1"/>
  <c r="E239" i="9" s="1"/>
  <c r="E240" i="9" s="1"/>
  <c r="E241" i="9" s="1"/>
  <c r="E242" i="9" s="1"/>
  <c r="E243" i="9" s="1"/>
  <c r="E244" i="9" s="1"/>
  <c r="E245" i="9" s="1"/>
  <c r="E246" i="9" s="1"/>
  <c r="E247" i="9" s="1"/>
  <c r="E248" i="9" s="1"/>
  <c r="E249" i="9" s="1"/>
  <c r="E250" i="9" s="1"/>
  <c r="E251" i="9" s="1"/>
  <c r="E252" i="9" s="1"/>
  <c r="E253" i="9" s="1"/>
  <c r="E254" i="9" s="1"/>
  <c r="E255" i="9" s="1"/>
  <c r="E256" i="9" s="1"/>
  <c r="E257" i="9" s="1"/>
  <c r="E258" i="9" s="1"/>
  <c r="E259" i="9" s="1"/>
  <c r="E260" i="9" s="1"/>
  <c r="E261" i="9" s="1"/>
  <c r="E262" i="9" s="1"/>
  <c r="E263" i="9" s="1"/>
  <c r="E264" i="9" s="1"/>
  <c r="E265" i="9" s="1"/>
  <c r="E266" i="9" s="1"/>
  <c r="E267" i="9" s="1"/>
  <c r="E268" i="9" s="1"/>
  <c r="E269" i="9" s="1"/>
  <c r="E270" i="9" s="1"/>
  <c r="E271" i="9" s="1"/>
  <c r="E272" i="9" s="1"/>
  <c r="E273" i="9" s="1"/>
  <c r="E274" i="9" s="1"/>
  <c r="E275" i="9" s="1"/>
  <c r="E276" i="9" s="1"/>
  <c r="E277" i="9" s="1"/>
  <c r="E278" i="9" s="1"/>
  <c r="E279" i="9" s="1"/>
  <c r="E280" i="9" s="1"/>
  <c r="E281" i="9" s="1"/>
  <c r="E282" i="9" s="1"/>
  <c r="E283" i="9" s="1"/>
  <c r="E284" i="9" s="1"/>
  <c r="E285" i="9" s="1"/>
  <c r="E286" i="9" s="1"/>
  <c r="E287" i="9" s="1"/>
  <c r="E288" i="9" s="1"/>
  <c r="E289" i="9" s="1"/>
  <c r="E290" i="9" s="1"/>
  <c r="E291" i="9" s="1"/>
  <c r="E292" i="9" s="1"/>
  <c r="E293" i="9" s="1"/>
  <c r="E294" i="9" s="1"/>
  <c r="E295" i="9" s="1"/>
  <c r="E296" i="9" s="1"/>
  <c r="E297" i="9" s="1"/>
  <c r="E298" i="9" s="1"/>
  <c r="E299" i="9" s="1"/>
  <c r="E300" i="9" s="1"/>
  <c r="E301" i="9" s="1"/>
  <c r="E302" i="9" s="1"/>
  <c r="E303" i="9" s="1"/>
  <c r="E304" i="9" s="1"/>
  <c r="E305" i="9" s="1"/>
  <c r="E306" i="9" s="1"/>
  <c r="E307" i="9" s="1"/>
  <c r="E308" i="9" s="1"/>
  <c r="E309" i="9" s="1"/>
  <c r="E310" i="9" s="1"/>
  <c r="E311" i="9" s="1"/>
  <c r="E312" i="9" s="1"/>
  <c r="E313" i="9" s="1"/>
  <c r="E314" i="9" s="1"/>
  <c r="E315" i="9" s="1"/>
  <c r="E316" i="9" s="1"/>
  <c r="E317" i="9" s="1"/>
  <c r="E318" i="9" s="1"/>
  <c r="E319" i="9" s="1"/>
  <c r="E320" i="9" s="1"/>
  <c r="E321" i="9" s="1"/>
  <c r="E322" i="9" s="1"/>
  <c r="E323" i="9" s="1"/>
  <c r="E324" i="9" s="1"/>
  <c r="E325" i="9" s="1"/>
  <c r="E326" i="9" s="1"/>
  <c r="E327" i="9" s="1"/>
</calcChain>
</file>

<file path=xl/sharedStrings.xml><?xml version="1.0" encoding="utf-8"?>
<sst xmlns="http://schemas.openxmlformats.org/spreadsheetml/2006/main" count="7290" uniqueCount="1217">
  <si>
    <t>PERS 1 EA</t>
  </si>
  <si>
    <t>PERS 1 UAAL</t>
  </si>
  <si>
    <t>SERS 2/3 EA</t>
  </si>
  <si>
    <t>TRS 1 EA</t>
  </si>
  <si>
    <t>TRS 1 UAAL</t>
  </si>
  <si>
    <t>TRS 2/3 EA</t>
  </si>
  <si>
    <t>District Name</t>
  </si>
  <si>
    <t>CCDDD</t>
  </si>
  <si>
    <t>ESD</t>
  </si>
  <si>
    <t xml:space="preserve">Employer Contributions  </t>
  </si>
  <si>
    <t xml:space="preserve">Allocation Percentage  </t>
  </si>
  <si>
    <t xml:space="preserve"> Aberdeen School District 005 </t>
  </si>
  <si>
    <t>14005</t>
  </si>
  <si>
    <t>113</t>
  </si>
  <si>
    <t xml:space="preserve"> Adna School District 226 </t>
  </si>
  <si>
    <t>21226</t>
  </si>
  <si>
    <t xml:space="preserve"> Almira School District 017 </t>
  </si>
  <si>
    <t>22017</t>
  </si>
  <si>
    <t>101</t>
  </si>
  <si>
    <t xml:space="preserve"> Anacortes School District 103 </t>
  </si>
  <si>
    <t>29103</t>
  </si>
  <si>
    <t>189</t>
  </si>
  <si>
    <t xml:space="preserve"> Arlington School District 016 </t>
  </si>
  <si>
    <t>31016</t>
  </si>
  <si>
    <t xml:space="preserve"> Asotin Anatone School District 420 </t>
  </si>
  <si>
    <t>02420</t>
  </si>
  <si>
    <t>123</t>
  </si>
  <si>
    <t xml:space="preserve"> Auburn School District 408 </t>
  </si>
  <si>
    <t>17408</t>
  </si>
  <si>
    <t>121</t>
  </si>
  <si>
    <t xml:space="preserve"> Bainbridge Island School District 303 </t>
  </si>
  <si>
    <t>18303</t>
  </si>
  <si>
    <t xml:space="preserve"> Battle Ground School District 119 </t>
  </si>
  <si>
    <t>06119</t>
  </si>
  <si>
    <t>112</t>
  </si>
  <si>
    <t xml:space="preserve"> Bellevue School District 405 </t>
  </si>
  <si>
    <t>17405</t>
  </si>
  <si>
    <t xml:space="preserve"> Bellingham School District 501 </t>
  </si>
  <si>
    <t>37501</t>
  </si>
  <si>
    <t xml:space="preserve"> Benge School District 122 </t>
  </si>
  <si>
    <t>01122</t>
  </si>
  <si>
    <t xml:space="preserve"> Bethel School District 403 </t>
  </si>
  <si>
    <t>27403</t>
  </si>
  <si>
    <t xml:space="preserve"> Bickleton School District 203 </t>
  </si>
  <si>
    <t>20203</t>
  </si>
  <si>
    <t>105</t>
  </si>
  <si>
    <t xml:space="preserve"> Blaine School District 503 </t>
  </si>
  <si>
    <t>37503</t>
  </si>
  <si>
    <t xml:space="preserve"> Boistfort School District 234 </t>
  </si>
  <si>
    <t>21234</t>
  </si>
  <si>
    <t xml:space="preserve"> Bremerton School District 100 </t>
  </si>
  <si>
    <t>18100</t>
  </si>
  <si>
    <t>114</t>
  </si>
  <si>
    <t xml:space="preserve"> Brewster School District 111 </t>
  </si>
  <si>
    <t>24111</t>
  </si>
  <si>
    <t>171</t>
  </si>
  <si>
    <t xml:space="preserve"> Bridgeport School District 075 </t>
  </si>
  <si>
    <t>09075</t>
  </si>
  <si>
    <t xml:space="preserve"> Brinnon School District 046 </t>
  </si>
  <si>
    <t>16046</t>
  </si>
  <si>
    <t xml:space="preserve"> Burlington-Edison School District 100 </t>
  </si>
  <si>
    <t>29100</t>
  </si>
  <si>
    <t xml:space="preserve"> Camas School District 117 </t>
  </si>
  <si>
    <t>06117</t>
  </si>
  <si>
    <t xml:space="preserve"> Cape Flattery School District 401 </t>
  </si>
  <si>
    <t>05401</t>
  </si>
  <si>
    <t xml:space="preserve"> Carbonado Historical School District 019 </t>
  </si>
  <si>
    <t>27019</t>
  </si>
  <si>
    <t xml:space="preserve"> Cascade School District 228 </t>
  </si>
  <si>
    <t>04228</t>
  </si>
  <si>
    <t xml:space="preserve"> Cashmere School District 222 </t>
  </si>
  <si>
    <t>04222</t>
  </si>
  <si>
    <t xml:space="preserve"> Castle Rock School District 401 </t>
  </si>
  <si>
    <t>08401</t>
  </si>
  <si>
    <t xml:space="preserve"> Centerville School District 215 </t>
  </si>
  <si>
    <t>20215</t>
  </si>
  <si>
    <t xml:space="preserve"> Central Kitsap School District 401 </t>
  </si>
  <si>
    <t>18401</t>
  </si>
  <si>
    <t xml:space="preserve"> Central Valley School District 356 </t>
  </si>
  <si>
    <t>32356</t>
  </si>
  <si>
    <t xml:space="preserve"> Centralia School District 401 </t>
  </si>
  <si>
    <t>21401</t>
  </si>
  <si>
    <t xml:space="preserve"> Chehalis School District 302 </t>
  </si>
  <si>
    <t>21302</t>
  </si>
  <si>
    <t xml:space="preserve"> Cheney School District 360 </t>
  </si>
  <si>
    <t>32360</t>
  </si>
  <si>
    <t xml:space="preserve"> Chewelah School District 036 </t>
  </si>
  <si>
    <t>33036</t>
  </si>
  <si>
    <t xml:space="preserve"> Chimacum School District 049 </t>
  </si>
  <si>
    <t>16049</t>
  </si>
  <si>
    <t xml:space="preserve"> Clarkston School District 250 </t>
  </si>
  <si>
    <t>02250</t>
  </si>
  <si>
    <t xml:space="preserve"> Cle Elum-Roslyn School District 404  </t>
  </si>
  <si>
    <t>19404</t>
  </si>
  <si>
    <t xml:space="preserve"> Clover Park School District 400 </t>
  </si>
  <si>
    <t>27400</t>
  </si>
  <si>
    <t xml:space="preserve"> Colfax School District 300 </t>
  </si>
  <si>
    <t>38300</t>
  </si>
  <si>
    <t xml:space="preserve"> College Place School District 250 </t>
  </si>
  <si>
    <t>36250</t>
  </si>
  <si>
    <t xml:space="preserve"> Colton School District 306 </t>
  </si>
  <si>
    <t>38306</t>
  </si>
  <si>
    <t xml:space="preserve"> Columbia School District 206 </t>
  </si>
  <si>
    <t>33206</t>
  </si>
  <si>
    <t xml:space="preserve"> Columbia School District 400 </t>
  </si>
  <si>
    <t>36400</t>
  </si>
  <si>
    <t xml:space="preserve"> Colville School District 115 </t>
  </si>
  <si>
    <t>33115</t>
  </si>
  <si>
    <t xml:space="preserve"> Concrete School District 011 </t>
  </si>
  <si>
    <t>29011</t>
  </si>
  <si>
    <t xml:space="preserve"> Conway School District 317 </t>
  </si>
  <si>
    <t>29317</t>
  </si>
  <si>
    <t xml:space="preserve"> Cosmopolis School District 099 </t>
  </si>
  <si>
    <t>14099</t>
  </si>
  <si>
    <t xml:space="preserve"> Coulee Hartline School District 151 </t>
  </si>
  <si>
    <t>13151</t>
  </si>
  <si>
    <t xml:space="preserve"> Coupeville School District 204 </t>
  </si>
  <si>
    <t>15204</t>
  </si>
  <si>
    <t xml:space="preserve"> Crescent School District 313 </t>
  </si>
  <si>
    <t>05313</t>
  </si>
  <si>
    <t xml:space="preserve"> Creston School District 073 </t>
  </si>
  <si>
    <t>22073</t>
  </si>
  <si>
    <t xml:space="preserve"> Curlew School District 050 </t>
  </si>
  <si>
    <t>10050</t>
  </si>
  <si>
    <t xml:space="preserve"> Cusick School District 059 </t>
  </si>
  <si>
    <t>26059</t>
  </si>
  <si>
    <t xml:space="preserve"> Damman School District 007 </t>
  </si>
  <si>
    <t>19007</t>
  </si>
  <si>
    <t xml:space="preserve"> Darrington School District 330 </t>
  </si>
  <si>
    <t>31330</t>
  </si>
  <si>
    <t xml:space="preserve"> Davenport School District 207 </t>
  </si>
  <si>
    <t>22207</t>
  </si>
  <si>
    <t xml:space="preserve"> Dayton School District 002 </t>
  </si>
  <si>
    <t>07002</t>
  </si>
  <si>
    <t xml:space="preserve"> Deer Park School District 414 </t>
  </si>
  <si>
    <t>32414</t>
  </si>
  <si>
    <t xml:space="preserve"> Dieringer School District 343 </t>
  </si>
  <si>
    <t>27343</t>
  </si>
  <si>
    <t xml:space="preserve"> Dixie School District 101 </t>
  </si>
  <si>
    <t>36101</t>
  </si>
  <si>
    <t xml:space="preserve"> East Valley School District 090 </t>
  </si>
  <si>
    <t>39090</t>
  </si>
  <si>
    <t xml:space="preserve"> East Valley School District 361 </t>
  </si>
  <si>
    <t>32361</t>
  </si>
  <si>
    <t xml:space="preserve"> Eastmont School District 206 </t>
  </si>
  <si>
    <t>09206</t>
  </si>
  <si>
    <t xml:space="preserve"> Easton School District 028 </t>
  </si>
  <si>
    <t>19028</t>
  </si>
  <si>
    <t xml:space="preserve"> Eatonville School District 404 </t>
  </si>
  <si>
    <t>27404</t>
  </si>
  <si>
    <t xml:space="preserve"> Edmonds School District 015 </t>
  </si>
  <si>
    <t>31015</t>
  </si>
  <si>
    <t xml:space="preserve"> Educational Service District 105 </t>
  </si>
  <si>
    <t>39801</t>
  </si>
  <si>
    <t xml:space="preserve"> Educational Service District 112 </t>
  </si>
  <si>
    <t>06801</t>
  </si>
  <si>
    <t xml:space="preserve"> Educational Service District 113 </t>
  </si>
  <si>
    <t>34801</t>
  </si>
  <si>
    <t xml:space="preserve"> Educational Service District 123 </t>
  </si>
  <si>
    <t>11801</t>
  </si>
  <si>
    <t xml:space="preserve"> Ellensburg School District 401 </t>
  </si>
  <si>
    <t>19401</t>
  </si>
  <si>
    <t xml:space="preserve"> Elma School District 068  </t>
  </si>
  <si>
    <t>14068</t>
  </si>
  <si>
    <t xml:space="preserve"> Endicott School District 308 </t>
  </si>
  <si>
    <t>38308</t>
  </si>
  <si>
    <t xml:space="preserve"> Entiat School District 127 </t>
  </si>
  <si>
    <t>04127</t>
  </si>
  <si>
    <t xml:space="preserve"> Enumclaw School District 216 </t>
  </si>
  <si>
    <t>17216</t>
  </si>
  <si>
    <t xml:space="preserve"> Ephrata School District 165 </t>
  </si>
  <si>
    <t>13165</t>
  </si>
  <si>
    <t xml:space="preserve"> Evaline School District 036 </t>
  </si>
  <si>
    <t>21036</t>
  </si>
  <si>
    <t xml:space="preserve"> Everett School District 002 </t>
  </si>
  <si>
    <t>31002</t>
  </si>
  <si>
    <t xml:space="preserve"> Evergreen School District 114 </t>
  </si>
  <si>
    <t>06114</t>
  </si>
  <si>
    <t xml:space="preserve"> Evergreen School District 205 </t>
  </si>
  <si>
    <t>33205</t>
  </si>
  <si>
    <t xml:space="preserve"> Federal Way School District 210 </t>
  </si>
  <si>
    <t>17210</t>
  </si>
  <si>
    <t xml:space="preserve"> Ferndale School District 502 </t>
  </si>
  <si>
    <t>37502</t>
  </si>
  <si>
    <t xml:space="preserve"> Fife School District 417 </t>
  </si>
  <si>
    <t>27417</t>
  </si>
  <si>
    <t xml:space="preserve"> Finley School District 053 </t>
  </si>
  <si>
    <t>03053</t>
  </si>
  <si>
    <t xml:space="preserve"> Franklin Pierce School District 402 </t>
  </si>
  <si>
    <t>27402</t>
  </si>
  <si>
    <t xml:space="preserve"> Freeman School District 358 </t>
  </si>
  <si>
    <t>32358</t>
  </si>
  <si>
    <t xml:space="preserve"> Garfield School District 302 </t>
  </si>
  <si>
    <t>38302</t>
  </si>
  <si>
    <t xml:space="preserve"> Glenwood School District 401 </t>
  </si>
  <si>
    <t>20401</t>
  </si>
  <si>
    <t xml:space="preserve"> Goldendale School District 404 </t>
  </si>
  <si>
    <t>20404</t>
  </si>
  <si>
    <t xml:space="preserve"> Grand Coulee Dam School District 301 </t>
  </si>
  <si>
    <t>13301</t>
  </si>
  <si>
    <t xml:space="preserve"> Grandview School District 200 </t>
  </si>
  <si>
    <t>39200</t>
  </si>
  <si>
    <t xml:space="preserve"> Granger School District 204 </t>
  </si>
  <si>
    <t>39204</t>
  </si>
  <si>
    <t xml:space="preserve"> Granite Falls School District 332 </t>
  </si>
  <si>
    <t>31332</t>
  </si>
  <si>
    <t xml:space="preserve"> Grapeview School District 054 </t>
  </si>
  <si>
    <t>23054</t>
  </si>
  <si>
    <t xml:space="preserve"> Great Northern School District 312 </t>
  </si>
  <si>
    <t>32312</t>
  </si>
  <si>
    <t xml:space="preserve"> Green Mountain School District 103 </t>
  </si>
  <si>
    <t>06103</t>
  </si>
  <si>
    <t xml:space="preserve"> Griffin School District 324 </t>
  </si>
  <si>
    <t>34324</t>
  </si>
  <si>
    <t xml:space="preserve"> Harrington School District 204 </t>
  </si>
  <si>
    <t>22204</t>
  </si>
  <si>
    <t xml:space="preserve"> Highland School District 203 </t>
  </si>
  <si>
    <t>39203</t>
  </si>
  <si>
    <t xml:space="preserve"> Highline School District 401 </t>
  </si>
  <si>
    <t>17401</t>
  </si>
  <si>
    <t xml:space="preserve"> Hockinson School District 098 </t>
  </si>
  <si>
    <t>06098</t>
  </si>
  <si>
    <t xml:space="preserve"> Hood Canal School District 404 </t>
  </si>
  <si>
    <t>23404</t>
  </si>
  <si>
    <t xml:space="preserve"> Hoquiam School District 028 </t>
  </si>
  <si>
    <t>14028</t>
  </si>
  <si>
    <t xml:space="preserve"> Inchelium School District 070 </t>
  </si>
  <si>
    <t>10070</t>
  </si>
  <si>
    <t xml:space="preserve"> Index School District 063 </t>
  </si>
  <si>
    <t>31063</t>
  </si>
  <si>
    <t xml:space="preserve"> Issaquah School District 411 </t>
  </si>
  <si>
    <t>17411</t>
  </si>
  <si>
    <t xml:space="preserve"> Kahlotus School District 056 </t>
  </si>
  <si>
    <t>11056</t>
  </si>
  <si>
    <t xml:space="preserve"> Kalama School District 402 </t>
  </si>
  <si>
    <t>08402</t>
  </si>
  <si>
    <t xml:space="preserve"> Keller School District 003 </t>
  </si>
  <si>
    <t>10003</t>
  </si>
  <si>
    <t xml:space="preserve"> Kelso School District 458 </t>
  </si>
  <si>
    <t>08458</t>
  </si>
  <si>
    <t xml:space="preserve"> Kennewick School District 017 </t>
  </si>
  <si>
    <t>03017</t>
  </si>
  <si>
    <t xml:space="preserve"> Kent School District 415 </t>
  </si>
  <si>
    <t>17415</t>
  </si>
  <si>
    <t xml:space="preserve"> Kettle Falls School District 212 </t>
  </si>
  <si>
    <t>33212</t>
  </si>
  <si>
    <t xml:space="preserve"> Kiona-Benton City School District 052 </t>
  </si>
  <si>
    <t>03052</t>
  </si>
  <si>
    <t xml:space="preserve"> Kittitas School District 403 </t>
  </si>
  <si>
    <t>19403</t>
  </si>
  <si>
    <t xml:space="preserve"> Klickitat School District 402 </t>
  </si>
  <si>
    <t>20402</t>
  </si>
  <si>
    <t xml:space="preserve"> La Center School District 101 </t>
  </si>
  <si>
    <t>06101</t>
  </si>
  <si>
    <t xml:space="preserve"> La Conner School District 311 </t>
  </si>
  <si>
    <t>29311</t>
  </si>
  <si>
    <t xml:space="preserve"> LaCrosse School District 126 </t>
  </si>
  <si>
    <t>38126</t>
  </si>
  <si>
    <t xml:space="preserve"> Lake Chelan School District 129 </t>
  </si>
  <si>
    <t>04129</t>
  </si>
  <si>
    <t xml:space="preserve"> Lake Stevens School District 004 </t>
  </si>
  <si>
    <t>31004</t>
  </si>
  <si>
    <t xml:space="preserve"> Lake Washington School District 414 </t>
  </si>
  <si>
    <t>17414</t>
  </si>
  <si>
    <t xml:space="preserve"> Lakewood School District 306 </t>
  </si>
  <si>
    <t>31306</t>
  </si>
  <si>
    <t xml:space="preserve"> Lamont School District 264 </t>
  </si>
  <si>
    <t>38264</t>
  </si>
  <si>
    <t xml:space="preserve"> Liberty School District 362 </t>
  </si>
  <si>
    <t>32362</t>
  </si>
  <si>
    <t xml:space="preserve"> Lind School District 158 </t>
  </si>
  <si>
    <t>01158</t>
  </si>
  <si>
    <t xml:space="preserve"> Longview School District 122 </t>
  </si>
  <si>
    <t>08122</t>
  </si>
  <si>
    <t xml:space="preserve"> Loon Lake School District 183 </t>
  </si>
  <si>
    <t>33183</t>
  </si>
  <si>
    <t xml:space="preserve"> Lopez Island School District 144 </t>
  </si>
  <si>
    <t>28144</t>
  </si>
  <si>
    <t xml:space="preserve"> Lyle School District 406 </t>
  </si>
  <si>
    <t>20406</t>
  </si>
  <si>
    <t xml:space="preserve"> Lynden School District 504 </t>
  </si>
  <si>
    <t>37504</t>
  </si>
  <si>
    <t xml:space="preserve"> Mabton School District 120 </t>
  </si>
  <si>
    <t>39120</t>
  </si>
  <si>
    <t xml:space="preserve"> Mansfield School District 207 </t>
  </si>
  <si>
    <t>09207</t>
  </si>
  <si>
    <t xml:space="preserve"> Manson School District 019 </t>
  </si>
  <si>
    <t>04019</t>
  </si>
  <si>
    <t xml:space="preserve"> Mary M. Knight School District 311 </t>
  </si>
  <si>
    <t>23311</t>
  </si>
  <si>
    <t xml:space="preserve"> Mary Walker School District 207 </t>
  </si>
  <si>
    <t>33207</t>
  </si>
  <si>
    <t xml:space="preserve"> Marysville School District 025 </t>
  </si>
  <si>
    <t>31025</t>
  </si>
  <si>
    <t xml:space="preserve"> McCleary School District 065 </t>
  </si>
  <si>
    <t>14065</t>
  </si>
  <si>
    <t xml:space="preserve"> Mead School District 354 </t>
  </si>
  <si>
    <t>32354</t>
  </si>
  <si>
    <t xml:space="preserve"> Medical Lake School District 326 </t>
  </si>
  <si>
    <t>32326</t>
  </si>
  <si>
    <t xml:space="preserve"> Mercer Island School District 400 </t>
  </si>
  <si>
    <t>17400</t>
  </si>
  <si>
    <t xml:space="preserve"> Meridian School District 505 </t>
  </si>
  <si>
    <t>37505</t>
  </si>
  <si>
    <t xml:space="preserve"> Methow Valley School District 350 </t>
  </si>
  <si>
    <t>24350</t>
  </si>
  <si>
    <t xml:space="preserve"> Mill A School District 031 </t>
  </si>
  <si>
    <t>30031</t>
  </si>
  <si>
    <t xml:space="preserve"> Monroe School District 103 </t>
  </si>
  <si>
    <t>31103</t>
  </si>
  <si>
    <t xml:space="preserve"> Montesano School District 066 </t>
  </si>
  <si>
    <t>14066</t>
  </si>
  <si>
    <t xml:space="preserve"> Morton School District 214 </t>
  </si>
  <si>
    <t>21214</t>
  </si>
  <si>
    <t xml:space="preserve"> Moses Lake School District 161 </t>
  </si>
  <si>
    <t>13161</t>
  </si>
  <si>
    <t xml:space="preserve"> Mossyrock School District 206 </t>
  </si>
  <si>
    <t>21206</t>
  </si>
  <si>
    <t xml:space="preserve"> Mount Adams School District 209 </t>
  </si>
  <si>
    <t>39209</t>
  </si>
  <si>
    <t xml:space="preserve"> Mount Baker School District 507 </t>
  </si>
  <si>
    <t>37507</t>
  </si>
  <si>
    <t xml:space="preserve"> Mount Pleasant School District 029-93 </t>
  </si>
  <si>
    <t>30029</t>
  </si>
  <si>
    <t xml:space="preserve"> Mount Vernon School District 320  </t>
  </si>
  <si>
    <t>29320</t>
  </si>
  <si>
    <t xml:space="preserve"> Mukilteo School District 006 </t>
  </si>
  <si>
    <t>31006</t>
  </si>
  <si>
    <t xml:space="preserve"> Naches Valley School District 003 </t>
  </si>
  <si>
    <t>39003</t>
  </si>
  <si>
    <t xml:space="preserve"> Napavine School District 014 </t>
  </si>
  <si>
    <t>21014</t>
  </si>
  <si>
    <t xml:space="preserve"> Naselle-Grays River Valley School District  </t>
  </si>
  <si>
    <t>25155</t>
  </si>
  <si>
    <t xml:space="preserve"> Nespelem School District 014 </t>
  </si>
  <si>
    <t>24014</t>
  </si>
  <si>
    <t xml:space="preserve"> Newport School District 056-415 </t>
  </si>
  <si>
    <t>26056</t>
  </si>
  <si>
    <t xml:space="preserve"> Nine Mile Falls School District 325 </t>
  </si>
  <si>
    <t>32325</t>
  </si>
  <si>
    <t xml:space="preserve"> Nooksack Valley School District 506 </t>
  </si>
  <si>
    <t>37506</t>
  </si>
  <si>
    <t xml:space="preserve"> North Beach School District 064 </t>
  </si>
  <si>
    <t>14064</t>
  </si>
  <si>
    <t xml:space="preserve"> North Central WA Educational Service District 171</t>
  </si>
  <si>
    <t>04801</t>
  </si>
  <si>
    <t xml:space="preserve"> North Franklin School District 051 </t>
  </si>
  <si>
    <t>11051</t>
  </si>
  <si>
    <t xml:space="preserve"> North Kitsap School District 400 </t>
  </si>
  <si>
    <t>18400</t>
  </si>
  <si>
    <t xml:space="preserve"> North Mason School District 403 </t>
  </si>
  <si>
    <t>23403</t>
  </si>
  <si>
    <t xml:space="preserve"> North River School District 200 </t>
  </si>
  <si>
    <t>25200</t>
  </si>
  <si>
    <t xml:space="preserve"> North Thurston Public Schools </t>
  </si>
  <si>
    <t>34003</t>
  </si>
  <si>
    <t xml:space="preserve"> Northeast WA Educational Service District 101 </t>
  </si>
  <si>
    <t>32801</t>
  </si>
  <si>
    <t xml:space="preserve"> Northport School District 211 </t>
  </si>
  <si>
    <t>33211</t>
  </si>
  <si>
    <t xml:space="preserve"> Northshore School District 417 </t>
  </si>
  <si>
    <t>17417</t>
  </si>
  <si>
    <t xml:space="preserve"> Northwest Regional Educational Service District 189</t>
  </si>
  <si>
    <t>29801</t>
  </si>
  <si>
    <t xml:space="preserve"> Oak Harbor School District 201 </t>
  </si>
  <si>
    <t>15201</t>
  </si>
  <si>
    <t xml:space="preserve"> Oakesdale School District 324  </t>
  </si>
  <si>
    <t>38324</t>
  </si>
  <si>
    <t xml:space="preserve"> Oakville School District 400 </t>
  </si>
  <si>
    <t>14400</t>
  </si>
  <si>
    <t xml:space="preserve"> Ocean Beach School District 101 </t>
  </si>
  <si>
    <t>25101</t>
  </si>
  <si>
    <t xml:space="preserve"> Ocosta School District 172 </t>
  </si>
  <si>
    <t>14172</t>
  </si>
  <si>
    <t xml:space="preserve"> Odessa School District 105 </t>
  </si>
  <si>
    <t>22105</t>
  </si>
  <si>
    <t xml:space="preserve"> Okanogan School District 105 </t>
  </si>
  <si>
    <t>24105</t>
  </si>
  <si>
    <t xml:space="preserve"> Olympia School District 111 </t>
  </si>
  <si>
    <t>34111</t>
  </si>
  <si>
    <t xml:space="preserve"> Olympic Educational Service District 114</t>
  </si>
  <si>
    <t>18801</t>
  </si>
  <si>
    <t xml:space="preserve"> Omak School District 019 </t>
  </si>
  <si>
    <t>24019</t>
  </si>
  <si>
    <t xml:space="preserve"> Onalaska School District 300 </t>
  </si>
  <si>
    <t>21300</t>
  </si>
  <si>
    <t xml:space="preserve"> Onion Creek School District 030 </t>
  </si>
  <si>
    <t>33030</t>
  </si>
  <si>
    <t xml:space="preserve"> Orcas Island School District 137 </t>
  </si>
  <si>
    <t>28137</t>
  </si>
  <si>
    <t xml:space="preserve"> Orchard Prairie School District 123 </t>
  </si>
  <si>
    <t>32123</t>
  </si>
  <si>
    <t xml:space="preserve"> Orient School District 065 </t>
  </si>
  <si>
    <t>10065</t>
  </si>
  <si>
    <t xml:space="preserve"> Orondo School District 013 </t>
  </si>
  <si>
    <t>09013</t>
  </si>
  <si>
    <t xml:space="preserve"> Oroville School District 410 </t>
  </si>
  <si>
    <t>24410</t>
  </si>
  <si>
    <t xml:space="preserve"> Orting School District 344 </t>
  </si>
  <si>
    <t>27344</t>
  </si>
  <si>
    <t xml:space="preserve"> Othello School District 147 </t>
  </si>
  <si>
    <t>01147</t>
  </si>
  <si>
    <t xml:space="preserve"> Palisades School District 102 </t>
  </si>
  <si>
    <t>09102</t>
  </si>
  <si>
    <t xml:space="preserve"> Palouse School District 301 </t>
  </si>
  <si>
    <t>38301</t>
  </si>
  <si>
    <t xml:space="preserve"> Pasco School District 001 </t>
  </si>
  <si>
    <t>11001</t>
  </si>
  <si>
    <t xml:space="preserve"> Pateros School District 122 </t>
  </si>
  <si>
    <t>24122</t>
  </si>
  <si>
    <t xml:space="preserve"> Paterson School District 050 </t>
  </si>
  <si>
    <t>03050</t>
  </si>
  <si>
    <t xml:space="preserve"> Pe Ell School District 301 </t>
  </si>
  <si>
    <t>21301</t>
  </si>
  <si>
    <t xml:space="preserve"> Peninsula School District 401 </t>
  </si>
  <si>
    <t>27401</t>
  </si>
  <si>
    <t xml:space="preserve"> Pioneer School District 402 </t>
  </si>
  <si>
    <t>23402</t>
  </si>
  <si>
    <t xml:space="preserve"> Pomeroy School District 110 </t>
  </si>
  <si>
    <t>12110</t>
  </si>
  <si>
    <t xml:space="preserve"> Port Angeles School District 121 </t>
  </si>
  <si>
    <t>05121</t>
  </si>
  <si>
    <t xml:space="preserve"> Port Townsend School District 050 </t>
  </si>
  <si>
    <t>16050</t>
  </si>
  <si>
    <t xml:space="preserve"> Prescott School District 402 </t>
  </si>
  <si>
    <t>36402</t>
  </si>
  <si>
    <t xml:space="preserve"> Prosser School District 116 </t>
  </si>
  <si>
    <t>03116</t>
  </si>
  <si>
    <t xml:space="preserve"> Puget Sound Educational Service District 121</t>
  </si>
  <si>
    <t>17801</t>
  </si>
  <si>
    <t xml:space="preserve"> Pullman School District 267 </t>
  </si>
  <si>
    <t>38267</t>
  </si>
  <si>
    <t xml:space="preserve"> Puyallup School District 003 </t>
  </si>
  <si>
    <t>27003</t>
  </si>
  <si>
    <t xml:space="preserve"> Queets-Clearwater School District 020 </t>
  </si>
  <si>
    <t>16020</t>
  </si>
  <si>
    <t xml:space="preserve"> Quilcene School District 048 </t>
  </si>
  <si>
    <t>16048</t>
  </si>
  <si>
    <t xml:space="preserve"> Quillayute School District 402 </t>
  </si>
  <si>
    <t>05402</t>
  </si>
  <si>
    <t xml:space="preserve"> Quinault Lake School District 097 </t>
  </si>
  <si>
    <t>14097</t>
  </si>
  <si>
    <t xml:space="preserve"> Quincy School District 144 </t>
  </si>
  <si>
    <t>13144</t>
  </si>
  <si>
    <t xml:space="preserve"> Rainier School District 307 </t>
  </si>
  <si>
    <t>34307</t>
  </si>
  <si>
    <t xml:space="preserve"> Raymond School District 116 </t>
  </si>
  <si>
    <t>25116</t>
  </si>
  <si>
    <t xml:space="preserve"> Reardan-Edwall School District 009 </t>
  </si>
  <si>
    <t>22009</t>
  </si>
  <si>
    <t xml:space="preserve"> Renton School District 403 </t>
  </si>
  <si>
    <t>17403</t>
  </si>
  <si>
    <t xml:space="preserve"> Republic School District 309 </t>
  </si>
  <si>
    <t>10309</t>
  </si>
  <si>
    <t xml:space="preserve"> Richland School District 400 </t>
  </si>
  <si>
    <t>03400</t>
  </si>
  <si>
    <t xml:space="preserve"> Ridgefield School District 122 </t>
  </si>
  <si>
    <t>06122</t>
  </si>
  <si>
    <t xml:space="preserve"> Ritzville School District 160 </t>
  </si>
  <si>
    <t>01160</t>
  </si>
  <si>
    <t xml:space="preserve"> Riverside School District 416 </t>
  </si>
  <si>
    <t>32416</t>
  </si>
  <si>
    <t xml:space="preserve"> Riverview School District 407 </t>
  </si>
  <si>
    <t>17407</t>
  </si>
  <si>
    <t xml:space="preserve"> Rochester School District 401 </t>
  </si>
  <si>
    <t>34401</t>
  </si>
  <si>
    <t xml:space="preserve"> Roosevelt School District 403 </t>
  </si>
  <si>
    <t>20403</t>
  </si>
  <si>
    <t xml:space="preserve"> Rosalia School District 320 </t>
  </si>
  <si>
    <t>38320</t>
  </si>
  <si>
    <t xml:space="preserve"> Royal School District 160 </t>
  </si>
  <si>
    <t>13160</t>
  </si>
  <si>
    <t xml:space="preserve"> Saint John School District 322 </t>
  </si>
  <si>
    <t>38322</t>
  </si>
  <si>
    <t xml:space="preserve"> San Juan Island School District 149 </t>
  </si>
  <si>
    <t>28149</t>
  </si>
  <si>
    <t xml:space="preserve"> Satsop School District 104  </t>
  </si>
  <si>
    <t>14104</t>
  </si>
  <si>
    <t xml:space="preserve"> Seattle School District 001  </t>
  </si>
  <si>
    <t>17001</t>
  </si>
  <si>
    <t xml:space="preserve"> Sedro-Woolley School District 101 </t>
  </si>
  <si>
    <t>29101</t>
  </si>
  <si>
    <t xml:space="preserve"> Selah School District 119 </t>
  </si>
  <si>
    <t>39119</t>
  </si>
  <si>
    <t xml:space="preserve"> Selkirk School District 070 </t>
  </si>
  <si>
    <t>26070</t>
  </si>
  <si>
    <t xml:space="preserve"> Sequim School District 323 </t>
  </si>
  <si>
    <t>05323</t>
  </si>
  <si>
    <t xml:space="preserve"> Shaw Island School District 010 </t>
  </si>
  <si>
    <t>28010</t>
  </si>
  <si>
    <t xml:space="preserve"> Shelton School District 309 </t>
  </si>
  <si>
    <t>23309</t>
  </si>
  <si>
    <t xml:space="preserve"> Shoreline School District 412 </t>
  </si>
  <si>
    <t>17412</t>
  </si>
  <si>
    <t xml:space="preserve"> Skamania School District 002 </t>
  </si>
  <si>
    <t>30002</t>
  </si>
  <si>
    <t xml:space="preserve"> Skykomish School District 404 </t>
  </si>
  <si>
    <t>17404</t>
  </si>
  <si>
    <t xml:space="preserve"> Snohomish School District 201 </t>
  </si>
  <si>
    <t>31201</t>
  </si>
  <si>
    <t xml:space="preserve"> Snoqualmie Valley School District 410 </t>
  </si>
  <si>
    <t>17410</t>
  </si>
  <si>
    <t xml:space="preserve"> Soap Lake School District 156 </t>
  </si>
  <si>
    <t>13156</t>
  </si>
  <si>
    <t xml:space="preserve"> South Bend School District 118 </t>
  </si>
  <si>
    <t>25118</t>
  </si>
  <si>
    <t xml:space="preserve"> South Kitsap School District 402 </t>
  </si>
  <si>
    <t>18402</t>
  </si>
  <si>
    <t xml:space="preserve"> South Whidbey School District 206 </t>
  </si>
  <si>
    <t>15206</t>
  </si>
  <si>
    <t xml:space="preserve"> Southside School District 042 </t>
  </si>
  <si>
    <t>23042</t>
  </si>
  <si>
    <t xml:space="preserve"> Spokane Public Schools </t>
  </si>
  <si>
    <t>32081</t>
  </si>
  <si>
    <t xml:space="preserve"> Sprague School District 008 </t>
  </si>
  <si>
    <t>22008</t>
  </si>
  <si>
    <t xml:space="preserve"> Stanwood-Camano School District 401 </t>
  </si>
  <si>
    <t>31401</t>
  </si>
  <si>
    <t xml:space="preserve"> Star School District 054 </t>
  </si>
  <si>
    <t>11054</t>
  </si>
  <si>
    <t xml:space="preserve"> Starbuck School District 035 </t>
  </si>
  <si>
    <t>07035</t>
  </si>
  <si>
    <t xml:space="preserve"> Stehekin School District 069 </t>
  </si>
  <si>
    <t>04069</t>
  </si>
  <si>
    <t xml:space="preserve"> Steilacoom Historical School District 001 </t>
  </si>
  <si>
    <t>27001</t>
  </si>
  <si>
    <t xml:space="preserve"> Steptoe School District 304 </t>
  </si>
  <si>
    <t>38304</t>
  </si>
  <si>
    <t xml:space="preserve"> Stevenson-Carson School District 303 </t>
  </si>
  <si>
    <t>30303</t>
  </si>
  <si>
    <t xml:space="preserve"> Sultan School District 311 </t>
  </si>
  <si>
    <t>31311</t>
  </si>
  <si>
    <t xml:space="preserve"> Summit Valley School District 202 </t>
  </si>
  <si>
    <t>33202</t>
  </si>
  <si>
    <t xml:space="preserve"> Sumner School District 320 </t>
  </si>
  <si>
    <t>27320</t>
  </si>
  <si>
    <t xml:space="preserve"> Sunnyside School District 201 </t>
  </si>
  <si>
    <t>39201</t>
  </si>
  <si>
    <t xml:space="preserve"> Tacoma School District 010 </t>
  </si>
  <si>
    <t>27010</t>
  </si>
  <si>
    <t xml:space="preserve"> Taholah School District 077 </t>
  </si>
  <si>
    <t>14077</t>
  </si>
  <si>
    <t xml:space="preserve"> Tahoma School District 409 </t>
  </si>
  <si>
    <t>17409</t>
  </si>
  <si>
    <t xml:space="preserve"> Tekoa School District 265 </t>
  </si>
  <si>
    <t>38265</t>
  </si>
  <si>
    <t xml:space="preserve"> Tenino School District 402 </t>
  </si>
  <si>
    <t>34402</t>
  </si>
  <si>
    <t xml:space="preserve"> Thorp School District 400 </t>
  </si>
  <si>
    <t>19400</t>
  </si>
  <si>
    <t xml:space="preserve"> Toledo School District 237 </t>
  </si>
  <si>
    <t>21237</t>
  </si>
  <si>
    <t xml:space="preserve"> Tonasket School District 404 </t>
  </si>
  <si>
    <t>24404</t>
  </si>
  <si>
    <t xml:space="preserve"> Toppenish School District 202  </t>
  </si>
  <si>
    <t>39202</t>
  </si>
  <si>
    <t xml:space="preserve"> Touchet School District 300 </t>
  </si>
  <si>
    <t>36300</t>
  </si>
  <si>
    <t xml:space="preserve"> Toutle Lake School District 130 </t>
  </si>
  <si>
    <t>08130</t>
  </si>
  <si>
    <t xml:space="preserve"> Trout Lake School District 400 </t>
  </si>
  <si>
    <t>20400</t>
  </si>
  <si>
    <t xml:space="preserve"> Tukwila School District 406 </t>
  </si>
  <si>
    <t>17406</t>
  </si>
  <si>
    <t xml:space="preserve"> Tumwater School District 033 </t>
  </si>
  <si>
    <t>34033</t>
  </si>
  <si>
    <t xml:space="preserve"> Union Gap School District 002 </t>
  </si>
  <si>
    <t>39002</t>
  </si>
  <si>
    <t xml:space="preserve"> University Place School District 083 </t>
  </si>
  <si>
    <t>27083</t>
  </si>
  <si>
    <t xml:space="preserve"> Valley School District 070 </t>
  </si>
  <si>
    <t>33070</t>
  </si>
  <si>
    <t xml:space="preserve"> Vancouver School District 037 </t>
  </si>
  <si>
    <t>06037</t>
  </si>
  <si>
    <t xml:space="preserve"> Vashon Island School District 402 </t>
  </si>
  <si>
    <t>17402</t>
  </si>
  <si>
    <t xml:space="preserve"> Wahkiakum School District 200 </t>
  </si>
  <si>
    <t>35200</t>
  </si>
  <si>
    <t xml:space="preserve"> Wahluke School District 073 </t>
  </si>
  <si>
    <t>13073</t>
  </si>
  <si>
    <t xml:space="preserve"> Waitsburg School District 401 </t>
  </si>
  <si>
    <t>36401</t>
  </si>
  <si>
    <t xml:space="preserve"> Walla Walla School District 140 </t>
  </si>
  <si>
    <t>36140</t>
  </si>
  <si>
    <t xml:space="preserve"> Wapato School District 207 </t>
  </si>
  <si>
    <t>39207</t>
  </si>
  <si>
    <t xml:space="preserve"> Warden Joint Consolidated School District 146-161 </t>
  </si>
  <si>
    <t>13146</t>
  </si>
  <si>
    <t xml:space="preserve"> Washougal School District 112-6 </t>
  </si>
  <si>
    <t>06112</t>
  </si>
  <si>
    <t xml:space="preserve"> Washtucna School District 109 </t>
  </si>
  <si>
    <t>01109</t>
  </si>
  <si>
    <t xml:space="preserve"> Waterville School District 209 </t>
  </si>
  <si>
    <t>09209</t>
  </si>
  <si>
    <t xml:space="preserve"> Wellpinit School District 049 </t>
  </si>
  <si>
    <t>33049</t>
  </si>
  <si>
    <t xml:space="preserve"> Wenatchee School District 246 </t>
  </si>
  <si>
    <t>04246</t>
  </si>
  <si>
    <t xml:space="preserve"> West Valley School District 208 </t>
  </si>
  <si>
    <t>39208</t>
  </si>
  <si>
    <t xml:space="preserve"> West Valley School District 363 </t>
  </si>
  <si>
    <t>32363</t>
  </si>
  <si>
    <t xml:space="preserve"> White Pass School District 303 </t>
  </si>
  <si>
    <t>21303</t>
  </si>
  <si>
    <t xml:space="preserve"> White River School District 416 </t>
  </si>
  <si>
    <t>27416</t>
  </si>
  <si>
    <t xml:space="preserve"> White Salmon School District 405 </t>
  </si>
  <si>
    <t>20405</t>
  </si>
  <si>
    <t xml:space="preserve"> Wilbur School District 200 </t>
  </si>
  <si>
    <t>22200</t>
  </si>
  <si>
    <t xml:space="preserve"> Willapa Valley School District 160 </t>
  </si>
  <si>
    <t>25160</t>
  </si>
  <si>
    <t xml:space="preserve"> Wilson Creek School District 167 </t>
  </si>
  <si>
    <t>13167</t>
  </si>
  <si>
    <t xml:space="preserve"> Winlock School District 232 </t>
  </si>
  <si>
    <t>21232</t>
  </si>
  <si>
    <t xml:space="preserve"> Wishkah Valley School District 117 </t>
  </si>
  <si>
    <t>14117</t>
  </si>
  <si>
    <t xml:space="preserve"> Wishram School District 094 </t>
  </si>
  <si>
    <t>20094</t>
  </si>
  <si>
    <t xml:space="preserve"> Woodland School District 404 </t>
  </si>
  <si>
    <t>08404</t>
  </si>
  <si>
    <t xml:space="preserve"> Yakima School District 007 </t>
  </si>
  <si>
    <t>39007</t>
  </si>
  <si>
    <t xml:space="preserve"> Yelm School District 002 </t>
  </si>
  <si>
    <t>34002</t>
  </si>
  <si>
    <t xml:space="preserve"> Zillah School District 205 </t>
  </si>
  <si>
    <t>39205</t>
  </si>
  <si>
    <t>Grand Total</t>
  </si>
  <si>
    <t>PERS 1 Comp</t>
  </si>
  <si>
    <t>SERS 2/3 Comp</t>
  </si>
  <si>
    <t>TRS 1 Comp</t>
  </si>
  <si>
    <t>TRS 2/3 Comp</t>
  </si>
  <si>
    <t>PERS 1</t>
  </si>
  <si>
    <t>SERS 2/3</t>
  </si>
  <si>
    <t>TRS 1</t>
  </si>
  <si>
    <t>TRS 2/3</t>
  </si>
  <si>
    <t>School District &amp; ESD totals with Plan totals.</t>
  </si>
  <si>
    <t>2014 PEFI</t>
  </si>
  <si>
    <t>new excel file</t>
  </si>
  <si>
    <t>Contributions</t>
  </si>
  <si>
    <t xml:space="preserve">TAB </t>
  </si>
  <si>
    <t>p1</t>
  </si>
  <si>
    <t>e23</t>
  </si>
  <si>
    <t>Alloc Totals</t>
  </si>
  <si>
    <t>t1</t>
  </si>
  <si>
    <t>t23</t>
  </si>
  <si>
    <r>
      <t xml:space="preserve"> </t>
    </r>
    <r>
      <rPr>
        <sz val="10"/>
        <color indexed="8"/>
        <rFont val="Calibri"/>
        <family val="2"/>
        <scheme val="minor"/>
      </rPr>
      <t xml:space="preserve">Total State of Washington and All Other Employers — Employer Allocations </t>
    </r>
    <r>
      <rPr>
        <sz val="10"/>
        <rFont val="Calibri"/>
        <family val="2"/>
        <scheme val="minor"/>
      </rPr>
      <t xml:space="preserve"> </t>
    </r>
  </si>
  <si>
    <r>
      <t xml:space="preserve"> </t>
    </r>
    <r>
      <rPr>
        <sz val="10"/>
        <color indexed="8"/>
        <rFont val="Calibri"/>
        <family val="2"/>
        <scheme val="minor"/>
      </rPr>
      <t xml:space="preserve">Total State of Washington and All Other Employers — Plan 1 UAAL </t>
    </r>
    <r>
      <rPr>
        <sz val="10"/>
        <rFont val="Calibri"/>
        <family val="2"/>
        <scheme val="minor"/>
      </rPr>
      <t xml:space="preserve"> </t>
    </r>
  </si>
  <si>
    <r>
      <t xml:space="preserve"> </t>
    </r>
    <r>
      <rPr>
        <b/>
        <sz val="10"/>
        <color indexed="8"/>
        <rFont val="Calibri"/>
        <family val="2"/>
        <scheme val="minor"/>
      </rPr>
      <t xml:space="preserve">Grand Total Plan 1 Employer Contributions and Plan 1 UAAL </t>
    </r>
    <r>
      <rPr>
        <sz val="10"/>
        <rFont val="Calibri"/>
        <family val="2"/>
        <scheme val="minor"/>
      </rPr>
      <t xml:space="preserve"> </t>
    </r>
  </si>
  <si>
    <r>
      <t xml:space="preserve"> </t>
    </r>
    <r>
      <rPr>
        <b/>
        <sz val="10"/>
        <color indexed="8"/>
        <rFont val="Calibri"/>
        <family val="2"/>
        <scheme val="minor"/>
      </rPr>
      <t xml:space="preserve">Grand Total All Employers — Employer Allocations </t>
    </r>
    <r>
      <rPr>
        <sz val="10"/>
        <rFont val="Calibri"/>
        <family val="2"/>
        <scheme val="minor"/>
      </rPr>
      <t xml:space="preserve"> </t>
    </r>
  </si>
  <si>
    <r>
      <t xml:space="preserve"> </t>
    </r>
    <r>
      <rPr>
        <b/>
        <sz val="10"/>
        <color indexed="8"/>
        <rFont val="Calibri"/>
        <family val="2"/>
        <scheme val="minor"/>
      </rPr>
      <t xml:space="preserve">Grand Total State of Washington and All Other Employers — Employer Allocations </t>
    </r>
    <r>
      <rPr>
        <sz val="10"/>
        <rFont val="Calibri"/>
        <family val="2"/>
        <scheme val="minor"/>
      </rPr>
      <t xml:space="preserve"> </t>
    </r>
  </si>
  <si>
    <t>Basic Elements of the Pension Plans</t>
  </si>
  <si>
    <t>Total Plan Contributions</t>
  </si>
  <si>
    <t>District’s Annual Contributions</t>
  </si>
  <si>
    <t>Employer Allocation Percentage</t>
  </si>
  <si>
    <t>Proportionate Share of the  Net Pension Liability</t>
  </si>
  <si>
    <t>Totals</t>
  </si>
  <si>
    <t>Data as presented by DRS in excel file for use in 2015 PEFI</t>
  </si>
  <si>
    <r>
      <rPr>
        <b/>
        <sz val="12"/>
        <color theme="1"/>
        <rFont val="Calibri"/>
        <family val="2"/>
        <scheme val="minor"/>
      </rPr>
      <t>Data Format</t>
    </r>
    <r>
      <rPr>
        <sz val="11"/>
        <color theme="1"/>
        <rFont val="Calibri"/>
        <family val="2"/>
        <scheme val="minor"/>
      </rPr>
      <t xml:space="preserve"> as presented on 2014 PEFI</t>
    </r>
  </si>
  <si>
    <t xml:space="preserve">DATA NOT provided in the 2014 DRS PEFI </t>
  </si>
  <si>
    <r>
      <t xml:space="preserve"> </t>
    </r>
    <r>
      <rPr>
        <b/>
        <sz val="10"/>
        <color indexed="8"/>
        <rFont val="Calibri"/>
        <family val="2"/>
        <scheme val="minor"/>
      </rPr>
      <t xml:space="preserve">Grand Total Employer Contributions  </t>
    </r>
    <r>
      <rPr>
        <sz val="10"/>
        <rFont val="Calibri"/>
        <family val="2"/>
        <scheme val="minor"/>
      </rPr>
      <t xml:space="preserve"> </t>
    </r>
  </si>
  <si>
    <t xml:space="preserve">District’s Reportable Compensation </t>
  </si>
  <si>
    <t>PERS1</t>
  </si>
  <si>
    <t>SERS2/3</t>
  </si>
  <si>
    <t>Amount Increased</t>
  </si>
  <si>
    <t>Amount Decreased</t>
  </si>
  <si>
    <t>Net Pension Liabilities SERS 2/3</t>
  </si>
  <si>
    <t>Net Pension Liabilities TRS 1</t>
  </si>
  <si>
    <t>Net Pension Liabilities TRS 2/3</t>
  </si>
  <si>
    <t>Beginning Liability</t>
  </si>
  <si>
    <t>Schedule of Total Employer Contributions, by Plan, by Year</t>
  </si>
  <si>
    <t>Schedule of Employer Reportable Compensation, by Plan</t>
  </si>
  <si>
    <t>C</t>
  </si>
  <si>
    <t>D</t>
  </si>
  <si>
    <t>E</t>
  </si>
  <si>
    <t>F</t>
  </si>
  <si>
    <t>TABLE 1 – Pension Census Data for School Districts and ESDs</t>
  </si>
  <si>
    <t>TABLE 2 – Pension Contribution Rates for School Districts and ESDs</t>
  </si>
  <si>
    <t>Source: Washington State Office of the State Actuary</t>
  </si>
  <si>
    <t xml:space="preserve">Source: State of Washington Department of Retirement Systems </t>
  </si>
  <si>
    <t>Membership</t>
  </si>
  <si>
    <t>Pension Rates</t>
  </si>
  <si>
    <t>Plan</t>
  </si>
  <si>
    <t>Plan totals not used</t>
  </si>
  <si>
    <t>SERS 2</t>
  </si>
  <si>
    <t>Member Contribution Rate</t>
  </si>
  <si>
    <t>SERS 3</t>
  </si>
  <si>
    <t>Employer Contribution Rate</t>
  </si>
  <si>
    <t>TRS 2</t>
  </si>
  <si>
    <t>TRS 3</t>
  </si>
  <si>
    <t>*</t>
  </si>
  <si>
    <t>**</t>
  </si>
  <si>
    <t>Note:  The DRS administrative rate of .0018  is included in the employer rate.</t>
  </si>
  <si>
    <t>* = Variable from 5% to 15% based on rate selected by the member.</t>
  </si>
  <si>
    <t>** = Defined benefit portion only.</t>
  </si>
  <si>
    <t>Current year proportionate share of the Net Pension Liability</t>
  </si>
  <si>
    <t>Prior year proportionate share of the Net Pension Liability</t>
  </si>
  <si>
    <t>Net difference percentage</t>
  </si>
  <si>
    <t>Sensitivity of the net pension liability to changes in the discount rate:</t>
  </si>
  <si>
    <t xml:space="preserve">Participating Plans for TRS, PERS, and SERS  </t>
  </si>
  <si>
    <t>%NPL</t>
  </si>
  <si>
    <t>District’s PERS1</t>
  </si>
  <si>
    <t>District’s SERS2/3</t>
  </si>
  <si>
    <t>TRS1</t>
  </si>
  <si>
    <t xml:space="preserve">District’s TRS1 </t>
  </si>
  <si>
    <t>TRS2/3</t>
  </si>
  <si>
    <t xml:space="preserve">District’s TRS2/3 </t>
  </si>
  <si>
    <t xml:space="preserve">A school district is solely responsible for its financial statements and in evaluating the district-specific pension information presented.  </t>
  </si>
  <si>
    <t>Net Pension Liabilities PERS 1</t>
  </si>
  <si>
    <t>PERS 2/3</t>
  </si>
  <si>
    <t>WSIPC ONLY</t>
  </si>
  <si>
    <t>Include in the Schedule of Long-Term Liabilities:</t>
  </si>
  <si>
    <t>Proportionate share of the Net Pension Liabilities, by plan:</t>
  </si>
  <si>
    <t>Ending Liability</t>
  </si>
  <si>
    <t>The tables below present district-specific pension information to be included in the pension note to the financial statements. The values should be reviewed for accuracy.</t>
  </si>
  <si>
    <t xml:space="preserve">The District's Proportionate Share of the Net Pension Liability (NPL) </t>
  </si>
  <si>
    <t>for its proportionate shares of the individual plans’ collective net pension liability. The district's proportionate share of the collective net pension liability is based on annual contributions for each of the employers participating in the DRS administered plans . The District’s proportionate share of each plan’s collective net pension liability is reported below: </t>
  </si>
  <si>
    <t>WSIPC only</t>
  </si>
  <si>
    <t>totals</t>
  </si>
  <si>
    <t>Allocation percentages</t>
  </si>
  <si>
    <t>Net Pension Liabilities PERS 2/3</t>
  </si>
  <si>
    <t>The District's Sensitivity of the Net Pension Liability to changes in the Discount Rate</t>
  </si>
  <si>
    <t xml:space="preserve">District’s PERS2/3 </t>
  </si>
  <si>
    <t>PERS 2/3 Comp</t>
  </si>
  <si>
    <t>P1</t>
  </si>
  <si>
    <t>Basic Elements of Pension Plans</t>
  </si>
  <si>
    <t>This tool is provided for district use to report on Pension data in compliance with GASBS 68, Accounting and Financial Reporting for Pensions.</t>
  </si>
  <si>
    <r>
      <rPr>
        <b/>
        <sz val="11"/>
        <color theme="1"/>
        <rFont val="Calibri"/>
        <family val="2"/>
        <scheme val="minor"/>
      </rPr>
      <t>Total Plan Contributions</t>
    </r>
    <r>
      <rPr>
        <sz val="11"/>
        <color theme="1"/>
        <rFont val="Calibri"/>
        <family val="2"/>
        <scheme val="minor"/>
      </rPr>
      <t xml:space="preserve">: This is obtained from the DRS PEFI. A PRT worksheet compiles annual PEFI Contribution information.  Embedded in the PRT is a worksheet TAB containing "Total Contributions". This worksheet is designed to incorporate future year amounts into the worksheet for Full-Accrual CAFR districts. </t>
    </r>
  </si>
  <si>
    <r>
      <rPr>
        <b/>
        <sz val="11"/>
        <color theme="1"/>
        <rFont val="Calibri"/>
        <family val="2"/>
        <scheme val="minor"/>
      </rPr>
      <t xml:space="preserve">Employer Allocation Percentage: </t>
    </r>
    <r>
      <rPr>
        <sz val="11"/>
        <color theme="1"/>
        <rFont val="Calibri"/>
        <family val="2"/>
        <scheme val="minor"/>
      </rPr>
      <t xml:space="preserve"> This information is obtained from DRS at the close of the Plan fiscal year and it is also included in the PEFI. The allocation percentage divides the district's contributions by the total plan contributions. This allocation percentage is used to calculate employer proportionate shares of the Plan's Net Pension Liability and is used to determine employer-specific factors used to reconcile the liability from beginning to ending amounts. </t>
    </r>
  </si>
  <si>
    <r>
      <rPr>
        <b/>
        <sz val="11"/>
        <color theme="1"/>
        <rFont val="Calibri"/>
        <family val="2"/>
        <scheme val="minor"/>
      </rPr>
      <t>District's Reportable Compensation</t>
    </r>
    <r>
      <rPr>
        <sz val="11"/>
        <color theme="1"/>
        <rFont val="Calibri"/>
        <family val="2"/>
        <scheme val="minor"/>
      </rPr>
      <t xml:space="preserve">: This information is obtained from DRS at the close of the Plan fiscal year. </t>
    </r>
  </si>
  <si>
    <t>Aberdeen School District 005</t>
  </si>
  <si>
    <t>Adna School District 226</t>
  </si>
  <si>
    <t>Almira School District 017</t>
  </si>
  <si>
    <t>Anacortes School District 103</t>
  </si>
  <si>
    <t>Arlington School District 016</t>
  </si>
  <si>
    <t>Asotin-Anatone School District 420</t>
  </si>
  <si>
    <t>Auburn School District 408</t>
  </si>
  <si>
    <t>Bainbridge Island School District 303</t>
  </si>
  <si>
    <t>Battle Ground School District 119</t>
  </si>
  <si>
    <t>Bellevue School District 405</t>
  </si>
  <si>
    <t>Bellingham School District 501</t>
  </si>
  <si>
    <t>Benge School District 122</t>
  </si>
  <si>
    <t>Bethel School District 403</t>
  </si>
  <si>
    <t>Bickleton School District 203</t>
  </si>
  <si>
    <t>Blaine School District 503</t>
  </si>
  <si>
    <t>Boistfort School District 234</t>
  </si>
  <si>
    <t>Bremerton School District 100</t>
  </si>
  <si>
    <t>Brewster School District 111</t>
  </si>
  <si>
    <t>Bridgeport School District 075</t>
  </si>
  <si>
    <t>Brinnon School District 046</t>
  </si>
  <si>
    <t>Burlington-Edison School District 100</t>
  </si>
  <si>
    <t>Camas School District 117</t>
  </si>
  <si>
    <t>Cape Flattery School District 401</t>
  </si>
  <si>
    <t>Carbonado Historical School District 019</t>
  </si>
  <si>
    <t>Cascade School District 228</t>
  </si>
  <si>
    <t>Cashmere School District 222</t>
  </si>
  <si>
    <t>Castle Rock School District 401</t>
  </si>
  <si>
    <t>Centerville School District 215</t>
  </si>
  <si>
    <t>Central Kitsap School District 401</t>
  </si>
  <si>
    <t>Central Valley School District 356</t>
  </si>
  <si>
    <t>Centralia School District 401</t>
  </si>
  <si>
    <t>Chehalis School District 302</t>
  </si>
  <si>
    <t>Cheney School District 360</t>
  </si>
  <si>
    <t>Chewelah School District 036</t>
  </si>
  <si>
    <t>Chimacum School District 049</t>
  </si>
  <si>
    <t>Clarkston School District 250</t>
  </si>
  <si>
    <t>Cle Elum-Roslyn School District 404</t>
  </si>
  <si>
    <t>Clover Park School District 400</t>
  </si>
  <si>
    <t>Colfax School District 300</t>
  </si>
  <si>
    <t>College Place School District 250</t>
  </si>
  <si>
    <t>Colton School District 306</t>
  </si>
  <si>
    <t>Columbia School District 206</t>
  </si>
  <si>
    <t>Columbia School District 400</t>
  </si>
  <si>
    <t>Colville School District 115</t>
  </si>
  <si>
    <t>Concrete School District 011</t>
  </si>
  <si>
    <t>Conway School District 317</t>
  </si>
  <si>
    <t>Cosmopolis School District 099</t>
  </si>
  <si>
    <t>Coulee Hartline School District 151</t>
  </si>
  <si>
    <t>Coupeville School District 204</t>
  </si>
  <si>
    <t>Crescent School District 313</t>
  </si>
  <si>
    <t>Creston School District 073</t>
  </si>
  <si>
    <t>Curlew School District 050</t>
  </si>
  <si>
    <t>Cusick School District 059</t>
  </si>
  <si>
    <t>Damman School District 007</t>
  </si>
  <si>
    <t>Darrington School District 330</t>
  </si>
  <si>
    <t>Davenport School District 207</t>
  </si>
  <si>
    <t>Dayton School District 002</t>
  </si>
  <si>
    <t>Deer Park School District 414</t>
  </si>
  <si>
    <t>Dieringer School District 343</t>
  </si>
  <si>
    <t>Dixie School District 101</t>
  </si>
  <si>
    <t>East Valley School District 361</t>
  </si>
  <si>
    <t>Eastmont School District 206</t>
  </si>
  <si>
    <t>Easton School District 028</t>
  </si>
  <si>
    <t>Eatonville School District 404</t>
  </si>
  <si>
    <t>Edmonds School District 015</t>
  </si>
  <si>
    <t>Northeast WA Educational Service District 101</t>
  </si>
  <si>
    <t>Educational Service District 105</t>
  </si>
  <si>
    <t>Educational Service District 112</t>
  </si>
  <si>
    <t>Educational Service District 113</t>
  </si>
  <si>
    <t>Educational Service District 123</t>
  </si>
  <si>
    <t>Ellensburg School District 401</t>
  </si>
  <si>
    <t>Elma School District 068</t>
  </si>
  <si>
    <t>Endicott School District 308</t>
  </si>
  <si>
    <t>Entiat School District 127</t>
  </si>
  <si>
    <t>Enumclaw School District 216</t>
  </si>
  <si>
    <t>Ephrata School District 165</t>
  </si>
  <si>
    <t>Evaline School District 036</t>
  </si>
  <si>
    <t>Everett School District 002</t>
  </si>
  <si>
    <t>Evergreen School District 114</t>
  </si>
  <si>
    <t>Evergreen School District 205</t>
  </si>
  <si>
    <t>Federal Way School District 210</t>
  </si>
  <si>
    <t>Fife School District 417</t>
  </si>
  <si>
    <t>Finley School District 053</t>
  </si>
  <si>
    <t>Franklin Pierce School District 402</t>
  </si>
  <si>
    <t>Freeman School District 358</t>
  </si>
  <si>
    <t>Garfield School District 302</t>
  </si>
  <si>
    <t>Glenwood School District 401</t>
  </si>
  <si>
    <t>Goldendale School District 404</t>
  </si>
  <si>
    <t>Grand Coulee Dam School District 301</t>
  </si>
  <si>
    <t>Grandview School District 200</t>
  </si>
  <si>
    <t>Granger School District 204</t>
  </si>
  <si>
    <t>Granite Falls School District 332</t>
  </si>
  <si>
    <t>Grapeview School District 054</t>
  </si>
  <si>
    <t>Great Northern School District 312</t>
  </si>
  <si>
    <t>Green Mountain School District 103</t>
  </si>
  <si>
    <t>Griffin School District 324</t>
  </si>
  <si>
    <t>Harrington School District 204</t>
  </si>
  <si>
    <t>Highland School District 203</t>
  </si>
  <si>
    <t>Highline School District 401</t>
  </si>
  <si>
    <t>Hockinson School District 098</t>
  </si>
  <si>
    <t>Hood Canal School District 404</t>
  </si>
  <si>
    <t>Hoquiam School District 028</t>
  </si>
  <si>
    <t>Inchelium School District 070</t>
  </si>
  <si>
    <t>Index School District 063</t>
  </si>
  <si>
    <t>Issaquah School District 411</t>
  </si>
  <si>
    <t>Kahlotus School District 056</t>
  </si>
  <si>
    <t>Kalama School District 402</t>
  </si>
  <si>
    <t>Keller School District 003</t>
  </si>
  <si>
    <t>Kelso School District 458</t>
  </si>
  <si>
    <t>Kennewick School District 017</t>
  </si>
  <si>
    <t>Kent School District 415</t>
  </si>
  <si>
    <t>Kettle Falls School District 212</t>
  </si>
  <si>
    <t>Kiona-Benton City School District 052</t>
  </si>
  <si>
    <t>Kittitas School District 403</t>
  </si>
  <si>
    <t>Klickitat School District 402</t>
  </si>
  <si>
    <t>La Center School District 101</t>
  </si>
  <si>
    <t>La Conner School District 311</t>
  </si>
  <si>
    <t>Lake Chelan School District 129</t>
  </si>
  <si>
    <t>Lake Stevens School District 004</t>
  </si>
  <si>
    <t>Lake Washington School District 414</t>
  </si>
  <si>
    <t>Lakewood School District 306</t>
  </si>
  <si>
    <t>Lamont School District 264</t>
  </si>
  <si>
    <t>Liberty School District 362</t>
  </si>
  <si>
    <t>Lind School District 158</t>
  </si>
  <si>
    <t>Longview School District 122</t>
  </si>
  <si>
    <t>Loon Lake School District 183</t>
  </si>
  <si>
    <t>Lopez Island School District 144</t>
  </si>
  <si>
    <t>Lyle School District 406</t>
  </si>
  <si>
    <t>Lynden School District 504</t>
  </si>
  <si>
    <t>Mabton School District 120</t>
  </si>
  <si>
    <t>Mansfield School District 207</t>
  </si>
  <si>
    <t>Manson School District 019</t>
  </si>
  <si>
    <t>Mary M. Knight School District 311</t>
  </si>
  <si>
    <t>Mary Walker School District 207</t>
  </si>
  <si>
    <t>Marysville School District 025</t>
  </si>
  <si>
    <t>McCleary School District 065</t>
  </si>
  <si>
    <t>Mead School District 354</t>
  </si>
  <si>
    <t>Medical Lake School District 326</t>
  </si>
  <si>
    <t>Mercer Island School District 400</t>
  </si>
  <si>
    <t>Meridian School District 505</t>
  </si>
  <si>
    <t>Methow Valley School District 350</t>
  </si>
  <si>
    <t>Mill A School District 031</t>
  </si>
  <si>
    <t>Monroe School District 103</t>
  </si>
  <si>
    <t>Montesano School District 066</t>
  </si>
  <si>
    <t>Morton School District 214</t>
  </si>
  <si>
    <t>Moses Lake School District 161</t>
  </si>
  <si>
    <t>Mossyrock School District 206</t>
  </si>
  <si>
    <t>Mount Adams School District 209</t>
  </si>
  <si>
    <t>Mount Baker School District 507</t>
  </si>
  <si>
    <t>Mount Pleasant School District 029-93</t>
  </si>
  <si>
    <t>Mount Vernon School District 320</t>
  </si>
  <si>
    <t>East Valley School District 090</t>
  </si>
  <si>
    <t>Mukilteo School District 006</t>
  </si>
  <si>
    <t>Naches Valley School District 003</t>
  </si>
  <si>
    <t>Napavine School District 014</t>
  </si>
  <si>
    <t>Nespelem School District 014</t>
  </si>
  <si>
    <t>Newport School District 056-415</t>
  </si>
  <si>
    <t>Nine Mile Falls School District 325</t>
  </si>
  <si>
    <t>North River School District 200</t>
  </si>
  <si>
    <t>Nooksack Valley School District 506</t>
  </si>
  <si>
    <t>North Beach School District 064</t>
  </si>
  <si>
    <t>North Franklin School District 051</t>
  </si>
  <si>
    <t>North Kitsap School District 400</t>
  </si>
  <si>
    <t>North Mason School District 403</t>
  </si>
  <si>
    <t>Northport School District 211</t>
  </si>
  <si>
    <t>Northshore School District 417</t>
  </si>
  <si>
    <t>Oak Harbor School District 201</t>
  </si>
  <si>
    <t>Oakesdale School District 324</t>
  </si>
  <si>
    <t>Oakville School District 400</t>
  </si>
  <si>
    <t>Ocean Beach School District 101</t>
  </si>
  <si>
    <t>Ocosta School District 172</t>
  </si>
  <si>
    <t>Odessa School District 105</t>
  </si>
  <si>
    <t>Okanogan School District 105</t>
  </si>
  <si>
    <t>Olympia School District 111</t>
  </si>
  <si>
    <t>Omak School District 019</t>
  </si>
  <si>
    <t>Onalaska School District 300</t>
  </si>
  <si>
    <t>Onion Creek School District 030</t>
  </si>
  <si>
    <t>Orcas Island School District 137</t>
  </si>
  <si>
    <t>Orchard Prairie School District 123</t>
  </si>
  <si>
    <t>Orient School District 065</t>
  </si>
  <si>
    <t>Orondo School District 013</t>
  </si>
  <si>
    <t>Oroville School District 410</t>
  </si>
  <si>
    <t>Orting School District 344</t>
  </si>
  <si>
    <t>Othello School District 147</t>
  </si>
  <si>
    <t>Palisades School District 102</t>
  </si>
  <si>
    <t>Palouse School District 301</t>
  </si>
  <si>
    <t>Pasco School District 001</t>
  </si>
  <si>
    <t>Pateros School District 122</t>
  </si>
  <si>
    <t>Paterson School District 050</t>
  </si>
  <si>
    <t>Pe Ell School District 301</t>
  </si>
  <si>
    <t>Peninsula School District 401</t>
  </si>
  <si>
    <t>Pioneer School District 402</t>
  </si>
  <si>
    <t>Pomeroy School District 110</t>
  </si>
  <si>
    <t>Port Angeles School District 121</t>
  </si>
  <si>
    <t>Port Townsend School District 050</t>
  </si>
  <si>
    <t>Prescott School District 402</t>
  </si>
  <si>
    <t>Prosser School District 116</t>
  </si>
  <si>
    <t>Pullman School District 267</t>
  </si>
  <si>
    <t>Puyallup School District 003</t>
  </si>
  <si>
    <t>Queets-Clearwater School District 020</t>
  </si>
  <si>
    <t>Quilcene School District 048</t>
  </si>
  <si>
    <t>Quillayute School District 402</t>
  </si>
  <si>
    <t>Quinault Lake School District 097</t>
  </si>
  <si>
    <t>Quincy School District 144</t>
  </si>
  <si>
    <t>Rainier School District 307</t>
  </si>
  <si>
    <t>Raymond School District 116</t>
  </si>
  <si>
    <t>Reardan-Edwall School District 009</t>
  </si>
  <si>
    <t>Renton School District 403</t>
  </si>
  <si>
    <t>Republic School District 309</t>
  </si>
  <si>
    <t>Richland School District 400</t>
  </si>
  <si>
    <t>Ridgefield School District 122</t>
  </si>
  <si>
    <t>Ritzville School District 160</t>
  </si>
  <si>
    <t>Riverside School District 416</t>
  </si>
  <si>
    <t>Riverview School District 407</t>
  </si>
  <si>
    <t>Rochester School District 401</t>
  </si>
  <si>
    <t>Roosevelt School District 403</t>
  </si>
  <si>
    <t>Rosalia School District 320</t>
  </si>
  <si>
    <t>Royal School District 160</t>
  </si>
  <si>
    <t>San Juan Island School District 149</t>
  </si>
  <si>
    <t>Satsop School District 104</t>
  </si>
  <si>
    <t>Seattle School District 001</t>
  </si>
  <si>
    <t>Sedro-Woolley School District 101</t>
  </si>
  <si>
    <t>Selah School District 119</t>
  </si>
  <si>
    <t>Selkirk School District 070</t>
  </si>
  <si>
    <t>Sequim School District 323</t>
  </si>
  <si>
    <t>Shaw Island School District 010</t>
  </si>
  <si>
    <t>Shelton School District 309</t>
  </si>
  <si>
    <t>Shoreline School District 412</t>
  </si>
  <si>
    <t>Skamania School District 002</t>
  </si>
  <si>
    <t>Skykomish School District 404</t>
  </si>
  <si>
    <t>Snohomish School District 201</t>
  </si>
  <si>
    <t>Snoqualmie Valley School District 410</t>
  </si>
  <si>
    <t>South Whidbey School District 206</t>
  </si>
  <si>
    <t>Soap Lake School District 156</t>
  </si>
  <si>
    <t>South Bend School District 118</t>
  </si>
  <si>
    <t>Tukwila School District 406</t>
  </si>
  <si>
    <t>South Kitsap School District 402</t>
  </si>
  <si>
    <t>Southside School District 042</t>
  </si>
  <si>
    <t>Sprague School District 008</t>
  </si>
  <si>
    <t>Saint John School District 322</t>
  </si>
  <si>
    <t>Star School District 054</t>
  </si>
  <si>
    <t>Starbuck School District 035</t>
  </si>
  <si>
    <t>Steilacoom Historical School District 001</t>
  </si>
  <si>
    <t>Steptoe School District 304</t>
  </si>
  <si>
    <t>Stevenson-Carson School District 303</t>
  </si>
  <si>
    <t>Sultan School District 311</t>
  </si>
  <si>
    <t>Summit Valley School District 202</t>
  </si>
  <si>
    <t>Sunnyside School District 201</t>
  </si>
  <si>
    <t>Tacoma School District 010</t>
  </si>
  <si>
    <t>Taholah School District 077</t>
  </si>
  <si>
    <t>Tahoma School District 409</t>
  </si>
  <si>
    <t>Tekoa School District 265</t>
  </si>
  <si>
    <t>Tenino School District 402</t>
  </si>
  <si>
    <t>Thorp School District 400</t>
  </si>
  <si>
    <t>Toledo School District 237</t>
  </si>
  <si>
    <t>Tonasket School District 404</t>
  </si>
  <si>
    <t>Toppenish School District 202</t>
  </si>
  <si>
    <t>Touchet School District 300</t>
  </si>
  <si>
    <t>Toutle Lake School District 130</t>
  </si>
  <si>
    <t>Trout Lake School District 400</t>
  </si>
  <si>
    <t>Tumwater School District 033</t>
  </si>
  <si>
    <t>Union Gap School District 002</t>
  </si>
  <si>
    <t>University Place School District 083</t>
  </si>
  <si>
    <t>Valley School District 070</t>
  </si>
  <si>
    <t>Vancouver School District 037</t>
  </si>
  <si>
    <t>Vashon Island School District 402</t>
  </si>
  <si>
    <t>Wahkiakum School District 200</t>
  </si>
  <si>
    <t>Wahluke School District 073</t>
  </si>
  <si>
    <t>Waitsburg School District 401</t>
  </si>
  <si>
    <t>Walla Walla School District 140</t>
  </si>
  <si>
    <t>Wapato School District 207</t>
  </si>
  <si>
    <t>Warden Joint Consolidated School District 146-161</t>
  </si>
  <si>
    <t>Washougal School District 112-6</t>
  </si>
  <si>
    <t>Washtucna School District 109</t>
  </si>
  <si>
    <t>Waterville School District 209</t>
  </si>
  <si>
    <t>Wellpinit School District 049</t>
  </si>
  <si>
    <t>Wenatchee School District 246</t>
  </si>
  <si>
    <t>West Valley School District 208</t>
  </si>
  <si>
    <t>West Valley School District 363</t>
  </si>
  <si>
    <t>White Pass School District 303</t>
  </si>
  <si>
    <t>White River School District 416</t>
  </si>
  <si>
    <t>White Salmon School District 405</t>
  </si>
  <si>
    <t>Wilbur School District 200</t>
  </si>
  <si>
    <t>Willapa Valley School District 160</t>
  </si>
  <si>
    <t>Wilson Creek School District 167</t>
  </si>
  <si>
    <t>Winlock School District 232</t>
  </si>
  <si>
    <t>Wishkah Valley School District 117</t>
  </si>
  <si>
    <t>Wishram School District 094</t>
  </si>
  <si>
    <t>Woodland School District 404</t>
  </si>
  <si>
    <t>Yakima School District 007</t>
  </si>
  <si>
    <t>Yelm School District 002</t>
  </si>
  <si>
    <t>Zillah School District 205</t>
  </si>
  <si>
    <t>Rainier Prep</t>
  </si>
  <si>
    <t>Green Dot Public Schools</t>
  </si>
  <si>
    <t>Spokane International Academy</t>
  </si>
  <si>
    <t>Summit Public Schools</t>
  </si>
  <si>
    <t>E2/E3</t>
  </si>
  <si>
    <t>T1</t>
  </si>
  <si>
    <t>Stehekin School District 069</t>
  </si>
  <si>
    <t>Pride Prep Schools</t>
  </si>
  <si>
    <t xml:space="preserve"> Green Dot Public Schools</t>
  </si>
  <si>
    <t xml:space="preserve"> Rainier Prep</t>
  </si>
  <si>
    <t xml:space="preserve"> SOAR Academy</t>
  </si>
  <si>
    <t xml:space="preserve"> Spokane International Academy</t>
  </si>
  <si>
    <t xml:space="preserve"> Summit Public Schools</t>
  </si>
  <si>
    <t xml:space="preserve"> WSIPC</t>
  </si>
  <si>
    <t xml:space="preserve"> Pride Prep Schools</t>
  </si>
  <si>
    <t>DRS #</t>
  </si>
  <si>
    <t>000</t>
  </si>
  <si>
    <t>T2/T3</t>
  </si>
  <si>
    <t>Sum of Compensation</t>
  </si>
  <si>
    <t>Sum of RTW/SUB Comp</t>
  </si>
  <si>
    <t>Sum of Mbr Contr</t>
  </si>
  <si>
    <t>Sum of Admin Fee</t>
  </si>
  <si>
    <t>Sum of Other Empr Contr</t>
  </si>
  <si>
    <t>Sum of Other Admin Fee</t>
  </si>
  <si>
    <t>Sum of Total Amt</t>
  </si>
  <si>
    <t>Total Sum of Admin Fee</t>
  </si>
  <si>
    <t>Total Sum of Other Empr Contr</t>
  </si>
  <si>
    <t>Total Sum of Other Admin Fee</t>
  </si>
  <si>
    <t>Total Sum of Total Amt</t>
  </si>
  <si>
    <t>7/1/16 Rate</t>
  </si>
  <si>
    <t>9/1/16 Rate</t>
  </si>
  <si>
    <t>Pension Total</t>
  </si>
  <si>
    <t>Amt due in one YR: N/A</t>
  </si>
  <si>
    <t>N/A</t>
  </si>
  <si>
    <t>LaCrosse School District 126</t>
  </si>
  <si>
    <t>Stanwood-Camano School District 401</t>
  </si>
  <si>
    <t>17908</t>
  </si>
  <si>
    <t>27904</t>
  </si>
  <si>
    <t>32901</t>
  </si>
  <si>
    <t>17902</t>
  </si>
  <si>
    <t>32907</t>
  </si>
  <si>
    <t>P2/P3</t>
  </si>
  <si>
    <t>Compensation by Plan</t>
  </si>
  <si>
    <t>RTW/SUB Comp by Plan</t>
  </si>
  <si>
    <t>Member Contributions</t>
  </si>
  <si>
    <t>Employer Contributions</t>
  </si>
  <si>
    <t>Employer UAAL Contributions</t>
  </si>
  <si>
    <t xml:space="preserve">Admin Fees to DRS </t>
  </si>
  <si>
    <t>Other Employer Contributions</t>
  </si>
  <si>
    <t>Other Admin Fees to DRS</t>
  </si>
  <si>
    <t>Payments to DRS by Plan</t>
  </si>
  <si>
    <t>check amount</t>
  </si>
  <si>
    <t>2016 Total Contributions pulled from DRS raw PEFI data sent  9/1/16</t>
  </si>
  <si>
    <t>The Pension Total is informational only. Report the pension amounts, by plan, on the Schedule of Long-Term Liabilities.</t>
  </si>
  <si>
    <r>
      <rPr>
        <b/>
        <sz val="11"/>
        <color theme="1"/>
        <rFont val="Calibri"/>
        <family val="2"/>
        <scheme val="minor"/>
      </rPr>
      <t>District's Annual Contributions</t>
    </r>
    <r>
      <rPr>
        <sz val="11"/>
        <color theme="1"/>
        <rFont val="Calibri"/>
        <family val="2"/>
        <scheme val="minor"/>
      </rPr>
      <t xml:space="preserve">: This information is obtained from DRS at the close of the Plan fiscal year and it is also included in the PEFI. The amounts represent the district's annual contributions for the Plan fiscal year ending June 30. Embedded in the PRT, annual contributions files are stored in separate tabs for certain districts needing RSI schedules for Full-Accrual CAFR reporting.   </t>
    </r>
    <r>
      <rPr>
        <b/>
        <sz val="11"/>
        <color theme="1"/>
        <rFont val="Calibri"/>
        <family val="2"/>
        <scheme val="minor"/>
      </rPr>
      <t xml:space="preserve">Districts are encouraged to independently verify the contribution amounts with the tool provided by DRS for this purpose. The DRS tool is located on the DRS website under: eServices Contribution Reconciliation. </t>
    </r>
  </si>
  <si>
    <r>
      <rPr>
        <b/>
        <sz val="11"/>
        <color theme="1"/>
        <rFont val="Calibri"/>
        <family val="2"/>
        <scheme val="minor"/>
      </rPr>
      <t xml:space="preserve">Proportionate Share of the Net Pension Liability: </t>
    </r>
    <r>
      <rPr>
        <sz val="11"/>
        <color theme="1"/>
        <rFont val="Calibri"/>
        <family val="2"/>
        <scheme val="minor"/>
      </rPr>
      <t>This information is the district-specific share of the Pension Plan Net Liability.  The calculation is the Employer's Allocation Percentage multiplied by the Total Pension Plan Net Liability. The amounts represented are transferred to the Schedule of Long-Term Liabilities for annual financial statement (F-196) reporting and recognizes on the balance sheet on Government-wide CAFRS and the ESD F-185 Annual Financial Statements.</t>
    </r>
  </si>
  <si>
    <t xml:space="preserve">Independent Employer Verification </t>
  </si>
  <si>
    <t xml:space="preserve">Timing Challenges to Contribution Verification </t>
  </si>
  <si>
    <t xml:space="preserve"> Quileute Tribal School</t>
  </si>
  <si>
    <t>2017 Total Contributions pulled from DRS raw PEFI data sent  8/23/17</t>
  </si>
  <si>
    <t xml:space="preserve"> Summit: Sierra </t>
  </si>
  <si>
    <t xml:space="preserve"> Green Dot: Excel</t>
  </si>
  <si>
    <t xml:space="preserve"> Green Dot: Destiny</t>
  </si>
  <si>
    <t xml:space="preserve"> Quileute Tribal School </t>
  </si>
  <si>
    <t>WSIPC Only</t>
  </si>
  <si>
    <t>NO SPLIT</t>
  </si>
  <si>
    <t>TRS 1 RTW</t>
  </si>
  <si>
    <t>TRS 2/3 RTW</t>
  </si>
  <si>
    <t>SERS 2/3 RTW</t>
  </si>
  <si>
    <t>PERS 1 RTW</t>
  </si>
  <si>
    <t>PERS 2/3 RTW</t>
  </si>
  <si>
    <t>Employer Contribution</t>
  </si>
  <si>
    <t>UAAL Contributions</t>
  </si>
  <si>
    <t>7/1/17 Rate</t>
  </si>
  <si>
    <t>9/1/17 Rate</t>
  </si>
  <si>
    <t>Active Plan Members</t>
  </si>
  <si>
    <t>Currently Receiving Benefits</t>
  </si>
  <si>
    <t>Inactive Entitled Members</t>
  </si>
  <si>
    <t>good.</t>
  </si>
  <si>
    <t>Quileute Tribal School</t>
  </si>
  <si>
    <t>Spokane School District 081</t>
  </si>
  <si>
    <t>2018 Total Contributions from DRS Prelim "Totals" spreadsheet 8/21/18</t>
  </si>
  <si>
    <t>9/1/18 Rate</t>
  </si>
  <si>
    <t xml:space="preserve"> Sumner – Bonney Lake School District 320 </t>
  </si>
  <si>
    <r>
      <t xml:space="preserve">1% Decrease </t>
    </r>
    <r>
      <rPr>
        <b/>
        <sz val="12"/>
        <color theme="1"/>
        <rFont val="Arial"/>
        <family val="2"/>
      </rPr>
      <t>(6.40%</t>
    </r>
    <r>
      <rPr>
        <sz val="12"/>
        <color theme="1"/>
        <rFont val="Arial"/>
        <family val="2"/>
      </rPr>
      <t>)</t>
    </r>
  </si>
  <si>
    <r>
      <t xml:space="preserve">Current Discount Rate </t>
    </r>
    <r>
      <rPr>
        <b/>
        <sz val="12"/>
        <color theme="1"/>
        <rFont val="Arial"/>
        <family val="2"/>
      </rPr>
      <t>(7.40%)</t>
    </r>
  </si>
  <si>
    <r>
      <t xml:space="preserve">1% Increase </t>
    </r>
    <r>
      <rPr>
        <b/>
        <sz val="12"/>
        <color theme="1"/>
        <rFont val="Arial"/>
        <family val="2"/>
      </rPr>
      <t>(8.40%)</t>
    </r>
  </si>
  <si>
    <t>PERS 2</t>
  </si>
  <si>
    <t>PERS 3</t>
  </si>
  <si>
    <t>DRS Org ID</t>
  </si>
  <si>
    <t>The data below is informational only and not used in the pension note.</t>
  </si>
  <si>
    <t>05903</t>
  </si>
  <si>
    <t>17911</t>
  </si>
  <si>
    <t xml:space="preserve"> Impact Public Schools</t>
  </si>
  <si>
    <t>31801</t>
  </si>
  <si>
    <t>North Central WA Educational Service District 171</t>
  </si>
  <si>
    <t>Puget Sound Educational Service District 121</t>
  </si>
  <si>
    <t>Impact Public Schools</t>
  </si>
  <si>
    <t>Olympic Educational Service District 114</t>
  </si>
  <si>
    <t>Naselle-Grays River Valley School District 155</t>
  </si>
  <si>
    <t>Sumner-Bonney Lake School District 320</t>
  </si>
  <si>
    <t>Northwest Regional Educational Service District 189</t>
  </si>
  <si>
    <t>North Thurston Public Schools 003</t>
  </si>
  <si>
    <t>Willow Public School</t>
  </si>
  <si>
    <t>2019 Total Contributions from DRS Prelim "Totals" spreadsheet 7/26/19</t>
  </si>
  <si>
    <t>for Plan year ending June 2019</t>
  </si>
  <si>
    <t>The latest actuarial valuations for all plans was June 30, 2019.</t>
  </si>
  <si>
    <t>7/1/19Rate</t>
  </si>
  <si>
    <t>Pension contribution rates as of September 1, 2019 for school employees from the Department of Retirement Systems are summarized in the table above. This information should be used in preparing the school districts' pension note.</t>
  </si>
  <si>
    <t>2020 Pension Reporting Tool for the F-196</t>
  </si>
  <si>
    <t>Placeholder set 7/17/20</t>
  </si>
  <si>
    <t>27901</t>
  </si>
  <si>
    <t xml:space="preserve"> Chief Leschi Tribal Compact</t>
  </si>
  <si>
    <t>7/1/20Rate</t>
  </si>
  <si>
    <t>NO UPDATE 7/1/20</t>
  </si>
  <si>
    <t>No change 7/1/20</t>
  </si>
  <si>
    <t>9/1/20 Rate</t>
  </si>
  <si>
    <t>9/1/19 Rate</t>
  </si>
  <si>
    <t xml:space="preserve">At June 30, 2020, the district reported a total liability of </t>
  </si>
  <si>
    <t>At June 30, 2020, the district's percentage of the proportionate share of the collective net pension liability was as follows and in the allocation percentage from the prior period is illustrated below:</t>
  </si>
  <si>
    <t xml:space="preserve">Source: DRS CAFR 6/30/2020 </t>
  </si>
  <si>
    <t>need to change to 2020</t>
  </si>
  <si>
    <t>ready for 2020 updates</t>
  </si>
  <si>
    <t>DRS Employer Webpage</t>
  </si>
  <si>
    <r>
      <t xml:space="preserve">In the worksheet </t>
    </r>
    <r>
      <rPr>
        <b/>
        <u/>
        <sz val="11"/>
        <color theme="1"/>
        <rFont val="Calibri"/>
        <family val="2"/>
        <scheme val="minor"/>
      </rPr>
      <t>2020 PRT</t>
    </r>
    <r>
      <rPr>
        <sz val="11"/>
        <color theme="1"/>
        <rFont val="Calibri"/>
        <family val="2"/>
        <scheme val="minor"/>
      </rPr>
      <t xml:space="preserve">, additional information can be found in the data range A59:G109. This is </t>
    </r>
    <r>
      <rPr>
        <b/>
        <sz val="11"/>
        <color theme="1"/>
        <rFont val="Calibri"/>
        <family val="2"/>
        <scheme val="minor"/>
      </rPr>
      <t xml:space="preserve">summary information only </t>
    </r>
    <r>
      <rPr>
        <sz val="11"/>
        <color theme="1"/>
        <rFont val="Calibri"/>
        <family val="2"/>
        <scheme val="minor"/>
      </rPr>
      <t xml:space="preserve">and the tables illustrated here </t>
    </r>
    <r>
      <rPr>
        <b/>
        <sz val="11"/>
        <color theme="1"/>
        <rFont val="Calibri"/>
        <family val="2"/>
        <scheme val="minor"/>
      </rPr>
      <t>are not included in the Notes to the Financial Statements</t>
    </r>
    <r>
      <rPr>
        <sz val="11"/>
        <color theme="1"/>
        <rFont val="Calibri"/>
        <family val="2"/>
        <scheme val="minor"/>
      </rPr>
      <t>.  The information contained in these Tables is used to populate other Note tables and RSI schedules.</t>
    </r>
  </si>
  <si>
    <r>
      <t xml:space="preserve">The "CCDDD" is the district's "county-district" identification number. The first two digits are the county number, the last three digits are the district's number. All district names with CCDDD numbers are in the worksheet </t>
    </r>
    <r>
      <rPr>
        <b/>
        <sz val="11"/>
        <color theme="1"/>
        <rFont val="Calibri"/>
        <family val="2"/>
        <scheme val="minor"/>
      </rPr>
      <t>CCDDD List</t>
    </r>
    <r>
      <rPr>
        <sz val="11"/>
        <color theme="1"/>
        <rFont val="Calibri"/>
        <family val="2"/>
        <scheme val="minor"/>
      </rPr>
      <t xml:space="preserve">. </t>
    </r>
  </si>
  <si>
    <t>I do not see any changes to pension rates in 2020</t>
  </si>
  <si>
    <t>CHIEF LESCHI SCHOOLS</t>
  </si>
  <si>
    <t>5,7</t>
  </si>
  <si>
    <t>11,13</t>
  </si>
  <si>
    <t>4,6</t>
  </si>
  <si>
    <t>10,12</t>
  </si>
  <si>
    <t>Chief Leschi Tribal Compact</t>
  </si>
  <si>
    <t xml:space="preserve">2020 Total Contributions from DRS Prelim "Totals" spreadsheet 7/28/2020 </t>
  </si>
  <si>
    <t>Net Pension Liability figures are not yet available to create the Pension Reporting Tool.</t>
  </si>
  <si>
    <r>
      <t xml:space="preserve">The School District Business Official will need to provide </t>
    </r>
    <r>
      <rPr>
        <b/>
        <i/>
        <sz val="11"/>
        <color rgb="FF000000"/>
        <rFont val="Segoe UI"/>
        <family val="2"/>
      </rPr>
      <t>assurance</t>
    </r>
    <r>
      <rPr>
        <sz val="11"/>
        <color rgb="FF000000"/>
        <rFont val="Segoe UI"/>
        <family val="2"/>
      </rPr>
      <t xml:space="preserve"> that district-specific annual contribution amounts presented in DRS-provided schedules are </t>
    </r>
    <r>
      <rPr>
        <b/>
        <i/>
        <sz val="11"/>
        <color rgb="FF000000"/>
        <rFont val="Segoe UI"/>
        <family val="2"/>
      </rPr>
      <t>reasonably</t>
    </r>
    <r>
      <rPr>
        <sz val="11"/>
        <color rgb="FF000000"/>
        <rFont val="Segoe UI"/>
        <family val="2"/>
      </rPr>
      <t xml:space="preserve"> accurate.  </t>
    </r>
  </si>
  <si>
    <r>
      <t xml:space="preserve">Focus your reconciliation on the </t>
    </r>
    <r>
      <rPr>
        <b/>
        <u/>
        <sz val="14"/>
        <color rgb="FFC00000"/>
        <rFont val="Segoe UI"/>
        <family val="2"/>
      </rPr>
      <t>DRS Process Dates</t>
    </r>
    <r>
      <rPr>
        <b/>
        <sz val="14"/>
        <color rgb="FFC00000"/>
        <rFont val="Segoe UI"/>
        <family val="2"/>
      </rPr>
      <t>.</t>
    </r>
  </si>
  <si>
    <r>
      <t>•</t>
    </r>
    <r>
      <rPr>
        <sz val="11"/>
        <color rgb="FF000000"/>
        <rFont val="Segoe UI"/>
        <family val="2"/>
      </rPr>
      <t>Your monthly contributions are most likely processed by DRS with a one-month lag.</t>
    </r>
  </si>
  <si>
    <r>
      <t xml:space="preserve">•Go to the </t>
    </r>
    <r>
      <rPr>
        <sz val="11"/>
        <color rgb="FF000000"/>
        <rFont val="Segoe UI"/>
        <family val="2"/>
      </rPr>
      <t xml:space="preserve"> </t>
    </r>
  </si>
  <si>
    <r>
      <rPr>
        <b/>
        <sz val="14"/>
        <rFont val="Segoe UI"/>
        <family val="2"/>
      </rPr>
      <t>Enter</t>
    </r>
    <r>
      <rPr>
        <b/>
        <sz val="14"/>
        <color rgb="FFC00000"/>
        <rFont val="Segoe UI"/>
        <family val="2"/>
      </rPr>
      <t xml:space="preserve"> CCDDD </t>
    </r>
    <r>
      <rPr>
        <b/>
        <sz val="14"/>
        <rFont val="Segoe UI"/>
        <family val="2"/>
      </rPr>
      <t>number in cell</t>
    </r>
    <r>
      <rPr>
        <b/>
        <sz val="14"/>
        <color rgb="FFC00000"/>
        <rFont val="Segoe UI"/>
        <family val="2"/>
      </rPr>
      <t xml:space="preserve"> A4</t>
    </r>
  </si>
  <si>
    <t>Reportable Compensation Data and Contributions to Pensions</t>
  </si>
  <si>
    <t>`</t>
  </si>
  <si>
    <t>Employer Contributions and Administration Fees</t>
  </si>
  <si>
    <t xml:space="preserve">A summary of amounts from above that may assist in a reconciliation with the district's vendor pay system. </t>
  </si>
  <si>
    <t>18901</t>
  </si>
  <si>
    <t>Catalyst Public School</t>
  </si>
  <si>
    <t>32903</t>
  </si>
  <si>
    <t xml:space="preserve"> Lumens Public School </t>
  </si>
  <si>
    <t>TOTAL SUM OF</t>
  </si>
  <si>
    <t>WSIPC</t>
  </si>
  <si>
    <t xml:space="preserve">Lumens Public School </t>
  </si>
  <si>
    <t xml:space="preserve">2021 Total Contributions from DRS Prelim "Totals" spreadsheet 8/31/2021 </t>
  </si>
  <si>
    <t xml:space="preserve"> Catalyst Public School</t>
  </si>
  <si>
    <t xml:space="preserve">Total Sum of  Employer Contributions  </t>
  </si>
  <si>
    <t>04901</t>
  </si>
  <si>
    <t xml:space="preserve"> Pennacles Prep Charter School</t>
  </si>
  <si>
    <t>17917</t>
  </si>
  <si>
    <t xml:space="preserve"> Why Not You Academy </t>
  </si>
  <si>
    <t>37902</t>
  </si>
  <si>
    <t xml:space="preserve"> Whatcom Intergenerational </t>
  </si>
  <si>
    <t>38901</t>
  </si>
  <si>
    <t xml:space="preserve"> Pullman Community Montessori </t>
  </si>
  <si>
    <t>99999</t>
  </si>
  <si>
    <t xml:space="preserve"> WSRMP</t>
  </si>
  <si>
    <r>
      <t>•</t>
    </r>
    <r>
      <rPr>
        <sz val="11"/>
        <color rgb="FF000000"/>
        <rFont val="Segoe UI"/>
        <family val="2"/>
      </rPr>
      <t>The Employer Reporting Application guide is for DRS employers who use the DR</t>
    </r>
    <r>
      <rPr>
        <sz val="11"/>
        <color theme="1"/>
        <rFont val="Segoe UI"/>
        <family val="2"/>
      </rPr>
      <t>S Employer Reporting Application (ERA). Employers who have not adopted ERA should continue to access DRS reports through eServices.  Employers using the ERA guide should have registered through Secure Access Washington (SAW).</t>
    </r>
  </si>
  <si>
    <r>
      <t xml:space="preserve">This worksheet breaksdown contributions as reported by DRS. The employer contributions to pension plans are reported by the </t>
    </r>
    <r>
      <rPr>
        <b/>
        <sz val="12"/>
        <color theme="1"/>
        <rFont val="Segoe UI"/>
        <family val="2"/>
      </rPr>
      <t>DRS PROCESS DATE</t>
    </r>
    <r>
      <rPr>
        <sz val="12"/>
        <color theme="1"/>
        <rFont val="Segoe UI"/>
        <family val="2"/>
      </rPr>
      <t>.</t>
    </r>
  </si>
  <si>
    <r>
      <t xml:space="preserve">•Review information on </t>
    </r>
    <r>
      <rPr>
        <sz val="11"/>
        <color rgb="FF000000"/>
        <rFont val="Segoe UI"/>
        <family val="2"/>
      </rPr>
      <t xml:space="preserve">the Employer Reporting Application </t>
    </r>
    <r>
      <rPr>
        <sz val="11"/>
        <color theme="1"/>
        <rFont val="Segoe UI"/>
        <family val="2"/>
      </rPr>
      <t>(ERA) guide.</t>
    </r>
  </si>
  <si>
    <t xml:space="preserve">2022 Total Contributions from DRS Prelim "Totals" spreadsheet 7/15/2022 </t>
  </si>
  <si>
    <t xml:space="preserve">Districts no longer reported by DRS as DRS employers are removed from the list. </t>
  </si>
  <si>
    <r>
      <t xml:space="preserve">The "CCDDD" is the district's "county-district" identification number. The first two digits are the county number, the last three digits are the district's number. All DRS employer-districts included in this tool are in the worksheet </t>
    </r>
    <r>
      <rPr>
        <b/>
        <sz val="11"/>
        <color theme="1"/>
        <rFont val="Segoe UI"/>
        <family val="2"/>
      </rPr>
      <t>CCDDD List</t>
    </r>
    <r>
      <rPr>
        <sz val="11"/>
        <color theme="1"/>
        <rFont val="Segoe UI"/>
        <family val="2"/>
      </rPr>
      <t xml:space="preserve">. </t>
    </r>
  </si>
  <si>
    <t xml:space="preserve">2023 Total Contributions from DRS Prelim "Totals" spreadsheet 7/17/2023 </t>
  </si>
  <si>
    <t>2023 data ok</t>
  </si>
  <si>
    <t>DATA RANGE TO ROW 326; vLookups go to ROW 350</t>
  </si>
  <si>
    <t xml:space="preserve"> Pinnacles Prep Charter School</t>
  </si>
  <si>
    <t>Pension Plan components as reported by DRS</t>
  </si>
  <si>
    <t>Employer Reporting Application Portal</t>
  </si>
  <si>
    <r>
      <t>•</t>
    </r>
    <r>
      <rPr>
        <sz val="11"/>
        <color rgb="FF000000"/>
        <rFont val="Segoe UI"/>
        <family val="2"/>
      </rPr>
      <t xml:space="preserve">DRS could process </t>
    </r>
    <r>
      <rPr>
        <b/>
        <sz val="11"/>
        <color rgb="FF000000"/>
        <rFont val="Segoe UI"/>
        <family val="2"/>
      </rPr>
      <t>only eleven</t>
    </r>
    <r>
      <rPr>
        <sz val="11"/>
        <color rgb="FF000000"/>
        <rFont val="Segoe UI"/>
        <family val="2"/>
      </rPr>
      <t xml:space="preserve"> monthly amounts in the plan fiscal period.</t>
    </r>
  </si>
  <si>
    <r>
      <t>•</t>
    </r>
    <r>
      <rPr>
        <sz val="11"/>
        <color rgb="FF000000"/>
        <rFont val="Segoe UI"/>
        <family val="2"/>
      </rPr>
      <t xml:space="preserve">DRS could process </t>
    </r>
    <r>
      <rPr>
        <b/>
        <sz val="11"/>
        <color rgb="FF000000"/>
        <rFont val="Segoe UI"/>
        <family val="2"/>
      </rPr>
      <t>thirteen</t>
    </r>
    <r>
      <rPr>
        <sz val="11"/>
        <color rgb="FF000000"/>
        <rFont val="Segoe UI"/>
        <family val="2"/>
      </rPr>
      <t xml:space="preserve"> monthly amounts in the plan fiscal period.</t>
    </r>
  </si>
  <si>
    <t>Org ID</t>
  </si>
  <si>
    <t>JR - Added</t>
  </si>
  <si>
    <t>Rooted School Washington</t>
  </si>
  <si>
    <t>New DRS Employers included in this tool for 2024:</t>
  </si>
  <si>
    <t xml:space="preserve"> Rooted School Washington</t>
  </si>
  <si>
    <t xml:space="preserve"> Rooted School Vancouver</t>
  </si>
  <si>
    <t xml:space="preserve"> Rooted School Vancouver </t>
  </si>
  <si>
    <t xml:space="preserve">2024 Total Contributions from DRS Prelim "Totals" spreadsheet 7/17/2024 </t>
  </si>
  <si>
    <t>2024: data to row 327</t>
  </si>
  <si>
    <t>A summary of Pension Contributions, the district's Allocation Percentages, and Reportable Compensation.</t>
  </si>
  <si>
    <t>The 2024 Pension Compensation and Contribution Reconciliation Tool</t>
  </si>
  <si>
    <t xml:space="preserve">Pension contributions included in this tool are amounts as reported by the Department of Retirement Systems (DRS) for the plan year ending June 30, 2024. </t>
  </si>
  <si>
    <t>2024 Comp&amp; Contr</t>
  </si>
  <si>
    <r>
      <rPr>
        <sz val="14"/>
        <rFont val="Segoe UI"/>
        <family val="2"/>
      </rPr>
      <t>Enter your district's</t>
    </r>
    <r>
      <rPr>
        <b/>
        <sz val="14"/>
        <color rgb="FFC00000"/>
        <rFont val="Segoe UI"/>
        <family val="2"/>
      </rPr>
      <t xml:space="preserve"> </t>
    </r>
    <r>
      <rPr>
        <b/>
        <u/>
        <sz val="14"/>
        <color rgb="FFC00000"/>
        <rFont val="Segoe UI"/>
        <family val="2"/>
      </rPr>
      <t>CCDDD</t>
    </r>
    <r>
      <rPr>
        <b/>
        <sz val="14"/>
        <color rgb="FFC00000"/>
        <rFont val="Segoe UI"/>
        <family val="2"/>
      </rPr>
      <t xml:space="preserve"> </t>
    </r>
    <r>
      <rPr>
        <sz val="14"/>
        <rFont val="Segoe UI"/>
        <family val="2"/>
      </rPr>
      <t xml:space="preserve">in the space provide in </t>
    </r>
    <r>
      <rPr>
        <b/>
        <sz val="14"/>
        <color rgb="FFC00000"/>
        <rFont val="Segoe UI"/>
        <family val="2"/>
      </rPr>
      <t xml:space="preserve">cell </t>
    </r>
    <r>
      <rPr>
        <b/>
        <u/>
        <sz val="14"/>
        <color rgb="FFC00000"/>
        <rFont val="Segoe UI"/>
        <family val="2"/>
      </rPr>
      <t xml:space="preserve">A4 </t>
    </r>
    <r>
      <rPr>
        <sz val="14"/>
        <rFont val="Segoe UI"/>
        <family val="2"/>
      </rPr>
      <t>in the worksheet labled "</t>
    </r>
    <r>
      <rPr>
        <b/>
        <sz val="14"/>
        <rFont val="Segoe UI"/>
        <family val="2"/>
      </rPr>
      <t>2024Comp&amp;Contr</t>
    </r>
    <r>
      <rPr>
        <sz val="14"/>
        <rFont val="Segoe UI"/>
        <family val="2"/>
      </rPr>
      <t>".</t>
    </r>
  </si>
  <si>
    <r>
      <t>•</t>
    </r>
    <r>
      <rPr>
        <sz val="11"/>
        <color rgb="FF000000"/>
        <rFont val="Segoe UI"/>
        <family val="2"/>
      </rPr>
      <t>Contributions processed by DRS for the Plan Fiscal Year (July 2023 through June 2024) are most likely your June 2023 through May 2024 monthly contribution amounts.</t>
    </r>
  </si>
  <si>
    <r>
      <t xml:space="preserve">TRS Plan 1 and PERS Plan 1, are financially supported by contributions from other pension plans, by law.  UAAL stands for </t>
    </r>
    <r>
      <rPr>
        <b/>
        <sz val="11"/>
        <color theme="1"/>
        <rFont val="Segoe UI"/>
        <family val="2"/>
      </rPr>
      <t>Unfunded Actuarially Accrued Liability</t>
    </r>
    <r>
      <rPr>
        <sz val="11"/>
        <color theme="1"/>
        <rFont val="Segoe UI"/>
        <family val="2"/>
      </rPr>
      <t>. Some of the UAAL contribution funding methodology is discussed in 41.45 RCW.  The DRS Participating Employer Financial Information (PEFI) report provides a list of your contributions. The UAAL categories represent the Plan 1 support coming in from other plans. PERS 1 is supported by SERS 2/3 and PERS 2/3. TRS 1 is supported by TRS 2/3. The PEFI will not be published until late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</si>
</sst>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00000%"/>
    <numFmt numFmtId="165" formatCode="_(* #,##0_);_(* \(#,##0\);_(* &quot;-&quot;??_);_(@_)"/>
    <numFmt numFmtId="166" formatCode="00000"/>
    <numFmt numFmtId="167" formatCode="[$-409]mmmm\ d\,\ yyyy;@"/>
    <numFmt numFmtId="168" formatCode="_(&quot;$&quot;* #,##0_);_(&quot;$&quot;* \(#,##0\);_(&quot;$&quot;* &quot;-&quot;??_);_(@_)"/>
    <numFmt numFmtId="169" formatCode="_(* #,##0.0000_);_(* \(#,##0.0000\);_(* &quot;-&quot;????_);_(@_)"/>
    <numFmt numFmtId="170" formatCode="0.0000"/>
    <numFmt numFmtId="171" formatCode="&quot;$&quot;#,##0"/>
    <numFmt numFmtId="172" formatCode="0000"/>
  </numFmts>
  <fonts count="8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sz val="12"/>
      <color theme="1"/>
      <name val="Calibri"/>
      <family val="2"/>
      <scheme val="minor"/>
    </font>
    <font>
      <sz val="1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0"/>
      <name val="Calibri"/>
      <family val="2"/>
      <scheme val="minor"/>
    </font>
    <font>
      <sz val="11"/>
      <color theme="1"/>
      <name val="Calibri"/>
      <family val="2"/>
    </font>
    <font>
      <sz val="10"/>
      <color indexed="8"/>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sz val="20"/>
      <color theme="1"/>
      <name val="Calibri"/>
      <family val="2"/>
      <scheme val="minor"/>
    </font>
    <font>
      <b/>
      <sz val="11"/>
      <color rgb="FFC00000"/>
      <name val="Calibri"/>
      <family val="2"/>
      <scheme val="minor"/>
    </font>
    <font>
      <sz val="12"/>
      <name val="Calibri"/>
      <family val="2"/>
      <scheme val="minor"/>
    </font>
    <font>
      <sz val="14"/>
      <color theme="1"/>
      <name val="Calibri"/>
      <family val="2"/>
      <scheme val="minor"/>
    </font>
    <font>
      <b/>
      <sz val="18"/>
      <color theme="1"/>
      <name val="Calibri"/>
      <family val="2"/>
      <scheme val="minor"/>
    </font>
    <font>
      <sz val="11"/>
      <color rgb="FF000000"/>
      <name val="Calibri"/>
      <family val="2"/>
      <scheme val="minor"/>
    </font>
    <font>
      <b/>
      <sz val="11"/>
      <color rgb="FF000000"/>
      <name val="Calibri"/>
      <family val="2"/>
      <scheme val="minor"/>
    </font>
    <font>
      <sz val="18"/>
      <color theme="1"/>
      <name val="Calibri"/>
      <family val="2"/>
      <scheme val="minor"/>
    </font>
    <font>
      <b/>
      <sz val="22"/>
      <color theme="1"/>
      <name val="Calibri"/>
      <family val="2"/>
      <scheme val="minor"/>
    </font>
    <font>
      <b/>
      <sz val="11"/>
      <name val="Calibri"/>
      <family val="2"/>
      <scheme val="minor"/>
    </font>
    <font>
      <b/>
      <i/>
      <sz val="10"/>
      <name val="Calibri"/>
      <family val="2"/>
      <scheme val="minor"/>
    </font>
    <font>
      <sz val="10"/>
      <color theme="1"/>
      <name val="Arial"/>
      <family val="2"/>
    </font>
    <font>
      <sz val="10"/>
      <name val="Arial"/>
      <family val="2"/>
    </font>
    <font>
      <b/>
      <u/>
      <sz val="11"/>
      <color theme="1"/>
      <name val="Calibri"/>
      <family val="2"/>
      <scheme val="minor"/>
    </font>
    <font>
      <sz val="12"/>
      <color theme="1"/>
      <name val="Arial"/>
      <family val="2"/>
    </font>
    <font>
      <b/>
      <sz val="12"/>
      <color theme="1"/>
      <name val="Arial"/>
      <family val="2"/>
    </font>
    <font>
      <b/>
      <sz val="14"/>
      <color theme="1"/>
      <name val="Arial"/>
      <family val="2"/>
    </font>
    <font>
      <sz val="11"/>
      <color theme="1"/>
      <name val="Arial"/>
      <family val="2"/>
    </font>
    <font>
      <b/>
      <sz val="11"/>
      <color rgb="FFFF0000"/>
      <name val="Calibri"/>
      <family val="2"/>
      <scheme val="minor"/>
    </font>
    <font>
      <b/>
      <sz val="11"/>
      <color theme="1"/>
      <name val="Arial"/>
      <family val="2"/>
    </font>
    <font>
      <sz val="11"/>
      <color rgb="FF000000"/>
      <name val="Arial"/>
      <family val="2"/>
    </font>
    <font>
      <sz val="11"/>
      <name val="Arial"/>
      <family val="2"/>
    </font>
    <font>
      <i/>
      <sz val="11"/>
      <name val="Arial"/>
      <family val="2"/>
    </font>
    <font>
      <i/>
      <sz val="11"/>
      <color theme="1"/>
      <name val="Arial"/>
      <family val="2"/>
    </font>
    <font>
      <b/>
      <sz val="20"/>
      <color theme="1"/>
      <name val="Arial"/>
      <family val="2"/>
    </font>
    <font>
      <b/>
      <sz val="8"/>
      <color theme="1"/>
      <name val="Calibri"/>
      <family val="2"/>
      <scheme val="minor"/>
    </font>
    <font>
      <b/>
      <sz val="12"/>
      <color rgb="FFC00000"/>
      <name val="Calibri"/>
      <family val="2"/>
      <scheme val="minor"/>
    </font>
    <font>
      <u/>
      <sz val="11"/>
      <color theme="10"/>
      <name val="Calibri"/>
      <family val="2"/>
      <scheme val="minor"/>
    </font>
    <font>
      <b/>
      <sz val="14"/>
      <color rgb="FFC00000"/>
      <name val="Segoe UI"/>
      <family val="2"/>
    </font>
    <font>
      <b/>
      <sz val="11"/>
      <color rgb="FFC00000"/>
      <name val="Segoe UI"/>
      <family val="2"/>
    </font>
    <font>
      <b/>
      <sz val="14"/>
      <color theme="1"/>
      <name val="Segoe UI"/>
      <family val="2"/>
    </font>
    <font>
      <sz val="10"/>
      <color indexed="8"/>
      <name val="Arial"/>
      <family val="2"/>
    </font>
    <font>
      <sz val="11"/>
      <color indexed="8"/>
      <name val="Calibri"/>
      <family val="2"/>
    </font>
    <font>
      <b/>
      <sz val="10"/>
      <color rgb="FFFF0000"/>
      <name val="Calibri"/>
      <family val="2"/>
      <scheme val="minor"/>
    </font>
    <font>
      <sz val="12"/>
      <name val="Arial"/>
      <family val="2"/>
    </font>
    <font>
      <b/>
      <sz val="16"/>
      <color rgb="FFFF0000"/>
      <name val="Calibri"/>
      <family val="2"/>
      <scheme val="minor"/>
    </font>
    <font>
      <u/>
      <sz val="11"/>
      <color theme="1"/>
      <name val="Calibri"/>
      <family val="2"/>
      <scheme val="minor"/>
    </font>
    <font>
      <sz val="12"/>
      <color theme="1"/>
      <name val="Segoe UI"/>
      <family val="2"/>
    </font>
    <font>
      <b/>
      <u/>
      <sz val="14"/>
      <color rgb="FFC00000"/>
      <name val="Segoe UI"/>
      <family val="2"/>
    </font>
    <font>
      <b/>
      <sz val="14"/>
      <name val="Segoe UI"/>
      <family val="2"/>
    </font>
    <font>
      <b/>
      <sz val="12"/>
      <color theme="1"/>
      <name val="Segoe UI"/>
      <family val="2"/>
    </font>
    <font>
      <b/>
      <sz val="18"/>
      <color rgb="FFC00000"/>
      <name val="Calibri"/>
      <family val="2"/>
      <scheme val="minor"/>
    </font>
    <font>
      <b/>
      <sz val="12"/>
      <color rgb="FFC00000"/>
      <name val="Segoe UI"/>
      <family val="2"/>
    </font>
    <font>
      <b/>
      <sz val="18"/>
      <color theme="1"/>
      <name val="Segoe UI"/>
      <family val="2"/>
    </font>
    <font>
      <sz val="11"/>
      <color theme="1"/>
      <name val="Segoe UI"/>
      <family val="2"/>
    </font>
    <font>
      <b/>
      <sz val="11"/>
      <color theme="1"/>
      <name val="Segoe UI"/>
      <family val="2"/>
    </font>
    <font>
      <sz val="11"/>
      <color rgb="FF000000"/>
      <name val="Segoe UI"/>
      <family val="2"/>
    </font>
    <font>
      <b/>
      <i/>
      <sz val="11"/>
      <color rgb="FF000000"/>
      <name val="Segoe UI"/>
      <family val="2"/>
    </font>
    <font>
      <sz val="14"/>
      <color theme="1"/>
      <name val="Segoe UI"/>
      <family val="2"/>
    </font>
    <font>
      <b/>
      <sz val="16"/>
      <color rgb="FF000000"/>
      <name val="Segoe UI"/>
      <family val="2"/>
    </font>
    <font>
      <sz val="18"/>
      <color theme="1"/>
      <name val="Segoe UI"/>
      <family val="2"/>
    </font>
    <font>
      <sz val="16"/>
      <color theme="1"/>
      <name val="Segoe UI"/>
      <family val="2"/>
    </font>
    <font>
      <b/>
      <sz val="12"/>
      <color rgb="FF000000"/>
      <name val="Segoe UI"/>
      <family val="2"/>
    </font>
    <font>
      <u/>
      <sz val="11"/>
      <color theme="10"/>
      <name val="Segoe UI"/>
      <family val="2"/>
    </font>
    <font>
      <b/>
      <sz val="10"/>
      <color theme="1"/>
      <name val="Segoe UI"/>
      <family val="2"/>
    </font>
    <font>
      <b/>
      <sz val="20"/>
      <color theme="1"/>
      <name val="Segoe UI"/>
      <family val="2"/>
    </font>
    <font>
      <b/>
      <sz val="22"/>
      <color theme="1"/>
      <name val="Segoe UI"/>
      <family val="2"/>
    </font>
    <font>
      <sz val="20"/>
      <color theme="1"/>
      <name val="Segoe UI"/>
      <family val="2"/>
    </font>
    <font>
      <b/>
      <sz val="16"/>
      <color rgb="FFC00000"/>
      <name val="Segoe UI"/>
      <family val="2"/>
    </font>
    <font>
      <b/>
      <sz val="11"/>
      <color rgb="FF000000"/>
      <name val="Segoe UI"/>
      <family val="2"/>
    </font>
    <font>
      <sz val="14"/>
      <name val="Segoe UI"/>
      <family val="2"/>
    </font>
    <font>
      <b/>
      <sz val="14"/>
      <color rgb="FFC00000"/>
      <name val="Calibri"/>
      <family val="2"/>
      <scheme val="minor"/>
    </font>
    <font>
      <b/>
      <sz val="16"/>
      <color rgb="FFC00000"/>
      <name val="Calibri"/>
      <family val="2"/>
      <scheme val="minor"/>
    </font>
    <font>
      <b/>
      <sz val="9"/>
      <color rgb="FFC00000"/>
      <name val="Calibri"/>
      <family val="2"/>
      <scheme val="minor"/>
    </font>
    <font>
      <i/>
      <sz val="11"/>
      <color theme="1"/>
      <name val="Segoe UI"/>
      <family val="2"/>
    </font>
    <font>
      <b/>
      <i/>
      <sz val="12"/>
      <color theme="1"/>
      <name val="Segoe UI"/>
      <family val="2"/>
    </font>
    <font>
      <b/>
      <i/>
      <sz val="11"/>
      <color theme="1"/>
      <name val="Segoe UI"/>
      <family val="2"/>
    </font>
    <font>
      <sz val="8"/>
      <name val="Calibri"/>
      <family val="2"/>
      <scheme val="minor"/>
    </font>
    <font>
      <b/>
      <i/>
      <sz val="14"/>
      <color theme="1"/>
      <name val="Segoe UI"/>
      <family val="2"/>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FF"/>
        <bgColor indexed="64"/>
      </patternFill>
    </fill>
    <fill>
      <patternFill patternType="solid">
        <fgColor rgb="FF99FF99"/>
        <bgColor indexed="64"/>
      </patternFill>
    </fill>
    <fill>
      <patternFill patternType="solid">
        <fgColor rgb="FF00FFFF"/>
        <bgColor indexed="64"/>
      </patternFill>
    </fill>
    <fill>
      <patternFill patternType="solid">
        <fgColor theme="6" tint="0.79998168889431442"/>
        <bgColor indexed="64"/>
      </patternFill>
    </fill>
    <fill>
      <patternFill patternType="solid">
        <fgColor theme="0"/>
        <bgColor indexed="64"/>
      </patternFill>
    </fill>
    <fill>
      <patternFill patternType="gray0625"/>
    </fill>
    <fill>
      <patternFill patternType="solid">
        <fgColor rgb="FFFFC000"/>
        <bgColor indexed="64"/>
      </patternFill>
    </fill>
    <fill>
      <patternFill patternType="solid">
        <fgColor rgb="FFFFFFE1"/>
        <bgColor indexed="64"/>
      </patternFill>
    </fill>
    <fill>
      <patternFill patternType="solid">
        <fgColor rgb="FFFFFFCC"/>
        <bgColor indexed="64"/>
      </patternFill>
    </fill>
    <fill>
      <patternFill patternType="gray0625">
        <bgColor rgb="FFFFCCFF"/>
      </patternFill>
    </fill>
    <fill>
      <patternFill patternType="solid">
        <fgColor rgb="FF00E4FF"/>
        <bgColor indexed="64"/>
      </patternFill>
    </fill>
    <fill>
      <patternFill patternType="solid">
        <fgColor theme="8" tint="0.79998168889431442"/>
        <bgColor indexed="64"/>
      </patternFill>
    </fill>
    <fill>
      <patternFill patternType="solid">
        <fgColor rgb="FF90E8FA"/>
        <bgColor indexed="64"/>
      </patternFill>
    </fill>
    <fill>
      <patternFill patternType="solid">
        <fgColor rgb="FF8BFFD8"/>
        <bgColor indexed="64"/>
      </patternFill>
    </fill>
    <fill>
      <patternFill patternType="solid">
        <fgColor rgb="FF99FFCC"/>
        <bgColor indexed="64"/>
      </patternFill>
    </fill>
    <fill>
      <patternFill patternType="solid">
        <fgColor rgb="FFDECDFF"/>
        <bgColor indexed="64"/>
      </patternFill>
    </fill>
    <fill>
      <patternFill patternType="solid">
        <fgColor theme="6" tint="0.39997558519241921"/>
        <bgColor indexed="64"/>
      </patternFill>
    </fill>
    <fill>
      <patternFill patternType="solid">
        <fgColor rgb="FF00FF00"/>
        <bgColor indexed="64"/>
      </patternFill>
    </fill>
    <fill>
      <patternFill patternType="solid">
        <fgColor rgb="FFDAEEF3"/>
        <bgColor indexed="64"/>
      </patternFill>
    </fill>
    <fill>
      <patternFill patternType="solid">
        <fgColor rgb="FFDCEDCB"/>
        <bgColor indexed="64"/>
      </patternFill>
    </fill>
    <fill>
      <patternFill patternType="gray125">
        <fgColor auto="1"/>
        <bgColor rgb="FF99FF99"/>
      </patternFill>
    </fill>
    <fill>
      <patternFill patternType="solid">
        <fgColor theme="6" tint="0.59999389629810485"/>
        <bgColor indexed="64"/>
      </patternFill>
    </fill>
    <fill>
      <patternFill patternType="lightGray"/>
    </fill>
    <fill>
      <patternFill patternType="lightGray">
        <fgColor auto="1"/>
      </patternFill>
    </fill>
    <fill>
      <patternFill patternType="solid">
        <fgColor theme="7" tint="0.59999389629810485"/>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lightGray">
        <bgColor rgb="FFFFFFE1"/>
      </patternFill>
    </fill>
    <fill>
      <patternFill patternType="solid">
        <fgColor theme="5" tint="0.39997558519241921"/>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4" fillId="0" borderId="0"/>
    <xf numFmtId="0" fontId="12" fillId="0" borderId="0"/>
    <xf numFmtId="0" fontId="3" fillId="0" borderId="0"/>
    <xf numFmtId="0" fontId="4" fillId="0" borderId="0"/>
    <xf numFmtId="0" fontId="4"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43" fontId="12"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6" fillId="0" borderId="0" applyNumberFormat="0" applyFill="0" applyBorder="0" applyAlignment="0" applyProtection="0"/>
    <xf numFmtId="0" fontId="50" fillId="0" borderId="0"/>
    <xf numFmtId="0" fontId="12" fillId="0" borderId="0"/>
  </cellStyleXfs>
  <cellXfs count="666">
    <xf numFmtId="0" fontId="0" fillId="0" borderId="0" xfId="0"/>
    <xf numFmtId="164" fontId="0" fillId="0" borderId="13" xfId="2" applyNumberFormat="1" applyFont="1" applyFill="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22" fillId="0" borderId="27" xfId="0" applyFont="1" applyBorder="1" applyAlignment="1">
      <alignment horizontal="center" vertical="center" wrapText="1"/>
    </xf>
    <xf numFmtId="0" fontId="0" fillId="0" borderId="0" xfId="0" applyAlignment="1">
      <alignment horizontal="left"/>
    </xf>
    <xf numFmtId="0" fontId="8" fillId="0" borderId="0" xfId="0" applyFont="1" applyAlignment="1">
      <alignment vertical="center"/>
    </xf>
    <xf numFmtId="167" fontId="18" fillId="9" borderId="20" xfId="0" applyNumberFormat="1" applyFont="1" applyFill="1" applyBorder="1" applyAlignment="1">
      <alignment horizontal="left" vertical="center" wrapText="1"/>
    </xf>
    <xf numFmtId="43" fontId="8" fillId="0" borderId="0" xfId="1" applyFont="1" applyFill="1" applyBorder="1" applyAlignment="1">
      <alignment vertical="center"/>
    </xf>
    <xf numFmtId="0" fontId="8" fillId="0" borderId="0" xfId="0" applyFont="1" applyAlignment="1">
      <alignment horizontal="center" vertical="center"/>
    </xf>
    <xf numFmtId="0" fontId="9" fillId="5" borderId="0" xfId="0" applyFont="1" applyFill="1" applyAlignment="1">
      <alignment horizontal="center" vertical="center"/>
    </xf>
    <xf numFmtId="0" fontId="8" fillId="5" borderId="0" xfId="0" applyFont="1" applyFill="1" applyAlignment="1">
      <alignment horizontal="center" vertical="center"/>
    </xf>
    <xf numFmtId="0" fontId="0" fillId="11" borderId="1" xfId="0" applyFill="1" applyBorder="1"/>
    <xf numFmtId="0" fontId="0" fillId="11" borderId="2" xfId="0" applyFill="1" applyBorder="1"/>
    <xf numFmtId="0" fontId="0" fillId="11" borderId="3" xfId="0" applyFill="1" applyBorder="1"/>
    <xf numFmtId="0" fontId="0" fillId="11" borderId="5" xfId="0" applyFill="1" applyBorder="1"/>
    <xf numFmtId="0" fontId="0" fillId="11" borderId="24" xfId="0" applyFill="1" applyBorder="1"/>
    <xf numFmtId="0" fontId="0" fillId="11" borderId="22" xfId="0" applyFill="1" applyBorder="1"/>
    <xf numFmtId="0" fontId="0" fillId="11" borderId="23" xfId="0" applyFill="1" applyBorder="1"/>
    <xf numFmtId="0" fontId="0" fillId="0" borderId="0" xfId="0" applyAlignment="1">
      <alignment horizontal="center" vertical="center"/>
    </xf>
    <xf numFmtId="0" fontId="0" fillId="11" borderId="0" xfId="0" applyFill="1"/>
    <xf numFmtId="0" fontId="22" fillId="0" borderId="33" xfId="0" applyFont="1" applyBorder="1" applyAlignment="1">
      <alignment horizontal="center" vertical="center" wrapText="1"/>
    </xf>
    <xf numFmtId="0" fontId="0" fillId="0" borderId="33" xfId="0" applyBorder="1"/>
    <xf numFmtId="167" fontId="25" fillId="0" borderId="33" xfId="0" applyNumberFormat="1" applyFont="1" applyBorder="1" applyAlignment="1">
      <alignment vertical="center" wrapText="1"/>
    </xf>
    <xf numFmtId="0" fontId="24" fillId="0" borderId="33" xfId="0" applyFont="1" applyBorder="1" applyAlignment="1">
      <alignment vertical="center" wrapText="1"/>
    </xf>
    <xf numFmtId="0" fontId="27" fillId="11" borderId="0" xfId="0" applyFont="1" applyFill="1" applyAlignment="1">
      <alignment horizontal="center" vertical="center"/>
    </xf>
    <xf numFmtId="0" fontId="5" fillId="11" borderId="0" xfId="0" applyFont="1" applyFill="1" applyAlignment="1">
      <alignment horizontal="center"/>
    </xf>
    <xf numFmtId="0" fontId="23" fillId="11" borderId="0" xfId="0" applyFont="1" applyFill="1" applyAlignment="1">
      <alignment horizontal="center" vertical="center"/>
    </xf>
    <xf numFmtId="168" fontId="0" fillId="11" borderId="0" xfId="0" applyNumberFormat="1" applyFill="1" applyAlignment="1">
      <alignment vertical="center"/>
    </xf>
    <xf numFmtId="164" fontId="0" fillId="11" borderId="0" xfId="2" applyNumberFormat="1" applyFont="1" applyFill="1" applyAlignment="1">
      <alignment horizontal="right" vertical="center"/>
    </xf>
    <xf numFmtId="0" fontId="22" fillId="11" borderId="0" xfId="0" applyFont="1" applyFill="1" applyAlignment="1">
      <alignment horizontal="center" vertical="center" wrapText="1"/>
    </xf>
    <xf numFmtId="168" fontId="0" fillId="11" borderId="0" xfId="14" applyNumberFormat="1" applyFont="1" applyFill="1" applyAlignment="1">
      <alignment horizontal="center" vertical="center"/>
    </xf>
    <xf numFmtId="167" fontId="18" fillId="9" borderId="33" xfId="0" applyNumberFormat="1" applyFont="1" applyFill="1" applyBorder="1" applyAlignment="1">
      <alignment horizontal="left" vertical="center" wrapText="1"/>
    </xf>
    <xf numFmtId="168" fontId="0" fillId="0" borderId="33" xfId="14" applyNumberFormat="1" applyFont="1" applyBorder="1" applyAlignment="1">
      <alignment vertical="center"/>
    </xf>
    <xf numFmtId="168" fontId="0" fillId="0" borderId="33" xfId="0" applyNumberFormat="1" applyBorder="1" applyAlignment="1">
      <alignment vertical="center"/>
    </xf>
    <xf numFmtId="164" fontId="0" fillId="0" borderId="33" xfId="2" applyNumberFormat="1" applyFont="1" applyBorder="1" applyAlignment="1">
      <alignment horizontal="right" vertical="center"/>
    </xf>
    <xf numFmtId="0" fontId="0" fillId="0" borderId="32" xfId="0" applyBorder="1" applyAlignment="1">
      <alignment vertical="center" wrapText="1"/>
    </xf>
    <xf numFmtId="165" fontId="0" fillId="0" borderId="0" xfId="0" applyNumberFormat="1" applyAlignment="1">
      <alignment vertical="center"/>
    </xf>
    <xf numFmtId="0" fontId="0" fillId="0" borderId="1" xfId="0" applyBorder="1"/>
    <xf numFmtId="3" fontId="0" fillId="0" borderId="0" xfId="0" applyNumberFormat="1"/>
    <xf numFmtId="0" fontId="0" fillId="0" borderId="0" xfId="0" applyAlignment="1">
      <alignment horizontal="center" vertical="center" wrapText="1"/>
    </xf>
    <xf numFmtId="0" fontId="0" fillId="0" borderId="4" xfId="0" applyBorder="1" applyAlignment="1">
      <alignment horizontal="left" vertical="center"/>
    </xf>
    <xf numFmtId="0" fontId="7" fillId="0" borderId="4" xfId="7" applyFont="1" applyBorder="1"/>
    <xf numFmtId="0" fontId="7" fillId="0" borderId="5" xfId="7" applyFont="1" applyBorder="1"/>
    <xf numFmtId="0" fontId="11" fillId="0" borderId="37" xfId="7" applyFont="1" applyBorder="1" applyAlignment="1">
      <alignment vertical="center"/>
    </xf>
    <xf numFmtId="0" fontId="7" fillId="0" borderId="38" xfId="7" applyFont="1" applyBorder="1"/>
    <xf numFmtId="0" fontId="7" fillId="0" borderId="4" xfId="7" applyFont="1" applyBorder="1" applyAlignment="1">
      <alignment vertical="center"/>
    </xf>
    <xf numFmtId="0" fontId="7" fillId="0" borderId="36" xfId="7" applyFont="1" applyBorder="1" applyAlignment="1">
      <alignment vertical="center"/>
    </xf>
    <xf numFmtId="0" fontId="7" fillId="0" borderId="39" xfId="7" applyFont="1" applyBorder="1"/>
    <xf numFmtId="0" fontId="7" fillId="0" borderId="38" xfId="7" applyFont="1" applyBorder="1" applyAlignment="1">
      <alignment vertical="center"/>
    </xf>
    <xf numFmtId="0" fontId="7" fillId="0" borderId="5" xfId="7" applyFont="1" applyBorder="1" applyAlignment="1">
      <alignment vertical="center"/>
    </xf>
    <xf numFmtId="0" fontId="7" fillId="0" borderId="39" xfId="7" applyFont="1" applyBorder="1" applyAlignment="1">
      <alignment vertical="center"/>
    </xf>
    <xf numFmtId="169" fontId="6" fillId="0" borderId="34" xfId="7" applyNumberFormat="1" applyFont="1" applyBorder="1" applyAlignment="1">
      <alignment horizontal="center" vertical="center"/>
    </xf>
    <xf numFmtId="0" fontId="6" fillId="0" borderId="0" xfId="7" applyFont="1" applyAlignment="1">
      <alignment horizontal="center" vertical="center"/>
    </xf>
    <xf numFmtId="0" fontId="28" fillId="0" borderId="34" xfId="7" applyFont="1" applyBorder="1" applyAlignment="1">
      <alignment horizontal="center" vertical="center"/>
    </xf>
    <xf numFmtId="0" fontId="11" fillId="0" borderId="39" xfId="7" applyFont="1" applyBorder="1" applyAlignment="1">
      <alignment vertical="center"/>
    </xf>
    <xf numFmtId="0" fontId="11" fillId="0" borderId="38" xfId="7" applyFont="1" applyBorder="1" applyAlignment="1">
      <alignment vertical="center"/>
    </xf>
    <xf numFmtId="0" fontId="11" fillId="0" borderId="5" xfId="7" applyFont="1" applyBorder="1" applyAlignment="1">
      <alignment vertical="center"/>
    </xf>
    <xf numFmtId="0" fontId="0" fillId="0" borderId="0" xfId="0" applyAlignment="1">
      <alignment wrapText="1"/>
    </xf>
    <xf numFmtId="0" fontId="8" fillId="0" borderId="0" xfId="0" applyFont="1" applyAlignment="1">
      <alignment horizontal="center" vertical="center" wrapText="1"/>
    </xf>
    <xf numFmtId="0" fontId="14" fillId="0" borderId="0" xfId="0" applyFont="1" applyAlignment="1">
      <alignment vertical="center"/>
    </xf>
    <xf numFmtId="0" fontId="19" fillId="0" borderId="0" xfId="0" applyFont="1" applyAlignment="1">
      <alignment horizontal="center" vertical="center" wrapText="1"/>
    </xf>
    <xf numFmtId="0" fontId="23" fillId="0" borderId="0" xfId="0" applyFont="1" applyAlignment="1">
      <alignment horizontal="center" vertical="center"/>
    </xf>
    <xf numFmtId="166" fontId="16" fillId="0" borderId="0" xfId="0" applyNumberFormat="1" applyFont="1" applyAlignment="1">
      <alignment horizontal="center" vertical="center"/>
    </xf>
    <xf numFmtId="0" fontId="36" fillId="0" borderId="0" xfId="0" applyFont="1" applyAlignment="1">
      <alignment horizontal="center" vertical="center" wrapText="1"/>
    </xf>
    <xf numFmtId="0" fontId="40" fillId="0" borderId="0" xfId="19" applyFont="1" applyAlignment="1">
      <alignment horizontal="center" vertical="center" wrapText="1"/>
    </xf>
    <xf numFmtId="0" fontId="38" fillId="0" borderId="19" xfId="0" applyFont="1" applyBorder="1" applyAlignment="1">
      <alignment horizontal="center" vertical="center"/>
    </xf>
    <xf numFmtId="166" fontId="38" fillId="0" borderId="0" xfId="0" applyNumberFormat="1" applyFont="1" applyAlignment="1">
      <alignment horizontal="center" vertical="center"/>
    </xf>
    <xf numFmtId="0" fontId="38" fillId="0" borderId="0" xfId="0" applyFont="1" applyAlignment="1">
      <alignment horizontal="center" vertical="center"/>
    </xf>
    <xf numFmtId="0" fontId="40" fillId="0" borderId="0" xfId="20" applyFont="1" applyAlignment="1">
      <alignment vertical="center"/>
    </xf>
    <xf numFmtId="0" fontId="38" fillId="0" borderId="0" xfId="0" applyFont="1" applyAlignment="1">
      <alignment horizontal="left" vertical="center"/>
    </xf>
    <xf numFmtId="0" fontId="15" fillId="0" borderId="0" xfId="0" applyFont="1" applyAlignment="1">
      <alignment horizontal="center" wrapText="1"/>
    </xf>
    <xf numFmtId="0" fontId="36" fillId="0" borderId="0" xfId="0" applyFont="1"/>
    <xf numFmtId="0" fontId="33" fillId="11" borderId="0" xfId="0" applyFont="1" applyFill="1" applyAlignment="1">
      <alignment horizontal="center"/>
    </xf>
    <xf numFmtId="0" fontId="41" fillId="0" borderId="0" xfId="20" applyFont="1" applyAlignment="1">
      <alignment vertical="center"/>
    </xf>
    <xf numFmtId="0" fontId="42" fillId="0" borderId="0" xfId="0" applyFont="1"/>
    <xf numFmtId="0" fontId="39" fillId="0" borderId="46" xfId="0" applyFont="1" applyBorder="1" applyAlignment="1">
      <alignment horizontal="center" vertical="center" wrapText="1"/>
    </xf>
    <xf numFmtId="0" fontId="39" fillId="0" borderId="46" xfId="0" applyFont="1" applyBorder="1" applyAlignment="1">
      <alignment vertical="center" wrapText="1"/>
    </xf>
    <xf numFmtId="0" fontId="36" fillId="0" borderId="0" xfId="0" applyFont="1" applyAlignment="1">
      <alignment horizontal="left" vertical="top" wrapText="1"/>
    </xf>
    <xf numFmtId="165" fontId="33" fillId="0" borderId="46" xfId="1" applyNumberFormat="1" applyFont="1" applyBorder="1" applyAlignment="1">
      <alignment horizontal="center" vertical="center" wrapText="1"/>
    </xf>
    <xf numFmtId="165" fontId="17" fillId="0" borderId="0" xfId="0" applyNumberFormat="1" applyFont="1" applyAlignment="1">
      <alignment horizontal="center" vertical="center"/>
    </xf>
    <xf numFmtId="164" fontId="33" fillId="0" borderId="46" xfId="0" applyNumberFormat="1" applyFont="1" applyBorder="1" applyAlignment="1">
      <alignment horizontal="center" vertical="center" wrapText="1"/>
    </xf>
    <xf numFmtId="0" fontId="36" fillId="0" borderId="46" xfId="0" applyFont="1" applyBorder="1" applyAlignment="1">
      <alignment horizontal="left" vertical="center"/>
    </xf>
    <xf numFmtId="0" fontId="36" fillId="0" borderId="46" xfId="0" applyFont="1" applyBorder="1" applyAlignment="1">
      <alignment horizontal="center" vertical="center" wrapText="1"/>
    </xf>
    <xf numFmtId="0" fontId="36" fillId="0" borderId="40" xfId="0" applyFont="1" applyBorder="1" applyAlignment="1">
      <alignment vertical="center" wrapText="1"/>
    </xf>
    <xf numFmtId="0" fontId="36" fillId="0" borderId="20" xfId="0" applyFont="1" applyBorder="1" applyAlignment="1">
      <alignment vertical="center" wrapText="1"/>
    </xf>
    <xf numFmtId="0" fontId="36" fillId="0" borderId="46" xfId="0" applyFont="1" applyBorder="1" applyAlignment="1">
      <alignment vertical="center" wrapText="1"/>
    </xf>
    <xf numFmtId="0" fontId="33" fillId="0" borderId="0" xfId="0" applyFont="1" applyAlignment="1">
      <alignment horizontal="center" wrapText="1"/>
    </xf>
    <xf numFmtId="171" fontId="30" fillId="3" borderId="46" xfId="1" applyNumberFormat="1" applyFont="1" applyFill="1" applyBorder="1" applyAlignment="1">
      <alignment horizontal="right" vertical="center"/>
    </xf>
    <xf numFmtId="0" fontId="36" fillId="0" borderId="25" xfId="0" applyFont="1" applyBorder="1" applyAlignment="1">
      <alignment vertical="center" wrapText="1"/>
    </xf>
    <xf numFmtId="164" fontId="30" fillId="0" borderId="46" xfId="0" applyNumberFormat="1" applyFont="1" applyBorder="1" applyAlignment="1">
      <alignment horizontal="center" vertical="center" wrapText="1"/>
    </xf>
    <xf numFmtId="168" fontId="30" fillId="0" borderId="46" xfId="14" applyNumberFormat="1" applyFont="1" applyBorder="1" applyAlignment="1">
      <alignment horizontal="center" vertical="center" wrapText="1"/>
    </xf>
    <xf numFmtId="168" fontId="30" fillId="0" borderId="46" xfId="14" applyNumberFormat="1" applyFont="1" applyFill="1" applyBorder="1" applyAlignment="1">
      <alignment horizontal="center" vertical="center" wrapText="1"/>
    </xf>
    <xf numFmtId="0" fontId="33" fillId="0" borderId="12" xfId="0" applyFont="1" applyBorder="1" applyAlignment="1">
      <alignment horizontal="left" vertical="center"/>
    </xf>
    <xf numFmtId="0" fontId="2" fillId="15" borderId="0" xfId="0" applyFont="1" applyFill="1" applyAlignment="1">
      <alignment horizontal="center"/>
    </xf>
    <xf numFmtId="0" fontId="22" fillId="6" borderId="46" xfId="0" applyFont="1" applyFill="1" applyBorder="1" applyAlignment="1">
      <alignment horizontal="center" vertical="center" wrapText="1"/>
    </xf>
    <xf numFmtId="0" fontId="2" fillId="15" borderId="0" xfId="0" applyFont="1" applyFill="1" applyAlignment="1">
      <alignment horizontal="center" vertical="center"/>
    </xf>
    <xf numFmtId="0" fontId="2" fillId="0" borderId="0" xfId="0" applyFont="1" applyAlignment="1">
      <alignment horizontal="center" vertical="top" wrapText="1"/>
    </xf>
    <xf numFmtId="0" fontId="0" fillId="0" borderId="0" xfId="0" applyAlignment="1">
      <alignment horizontal="left" vertical="top" wrapText="1"/>
    </xf>
    <xf numFmtId="0" fontId="2" fillId="0" borderId="0" xfId="0" applyFont="1" applyAlignment="1">
      <alignment horizontal="center" vertical="center" wrapText="1"/>
    </xf>
    <xf numFmtId="0" fontId="36" fillId="0" borderId="43" xfId="0" applyFont="1" applyBorder="1" applyAlignment="1">
      <alignment horizontal="left" vertical="top" wrapText="1"/>
    </xf>
    <xf numFmtId="0" fontId="0" fillId="0" borderId="0" xfId="0" quotePrefix="1" applyAlignment="1">
      <alignment horizontal="center" vertical="center"/>
    </xf>
    <xf numFmtId="0" fontId="1" fillId="0" borderId="0" xfId="0" applyFont="1" applyAlignment="1">
      <alignment horizontal="center" vertical="center"/>
    </xf>
    <xf numFmtId="169" fontId="28" fillId="16" borderId="0" xfId="7" applyNumberFormat="1" applyFont="1" applyFill="1" applyAlignment="1">
      <alignment horizontal="center" vertical="center"/>
    </xf>
    <xf numFmtId="170" fontId="6" fillId="0" borderId="0" xfId="7" applyNumberFormat="1" applyFont="1" applyAlignment="1">
      <alignment horizontal="center" vertical="center"/>
    </xf>
    <xf numFmtId="170" fontId="6" fillId="0" borderId="31" xfId="7" applyNumberFormat="1" applyFont="1" applyBorder="1" applyAlignment="1">
      <alignment horizontal="center" vertical="center"/>
    </xf>
    <xf numFmtId="0" fontId="6" fillId="0" borderId="31" xfId="7" applyFont="1" applyBorder="1" applyAlignment="1">
      <alignment horizontal="center" vertical="center"/>
    </xf>
    <xf numFmtId="0" fontId="28" fillId="0" borderId="0" xfId="7" applyFont="1" applyAlignment="1">
      <alignment horizontal="center" vertical="center"/>
    </xf>
    <xf numFmtId="0" fontId="0" fillId="0" borderId="53" xfId="0" applyBorder="1" applyAlignment="1">
      <alignment vertical="center" wrapText="1"/>
    </xf>
    <xf numFmtId="0" fontId="0" fillId="11" borderId="0" xfId="0" applyFill="1" applyAlignment="1">
      <alignment horizontal="center"/>
    </xf>
    <xf numFmtId="0" fontId="39" fillId="0" borderId="0" xfId="0" applyFont="1" applyAlignment="1">
      <alignment vertical="center" wrapText="1"/>
    </xf>
    <xf numFmtId="165" fontId="33" fillId="0" borderId="0" xfId="1" applyNumberFormat="1" applyFont="1" applyBorder="1" applyAlignment="1">
      <alignment horizontal="center" vertical="center" wrapText="1"/>
    </xf>
    <xf numFmtId="0" fontId="36" fillId="0" borderId="31" xfId="0" applyFont="1" applyBorder="1" applyAlignment="1">
      <alignment horizontal="left" vertical="top" wrapText="1"/>
    </xf>
    <xf numFmtId="167" fontId="36" fillId="0" borderId="53" xfId="0" applyNumberFormat="1" applyFont="1" applyBorder="1" applyAlignment="1">
      <alignment horizontal="left" vertical="center"/>
    </xf>
    <xf numFmtId="0" fontId="42" fillId="0" borderId="0" xfId="0" applyFont="1" applyAlignment="1">
      <alignment horizontal="left" vertical="center"/>
    </xf>
    <xf numFmtId="165" fontId="42" fillId="0" borderId="28" xfId="1" applyNumberFormat="1" applyFont="1" applyBorder="1" applyAlignment="1">
      <alignment vertical="center"/>
    </xf>
    <xf numFmtId="0" fontId="0" fillId="0" borderId="53" xfId="0" applyBorder="1" applyAlignment="1">
      <alignment horizontal="center" vertical="center"/>
    </xf>
    <xf numFmtId="0" fontId="36" fillId="11" borderId="46" xfId="0" applyFont="1" applyFill="1" applyBorder="1" applyAlignment="1">
      <alignment horizontal="center" vertical="center" wrapText="1"/>
    </xf>
    <xf numFmtId="165" fontId="42" fillId="11" borderId="28" xfId="1" applyNumberFormat="1" applyFont="1" applyFill="1" applyBorder="1" applyAlignment="1">
      <alignment horizontal="center" vertical="center"/>
    </xf>
    <xf numFmtId="0" fontId="0" fillId="0" borderId="0" xfId="0" applyAlignment="1">
      <alignment vertical="center"/>
    </xf>
    <xf numFmtId="164" fontId="0" fillId="0" borderId="0" xfId="2" applyNumberFormat="1" applyFont="1"/>
    <xf numFmtId="165" fontId="0" fillId="0" borderId="0" xfId="0" applyNumberFormat="1"/>
    <xf numFmtId="165" fontId="0" fillId="0" borderId="0" xfId="1" applyNumberFormat="1" applyFont="1"/>
    <xf numFmtId="0" fontId="0" fillId="5" borderId="0" xfId="0" applyFill="1"/>
    <xf numFmtId="43" fontId="0" fillId="0" borderId="0" xfId="0" applyNumberFormat="1"/>
    <xf numFmtId="166" fontId="0" fillId="0" borderId="0" xfId="0" applyNumberFormat="1" applyAlignment="1">
      <alignment horizontal="center" vertical="center"/>
    </xf>
    <xf numFmtId="172" fontId="0" fillId="0" borderId="0" xfId="0" applyNumberFormat="1" applyAlignment="1">
      <alignment horizontal="center" vertical="center"/>
    </xf>
    <xf numFmtId="165" fontId="0" fillId="0" borderId="0" xfId="1" applyNumberFormat="1" applyFont="1" applyAlignment="1">
      <alignment horizontal="center" vertical="center"/>
    </xf>
    <xf numFmtId="165" fontId="8" fillId="0" borderId="53" xfId="1" applyNumberFormat="1" applyFont="1" applyFill="1" applyBorder="1" applyAlignment="1">
      <alignment horizontal="center" vertical="center"/>
    </xf>
    <xf numFmtId="165" fontId="7" fillId="0" borderId="53" xfId="1" applyNumberFormat="1" applyFont="1" applyFill="1" applyBorder="1" applyAlignment="1">
      <alignment horizontal="center" vertical="center"/>
    </xf>
    <xf numFmtId="164" fontId="0" fillId="0" borderId="0" xfId="0" applyNumberFormat="1"/>
    <xf numFmtId="0" fontId="0" fillId="0" borderId="53" xfId="0" applyBorder="1"/>
    <xf numFmtId="0" fontId="0" fillId="0" borderId="53" xfId="0" applyBorder="1" applyAlignment="1">
      <alignment horizontal="center" vertical="center" wrapText="1"/>
    </xf>
    <xf numFmtId="0" fontId="0" fillId="0" borderId="2" xfId="0" applyBorder="1"/>
    <xf numFmtId="0" fontId="0" fillId="0" borderId="0" xfId="0"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36" fillId="0" borderId="52" xfId="0" applyFont="1" applyBorder="1" applyAlignment="1">
      <alignment horizontal="left" vertical="center"/>
    </xf>
    <xf numFmtId="43" fontId="36" fillId="11" borderId="45" xfId="1" applyFont="1" applyFill="1" applyBorder="1" applyAlignment="1">
      <alignment horizontal="center" vertical="center" wrapText="1"/>
    </xf>
    <xf numFmtId="0" fontId="36" fillId="11" borderId="45" xfId="0" applyFont="1" applyFill="1" applyBorder="1" applyAlignment="1">
      <alignment horizontal="center" vertical="center" wrapText="1"/>
    </xf>
    <xf numFmtId="168" fontId="36" fillId="0" borderId="32" xfId="0" applyNumberFormat="1" applyFont="1" applyBorder="1" applyAlignment="1">
      <alignment horizontal="center" vertical="center" wrapText="1"/>
    </xf>
    <xf numFmtId="165" fontId="36" fillId="0" borderId="32" xfId="1" applyNumberFormat="1" applyFont="1" applyBorder="1" applyAlignment="1">
      <alignment horizontal="center" vertical="center" wrapText="1"/>
    </xf>
    <xf numFmtId="165" fontId="36" fillId="0" borderId="32" xfId="0" applyNumberFormat="1" applyFont="1" applyBorder="1" applyAlignment="1">
      <alignment horizontal="center" vertical="center" wrapText="1"/>
    </xf>
    <xf numFmtId="168" fontId="36" fillId="0" borderId="14" xfId="0" applyNumberFormat="1" applyFont="1" applyBorder="1" applyAlignment="1">
      <alignment horizontal="center" vertical="center" wrapText="1"/>
    </xf>
    <xf numFmtId="165" fontId="36" fillId="0" borderId="15" xfId="1" applyNumberFormat="1" applyFont="1" applyBorder="1" applyAlignment="1">
      <alignment horizontal="center" vertical="center" wrapText="1"/>
    </xf>
    <xf numFmtId="165" fontId="36" fillId="0" borderId="16" xfId="0" applyNumberFormat="1" applyFont="1" applyBorder="1" applyAlignment="1">
      <alignment horizontal="center" vertical="center" wrapText="1"/>
    </xf>
    <xf numFmtId="168" fontId="36" fillId="0" borderId="20" xfId="0" applyNumberFormat="1" applyFont="1" applyBorder="1" applyAlignment="1">
      <alignment horizontal="center" vertical="center" wrapText="1"/>
    </xf>
    <xf numFmtId="165" fontId="36" fillId="0" borderId="53" xfId="1" applyNumberFormat="1" applyFont="1" applyBorder="1" applyAlignment="1">
      <alignment horizontal="center" vertical="center" wrapText="1"/>
    </xf>
    <xf numFmtId="165" fontId="36" fillId="0" borderId="21" xfId="0" applyNumberFormat="1" applyFont="1" applyBorder="1" applyAlignment="1">
      <alignment horizontal="center" vertical="center" wrapText="1"/>
    </xf>
    <xf numFmtId="168" fontId="36" fillId="0" borderId="17" xfId="0" applyNumberFormat="1" applyFont="1" applyBorder="1" applyAlignment="1">
      <alignment horizontal="center" vertical="center" wrapText="1"/>
    </xf>
    <xf numFmtId="165" fontId="36" fillId="0" borderId="18" xfId="1" applyNumberFormat="1" applyFont="1" applyBorder="1" applyAlignment="1">
      <alignment horizontal="center" vertical="center" wrapText="1"/>
    </xf>
    <xf numFmtId="165" fontId="36" fillId="0" borderId="19" xfId="0" applyNumberFormat="1" applyFont="1" applyBorder="1" applyAlignment="1">
      <alignment horizontal="center" vertical="center" wrapText="1"/>
    </xf>
    <xf numFmtId="0" fontId="44" fillId="15" borderId="0" xfId="0" applyFont="1" applyFill="1" applyAlignment="1">
      <alignment horizontal="center" wrapText="1"/>
    </xf>
    <xf numFmtId="0" fontId="22" fillId="15" borderId="46" xfId="0" applyFont="1" applyFill="1" applyBorder="1" applyAlignment="1">
      <alignment horizontal="center" vertical="center" wrapText="1"/>
    </xf>
    <xf numFmtId="165" fontId="33" fillId="11" borderId="46" xfId="1" applyNumberFormat="1" applyFont="1" applyFill="1" applyBorder="1" applyAlignment="1">
      <alignment horizontal="center" vertical="center" wrapText="1"/>
    </xf>
    <xf numFmtId="164" fontId="33" fillId="11" borderId="46" xfId="0" applyNumberFormat="1" applyFont="1" applyFill="1" applyBorder="1" applyAlignment="1">
      <alignment horizontal="center" vertical="center" wrapText="1"/>
    </xf>
    <xf numFmtId="0" fontId="36" fillId="11" borderId="46" xfId="0" applyFont="1" applyFill="1" applyBorder="1" applyAlignment="1">
      <alignment vertical="center" wrapText="1"/>
    </xf>
    <xf numFmtId="164" fontId="30" fillId="11" borderId="46" xfId="0" applyNumberFormat="1" applyFont="1" applyFill="1" applyBorder="1" applyAlignment="1">
      <alignment horizontal="center" vertical="center" wrapText="1"/>
    </xf>
    <xf numFmtId="168" fontId="30" fillId="11" borderId="46" xfId="14" applyNumberFormat="1" applyFont="1" applyFill="1" applyBorder="1" applyAlignment="1">
      <alignment horizontal="center" vertical="center" wrapText="1"/>
    </xf>
    <xf numFmtId="0" fontId="0" fillId="18" borderId="53" xfId="0" applyFill="1" applyBorder="1" applyAlignment="1">
      <alignment horizontal="center" vertical="center"/>
    </xf>
    <xf numFmtId="0" fontId="0" fillId="20" borderId="53" xfId="0" applyFill="1" applyBorder="1" applyAlignment="1">
      <alignment horizontal="center" vertical="center"/>
    </xf>
    <xf numFmtId="0" fontId="0" fillId="3" borderId="53" xfId="0" applyFill="1" applyBorder="1" applyAlignment="1">
      <alignment horizontal="center" vertical="center"/>
    </xf>
    <xf numFmtId="0" fontId="0" fillId="6" borderId="53" xfId="0" applyFill="1" applyBorder="1" applyAlignment="1">
      <alignment horizontal="center" vertical="center"/>
    </xf>
    <xf numFmtId="0" fontId="0" fillId="21" borderId="53" xfId="0" applyFill="1" applyBorder="1" applyAlignment="1">
      <alignment horizontal="center" vertical="center"/>
    </xf>
    <xf numFmtId="0" fontId="0" fillId="19" borderId="53" xfId="0" applyFill="1" applyBorder="1" applyAlignment="1">
      <alignment horizontal="center" vertical="center"/>
    </xf>
    <xf numFmtId="165" fontId="0" fillId="0" borderId="53" xfId="1" applyNumberFormat="1" applyFont="1" applyBorder="1" applyAlignment="1">
      <alignment horizontal="center" vertical="center"/>
    </xf>
    <xf numFmtId="0" fontId="6" fillId="12" borderId="53" xfId="0" applyFont="1" applyFill="1" applyBorder="1" applyAlignment="1">
      <alignment horizontal="center" vertical="center"/>
    </xf>
    <xf numFmtId="0" fontId="0" fillId="12" borderId="53" xfId="0" applyFill="1" applyBorder="1" applyAlignment="1">
      <alignment horizontal="center" vertical="center"/>
    </xf>
    <xf numFmtId="0" fontId="0" fillId="6" borderId="2" xfId="0" applyFill="1" applyBorder="1" applyAlignment="1">
      <alignment horizontal="left" vertical="top" wrapText="1"/>
    </xf>
    <xf numFmtId="0" fontId="11" fillId="0" borderId="1" xfId="7" applyFont="1" applyBorder="1" applyAlignment="1">
      <alignment horizontal="center"/>
    </xf>
    <xf numFmtId="0" fontId="11" fillId="0" borderId="2" xfId="7" applyFont="1" applyBorder="1" applyAlignment="1">
      <alignment horizontal="center"/>
    </xf>
    <xf numFmtId="0" fontId="11" fillId="0" borderId="3" xfId="7" applyFont="1" applyBorder="1" applyAlignment="1">
      <alignment horizontal="center"/>
    </xf>
    <xf numFmtId="165" fontId="17" fillId="0" borderId="0" xfId="1" applyNumberFormat="1" applyFont="1" applyAlignment="1">
      <alignment vertical="center"/>
    </xf>
    <xf numFmtId="0" fontId="0" fillId="0" borderId="50" xfId="0" applyBorder="1"/>
    <xf numFmtId="0" fontId="0" fillId="0" borderId="37" xfId="0" applyBorder="1"/>
    <xf numFmtId="3" fontId="0" fillId="0" borderId="53" xfId="0" applyNumberFormat="1" applyBorder="1"/>
    <xf numFmtId="0" fontId="0" fillId="6" borderId="2" xfId="0" applyFill="1" applyBorder="1" applyAlignment="1">
      <alignment horizontal="left" vertical="top"/>
    </xf>
    <xf numFmtId="3" fontId="0" fillId="0" borderId="0" xfId="0" applyNumberFormat="1" applyAlignment="1">
      <alignment horizontal="center" vertical="center"/>
    </xf>
    <xf numFmtId="169" fontId="28" fillId="7" borderId="0" xfId="7" applyNumberFormat="1" applyFont="1" applyFill="1" applyAlignment="1">
      <alignment horizontal="center" vertical="center"/>
    </xf>
    <xf numFmtId="170" fontId="6" fillId="5" borderId="31" xfId="7" applyNumberFormat="1" applyFont="1" applyFill="1" applyBorder="1" applyAlignment="1">
      <alignment horizontal="center" vertical="center"/>
    </xf>
    <xf numFmtId="0" fontId="6" fillId="5" borderId="0" xfId="7" applyFont="1" applyFill="1" applyAlignment="1">
      <alignment horizontal="center" vertical="center"/>
    </xf>
    <xf numFmtId="0" fontId="6" fillId="5" borderId="31" xfId="7" applyFont="1" applyFill="1" applyBorder="1" applyAlignment="1">
      <alignment horizontal="center" vertical="center"/>
    </xf>
    <xf numFmtId="0" fontId="0" fillId="22" borderId="0" xfId="0" applyFill="1"/>
    <xf numFmtId="169" fontId="28" fillId="5" borderId="0" xfId="7" applyNumberFormat="1" applyFont="1" applyFill="1" applyAlignment="1">
      <alignment horizontal="center" vertical="center"/>
    </xf>
    <xf numFmtId="0" fontId="7" fillId="0" borderId="4" xfId="7" applyFont="1" applyBorder="1" applyAlignment="1">
      <alignment horizontal="center" vertical="center" wrapText="1"/>
    </xf>
    <xf numFmtId="0" fontId="0" fillId="23" borderId="0" xfId="0" applyFill="1" applyAlignment="1">
      <alignment horizontal="center" vertical="center"/>
    </xf>
    <xf numFmtId="41" fontId="0" fillId="0" borderId="0" xfId="0" applyNumberFormat="1"/>
    <xf numFmtId="0" fontId="0" fillId="0" borderId="0" xfId="0" applyAlignment="1">
      <alignment horizontal="left" vertical="center"/>
    </xf>
    <xf numFmtId="0" fontId="0" fillId="0" borderId="32" xfId="0" applyBorder="1" applyAlignment="1">
      <alignment horizontal="center" vertical="center"/>
    </xf>
    <xf numFmtId="0" fontId="11" fillId="0" borderId="44" xfId="7" applyFont="1" applyBorder="1" applyAlignment="1">
      <alignment vertical="center"/>
    </xf>
    <xf numFmtId="0" fontId="28" fillId="0" borderId="44" xfId="7" applyFont="1" applyBorder="1" applyAlignment="1">
      <alignment horizontal="center" vertical="center"/>
    </xf>
    <xf numFmtId="0" fontId="6" fillId="0" borderId="0" xfId="7" applyFont="1" applyAlignment="1">
      <alignment horizontal="center"/>
    </xf>
    <xf numFmtId="0" fontId="6" fillId="12" borderId="31" xfId="7" applyFont="1" applyFill="1" applyBorder="1" applyAlignment="1">
      <alignment horizontal="center" vertical="center"/>
    </xf>
    <xf numFmtId="170" fontId="6" fillId="12" borderId="31" xfId="7" applyNumberFormat="1" applyFont="1" applyFill="1" applyBorder="1" applyAlignment="1">
      <alignment horizontal="center" vertical="center"/>
    </xf>
    <xf numFmtId="0" fontId="28" fillId="12" borderId="0" xfId="7" applyFont="1" applyFill="1" applyAlignment="1">
      <alignment horizontal="center" vertical="center"/>
    </xf>
    <xf numFmtId="0" fontId="28" fillId="12" borderId="0" xfId="7" applyFont="1" applyFill="1" applyAlignment="1">
      <alignment horizontal="center"/>
    </xf>
    <xf numFmtId="171" fontId="30" fillId="3" borderId="46" xfId="14" applyNumberFormat="1" applyFont="1" applyFill="1" applyBorder="1" applyAlignment="1">
      <alignment horizontal="right" vertical="center"/>
    </xf>
    <xf numFmtId="5" fontId="30" fillId="3" borderId="46" xfId="1" applyNumberFormat="1" applyFont="1" applyFill="1" applyBorder="1" applyAlignment="1">
      <alignment horizontal="right" vertical="center"/>
    </xf>
    <xf numFmtId="3" fontId="0" fillId="3" borderId="0" xfId="0" applyNumberFormat="1" applyFill="1"/>
    <xf numFmtId="166" fontId="33" fillId="13" borderId="0" xfId="0" applyNumberFormat="1" applyFont="1" applyFill="1" applyAlignment="1">
      <alignment horizontal="left" vertical="center"/>
    </xf>
    <xf numFmtId="0" fontId="33" fillId="13" borderId="0" xfId="0" applyFont="1" applyFill="1" applyAlignment="1">
      <alignment horizontal="left"/>
    </xf>
    <xf numFmtId="166" fontId="33" fillId="0" borderId="32" xfId="0" applyNumberFormat="1" applyFont="1" applyBorder="1" applyAlignment="1">
      <alignment horizontal="center" vertical="center" wrapText="1"/>
    </xf>
    <xf numFmtId="0" fontId="33" fillId="0" borderId="32" xfId="0" applyFont="1" applyBorder="1" applyAlignment="1">
      <alignment horizontal="center" vertical="center" wrapText="1"/>
    </xf>
    <xf numFmtId="0" fontId="33" fillId="13" borderId="4" xfId="0" applyFont="1" applyFill="1" applyBorder="1" applyAlignment="1">
      <alignment horizontal="left" vertical="center"/>
    </xf>
    <xf numFmtId="0" fontId="19" fillId="13" borderId="5" xfId="0" applyFont="1" applyFill="1" applyBorder="1" applyAlignment="1">
      <alignment horizontal="center" vertical="center" wrapText="1"/>
    </xf>
    <xf numFmtId="0" fontId="33" fillId="13" borderId="22" xfId="0" applyFont="1" applyFill="1" applyBorder="1" applyAlignment="1">
      <alignment horizontal="left" vertical="center"/>
    </xf>
    <xf numFmtId="166" fontId="33" fillId="13" borderId="23" xfId="0" applyNumberFormat="1" applyFont="1" applyFill="1" applyBorder="1" applyAlignment="1">
      <alignment horizontal="left" vertical="center"/>
    </xf>
    <xf numFmtId="0" fontId="33" fillId="13" borderId="23" xfId="0" applyFont="1" applyFill="1" applyBorder="1" applyAlignment="1">
      <alignment horizontal="left"/>
    </xf>
    <xf numFmtId="0" fontId="33" fillId="13" borderId="48" xfId="0" applyFont="1" applyFill="1" applyBorder="1" applyAlignment="1">
      <alignment horizontal="left"/>
    </xf>
    <xf numFmtId="0" fontId="19" fillId="13" borderId="24" xfId="0" applyFont="1" applyFill="1" applyBorder="1" applyAlignment="1">
      <alignment horizontal="center" vertical="center" wrapText="1"/>
    </xf>
    <xf numFmtId="0" fontId="19" fillId="0" borderId="0" xfId="0" applyFont="1" applyAlignment="1">
      <alignment horizontal="left" vertical="center"/>
    </xf>
    <xf numFmtId="0" fontId="6" fillId="0" borderId="33" xfId="0" applyFont="1" applyBorder="1" applyAlignment="1">
      <alignment vertical="center" wrapText="1"/>
    </xf>
    <xf numFmtId="165" fontId="45" fillId="0" borderId="0" xfId="0" applyNumberFormat="1" applyFont="1"/>
    <xf numFmtId="0" fontId="36" fillId="15" borderId="46" xfId="0" applyFont="1" applyFill="1" applyBorder="1" applyAlignment="1">
      <alignment vertical="center" wrapText="1"/>
    </xf>
    <xf numFmtId="0" fontId="37" fillId="0" borderId="0" xfId="0" applyFont="1"/>
    <xf numFmtId="0" fontId="0" fillId="13" borderId="53" xfId="0" applyFill="1" applyBorder="1"/>
    <xf numFmtId="0" fontId="51" fillId="0" borderId="54" xfId="51" applyFont="1" applyBorder="1" applyAlignment="1">
      <alignment horizontal="center" vertical="center" wrapText="1"/>
    </xf>
    <xf numFmtId="0" fontId="37" fillId="0" borderId="0" xfId="0" applyFont="1" applyAlignment="1">
      <alignment horizontal="center" vertical="center"/>
    </xf>
    <xf numFmtId="0" fontId="52" fillId="0" borderId="0" xfId="0" applyFont="1" applyAlignment="1">
      <alignment horizontal="center" vertical="center"/>
    </xf>
    <xf numFmtId="0" fontId="7" fillId="0" borderId="0" xfId="7" applyFont="1" applyAlignment="1">
      <alignment horizontal="left" vertical="top" wrapText="1"/>
    </xf>
    <xf numFmtId="0" fontId="7" fillId="0" borderId="0" xfId="7" applyFont="1"/>
    <xf numFmtId="165" fontId="53" fillId="0" borderId="46" xfId="1" applyNumberFormat="1" applyFont="1" applyBorder="1" applyAlignment="1">
      <alignment horizontal="center" vertical="center" wrapText="1"/>
    </xf>
    <xf numFmtId="164" fontId="53" fillId="0" borderId="46" xfId="0" applyNumberFormat="1" applyFont="1" applyBorder="1" applyAlignment="1">
      <alignment horizontal="center" vertical="center" wrapText="1"/>
    </xf>
    <xf numFmtId="164" fontId="53" fillId="11" borderId="46" xfId="0" applyNumberFormat="1" applyFont="1" applyFill="1" applyBorder="1" applyAlignment="1">
      <alignment horizontal="center" vertical="center" wrapText="1"/>
    </xf>
    <xf numFmtId="168" fontId="21" fillId="0" borderId="33" xfId="14" applyNumberFormat="1" applyFont="1" applyBorder="1" applyAlignment="1">
      <alignment vertical="center"/>
    </xf>
    <xf numFmtId="0" fontId="21" fillId="0" borderId="53" xfId="0" applyFont="1" applyBorder="1"/>
    <xf numFmtId="168" fontId="21" fillId="0" borderId="33" xfId="0" applyNumberFormat="1" applyFont="1" applyBorder="1" applyAlignment="1">
      <alignment vertical="center"/>
    </xf>
    <xf numFmtId="0" fontId="0" fillId="0" borderId="53" xfId="0" applyBorder="1" applyAlignment="1">
      <alignment horizontal="center"/>
    </xf>
    <xf numFmtId="0" fontId="0" fillId="12" borderId="53" xfId="0" applyFill="1" applyBorder="1" applyAlignment="1">
      <alignment horizontal="center"/>
    </xf>
    <xf numFmtId="0" fontId="8" fillId="11" borderId="0" xfId="0" applyFont="1" applyFill="1"/>
    <xf numFmtId="0" fontId="8" fillId="11" borderId="0" xfId="0" applyFont="1" applyFill="1" applyAlignment="1">
      <alignment horizontal="center"/>
    </xf>
    <xf numFmtId="0" fontId="9" fillId="15" borderId="0" xfId="0" applyFont="1" applyFill="1" applyAlignment="1">
      <alignment horizontal="center"/>
    </xf>
    <xf numFmtId="0" fontId="0" fillId="5" borderId="0" xfId="0" applyFill="1" applyAlignment="1">
      <alignment horizontal="left" vertical="center"/>
    </xf>
    <xf numFmtId="167" fontId="25" fillId="5" borderId="33" xfId="0" applyNumberFormat="1" applyFont="1" applyFill="1" applyBorder="1" applyAlignment="1">
      <alignment vertical="center" wrapText="1"/>
    </xf>
    <xf numFmtId="0" fontId="0" fillId="4" borderId="53" xfId="0" applyFill="1" applyBorder="1" applyAlignment="1">
      <alignment horizontal="left" vertical="center"/>
    </xf>
    <xf numFmtId="0" fontId="0" fillId="4" borderId="53" xfId="0" applyFill="1" applyBorder="1"/>
    <xf numFmtId="0" fontId="7" fillId="0" borderId="0" xfId="7" applyFont="1" applyAlignment="1">
      <alignment vertical="center"/>
    </xf>
    <xf numFmtId="0" fontId="6" fillId="12" borderId="0" xfId="7" applyFont="1" applyFill="1" applyAlignment="1">
      <alignment horizontal="center" vertical="center"/>
    </xf>
    <xf numFmtId="171" fontId="30" fillId="7" borderId="46" xfId="1" applyNumberFormat="1" applyFont="1" applyFill="1" applyBorder="1" applyAlignment="1">
      <alignment horizontal="right" vertical="center"/>
    </xf>
    <xf numFmtId="171" fontId="30" fillId="26" borderId="46" xfId="1" applyNumberFormat="1" applyFont="1" applyFill="1" applyBorder="1" applyAlignment="1">
      <alignment horizontal="right" vertical="center"/>
    </xf>
    <xf numFmtId="0" fontId="55" fillId="0" borderId="0" xfId="0" applyFont="1"/>
    <xf numFmtId="0" fontId="56" fillId="0" borderId="5" xfId="0" applyFont="1" applyBorder="1"/>
    <xf numFmtId="0" fontId="56" fillId="0" borderId="5" xfId="0" applyFont="1" applyBorder="1" applyAlignment="1">
      <alignment vertical="center" wrapText="1" readingOrder="1"/>
    </xf>
    <xf numFmtId="0" fontId="59" fillId="5" borderId="55" xfId="0" applyFont="1" applyFill="1" applyBorder="1" applyAlignment="1">
      <alignment horizontal="center" vertical="center"/>
    </xf>
    <xf numFmtId="0" fontId="59" fillId="0" borderId="56" xfId="0" applyFont="1" applyBorder="1" applyAlignment="1">
      <alignment horizontal="left" vertical="center"/>
    </xf>
    <xf numFmtId="0" fontId="59" fillId="17" borderId="56" xfId="0" applyFont="1" applyFill="1" applyBorder="1" applyAlignment="1">
      <alignment horizontal="center" vertical="center"/>
    </xf>
    <xf numFmtId="0" fontId="59" fillId="0" borderId="57" xfId="0" applyFont="1" applyBorder="1" applyAlignment="1">
      <alignment horizontal="center" vertical="center"/>
    </xf>
    <xf numFmtId="0" fontId="0" fillId="5" borderId="53" xfId="0" applyFill="1" applyBorder="1" applyAlignment="1">
      <alignment horizontal="center" vertical="center"/>
    </xf>
    <xf numFmtId="172" fontId="0" fillId="17" borderId="53" xfId="0" applyNumberFormat="1" applyFill="1" applyBorder="1" applyAlignment="1">
      <alignment horizontal="center" vertical="center"/>
    </xf>
    <xf numFmtId="0" fontId="0" fillId="25" borderId="53" xfId="0" applyFill="1" applyBorder="1" applyAlignment="1">
      <alignment vertical="center" wrapText="1"/>
    </xf>
    <xf numFmtId="0" fontId="0" fillId="0" borderId="53" xfId="0" quotePrefix="1" applyBorder="1" applyAlignment="1">
      <alignment horizontal="center" vertical="center"/>
    </xf>
    <xf numFmtId="0" fontId="0" fillId="13" borderId="53" xfId="0" applyFill="1" applyBorder="1" applyAlignment="1">
      <alignment vertical="center"/>
    </xf>
    <xf numFmtId="0" fontId="0" fillId="13" borderId="53" xfId="0" applyFill="1" applyBorder="1" applyAlignment="1">
      <alignment vertical="center" wrapText="1"/>
    </xf>
    <xf numFmtId="172" fontId="0" fillId="24" borderId="53" xfId="0" applyNumberFormat="1" applyFill="1" applyBorder="1" applyAlignment="1">
      <alignment horizontal="center" vertical="center"/>
    </xf>
    <xf numFmtId="0" fontId="0" fillId="5" borderId="32" xfId="0" applyFill="1" applyBorder="1" applyAlignment="1">
      <alignment horizontal="center" vertical="center"/>
    </xf>
    <xf numFmtId="172" fontId="0" fillId="17" borderId="32" xfId="0" applyNumberFormat="1" applyFill="1" applyBorder="1" applyAlignment="1">
      <alignment horizontal="center" vertical="center"/>
    </xf>
    <xf numFmtId="164" fontId="30" fillId="7" borderId="46" xfId="0" applyNumberFormat="1" applyFont="1" applyFill="1" applyBorder="1" applyAlignment="1">
      <alignment horizontal="center" vertical="center" wrapText="1"/>
    </xf>
    <xf numFmtId="0" fontId="11" fillId="7" borderId="44" xfId="7" applyFont="1" applyFill="1" applyBorder="1" applyAlignment="1">
      <alignment vertical="center"/>
    </xf>
    <xf numFmtId="0" fontId="0" fillId="7" borderId="0" xfId="0" applyFill="1"/>
    <xf numFmtId="0" fontId="0" fillId="0" borderId="0" xfId="0" applyAlignment="1">
      <alignment horizontal="center"/>
    </xf>
    <xf numFmtId="164" fontId="15" fillId="0" borderId="0" xfId="2" applyNumberFormat="1" applyFont="1" applyAlignment="1">
      <alignment horizontal="center" vertical="center"/>
    </xf>
    <xf numFmtId="164" fontId="0" fillId="2" borderId="33" xfId="2" applyNumberFormat="1" applyFont="1" applyFill="1" applyBorder="1" applyAlignment="1">
      <alignment horizontal="right" vertical="center"/>
    </xf>
    <xf numFmtId="168" fontId="0" fillId="22" borderId="33" xfId="14" applyNumberFormat="1" applyFont="1" applyFill="1" applyBorder="1" applyAlignment="1">
      <alignment horizontal="center" vertical="center"/>
    </xf>
    <xf numFmtId="168" fontId="0" fillId="12" borderId="33" xfId="14" applyNumberFormat="1" applyFont="1" applyFill="1" applyBorder="1" applyAlignment="1">
      <alignment horizontal="right" vertical="center"/>
    </xf>
    <xf numFmtId="168" fontId="0" fillId="5" borderId="33" xfId="14" applyNumberFormat="1" applyFont="1" applyFill="1" applyBorder="1" applyAlignment="1">
      <alignment vertical="center"/>
    </xf>
    <xf numFmtId="0" fontId="0" fillId="27" borderId="53" xfId="0" applyFill="1" applyBorder="1" applyAlignment="1">
      <alignment horizontal="center" vertical="top"/>
    </xf>
    <xf numFmtId="0" fontId="0" fillId="2" borderId="53" xfId="0" applyFill="1" applyBorder="1" applyAlignment="1">
      <alignment horizontal="center" vertical="center"/>
    </xf>
    <xf numFmtId="0" fontId="18" fillId="5" borderId="53" xfId="0" applyFont="1" applyFill="1" applyBorder="1" applyAlignment="1">
      <alignment horizontal="center" vertical="center"/>
    </xf>
    <xf numFmtId="0" fontId="6" fillId="0" borderId="0" xfId="0" applyFont="1"/>
    <xf numFmtId="0" fontId="63" fillId="0" borderId="0" xfId="0" applyFont="1"/>
    <xf numFmtId="0" fontId="63" fillId="0" borderId="1" xfId="0" applyFont="1" applyBorder="1"/>
    <xf numFmtId="0" fontId="63" fillId="0" borderId="4" xfId="0" applyFont="1" applyBorder="1"/>
    <xf numFmtId="0" fontId="68" fillId="0" borderId="1" xfId="0" applyFont="1" applyBorder="1" applyAlignment="1">
      <alignment horizontal="left" vertical="center" readingOrder="1"/>
    </xf>
    <xf numFmtId="0" fontId="69" fillId="0" borderId="2" xfId="0" applyFont="1" applyBorder="1"/>
    <xf numFmtId="0" fontId="69" fillId="0" borderId="3" xfId="0" applyFont="1" applyBorder="1"/>
    <xf numFmtId="0" fontId="70" fillId="0" borderId="5" xfId="0" applyFont="1" applyBorder="1" applyAlignment="1">
      <alignment vertical="center" wrapText="1" readingOrder="1"/>
    </xf>
    <xf numFmtId="0" fontId="63" fillId="0" borderId="22" xfId="0" applyFont="1" applyBorder="1"/>
    <xf numFmtId="0" fontId="63" fillId="0" borderId="24" xfId="0" applyFont="1" applyBorder="1"/>
    <xf numFmtId="0" fontId="56" fillId="0" borderId="0" xfId="0" applyFont="1" applyAlignment="1">
      <alignment vertical="center" readingOrder="1"/>
    </xf>
    <xf numFmtId="0" fontId="56" fillId="0" borderId="5" xfId="0" applyFont="1" applyBorder="1" applyAlignment="1">
      <alignment vertical="center" readingOrder="1"/>
    </xf>
    <xf numFmtId="0" fontId="47" fillId="0" borderId="0" xfId="0" applyFont="1" applyAlignment="1">
      <alignment vertical="center" readingOrder="1"/>
    </xf>
    <xf numFmtId="0" fontId="47" fillId="0" borderId="5" xfId="0" applyFont="1" applyBorder="1" applyAlignment="1">
      <alignment vertical="center" readingOrder="1"/>
    </xf>
    <xf numFmtId="0" fontId="72" fillId="0" borderId="0" xfId="50" applyFont="1" applyBorder="1" applyAlignment="1">
      <alignment vertical="center"/>
    </xf>
    <xf numFmtId="0" fontId="63" fillId="0" borderId="0" xfId="0" applyFont="1" applyAlignment="1">
      <alignment vertical="center" wrapText="1" readingOrder="1"/>
    </xf>
    <xf numFmtId="0" fontId="75" fillId="11" borderId="0" xfId="0" applyFont="1" applyFill="1" applyAlignment="1">
      <alignment horizontal="center" vertical="center"/>
    </xf>
    <xf numFmtId="0" fontId="56" fillId="11" borderId="0" xfId="0" applyFont="1" applyFill="1" applyAlignment="1">
      <alignment horizontal="center"/>
    </xf>
    <xf numFmtId="166" fontId="77" fillId="5" borderId="47" xfId="0" applyNumberFormat="1" applyFont="1" applyFill="1" applyBorder="1" applyAlignment="1">
      <alignment horizontal="center" vertical="center"/>
    </xf>
    <xf numFmtId="0" fontId="64" fillId="0" borderId="19" xfId="0" applyFont="1" applyBorder="1" applyAlignment="1">
      <alignment horizontal="center" vertical="center"/>
    </xf>
    <xf numFmtId="0" fontId="62" fillId="11" borderId="0" xfId="0" applyFont="1" applyFill="1" applyAlignment="1">
      <alignment horizontal="center" vertical="center"/>
    </xf>
    <xf numFmtId="166" fontId="64" fillId="0" borderId="0" xfId="0" applyNumberFormat="1" applyFont="1" applyAlignment="1">
      <alignment horizontal="center" vertical="center"/>
    </xf>
    <xf numFmtId="0" fontId="63" fillId="0" borderId="0" xfId="0" applyFont="1" applyAlignment="1">
      <alignment horizontal="center" vertical="center" wrapText="1"/>
    </xf>
    <xf numFmtId="0" fontId="64" fillId="0" borderId="0" xfId="0" applyFont="1" applyAlignment="1">
      <alignment horizontal="center" vertical="center"/>
    </xf>
    <xf numFmtId="0" fontId="49" fillId="0" borderId="0" xfId="0" applyFont="1" applyAlignment="1">
      <alignment vertical="center"/>
    </xf>
    <xf numFmtId="0" fontId="63" fillId="0" borderId="0" xfId="0" applyFont="1" applyAlignment="1">
      <alignment vertical="center"/>
    </xf>
    <xf numFmtId="0" fontId="63" fillId="11" borderId="0" xfId="0" applyFont="1" applyFill="1"/>
    <xf numFmtId="0" fontId="63" fillId="11" borderId="0" xfId="0" applyFont="1" applyFill="1" applyAlignment="1">
      <alignment horizontal="center" vertical="center"/>
    </xf>
    <xf numFmtId="0" fontId="67" fillId="0" borderId="33" xfId="0" applyFont="1" applyBorder="1" applyAlignment="1">
      <alignment horizontal="center" vertical="center" wrapText="1"/>
    </xf>
    <xf numFmtId="0" fontId="67" fillId="0" borderId="46" xfId="0" applyFont="1" applyBorder="1" applyAlignment="1">
      <alignment horizontal="center" vertical="center" wrapText="1"/>
    </xf>
    <xf numFmtId="167" fontId="78" fillId="0" borderId="33" xfId="0" applyNumberFormat="1" applyFont="1" applyBorder="1" applyAlignment="1">
      <alignment vertical="center" wrapText="1"/>
    </xf>
    <xf numFmtId="168" fontId="63" fillId="0" borderId="33" xfId="14" applyNumberFormat="1" applyFont="1" applyBorder="1" applyAlignment="1">
      <alignment vertical="center"/>
    </xf>
    <xf numFmtId="0" fontId="63" fillId="0" borderId="33" xfId="0" applyFont="1" applyBorder="1" applyAlignment="1">
      <alignment vertical="center"/>
    </xf>
    <xf numFmtId="0" fontId="65" fillId="0" borderId="33" xfId="0" applyFont="1" applyBorder="1" applyAlignment="1">
      <alignment vertical="center" wrapText="1"/>
    </xf>
    <xf numFmtId="168" fontId="63" fillId="0" borderId="33" xfId="0" applyNumberFormat="1" applyFont="1" applyBorder="1" applyAlignment="1">
      <alignment vertical="center"/>
    </xf>
    <xf numFmtId="164" fontId="63" fillId="0" borderId="33" xfId="2" applyNumberFormat="1" applyFont="1" applyBorder="1" applyAlignment="1">
      <alignment horizontal="right" vertical="center"/>
    </xf>
    <xf numFmtId="0" fontId="48" fillId="0" borderId="53" xfId="0" applyFont="1" applyBorder="1" applyAlignment="1">
      <alignment horizontal="right" vertical="center"/>
    </xf>
    <xf numFmtId="164" fontId="48" fillId="0" borderId="53" xfId="2" applyNumberFormat="1" applyFont="1" applyBorder="1" applyAlignment="1">
      <alignment horizontal="right" vertical="center"/>
    </xf>
    <xf numFmtId="164" fontId="61" fillId="0" borderId="53" xfId="2" applyNumberFormat="1" applyFont="1" applyBorder="1" applyAlignment="1">
      <alignment horizontal="right" vertical="center"/>
    </xf>
    <xf numFmtId="168" fontId="63" fillId="0" borderId="33" xfId="14" applyNumberFormat="1" applyFont="1" applyBorder="1" applyAlignment="1">
      <alignment horizontal="right" vertical="center"/>
    </xf>
    <xf numFmtId="0" fontId="65" fillId="0" borderId="14" xfId="0" applyFont="1" applyBorder="1" applyAlignment="1">
      <alignment vertical="center"/>
    </xf>
    <xf numFmtId="0" fontId="67" fillId="0" borderId="15" xfId="0" applyFont="1" applyBorder="1" applyAlignment="1">
      <alignment horizontal="center" vertical="center" wrapText="1"/>
    </xf>
    <xf numFmtId="164" fontId="63" fillId="0" borderId="16" xfId="2" applyNumberFormat="1" applyFont="1" applyBorder="1" applyAlignment="1">
      <alignment horizontal="right" vertical="center"/>
    </xf>
    <xf numFmtId="0" fontId="65" fillId="0" borderId="20" xfId="0" applyFont="1" applyBorder="1" applyAlignment="1">
      <alignment vertical="center" wrapText="1"/>
    </xf>
    <xf numFmtId="168" fontId="63" fillId="0" borderId="53" xfId="14" applyNumberFormat="1" applyFont="1" applyBorder="1" applyAlignment="1">
      <alignment horizontal="right" vertical="center"/>
    </xf>
    <xf numFmtId="168" fontId="63" fillId="0" borderId="21" xfId="0" applyNumberFormat="1" applyFont="1" applyBorder="1" applyAlignment="1">
      <alignment vertical="center"/>
    </xf>
    <xf numFmtId="0" fontId="63" fillId="0" borderId="20" xfId="0" applyFont="1" applyBorder="1" applyAlignment="1">
      <alignment vertical="center" wrapText="1"/>
    </xf>
    <xf numFmtId="0" fontId="63" fillId="11" borderId="4" xfId="0" applyFont="1" applyFill="1" applyBorder="1" applyAlignment="1">
      <alignment vertical="center"/>
    </xf>
    <xf numFmtId="0" fontId="63" fillId="11" borderId="5" xfId="0" applyFont="1" applyFill="1" applyBorder="1" applyAlignment="1">
      <alignment horizontal="center" vertical="center"/>
    </xf>
    <xf numFmtId="168" fontId="63" fillId="6" borderId="53" xfId="14" applyNumberFormat="1" applyFont="1" applyFill="1" applyBorder="1" applyAlignment="1">
      <alignment horizontal="center" vertical="center"/>
    </xf>
    <xf numFmtId="168" fontId="63" fillId="0" borderId="53" xfId="14" applyNumberFormat="1" applyFont="1" applyFill="1" applyBorder="1" applyAlignment="1">
      <alignment horizontal="center" vertical="center"/>
    </xf>
    <xf numFmtId="168" fontId="63" fillId="11" borderId="0" xfId="0" applyNumberFormat="1" applyFont="1" applyFill="1" applyAlignment="1">
      <alignment horizontal="center" vertical="center"/>
    </xf>
    <xf numFmtId="0" fontId="63" fillId="0" borderId="17" xfId="0" applyFont="1" applyBorder="1" applyAlignment="1">
      <alignment vertical="center" wrapText="1"/>
    </xf>
    <xf numFmtId="168" fontId="63" fillId="0" borderId="18" xfId="0" applyNumberFormat="1" applyFont="1" applyBorder="1" applyAlignment="1">
      <alignment vertical="center"/>
    </xf>
    <xf numFmtId="168" fontId="63" fillId="0" borderId="19" xfId="0" applyNumberFormat="1" applyFont="1" applyBorder="1" applyAlignment="1">
      <alignment vertical="center"/>
    </xf>
    <xf numFmtId="0" fontId="67" fillId="0" borderId="16" xfId="0" applyFont="1" applyBorder="1" applyAlignment="1">
      <alignment horizontal="center" vertical="center" wrapText="1"/>
    </xf>
    <xf numFmtId="168" fontId="63" fillId="0" borderId="53" xfId="0" applyNumberFormat="1" applyFont="1" applyBorder="1"/>
    <xf numFmtId="168" fontId="63" fillId="0" borderId="21" xfId="0" applyNumberFormat="1" applyFont="1" applyBorder="1"/>
    <xf numFmtId="168" fontId="63" fillId="0" borderId="18" xfId="0" applyNumberFormat="1" applyFont="1" applyBorder="1"/>
    <xf numFmtId="168" fontId="63" fillId="0" borderId="19" xfId="0" applyNumberFormat="1" applyFont="1" applyBorder="1"/>
    <xf numFmtId="0" fontId="76"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vertical="top" wrapText="1"/>
    </xf>
    <xf numFmtId="166" fontId="63" fillId="29" borderId="0" xfId="0" applyNumberFormat="1" applyFont="1" applyFill="1" applyAlignment="1">
      <alignment horizontal="center" vertical="center"/>
    </xf>
    <xf numFmtId="0" fontId="63" fillId="29" borderId="0" xfId="0" applyFont="1" applyFill="1" applyAlignment="1">
      <alignment vertical="center"/>
    </xf>
    <xf numFmtId="0" fontId="63" fillId="29" borderId="0" xfId="0" applyFont="1" applyFill="1"/>
    <xf numFmtId="0" fontId="63" fillId="29" borderId="0" xfId="0" applyFont="1" applyFill="1" applyAlignment="1">
      <alignment horizontal="left" vertical="center"/>
    </xf>
    <xf numFmtId="0" fontId="73" fillId="23" borderId="1" xfId="0" applyFont="1" applyFill="1" applyBorder="1" applyAlignment="1">
      <alignment horizontal="center" vertical="center" wrapText="1"/>
    </xf>
    <xf numFmtId="0" fontId="73" fillId="0" borderId="22" xfId="0" applyFont="1" applyBorder="1" applyAlignment="1">
      <alignment horizontal="center" vertical="center" wrapText="1"/>
    </xf>
    <xf numFmtId="0" fontId="71" fillId="0" borderId="2" xfId="0" applyFont="1" applyBorder="1" applyAlignment="1">
      <alignment vertical="center" readingOrder="1"/>
    </xf>
    <xf numFmtId="0" fontId="71" fillId="0" borderId="3" xfId="0" applyFont="1" applyBorder="1" applyAlignment="1">
      <alignment vertical="center" readingOrder="1"/>
    </xf>
    <xf numFmtId="0" fontId="63" fillId="0" borderId="0" xfId="0" applyFont="1" applyAlignment="1">
      <alignment vertical="center" readingOrder="1"/>
    </xf>
    <xf numFmtId="0" fontId="68" fillId="0" borderId="1" xfId="0" applyFont="1" applyBorder="1" applyAlignment="1">
      <alignment vertical="center" readingOrder="1"/>
    </xf>
    <xf numFmtId="0" fontId="63" fillId="28" borderId="8" xfId="0" applyFont="1" applyFill="1" applyBorder="1" applyAlignment="1">
      <alignment vertical="center"/>
    </xf>
    <xf numFmtId="0" fontId="63" fillId="28" borderId="9" xfId="0" applyFont="1" applyFill="1" applyBorder="1" applyAlignment="1">
      <alignment horizontal="center" vertical="center"/>
    </xf>
    <xf numFmtId="0" fontId="63" fillId="28" borderId="10" xfId="0" applyFont="1" applyFill="1" applyBorder="1" applyAlignment="1">
      <alignment horizontal="center" vertical="center"/>
    </xf>
    <xf numFmtId="168" fontId="63" fillId="0" borderId="53" xfId="0" applyNumberFormat="1" applyFont="1" applyBorder="1" applyAlignment="1">
      <alignment vertical="center"/>
    </xf>
    <xf numFmtId="0" fontId="63" fillId="0" borderId="0" xfId="0" applyFont="1" applyAlignment="1">
      <alignment vertical="top"/>
    </xf>
    <xf numFmtId="0" fontId="63" fillId="0" borderId="25" xfId="0" applyFont="1" applyBorder="1"/>
    <xf numFmtId="0" fontId="63" fillId="0" borderId="26" xfId="0" applyFont="1" applyBorder="1"/>
    <xf numFmtId="0" fontId="6" fillId="12" borderId="0" xfId="0" applyFont="1" applyFill="1" applyAlignment="1">
      <alignment horizontal="left" vertical="center"/>
    </xf>
    <xf numFmtId="0" fontId="6" fillId="7" borderId="53" xfId="0" applyFont="1" applyFill="1" applyBorder="1" applyAlignment="1">
      <alignment vertical="center" wrapText="1"/>
    </xf>
    <xf numFmtId="0" fontId="0" fillId="5" borderId="53" xfId="0" applyFill="1" applyBorder="1" applyAlignment="1">
      <alignment horizontal="center"/>
    </xf>
    <xf numFmtId="0" fontId="0" fillId="23" borderId="0" xfId="0" applyFill="1"/>
    <xf numFmtId="0" fontId="80" fillId="0" borderId="0" xfId="0" applyFont="1" applyAlignment="1">
      <alignment horizontal="center" vertical="center"/>
    </xf>
    <xf numFmtId="0" fontId="60" fillId="0" borderId="0" xfId="0" applyFont="1"/>
    <xf numFmtId="0" fontId="0" fillId="12" borderId="52" xfId="0" applyFill="1" applyBorder="1"/>
    <xf numFmtId="0" fontId="0" fillId="12" borderId="51" xfId="0" applyFill="1" applyBorder="1"/>
    <xf numFmtId="0" fontId="0" fillId="12" borderId="45" xfId="0" applyFill="1" applyBorder="1"/>
    <xf numFmtId="0" fontId="0" fillId="12" borderId="53" xfId="0" applyFill="1" applyBorder="1" applyAlignment="1">
      <alignment horizontal="left" vertical="center"/>
    </xf>
    <xf numFmtId="164" fontId="0" fillId="6" borderId="0" xfId="0" applyNumberFormat="1" applyFill="1" applyAlignment="1">
      <alignment horizontal="center" vertical="center"/>
    </xf>
    <xf numFmtId="43" fontId="0" fillId="3" borderId="0" xfId="0" applyNumberFormat="1" applyFill="1" applyAlignment="1">
      <alignment horizontal="center" vertical="center"/>
    </xf>
    <xf numFmtId="164" fontId="0" fillId="3" borderId="0" xfId="0" applyNumberFormat="1" applyFill="1" applyAlignment="1">
      <alignment vertical="center"/>
    </xf>
    <xf numFmtId="43" fontId="0" fillId="18" borderId="0" xfId="0" applyNumberFormat="1" applyFill="1" applyAlignment="1">
      <alignment vertical="center"/>
    </xf>
    <xf numFmtId="164" fontId="0" fillId="18" borderId="0" xfId="0" applyNumberFormat="1" applyFill="1" applyAlignment="1">
      <alignment vertical="center"/>
    </xf>
    <xf numFmtId="43" fontId="0" fillId="19" borderId="0" xfId="0" applyNumberFormat="1" applyFill="1" applyAlignment="1">
      <alignment horizontal="center" vertical="center"/>
    </xf>
    <xf numFmtId="164" fontId="0" fillId="19" borderId="0" xfId="0" applyNumberFormat="1" applyFill="1" applyAlignment="1">
      <alignment horizontal="center" vertical="center"/>
    </xf>
    <xf numFmtId="43" fontId="0" fillId="0" borderId="0" xfId="0" applyNumberFormat="1" applyAlignment="1">
      <alignment vertical="center"/>
    </xf>
    <xf numFmtId="43" fontId="0" fillId="30" borderId="0" xfId="0" applyNumberFormat="1" applyFill="1" applyAlignment="1">
      <alignment vertical="center"/>
    </xf>
    <xf numFmtId="164" fontId="0" fillId="30" borderId="0" xfId="0" applyNumberFormat="1" applyFill="1" applyAlignment="1">
      <alignment vertical="center"/>
    </xf>
    <xf numFmtId="0" fontId="0" fillId="12" borderId="0" xfId="0" applyFill="1" applyAlignment="1">
      <alignment vertical="center"/>
    </xf>
    <xf numFmtId="0" fontId="45" fillId="0" borderId="0" xfId="0" applyFont="1" applyAlignment="1">
      <alignment vertical="center" wrapText="1"/>
    </xf>
    <xf numFmtId="0" fontId="0" fillId="12" borderId="0" xfId="0" applyFill="1"/>
    <xf numFmtId="0" fontId="20" fillId="0" borderId="0" xfId="0" applyFont="1"/>
    <xf numFmtId="0" fontId="80" fillId="0" borderId="0" xfId="0" applyFont="1"/>
    <xf numFmtId="0" fontId="80" fillId="0" borderId="0" xfId="0" applyFont="1" applyAlignment="1">
      <alignment horizontal="center" vertical="center" wrapText="1"/>
    </xf>
    <xf numFmtId="0" fontId="0" fillId="30" borderId="53" xfId="0" applyFill="1" applyBorder="1" applyAlignment="1">
      <alignment horizontal="center" vertical="center"/>
    </xf>
    <xf numFmtId="0" fontId="2" fillId="0" borderId="53" xfId="0" applyFont="1" applyBorder="1" applyAlignment="1">
      <alignment vertical="center"/>
    </xf>
    <xf numFmtId="0" fontId="0" fillId="14" borderId="0" xfId="0" applyFill="1"/>
    <xf numFmtId="0" fontId="0" fillId="0" borderId="12" xfId="0" applyBorder="1" applyAlignment="1">
      <alignment horizontal="center" vertical="center" wrapText="1"/>
    </xf>
    <xf numFmtId="0" fontId="3" fillId="0" borderId="0" xfId="0" applyFont="1" applyAlignment="1">
      <alignment horizontal="center" vertical="center" wrapText="1"/>
    </xf>
    <xf numFmtId="43" fontId="0" fillId="0" borderId="0" xfId="25" applyFont="1"/>
    <xf numFmtId="172" fontId="0" fillId="0" borderId="0" xfId="0" applyNumberFormat="1"/>
    <xf numFmtId="0" fontId="3" fillId="0" borderId="0" xfId="0" applyFont="1"/>
    <xf numFmtId="0" fontId="0" fillId="19" borderId="0" xfId="0" applyFill="1"/>
    <xf numFmtId="43" fontId="0" fillId="0" borderId="0" xfId="25" applyFont="1" applyFill="1"/>
    <xf numFmtId="0" fontId="0" fillId="31" borderId="53" xfId="0" applyFill="1" applyBorder="1" applyAlignment="1">
      <alignment horizontal="center" vertical="center"/>
    </xf>
    <xf numFmtId="167" fontId="18" fillId="0" borderId="20" xfId="0" applyNumberFormat="1" applyFont="1" applyBorder="1" applyAlignment="1">
      <alignment horizontal="left" vertical="center" wrapText="1"/>
    </xf>
    <xf numFmtId="167" fontId="18" fillId="0" borderId="53" xfId="0" applyNumberFormat="1" applyFont="1" applyBorder="1" applyAlignment="1">
      <alignment horizontal="left" vertical="center" wrapText="1"/>
    </xf>
    <xf numFmtId="0" fontId="7" fillId="0" borderId="52" xfId="0" applyFont="1" applyBorder="1" applyAlignment="1">
      <alignment vertical="center" wrapText="1"/>
    </xf>
    <xf numFmtId="168" fontId="8" fillId="0" borderId="53" xfId="39" applyNumberFormat="1" applyFont="1" applyBorder="1" applyAlignment="1">
      <alignment vertical="center"/>
    </xf>
    <xf numFmtId="165" fontId="8" fillId="0" borderId="53" xfId="0" applyNumberFormat="1" applyFont="1" applyBorder="1" applyAlignment="1">
      <alignment horizontal="center" vertical="center" wrapText="1"/>
    </xf>
    <xf numFmtId="165" fontId="8" fillId="0" borderId="0" xfId="0" applyNumberFormat="1" applyFont="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xf>
    <xf numFmtId="0" fontId="7" fillId="0" borderId="1" xfId="0" applyFont="1" applyBorder="1" applyAlignment="1">
      <alignment vertical="center" wrapText="1"/>
    </xf>
    <xf numFmtId="43" fontId="8" fillId="0" borderId="2" xfId="1" applyFont="1" applyFill="1" applyBorder="1" applyAlignment="1">
      <alignment vertical="center"/>
    </xf>
    <xf numFmtId="43" fontId="8" fillId="0" borderId="3" xfId="1" applyFont="1" applyFill="1" applyBorder="1" applyAlignment="1">
      <alignment vertical="center"/>
    </xf>
    <xf numFmtId="0" fontId="7" fillId="0" borderId="4" xfId="0" applyFont="1" applyBorder="1" applyAlignment="1">
      <alignment vertical="center" wrapText="1"/>
    </xf>
    <xf numFmtId="43" fontId="8" fillId="0" borderId="5" xfId="1" applyFont="1" applyFill="1" applyBorder="1" applyAlignment="1">
      <alignment vertical="center"/>
    </xf>
    <xf numFmtId="0" fontId="7" fillId="0" borderId="11" xfId="0" applyFont="1" applyBorder="1" applyAlignment="1">
      <alignment vertical="center" wrapText="1"/>
    </xf>
    <xf numFmtId="43" fontId="8" fillId="0" borderId="6" xfId="1" applyFont="1" applyFill="1" applyBorder="1" applyAlignment="1">
      <alignment vertical="center"/>
    </xf>
    <xf numFmtId="43" fontId="8" fillId="6" borderId="7" xfId="1" applyFont="1" applyFill="1" applyBorder="1" applyAlignment="1">
      <alignment vertical="center"/>
    </xf>
    <xf numFmtId="0" fontId="8" fillId="0" borderId="0" xfId="0" applyFont="1" applyAlignment="1">
      <alignment vertical="center" wrapText="1"/>
    </xf>
    <xf numFmtId="0" fontId="9" fillId="0" borderId="8" xfId="0" applyFont="1" applyBorder="1" applyAlignment="1">
      <alignment vertical="center" wrapText="1"/>
    </xf>
    <xf numFmtId="43" fontId="8" fillId="0" borderId="53" xfId="1" applyFont="1" applyBorder="1" applyAlignment="1">
      <alignment vertical="center"/>
    </xf>
    <xf numFmtId="0" fontId="8" fillId="0" borderId="53" xfId="0" applyFont="1" applyBorder="1" applyAlignment="1">
      <alignment horizontal="center" vertical="center"/>
    </xf>
    <xf numFmtId="0" fontId="7" fillId="0" borderId="8" xfId="0" applyFont="1" applyBorder="1" applyAlignment="1">
      <alignment vertical="center" wrapText="1"/>
    </xf>
    <xf numFmtId="43" fontId="8" fillId="0" borderId="9" xfId="1" applyFont="1" applyFill="1" applyBorder="1" applyAlignment="1">
      <alignment vertical="center"/>
    </xf>
    <xf numFmtId="43" fontId="8" fillId="4" borderId="10" xfId="1" applyFont="1" applyFill="1" applyBorder="1" applyAlignment="1">
      <alignment vertical="center"/>
    </xf>
    <xf numFmtId="43" fontId="8" fillId="3" borderId="53" xfId="1" applyFont="1" applyFill="1" applyBorder="1" applyAlignment="1">
      <alignment vertical="center"/>
    </xf>
    <xf numFmtId="43" fontId="8" fillId="4" borderId="53" xfId="0" applyNumberFormat="1" applyFont="1" applyFill="1" applyBorder="1" applyAlignment="1">
      <alignment vertical="center"/>
    </xf>
    <xf numFmtId="0" fontId="11" fillId="0" borderId="1" xfId="0" applyFont="1" applyBorder="1" applyAlignment="1">
      <alignment vertical="center" wrapText="1"/>
    </xf>
    <xf numFmtId="43" fontId="8" fillId="2" borderId="53" xfId="1" applyFont="1" applyFill="1" applyBorder="1" applyAlignment="1">
      <alignment vertical="center"/>
    </xf>
    <xf numFmtId="43" fontId="8" fillId="8" borderId="7" xfId="1" applyFont="1" applyFill="1" applyBorder="1" applyAlignment="1">
      <alignment vertical="center"/>
    </xf>
    <xf numFmtId="43" fontId="7" fillId="3" borderId="53" xfId="20" applyNumberFormat="1" applyFont="1" applyFill="1" applyBorder="1" applyAlignment="1">
      <alignment vertical="center"/>
    </xf>
    <xf numFmtId="43" fontId="8" fillId="7" borderId="10" xfId="1" applyFont="1" applyFill="1" applyBorder="1" applyAlignment="1">
      <alignment vertical="center"/>
    </xf>
    <xf numFmtId="43" fontId="7" fillId="2" borderId="53" xfId="20" applyNumberFormat="1" applyFont="1" applyFill="1" applyBorder="1" applyAlignment="1">
      <alignment vertical="center"/>
    </xf>
    <xf numFmtId="0" fontId="26" fillId="0" borderId="0" xfId="0" applyFont="1" applyAlignment="1">
      <alignment vertical="top"/>
    </xf>
    <xf numFmtId="0" fontId="26" fillId="0" borderId="23" xfId="0" applyFont="1" applyBorder="1" applyAlignment="1">
      <alignment vertical="top"/>
    </xf>
    <xf numFmtId="165" fontId="17" fillId="0" borderId="0" xfId="1" applyNumberFormat="1" applyFont="1" applyAlignment="1"/>
    <xf numFmtId="0" fontId="82" fillId="0" borderId="0" xfId="0" applyFont="1" applyAlignment="1">
      <alignment horizontal="left"/>
    </xf>
    <xf numFmtId="0" fontId="7" fillId="0" borderId="0" xfId="0" applyFont="1" applyAlignment="1">
      <alignment horizontal="center" vertical="center"/>
    </xf>
    <xf numFmtId="168" fontId="8" fillId="0" borderId="53" xfId="14" applyNumberFormat="1" applyFont="1" applyBorder="1" applyAlignment="1">
      <alignment vertical="center"/>
    </xf>
    <xf numFmtId="164" fontId="0" fillId="0" borderId="53" xfId="2" applyNumberFormat="1" applyFont="1" applyFill="1" applyBorder="1" applyAlignment="1">
      <alignment horizontal="center" vertical="center" wrapText="1"/>
    </xf>
    <xf numFmtId="0" fontId="15" fillId="0" borderId="53" xfId="0" applyFont="1" applyBorder="1" applyAlignment="1">
      <alignment horizontal="center" vertical="center" wrapText="1"/>
    </xf>
    <xf numFmtId="165" fontId="0" fillId="6" borderId="0" xfId="1" applyNumberFormat="1" applyFont="1" applyFill="1" applyAlignment="1">
      <alignment horizontal="center" vertical="center"/>
    </xf>
    <xf numFmtId="0" fontId="14" fillId="17" borderId="58" xfId="26" applyFont="1" applyFill="1" applyBorder="1" applyAlignment="1">
      <alignment horizontal="center" vertical="center"/>
    </xf>
    <xf numFmtId="0" fontId="14" fillId="5" borderId="59" xfId="26" applyFont="1" applyFill="1" applyBorder="1" applyAlignment="1">
      <alignment horizontal="center" vertical="center"/>
    </xf>
    <xf numFmtId="0" fontId="14" fillId="0" borderId="60" xfId="26" applyFont="1" applyBorder="1" applyAlignment="1">
      <alignment horizontal="center" vertical="center"/>
    </xf>
    <xf numFmtId="172" fontId="1" fillId="17" borderId="53" xfId="26" applyNumberFormat="1" applyFill="1" applyBorder="1" applyAlignment="1">
      <alignment horizontal="center" vertical="center"/>
    </xf>
    <xf numFmtId="0" fontId="1" fillId="0" borderId="53" xfId="26" applyBorder="1" applyAlignment="1">
      <alignment horizontal="center" vertical="center"/>
    </xf>
    <xf numFmtId="0" fontId="1" fillId="0" borderId="53" xfId="26" applyBorder="1" applyAlignment="1">
      <alignment horizontal="left" vertical="center" wrapText="1"/>
    </xf>
    <xf numFmtId="172" fontId="1" fillId="24" borderId="53" xfId="26" applyNumberFormat="1" applyFill="1" applyBorder="1" applyAlignment="1">
      <alignment horizontal="center" vertical="center"/>
    </xf>
    <xf numFmtId="0" fontId="1" fillId="0" borderId="53" xfId="26" quotePrefix="1" applyBorder="1" applyAlignment="1">
      <alignment horizontal="center" vertical="center"/>
    </xf>
    <xf numFmtId="0" fontId="6" fillId="0" borderId="53" xfId="26" applyFont="1" applyBorder="1" applyAlignment="1">
      <alignment vertical="center"/>
    </xf>
    <xf numFmtId="0" fontId="1" fillId="0" borderId="53" xfId="26" applyBorder="1" applyAlignment="1">
      <alignment vertical="center"/>
    </xf>
    <xf numFmtId="0" fontId="1" fillId="0" borderId="53" xfId="26" applyBorder="1"/>
    <xf numFmtId="0" fontId="6" fillId="0" borderId="53" xfId="26" applyFont="1" applyBorder="1" applyAlignment="1">
      <alignment horizontal="left" vertical="center"/>
    </xf>
    <xf numFmtId="0" fontId="2" fillId="0" borderId="53" xfId="26" applyFont="1" applyBorder="1" applyAlignment="1">
      <alignment horizontal="center" vertical="center"/>
    </xf>
    <xf numFmtId="0" fontId="2" fillId="0" borderId="53" xfId="26" applyFont="1" applyBorder="1" applyAlignment="1">
      <alignment vertical="center"/>
    </xf>
    <xf numFmtId="0" fontId="1" fillId="0" borderId="53" xfId="26" applyBorder="1" applyAlignment="1">
      <alignment vertical="center" wrapText="1"/>
    </xf>
    <xf numFmtId="0" fontId="6" fillId="23" borderId="53" xfId="26" applyFont="1" applyFill="1" applyBorder="1" applyAlignment="1">
      <alignment vertical="center" wrapText="1"/>
    </xf>
    <xf numFmtId="0" fontId="1" fillId="32" borderId="53" xfId="26" applyFill="1" applyBorder="1" applyAlignment="1">
      <alignment horizontal="center" vertical="center"/>
    </xf>
    <xf numFmtId="0" fontId="1" fillId="33" borderId="53" xfId="26" applyFill="1" applyBorder="1" applyAlignment="1">
      <alignment horizontal="left" vertical="center" wrapText="1"/>
    </xf>
    <xf numFmtId="166" fontId="1" fillId="0" borderId="53" xfId="26" applyNumberFormat="1" applyBorder="1" applyAlignment="1">
      <alignment horizontal="center" vertical="center"/>
    </xf>
    <xf numFmtId="166" fontId="3" fillId="5" borderId="53" xfId="0" applyNumberFormat="1" applyFont="1" applyFill="1" applyBorder="1" applyAlignment="1">
      <alignment horizontal="center" vertical="center"/>
    </xf>
    <xf numFmtId="172" fontId="0" fillId="5" borderId="53" xfId="0" applyNumberFormat="1" applyFill="1" applyBorder="1" applyAlignment="1">
      <alignment horizontal="center" vertical="center"/>
    </xf>
    <xf numFmtId="166" fontId="2" fillId="0" borderId="53" xfId="26" applyNumberFormat="1" applyFont="1" applyBorder="1" applyAlignment="1">
      <alignment horizontal="center" vertical="center"/>
    </xf>
    <xf numFmtId="166" fontId="3" fillId="0" borderId="53" xfId="0" applyNumberFormat="1" applyFont="1" applyBorder="1" applyAlignment="1">
      <alignment horizontal="center" vertical="center"/>
    </xf>
    <xf numFmtId="0" fontId="81" fillId="0" borderId="0" xfId="0" applyFont="1" applyAlignment="1">
      <alignment horizontal="left" vertical="center"/>
    </xf>
    <xf numFmtId="0" fontId="15" fillId="0" borderId="0" xfId="0" applyFont="1" applyAlignment="1">
      <alignment horizontal="center" vertical="center"/>
    </xf>
    <xf numFmtId="168" fontId="63" fillId="0" borderId="0" xfId="0" applyNumberFormat="1" applyFont="1" applyAlignment="1">
      <alignment vertical="top"/>
    </xf>
    <xf numFmtId="0" fontId="59" fillId="0" borderId="55" xfId="0" applyFont="1" applyBorder="1" applyAlignment="1">
      <alignment horizontal="center" vertical="center"/>
    </xf>
    <xf numFmtId="0" fontId="2" fillId="34" borderId="0" xfId="0" applyFont="1" applyFill="1"/>
    <xf numFmtId="0" fontId="0" fillId="34" borderId="0" xfId="0" applyFill="1"/>
    <xf numFmtId="0" fontId="1" fillId="13" borderId="53" xfId="26" applyFill="1" applyBorder="1" applyAlignment="1">
      <alignment horizontal="left" vertical="center" wrapText="1"/>
    </xf>
    <xf numFmtId="0" fontId="6" fillId="13" borderId="0" xfId="0" applyFont="1" applyFill="1" applyAlignment="1">
      <alignment horizontal="left" vertical="center"/>
    </xf>
    <xf numFmtId="0" fontId="6" fillId="4" borderId="0" xfId="0" applyFont="1" applyFill="1" applyAlignment="1">
      <alignment horizontal="left" vertical="center"/>
    </xf>
    <xf numFmtId="0" fontId="1" fillId="13" borderId="53" xfId="26" applyFill="1" applyBorder="1" applyAlignment="1">
      <alignment vertical="center"/>
    </xf>
    <xf numFmtId="0" fontId="1" fillId="5" borderId="53" xfId="26" applyFill="1" applyBorder="1" applyAlignment="1">
      <alignment horizontal="center" vertical="center"/>
    </xf>
    <xf numFmtId="0" fontId="2" fillId="0" borderId="0" xfId="0" applyFont="1"/>
    <xf numFmtId="43" fontId="0" fillId="6" borderId="0" xfId="0" applyNumberFormat="1" applyFill="1" applyAlignment="1">
      <alignment horizontal="center" vertical="center"/>
    </xf>
    <xf numFmtId="0" fontId="82" fillId="0" borderId="0" xfId="0" applyFont="1"/>
    <xf numFmtId="0" fontId="17" fillId="0" borderId="0" xfId="0" applyFont="1"/>
    <xf numFmtId="168" fontId="63" fillId="23" borderId="53" xfId="14" applyNumberFormat="1" applyFont="1" applyFill="1" applyBorder="1" applyAlignment="1">
      <alignment horizontal="center" vertical="center"/>
    </xf>
    <xf numFmtId="168" fontId="63" fillId="5" borderId="53" xfId="14" applyNumberFormat="1" applyFont="1" applyFill="1" applyBorder="1" applyAlignment="1">
      <alignment horizontal="center" vertical="center"/>
    </xf>
    <xf numFmtId="168" fontId="63" fillId="5" borderId="33" xfId="14" applyNumberFormat="1" applyFont="1" applyFill="1" applyBorder="1" applyAlignment="1">
      <alignment horizontal="center" vertical="center"/>
    </xf>
    <xf numFmtId="168" fontId="63" fillId="23" borderId="33" xfId="14" applyNumberFormat="1" applyFont="1" applyFill="1" applyBorder="1" applyAlignment="1">
      <alignment horizontal="center" vertical="center"/>
    </xf>
    <xf numFmtId="168" fontId="63" fillId="2" borderId="53" xfId="14" applyNumberFormat="1" applyFont="1" applyFill="1" applyBorder="1" applyAlignment="1">
      <alignment horizontal="center" vertical="center"/>
    </xf>
    <xf numFmtId="168" fontId="63" fillId="2" borderId="33" xfId="14" applyNumberFormat="1" applyFont="1" applyFill="1" applyBorder="1" applyAlignment="1">
      <alignment horizontal="center" vertical="center"/>
    </xf>
    <xf numFmtId="168" fontId="63" fillId="6" borderId="33" xfId="14" applyNumberFormat="1" applyFont="1" applyFill="1" applyBorder="1" applyAlignment="1">
      <alignment horizontal="center" vertical="center"/>
    </xf>
    <xf numFmtId="168" fontId="63" fillId="34" borderId="33" xfId="14" applyNumberFormat="1" applyFont="1" applyFill="1" applyBorder="1" applyAlignment="1">
      <alignment horizontal="center" vertical="center"/>
    </xf>
    <xf numFmtId="168" fontId="63" fillId="34" borderId="53" xfId="14" applyNumberFormat="1" applyFont="1" applyFill="1" applyBorder="1" applyAlignment="1">
      <alignment horizontal="center" vertical="center"/>
    </xf>
    <xf numFmtId="164" fontId="63" fillId="0" borderId="33" xfId="2" applyNumberFormat="1" applyFont="1" applyFill="1" applyBorder="1" applyAlignment="1">
      <alignment horizontal="right" vertical="center"/>
    </xf>
    <xf numFmtId="0" fontId="0" fillId="0" borderId="20" xfId="0" applyBorder="1" applyAlignment="1">
      <alignment vertical="center" wrapText="1"/>
    </xf>
    <xf numFmtId="0" fontId="0" fillId="0" borderId="17" xfId="0" applyBorder="1" applyAlignment="1">
      <alignment vertical="center" wrapText="1"/>
    </xf>
    <xf numFmtId="0" fontId="0" fillId="5" borderId="0" xfId="0" applyFill="1" applyAlignment="1">
      <alignment horizontal="center" vertical="center"/>
    </xf>
    <xf numFmtId="0" fontId="7" fillId="5" borderId="0" xfId="0" applyFont="1" applyFill="1" applyAlignment="1">
      <alignment horizontal="center" vertical="center"/>
    </xf>
    <xf numFmtId="165" fontId="0" fillId="0" borderId="0" xfId="25" applyNumberFormat="1" applyFont="1"/>
    <xf numFmtId="44" fontId="1" fillId="0" borderId="0" xfId="12" applyNumberFormat="1"/>
    <xf numFmtId="44" fontId="0" fillId="0" borderId="0" xfId="0" applyNumberFormat="1"/>
    <xf numFmtId="9" fontId="1" fillId="0" borderId="0" xfId="2" applyBorder="1"/>
    <xf numFmtId="9" fontId="0" fillId="0" borderId="0" xfId="2" applyFont="1" applyBorder="1"/>
    <xf numFmtId="168" fontId="1" fillId="0" borderId="0" xfId="12" applyNumberFormat="1"/>
    <xf numFmtId="168" fontId="0" fillId="0" borderId="0" xfId="0" applyNumberFormat="1"/>
    <xf numFmtId="168" fontId="8" fillId="0" borderId="53" xfId="12" applyNumberFormat="1" applyFont="1" applyBorder="1" applyAlignment="1">
      <alignment vertical="center"/>
    </xf>
    <xf numFmtId="0" fontId="84" fillId="13" borderId="4" xfId="0" applyFont="1" applyFill="1" applyBorder="1" applyAlignment="1">
      <alignment horizontal="centerContinuous" vertical="center"/>
    </xf>
    <xf numFmtId="0" fontId="85" fillId="13" borderId="0" xfId="0" applyFont="1" applyFill="1" applyAlignment="1">
      <alignment horizontal="centerContinuous" vertical="center"/>
    </xf>
    <xf numFmtId="0" fontId="85" fillId="13" borderId="5" xfId="0" applyFont="1" applyFill="1" applyBorder="1" applyAlignment="1">
      <alignment horizontal="centerContinuous" vertical="center"/>
    </xf>
    <xf numFmtId="0" fontId="83" fillId="35" borderId="9" xfId="0" applyFont="1" applyFill="1" applyBorder="1" applyAlignment="1">
      <alignment horizontal="centerContinuous" vertical="center"/>
    </xf>
    <xf numFmtId="0" fontId="83" fillId="35" borderId="10" xfId="0" applyFont="1" applyFill="1" applyBorder="1" applyAlignment="1">
      <alignment horizontal="centerContinuous" vertical="center"/>
    </xf>
    <xf numFmtId="0" fontId="63" fillId="35" borderId="9" xfId="0" applyFont="1" applyFill="1" applyBorder="1" applyAlignment="1">
      <alignment horizontal="centerContinuous" vertical="center"/>
    </xf>
    <xf numFmtId="0" fontId="63" fillId="35" borderId="10" xfId="0" applyFont="1" applyFill="1" applyBorder="1" applyAlignment="1">
      <alignment horizontal="centerContinuous" vertical="center"/>
    </xf>
    <xf numFmtId="167" fontId="49" fillId="9" borderId="33" xfId="0" applyNumberFormat="1" applyFont="1" applyFill="1" applyBorder="1" applyAlignment="1">
      <alignment horizontal="center" vertical="center" wrapText="1"/>
    </xf>
    <xf numFmtId="0" fontId="6" fillId="17" borderId="53" xfId="0" applyFont="1" applyFill="1" applyBorder="1" applyAlignment="1">
      <alignment horizontal="center" vertical="center"/>
    </xf>
    <xf numFmtId="172" fontId="6" fillId="17" borderId="53" xfId="0" applyNumberFormat="1" applyFont="1" applyFill="1" applyBorder="1" applyAlignment="1">
      <alignment horizontal="center" vertical="center"/>
    </xf>
    <xf numFmtId="0" fontId="1" fillId="23" borderId="53" xfId="26" applyFill="1" applyBorder="1" applyAlignment="1">
      <alignment horizontal="left" vertical="center" wrapText="1"/>
    </xf>
    <xf numFmtId="0" fontId="72" fillId="0" borderId="0" xfId="50" applyFont="1" applyFill="1" applyAlignment="1">
      <alignment vertical="center"/>
    </xf>
    <xf numFmtId="0" fontId="59" fillId="5" borderId="55" xfId="26" applyFont="1" applyFill="1" applyBorder="1" applyAlignment="1">
      <alignment horizontal="center" vertical="center"/>
    </xf>
    <xf numFmtId="0" fontId="59" fillId="0" borderId="57" xfId="26" applyFont="1" applyBorder="1" applyAlignment="1">
      <alignment horizontal="center" vertical="center"/>
    </xf>
    <xf numFmtId="0" fontId="59" fillId="0" borderId="56" xfId="26" applyFont="1" applyBorder="1" applyAlignment="1">
      <alignment horizontal="left" vertical="center"/>
    </xf>
    <xf numFmtId="0" fontId="1" fillId="0" borderId="0" xfId="26"/>
    <xf numFmtId="0" fontId="1" fillId="0" borderId="32" xfId="26" applyBorder="1" applyAlignment="1">
      <alignment horizontal="center" vertical="center"/>
    </xf>
    <xf numFmtId="0" fontId="1" fillId="0" borderId="32" xfId="26" applyBorder="1" applyAlignment="1">
      <alignment vertical="center" wrapText="1"/>
    </xf>
    <xf numFmtId="172" fontId="1" fillId="17" borderId="32" xfId="26" applyNumberFormat="1" applyFill="1" applyBorder="1" applyAlignment="1">
      <alignment horizontal="center" vertical="center"/>
    </xf>
    <xf numFmtId="0" fontId="1" fillId="25" borderId="53" xfId="26" applyFill="1" applyBorder="1" applyAlignment="1">
      <alignment vertical="center" wrapText="1"/>
    </xf>
    <xf numFmtId="0" fontId="6" fillId="17" borderId="53" xfId="26" applyFont="1" applyFill="1" applyBorder="1" applyAlignment="1">
      <alignment horizontal="center" vertical="center"/>
    </xf>
    <xf numFmtId="0" fontId="1" fillId="4" borderId="53" xfId="26" applyFill="1" applyBorder="1"/>
    <xf numFmtId="0" fontId="1" fillId="13" borderId="53" xfId="26" applyFill="1" applyBorder="1"/>
    <xf numFmtId="172" fontId="6" fillId="17" borderId="53" xfId="26" applyNumberFormat="1" applyFont="1" applyFill="1" applyBorder="1" applyAlignment="1">
      <alignment horizontal="center" vertical="center"/>
    </xf>
    <xf numFmtId="0" fontId="1" fillId="4" borderId="53" xfId="26" applyFill="1" applyBorder="1" applyAlignment="1">
      <alignment horizontal="left" vertical="center"/>
    </xf>
    <xf numFmtId="0" fontId="6" fillId="7" borderId="53" xfId="26" applyFont="1" applyFill="1" applyBorder="1" applyAlignment="1">
      <alignment vertical="center" wrapText="1"/>
    </xf>
    <xf numFmtId="0" fontId="1" fillId="5" borderId="53" xfId="26" applyFill="1" applyBorder="1" applyAlignment="1">
      <alignment horizontal="center"/>
    </xf>
    <xf numFmtId="0" fontId="1" fillId="13" borderId="53" xfId="26" applyFill="1" applyBorder="1" applyAlignment="1">
      <alignment vertical="center" wrapText="1"/>
    </xf>
    <xf numFmtId="166" fontId="1" fillId="5" borderId="53" xfId="26" applyNumberFormat="1" applyFill="1" applyBorder="1" applyAlignment="1">
      <alignment horizontal="center" vertical="center"/>
    </xf>
    <xf numFmtId="166" fontId="1" fillId="5" borderId="32" xfId="26" applyNumberFormat="1" applyFill="1" applyBorder="1" applyAlignment="1">
      <alignment horizontal="center" vertical="center"/>
    </xf>
    <xf numFmtId="49" fontId="0" fillId="0" borderId="53" xfId="0" applyNumberFormat="1" applyBorder="1" applyAlignment="1">
      <alignment horizontal="left" vertical="top"/>
    </xf>
    <xf numFmtId="1" fontId="0" fillId="0" borderId="0" xfId="0" applyNumberFormat="1"/>
    <xf numFmtId="1" fontId="0" fillId="0" borderId="0" xfId="0" applyNumberFormat="1" applyAlignment="1">
      <alignment horizontal="center" vertical="center"/>
    </xf>
    <xf numFmtId="0" fontId="6" fillId="12" borderId="53" xfId="0" applyFont="1" applyFill="1" applyBorder="1" applyAlignment="1">
      <alignment horizontal="left" vertical="center"/>
    </xf>
    <xf numFmtId="0" fontId="0" fillId="13" borderId="0" xfId="0" applyFill="1" applyAlignment="1">
      <alignment vertical="center"/>
    </xf>
    <xf numFmtId="0" fontId="0" fillId="25" borderId="0" xfId="0" applyFill="1" applyAlignment="1">
      <alignment vertical="center" wrapText="1"/>
    </xf>
    <xf numFmtId="0" fontId="1" fillId="33" borderId="0" xfId="26" applyFill="1" applyAlignment="1">
      <alignment horizontal="left" vertical="center" wrapText="1"/>
    </xf>
    <xf numFmtId="0" fontId="6" fillId="17" borderId="0" xfId="26" applyFont="1" applyFill="1" applyAlignment="1">
      <alignment horizontal="center" vertical="center"/>
    </xf>
    <xf numFmtId="0" fontId="6" fillId="4" borderId="53" xfId="26" applyFont="1" applyFill="1" applyBorder="1" applyAlignment="1">
      <alignment horizontal="left" vertical="center"/>
    </xf>
    <xf numFmtId="0" fontId="1" fillId="13" borderId="0" xfId="26" applyFill="1" applyAlignment="1">
      <alignment vertical="center"/>
    </xf>
    <xf numFmtId="0" fontId="6" fillId="13" borderId="53" xfId="26" applyFont="1" applyFill="1" applyBorder="1" applyAlignment="1">
      <alignment horizontal="left" vertical="center"/>
    </xf>
    <xf numFmtId="0" fontId="1" fillId="25" borderId="0" xfId="26" applyFill="1" applyAlignment="1">
      <alignment vertical="center" wrapText="1"/>
    </xf>
    <xf numFmtId="0" fontId="1" fillId="17" borderId="53" xfId="26" applyFill="1" applyBorder="1" applyAlignment="1">
      <alignment horizontal="center" vertical="center"/>
    </xf>
    <xf numFmtId="172" fontId="1" fillId="0" borderId="53" xfId="26" applyNumberFormat="1" applyBorder="1" applyAlignment="1">
      <alignment horizontal="center" vertical="center"/>
    </xf>
    <xf numFmtId="0" fontId="1" fillId="0" borderId="53" xfId="26" applyBorder="1" applyAlignment="1">
      <alignment horizontal="left" vertical="center"/>
    </xf>
    <xf numFmtId="0" fontId="1" fillId="0" borderId="53" xfId="26" applyBorder="1" applyAlignment="1">
      <alignment horizontal="center"/>
    </xf>
    <xf numFmtId="172" fontId="6" fillId="0" borderId="53" xfId="26" applyNumberFormat="1" applyFont="1" applyBorder="1" applyAlignment="1">
      <alignment horizontal="center" vertical="center"/>
    </xf>
    <xf numFmtId="0" fontId="6" fillId="0" borderId="53" xfId="26" applyFont="1" applyBorder="1" applyAlignment="1">
      <alignment horizontal="center" vertical="center"/>
    </xf>
    <xf numFmtId="0" fontId="6" fillId="0" borderId="32" xfId="26" applyFont="1" applyBorder="1" applyAlignment="1">
      <alignment horizontal="center" vertical="center"/>
    </xf>
    <xf numFmtId="0" fontId="0" fillId="25" borderId="53" xfId="0" applyFill="1" applyBorder="1" applyAlignment="1">
      <alignment vertical="center"/>
    </xf>
    <xf numFmtId="0" fontId="1" fillId="25" borderId="53" xfId="26" applyFill="1" applyBorder="1" applyAlignment="1">
      <alignment vertical="center"/>
    </xf>
    <xf numFmtId="0" fontId="0" fillId="0" borderId="53" xfId="0" applyBorder="1" applyAlignment="1">
      <alignment vertical="center"/>
    </xf>
    <xf numFmtId="0" fontId="22" fillId="6" borderId="53" xfId="0" applyFont="1" applyFill="1" applyBorder="1" applyAlignment="1">
      <alignment horizontal="center" vertical="center" wrapText="1"/>
    </xf>
    <xf numFmtId="0" fontId="22" fillId="4" borderId="53" xfId="0" applyFont="1" applyFill="1" applyBorder="1" applyAlignment="1">
      <alignment horizontal="center" vertical="center" wrapText="1"/>
    </xf>
    <xf numFmtId="0" fontId="22" fillId="8" borderId="53" xfId="0" applyFont="1" applyFill="1" applyBorder="1" applyAlignment="1">
      <alignment horizontal="center" vertical="center" wrapText="1"/>
    </xf>
    <xf numFmtId="0" fontId="22" fillId="7" borderId="53" xfId="0" applyFont="1" applyFill="1" applyBorder="1" applyAlignment="1">
      <alignment horizontal="center" vertical="center" wrapText="1"/>
    </xf>
    <xf numFmtId="0" fontId="7" fillId="0" borderId="53" xfId="0" applyFont="1" applyBorder="1" applyAlignment="1">
      <alignment vertical="center" wrapText="1"/>
    </xf>
    <xf numFmtId="166" fontId="0" fillId="0" borderId="53" xfId="0" applyNumberFormat="1" applyBorder="1" applyAlignment="1">
      <alignment horizontal="center" vertical="center"/>
    </xf>
    <xf numFmtId="166" fontId="6" fillId="0" borderId="53" xfId="0" applyNumberFormat="1" applyFont="1" applyBorder="1" applyAlignment="1">
      <alignment horizontal="center" vertical="center"/>
    </xf>
    <xf numFmtId="0" fontId="7" fillId="36" borderId="0" xfId="0" applyFont="1" applyFill="1" applyAlignment="1">
      <alignment horizontal="center" vertical="center"/>
    </xf>
    <xf numFmtId="168" fontId="8" fillId="0" borderId="53" xfId="39" applyNumberFormat="1" applyFont="1" applyBorder="1" applyAlignment="1">
      <alignment horizontal="center" vertical="center"/>
    </xf>
    <xf numFmtId="0" fontId="44" fillId="5" borderId="55" xfId="0" applyFont="1" applyFill="1" applyBorder="1" applyAlignment="1">
      <alignment horizontal="center" vertical="center"/>
    </xf>
    <xf numFmtId="0" fontId="44" fillId="17" borderId="56" xfId="0" applyFont="1" applyFill="1" applyBorder="1" applyAlignment="1">
      <alignment horizontal="center" vertical="center"/>
    </xf>
    <xf numFmtId="0" fontId="15" fillId="5" borderId="32" xfId="0" applyFont="1" applyFill="1" applyBorder="1" applyAlignment="1">
      <alignment horizontal="center" vertical="center"/>
    </xf>
    <xf numFmtId="172" fontId="15" fillId="17" borderId="32" xfId="0" applyNumberFormat="1" applyFont="1" applyFill="1" applyBorder="1" applyAlignment="1">
      <alignment horizontal="center" vertical="center"/>
    </xf>
    <xf numFmtId="0" fontId="15" fillId="5" borderId="53" xfId="0" applyFont="1" applyFill="1" applyBorder="1" applyAlignment="1">
      <alignment horizontal="center" vertical="center"/>
    </xf>
    <xf numFmtId="172" fontId="15" fillId="17" borderId="53" xfId="0" applyNumberFormat="1" applyFont="1" applyFill="1" applyBorder="1" applyAlignment="1">
      <alignment horizontal="center" vertical="center"/>
    </xf>
    <xf numFmtId="0" fontId="15" fillId="5" borderId="53" xfId="26" applyFont="1" applyFill="1" applyBorder="1" applyAlignment="1">
      <alignment horizontal="center" vertical="center"/>
    </xf>
    <xf numFmtId="0" fontId="15" fillId="0" borderId="53" xfId="26" quotePrefix="1" applyFont="1" applyBorder="1" applyAlignment="1">
      <alignment horizontal="center" vertical="center"/>
    </xf>
    <xf numFmtId="0" fontId="86" fillId="17" borderId="53" xfId="0" applyFont="1" applyFill="1" applyBorder="1" applyAlignment="1">
      <alignment horizontal="center" vertical="center"/>
    </xf>
    <xf numFmtId="172" fontId="15" fillId="24" borderId="53" xfId="0" applyNumberFormat="1" applyFont="1" applyFill="1" applyBorder="1" applyAlignment="1">
      <alignment horizontal="center" vertical="center"/>
    </xf>
    <xf numFmtId="166" fontId="15" fillId="5" borderId="53" xfId="26" applyNumberFormat="1" applyFont="1" applyFill="1" applyBorder="1" applyAlignment="1">
      <alignment horizontal="center" vertical="center"/>
    </xf>
    <xf numFmtId="0" fontId="15" fillId="17" borderId="53" xfId="26" applyFont="1" applyFill="1" applyBorder="1" applyAlignment="1">
      <alignment horizontal="center" vertical="center"/>
    </xf>
    <xf numFmtId="172" fontId="86" fillId="17" borderId="53" xfId="0" applyNumberFormat="1" applyFont="1" applyFill="1" applyBorder="1" applyAlignment="1">
      <alignment horizontal="center" vertical="center"/>
    </xf>
    <xf numFmtId="0" fontId="15" fillId="32" borderId="53" xfId="26" applyFont="1" applyFill="1" applyBorder="1" applyAlignment="1">
      <alignment horizontal="center" vertical="center"/>
    </xf>
    <xf numFmtId="0" fontId="15" fillId="13" borderId="53" xfId="26" applyFont="1" applyFill="1" applyBorder="1" applyAlignment="1">
      <alignment horizontal="left" vertical="center"/>
    </xf>
    <xf numFmtId="43" fontId="15" fillId="0" borderId="0" xfId="0" applyNumberFormat="1" applyFont="1"/>
    <xf numFmtId="0" fontId="15" fillId="0" borderId="0" xfId="0" applyFont="1" applyAlignment="1">
      <alignment horizontal="left" vertical="center"/>
    </xf>
    <xf numFmtId="43" fontId="7" fillId="0" borderId="0" xfId="0" applyNumberFormat="1" applyFont="1"/>
    <xf numFmtId="0" fontId="49" fillId="23" borderId="0" xfId="0" applyFont="1" applyFill="1" applyAlignment="1">
      <alignment horizontal="center" vertical="center" wrapText="1"/>
    </xf>
    <xf numFmtId="0" fontId="63" fillId="0" borderId="0" xfId="0" applyFont="1" applyAlignment="1">
      <alignment horizontal="left" vertical="center" wrapText="1"/>
    </xf>
    <xf numFmtId="0" fontId="65" fillId="0" borderId="0" xfId="0" applyFont="1" applyAlignment="1">
      <alignment horizontal="left" vertical="center" wrapText="1" readingOrder="1"/>
    </xf>
    <xf numFmtId="0" fontId="61" fillId="0" borderId="0" xfId="0" quotePrefix="1" applyFont="1" applyAlignment="1">
      <alignment horizontal="center" vertical="center" wrapText="1"/>
    </xf>
    <xf numFmtId="0" fontId="62" fillId="0" borderId="0" xfId="0" applyFont="1" applyAlignment="1">
      <alignment horizontal="center"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56" fillId="0" borderId="23" xfId="0" applyFont="1" applyBorder="1" applyAlignment="1">
      <alignment horizontal="left" vertical="center" wrapText="1"/>
    </xf>
    <xf numFmtId="0" fontId="56" fillId="0" borderId="24" xfId="0" applyFont="1" applyBorder="1" applyAlignment="1">
      <alignment horizontal="left" vertical="center" wrapText="1"/>
    </xf>
    <xf numFmtId="0" fontId="2" fillId="0" borderId="52" xfId="0" applyFont="1" applyBorder="1" applyAlignment="1">
      <alignment horizontal="left" vertical="center" wrapText="1"/>
    </xf>
    <xf numFmtId="0" fontId="2" fillId="0" borderId="45" xfId="0" applyFont="1" applyBorder="1" applyAlignment="1">
      <alignment horizontal="left" vertical="center" wrapText="1"/>
    </xf>
    <xf numFmtId="0" fontId="63" fillId="0" borderId="23" xfId="0" applyFont="1" applyBorder="1" applyAlignment="1">
      <alignment horizontal="left" vertical="center" wrapText="1" readingOrder="1"/>
    </xf>
    <xf numFmtId="0" fontId="63" fillId="0" borderId="24" xfId="0" applyFont="1" applyBorder="1" applyAlignment="1">
      <alignment horizontal="left" vertical="center" wrapText="1" readingOrder="1"/>
    </xf>
    <xf numFmtId="0" fontId="0" fillId="0" borderId="0" xfId="0" applyAlignment="1">
      <alignment horizontal="left" vertical="center" wrapText="1"/>
    </xf>
    <xf numFmtId="168" fontId="0" fillId="0" borderId="33" xfId="14" applyNumberFormat="1" applyFont="1" applyBorder="1" applyAlignment="1">
      <alignment horizontal="center" vertical="center"/>
    </xf>
    <xf numFmtId="168" fontId="0" fillId="0" borderId="46" xfId="14" applyNumberFormat="1" applyFont="1" applyBorder="1" applyAlignment="1">
      <alignment horizontal="center" vertical="center"/>
    </xf>
    <xf numFmtId="0" fontId="36" fillId="10" borderId="21" xfId="0" applyFont="1" applyFill="1" applyBorder="1" applyAlignment="1">
      <alignment horizontal="center"/>
    </xf>
    <xf numFmtId="0" fontId="43" fillId="0" borderId="1" xfId="0" applyFont="1" applyBorder="1" applyAlignment="1">
      <alignment horizontal="center"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38" fillId="13" borderId="46" xfId="0" applyFont="1" applyFill="1" applyBorder="1" applyAlignment="1">
      <alignment horizontal="left" vertical="center"/>
    </xf>
    <xf numFmtId="0" fontId="35" fillId="13" borderId="46" xfId="0" applyFont="1" applyFill="1" applyBorder="1" applyAlignment="1">
      <alignment horizontal="left" vertical="top" wrapText="1"/>
    </xf>
    <xf numFmtId="0" fontId="34" fillId="0" borderId="44" xfId="0" applyFont="1" applyBorder="1" applyAlignment="1">
      <alignment horizontal="left" vertical="center"/>
    </xf>
    <xf numFmtId="0" fontId="36" fillId="0" borderId="0" xfId="0" applyFont="1" applyAlignment="1">
      <alignment horizontal="left" vertical="top" wrapText="1"/>
    </xf>
    <xf numFmtId="0" fontId="33" fillId="13" borderId="20" xfId="0" applyFont="1" applyFill="1" applyBorder="1" applyAlignment="1">
      <alignment horizontal="center" vertical="center"/>
    </xf>
    <xf numFmtId="0" fontId="33" fillId="13" borderId="53" xfId="0" applyFont="1" applyFill="1" applyBorder="1" applyAlignment="1">
      <alignment horizontal="center" vertical="center"/>
    </xf>
    <xf numFmtId="0" fontId="34" fillId="13" borderId="1" xfId="0" applyFont="1" applyFill="1" applyBorder="1" applyAlignment="1">
      <alignment horizontal="left" vertical="center"/>
    </xf>
    <xf numFmtId="0" fontId="34" fillId="13" borderId="2" xfId="0" applyFont="1" applyFill="1" applyBorder="1" applyAlignment="1">
      <alignment horizontal="left" vertical="center"/>
    </xf>
    <xf numFmtId="0" fontId="34" fillId="13" borderId="3" xfId="0" applyFont="1" applyFill="1" applyBorder="1" applyAlignment="1">
      <alignment horizontal="left" vertical="center"/>
    </xf>
    <xf numFmtId="0" fontId="33" fillId="0" borderId="52" xfId="0" applyFont="1" applyBorder="1" applyAlignment="1">
      <alignment horizontal="left" vertical="top" wrapText="1"/>
    </xf>
    <xf numFmtId="0" fontId="33" fillId="0" borderId="51" xfId="0" applyFont="1" applyBorder="1" applyAlignment="1">
      <alignment horizontal="left" vertical="top" wrapText="1"/>
    </xf>
    <xf numFmtId="0" fontId="33" fillId="0" borderId="45" xfId="0" applyFont="1" applyBorder="1" applyAlignment="1">
      <alignment horizontal="left" vertical="top" wrapText="1"/>
    </xf>
    <xf numFmtId="0" fontId="36" fillId="0" borderId="0" xfId="0" applyFont="1" applyAlignment="1">
      <alignment horizontal="left" vertical="top"/>
    </xf>
    <xf numFmtId="0" fontId="36" fillId="0" borderId="26" xfId="0" applyFont="1" applyBorder="1" applyAlignment="1">
      <alignment horizontal="left" vertical="top"/>
    </xf>
    <xf numFmtId="0" fontId="36" fillId="0" borderId="4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2" xfId="0" applyFont="1" applyBorder="1" applyAlignment="1">
      <alignment horizontal="center" vertical="center" wrapText="1"/>
    </xf>
    <xf numFmtId="0" fontId="63" fillId="0" borderId="25" xfId="0" applyFont="1" applyBorder="1" applyAlignment="1">
      <alignment horizontal="left" vertical="top" wrapText="1"/>
    </xf>
    <xf numFmtId="0" fontId="63" fillId="0" borderId="0" xfId="0" applyFont="1" applyAlignment="1">
      <alignment horizontal="left" vertical="top" wrapText="1"/>
    </xf>
    <xf numFmtId="0" fontId="63" fillId="0" borderId="26" xfId="0" applyFont="1" applyBorder="1" applyAlignment="1">
      <alignment horizontal="left" vertical="top" wrapText="1"/>
    </xf>
    <xf numFmtId="0" fontId="63" fillId="0" borderId="12" xfId="0" applyFont="1" applyBorder="1" applyAlignment="1">
      <alignment horizontal="left" vertical="top" wrapText="1"/>
    </xf>
    <xf numFmtId="0" fontId="63" fillId="0" borderId="31" xfId="0" applyFont="1" applyBorder="1" applyAlignment="1">
      <alignment horizontal="left" vertical="top" wrapText="1"/>
    </xf>
    <xf numFmtId="0" fontId="63" fillId="0" borderId="13" xfId="0" applyFont="1" applyBorder="1" applyAlignment="1">
      <alignment horizontal="left" vertical="top" wrapText="1"/>
    </xf>
    <xf numFmtId="0" fontId="64" fillId="0" borderId="41" xfId="0" applyFont="1" applyBorder="1" applyAlignment="1">
      <alignment horizontal="center" vertical="center"/>
    </xf>
    <xf numFmtId="0" fontId="64" fillId="0" borderId="44" xfId="0" applyFont="1" applyBorder="1" applyAlignment="1">
      <alignment horizontal="center" vertical="center"/>
    </xf>
    <xf numFmtId="0" fontId="64" fillId="0" borderId="42" xfId="0" applyFont="1" applyBorder="1" applyAlignment="1">
      <alignment horizontal="center" vertical="center"/>
    </xf>
    <xf numFmtId="0" fontId="63" fillId="0" borderId="41" xfId="0" applyFont="1" applyBorder="1" applyAlignment="1">
      <alignment horizontal="left" vertical="center" wrapText="1"/>
    </xf>
    <xf numFmtId="0" fontId="63" fillId="0" borderId="44" xfId="0" applyFont="1" applyBorder="1" applyAlignment="1">
      <alignment horizontal="left" vertical="center" wrapText="1"/>
    </xf>
    <xf numFmtId="0" fontId="63" fillId="0" borderId="42" xfId="0" applyFont="1" applyBorder="1" applyAlignment="1">
      <alignment horizontal="left" vertical="center" wrapText="1"/>
    </xf>
    <xf numFmtId="0" fontId="63" fillId="0" borderId="25" xfId="0" applyFont="1" applyBorder="1" applyAlignment="1">
      <alignment horizontal="left" vertical="center" wrapText="1"/>
    </xf>
    <xf numFmtId="0" fontId="63" fillId="0" borderId="26" xfId="0" applyFont="1" applyBorder="1" applyAlignment="1">
      <alignment horizontal="left" vertical="center" wrapText="1"/>
    </xf>
    <xf numFmtId="0" fontId="63" fillId="0" borderId="12" xfId="0" applyFont="1" applyBorder="1" applyAlignment="1">
      <alignment horizontal="left" vertical="center" wrapText="1"/>
    </xf>
    <xf numFmtId="0" fontId="63" fillId="0" borderId="31" xfId="0" applyFont="1" applyBorder="1" applyAlignment="1">
      <alignment horizontal="left" vertical="center" wrapText="1"/>
    </xf>
    <xf numFmtId="0" fontId="63" fillId="0" borderId="13" xfId="0" applyFont="1" applyBorder="1" applyAlignment="1">
      <alignment horizontal="left" vertical="center" wrapText="1"/>
    </xf>
    <xf numFmtId="0" fontId="76" fillId="0" borderId="37" xfId="0" applyFont="1" applyBorder="1" applyAlignment="1">
      <alignment horizontal="center" vertical="center" wrapText="1"/>
    </xf>
    <xf numFmtId="0" fontId="76" fillId="0" borderId="44" xfId="0" applyFont="1" applyBorder="1" applyAlignment="1">
      <alignment horizontal="center" vertical="center" wrapText="1"/>
    </xf>
    <xf numFmtId="0" fontId="76" fillId="0" borderId="42"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0" xfId="0" applyFont="1" applyAlignment="1">
      <alignment horizontal="center" vertical="center" wrapText="1"/>
    </xf>
    <xf numFmtId="0" fontId="76" fillId="0" borderId="26" xfId="0" applyFont="1" applyBorder="1" applyAlignment="1">
      <alignment horizontal="center" vertical="center" wrapText="1"/>
    </xf>
    <xf numFmtId="0" fontId="76" fillId="0" borderId="22" xfId="0" applyFont="1" applyBorder="1" applyAlignment="1">
      <alignment horizontal="center" vertical="center" wrapText="1"/>
    </xf>
    <xf numFmtId="0" fontId="76" fillId="0" borderId="23" xfId="0" applyFont="1" applyBorder="1" applyAlignment="1">
      <alignment horizontal="center" vertical="center" wrapText="1"/>
    </xf>
    <xf numFmtId="0" fontId="76" fillId="0" borderId="48" xfId="0" applyFont="1" applyBorder="1" applyAlignment="1">
      <alignment horizontal="center" vertical="center" wrapText="1"/>
    </xf>
    <xf numFmtId="0" fontId="74" fillId="0" borderId="1" xfId="0" applyFont="1" applyBorder="1" applyAlignment="1">
      <alignment horizontal="center" vertical="center"/>
    </xf>
    <xf numFmtId="0" fontId="74" fillId="0" borderId="29" xfId="0" applyFont="1" applyBorder="1" applyAlignment="1">
      <alignment horizontal="center" vertical="center"/>
    </xf>
    <xf numFmtId="0" fontId="74" fillId="0" borderId="30" xfId="0" applyFont="1" applyBorder="1" applyAlignment="1">
      <alignment horizontal="center" vertical="center"/>
    </xf>
    <xf numFmtId="0" fontId="63" fillId="10" borderId="21" xfId="0" applyFont="1" applyFill="1" applyBorder="1" applyAlignment="1">
      <alignment horizontal="center"/>
    </xf>
    <xf numFmtId="0" fontId="47" fillId="5" borderId="35" xfId="0" applyFont="1" applyFill="1" applyBorder="1" applyAlignment="1">
      <alignment horizontal="center" vertical="center" wrapText="1"/>
    </xf>
    <xf numFmtId="0" fontId="47" fillId="5" borderId="49"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54" fillId="0" borderId="1" xfId="0" applyFont="1" applyBorder="1" applyAlignment="1">
      <alignment horizontal="left"/>
    </xf>
    <xf numFmtId="0" fontId="54" fillId="0" borderId="2" xfId="0" applyFont="1" applyBorder="1" applyAlignment="1">
      <alignment horizontal="left"/>
    </xf>
    <xf numFmtId="0" fontId="54" fillId="0" borderId="3" xfId="0" applyFont="1" applyBorder="1" applyAlignment="1">
      <alignment horizontal="left"/>
    </xf>
    <xf numFmtId="0" fontId="8" fillId="6" borderId="1"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4" xfId="0" applyFont="1" applyFill="1" applyBorder="1" applyAlignment="1">
      <alignment horizontal="left" vertical="center" wrapText="1"/>
    </xf>
    <xf numFmtId="0" fontId="8" fillId="6" borderId="22" xfId="0" applyFont="1" applyFill="1" applyBorder="1" applyAlignment="1">
      <alignment horizontal="left" vertical="top" wrapText="1"/>
    </xf>
    <xf numFmtId="0" fontId="8" fillId="6" borderId="23" xfId="0" applyFont="1" applyFill="1" applyBorder="1" applyAlignment="1">
      <alignment horizontal="left" vertical="top" wrapText="1"/>
    </xf>
    <xf numFmtId="0" fontId="11" fillId="0" borderId="4" xfId="7" applyFont="1" applyBorder="1" applyAlignment="1">
      <alignment horizontal="left" vertical="top" wrapText="1"/>
    </xf>
    <xf numFmtId="0" fontId="11" fillId="0" borderId="0" xfId="7" applyFont="1" applyAlignment="1">
      <alignment horizontal="left" vertical="top" wrapText="1"/>
    </xf>
    <xf numFmtId="0" fontId="11" fillId="0" borderId="5" xfId="7" applyFont="1" applyBorder="1" applyAlignment="1">
      <alignment horizontal="left" vertical="top" wrapText="1"/>
    </xf>
    <xf numFmtId="0" fontId="11" fillId="0" borderId="22" xfId="7" applyFont="1" applyBorder="1" applyAlignment="1">
      <alignment horizontal="left" vertical="top"/>
    </xf>
    <xf numFmtId="0" fontId="11" fillId="0" borderId="23" xfId="7" applyFont="1" applyBorder="1" applyAlignment="1">
      <alignment horizontal="left" vertical="top"/>
    </xf>
    <xf numFmtId="0" fontId="11" fillId="0" borderId="24" xfId="7" applyFont="1" applyBorder="1" applyAlignment="1">
      <alignment horizontal="left" vertical="top"/>
    </xf>
    <xf numFmtId="0" fontId="7" fillId="0" borderId="0" xfId="7" applyFont="1" applyAlignment="1">
      <alignment horizontal="left" vertical="top" wrapText="1"/>
    </xf>
    <xf numFmtId="0" fontId="29" fillId="0" borderId="4" xfId="7" applyFont="1" applyBorder="1" applyAlignment="1">
      <alignment horizontal="left" vertical="top" wrapText="1"/>
    </xf>
    <xf numFmtId="0" fontId="29" fillId="0" borderId="0" xfId="7" applyFont="1" applyAlignment="1">
      <alignment horizontal="left" vertical="top" wrapText="1"/>
    </xf>
    <xf numFmtId="0" fontId="29" fillId="0" borderId="5" xfId="7" applyFont="1" applyBorder="1" applyAlignment="1">
      <alignment horizontal="left" vertical="top" wrapText="1"/>
    </xf>
    <xf numFmtId="0" fontId="0" fillId="5" borderId="0" xfId="0" applyFill="1" applyAlignment="1">
      <alignment horizontal="left" vertical="top" wrapText="1"/>
    </xf>
    <xf numFmtId="0" fontId="0" fillId="12" borderId="0" xfId="0" applyFill="1" applyAlignment="1">
      <alignment horizontal="left" vertical="top" wrapText="1"/>
    </xf>
    <xf numFmtId="0" fontId="0" fillId="5" borderId="0" xfId="0" applyFill="1" applyAlignment="1">
      <alignment horizontal="left" wrapText="1"/>
    </xf>
    <xf numFmtId="0" fontId="87" fillId="35" borderId="8" xfId="0" applyFont="1" applyFill="1" applyBorder="1" applyAlignment="1">
      <alignment horizontal="centerContinuous" vertical="center"/>
    </xf>
    <xf numFmtId="0" fontId="84" fillId="35" borderId="8" xfId="0" applyFont="1" applyFill="1" applyBorder="1" applyAlignment="1">
      <alignment horizontal="centerContinuous"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cellXfs>
  <cellStyles count="53">
    <cellStyle name="Comma" xfId="1" builtinId="3"/>
    <cellStyle name="Comma 2" xfId="10" xr:uid="{00000000-0005-0000-0000-000001000000}"/>
    <cellStyle name="Comma 2 2" xfId="37" xr:uid="{00000000-0005-0000-0000-000002000000}"/>
    <cellStyle name="Comma 3" xfId="24" xr:uid="{00000000-0005-0000-0000-000003000000}"/>
    <cellStyle name="Comma 4" xfId="25" xr:uid="{00000000-0005-0000-0000-000004000000}"/>
    <cellStyle name="Comma 5" xfId="27" xr:uid="{00000000-0005-0000-0000-000005000000}"/>
    <cellStyle name="Comma 5 2" xfId="43" xr:uid="{00000000-0005-0000-0000-000006000000}"/>
    <cellStyle name="Comma 6" xfId="31" xr:uid="{00000000-0005-0000-0000-000007000000}"/>
    <cellStyle name="Comma 6 2" xfId="47" xr:uid="{00000000-0005-0000-0000-000008000000}"/>
    <cellStyle name="Comma 7" xfId="35" xr:uid="{00000000-0005-0000-0000-000009000000}"/>
    <cellStyle name="Currency" xfId="14" builtinId="4"/>
    <cellStyle name="Currency 2" xfId="11" xr:uid="{00000000-0005-0000-0000-00000B000000}"/>
    <cellStyle name="Currency 2 2" xfId="38" xr:uid="{00000000-0005-0000-0000-00000C000000}"/>
    <cellStyle name="Currency 3" xfId="29" xr:uid="{00000000-0005-0000-0000-00000D000000}"/>
    <cellStyle name="Currency 3 2" xfId="45" xr:uid="{00000000-0005-0000-0000-00000E000000}"/>
    <cellStyle name="Currency 4" xfId="33" xr:uid="{00000000-0005-0000-0000-00000F000000}"/>
    <cellStyle name="Currency 4 2" xfId="49" xr:uid="{00000000-0005-0000-0000-000010000000}"/>
    <cellStyle name="Currency 5" xfId="41" xr:uid="{00000000-0005-0000-0000-000011000000}"/>
    <cellStyle name="Hyperlink" xfId="50" builtinId="8"/>
    <cellStyle name="Normal" xfId="0" builtinId="0"/>
    <cellStyle name="Normal 12" xfId="52" xr:uid="{E333682E-E388-418B-9ED9-153B8B6E314E}"/>
    <cellStyle name="Normal 2" xfId="3" xr:uid="{00000000-0005-0000-0000-000014000000}"/>
    <cellStyle name="Normal 2 2" xfId="4" xr:uid="{00000000-0005-0000-0000-000015000000}"/>
    <cellStyle name="Normal 2 2 2" xfId="8" xr:uid="{00000000-0005-0000-0000-000016000000}"/>
    <cellStyle name="Normal 2 2 2 2" xfId="20" xr:uid="{00000000-0005-0000-0000-000017000000}"/>
    <cellStyle name="Normal 2 2 2 3" xfId="17" xr:uid="{00000000-0005-0000-0000-000018000000}"/>
    <cellStyle name="Normal 2 2 3" xfId="6" xr:uid="{00000000-0005-0000-0000-000019000000}"/>
    <cellStyle name="Normal 2 2 4" xfId="15" xr:uid="{00000000-0005-0000-0000-00001A000000}"/>
    <cellStyle name="Normal 2 3" xfId="7" xr:uid="{00000000-0005-0000-0000-00001B000000}"/>
    <cellStyle name="Normal 2 3 2" xfId="9" xr:uid="{00000000-0005-0000-0000-00001C000000}"/>
    <cellStyle name="Normal 2 3 2 2" xfId="21" xr:uid="{00000000-0005-0000-0000-00001D000000}"/>
    <cellStyle name="Normal 2 3 2 3" xfId="18" xr:uid="{00000000-0005-0000-0000-00001E000000}"/>
    <cellStyle name="Normal 2 3 3" xfId="22" xr:uid="{00000000-0005-0000-0000-00001F000000}"/>
    <cellStyle name="Normal 2 3 3 2" xfId="23" xr:uid="{00000000-0005-0000-0000-000020000000}"/>
    <cellStyle name="Normal 3" xfId="5" xr:uid="{00000000-0005-0000-0000-000021000000}"/>
    <cellStyle name="Normal 3 2" xfId="19" xr:uid="{00000000-0005-0000-0000-000022000000}"/>
    <cellStyle name="Normal 3 3" xfId="16" xr:uid="{00000000-0005-0000-0000-000023000000}"/>
    <cellStyle name="Normal 4" xfId="12" xr:uid="{00000000-0005-0000-0000-000024000000}"/>
    <cellStyle name="Normal 4 2" xfId="39" xr:uid="{00000000-0005-0000-0000-000025000000}"/>
    <cellStyle name="Normal 5" xfId="26" xr:uid="{00000000-0005-0000-0000-000026000000}"/>
    <cellStyle name="Normal 5 2" xfId="42" xr:uid="{00000000-0005-0000-0000-000027000000}"/>
    <cellStyle name="Normal 6" xfId="30" xr:uid="{00000000-0005-0000-0000-000028000000}"/>
    <cellStyle name="Normal 6 2" xfId="46" xr:uid="{00000000-0005-0000-0000-000029000000}"/>
    <cellStyle name="Normal 7" xfId="34" xr:uid="{00000000-0005-0000-0000-00002A000000}"/>
    <cellStyle name="Normal_Sheet1_1" xfId="51" xr:uid="{00000000-0005-0000-0000-00002B000000}"/>
    <cellStyle name="Percent" xfId="2" builtinId="5"/>
    <cellStyle name="Percent 2" xfId="13" xr:uid="{00000000-0005-0000-0000-00002D000000}"/>
    <cellStyle name="Percent 2 2" xfId="40" xr:uid="{00000000-0005-0000-0000-00002E000000}"/>
    <cellStyle name="Percent 3" xfId="28" xr:uid="{00000000-0005-0000-0000-00002F000000}"/>
    <cellStyle name="Percent 3 2" xfId="44" xr:uid="{00000000-0005-0000-0000-000030000000}"/>
    <cellStyle name="Percent 4" xfId="32" xr:uid="{00000000-0005-0000-0000-000031000000}"/>
    <cellStyle name="Percent 4 2" xfId="48" xr:uid="{00000000-0005-0000-0000-000032000000}"/>
    <cellStyle name="Percent 5" xfId="36" xr:uid="{00000000-0005-0000-0000-000033000000}"/>
  </cellStyles>
  <dxfs count="0"/>
  <tableStyles count="0" defaultTableStyle="TableStyleMedium2" defaultPivotStyle="PivotStyleLight16"/>
  <colors>
    <mruColors>
      <color rgb="FF00FF00"/>
      <color rgb="FFFFFFE1"/>
      <color rgb="FFFFCCFF"/>
      <color rgb="FFDCEDCB"/>
      <color rgb="FF77DBFF"/>
      <color rgb="FFFF66FF"/>
      <color rgb="FF99FF99"/>
      <color rgb="FFE68E9B"/>
      <color rgb="FFFF6699"/>
      <color rgb="FFA2E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4.0/" TargetMode="External"/></Relationships>
</file>

<file path=xl/drawings/drawing1.xml><?xml version="1.0" encoding="utf-8"?>
<xdr:wsDr xmlns:xdr="http://schemas.openxmlformats.org/drawingml/2006/spreadsheetDrawing" xmlns:a="http://schemas.openxmlformats.org/drawingml/2006/main">
  <xdr:oneCellAnchor>
    <xdr:from>
      <xdr:col>1</xdr:col>
      <xdr:colOff>57150</xdr:colOff>
      <xdr:row>4</xdr:row>
      <xdr:rowOff>19051</xdr:rowOff>
    </xdr:from>
    <xdr:ext cx="5934075" cy="51435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43125" y="1095376"/>
          <a:ext cx="5934075"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a:t>
          </a:r>
          <a:r>
            <a:rPr lang="en-US" sz="1050">
              <a:solidFill>
                <a:schemeClr val="tx1"/>
              </a:solidFill>
              <a:effectLst/>
              <a:latin typeface="+mn-lt"/>
              <a:ea typeface="+mn-ea"/>
              <a:cs typeface="+mn-cs"/>
            </a:rPr>
            <a:t>The Pension Reporting Tool by Office of Superintendent of Public Instruction is licensed under a Creative Commons Attribution 4.0 International License.</a:t>
          </a:r>
        </a:p>
        <a:p>
          <a:r>
            <a:rPr lang="en-US" sz="1100">
              <a:solidFill>
                <a:schemeClr val="tx1"/>
              </a:solidFill>
              <a:effectLst/>
              <a:latin typeface="+mn-lt"/>
              <a:ea typeface="+mn-ea"/>
              <a:cs typeface="+mn-cs"/>
            </a:rPr>
            <a:t>                            </a:t>
          </a:r>
          <a:endParaRPr lang="en-US" sz="1100"/>
        </a:p>
      </xdr:txBody>
    </xdr:sp>
    <xdr:clientData/>
  </xdr:oneCellAnchor>
  <xdr:twoCellAnchor editAs="oneCell">
    <xdr:from>
      <xdr:col>1</xdr:col>
      <xdr:colOff>57150</xdr:colOff>
      <xdr:row>4</xdr:row>
      <xdr:rowOff>19050</xdr:rowOff>
    </xdr:from>
    <xdr:to>
      <xdr:col>1</xdr:col>
      <xdr:colOff>825500</xdr:colOff>
      <xdr:row>4</xdr:row>
      <xdr:rowOff>165100</xdr:rowOff>
    </xdr:to>
    <xdr:pic>
      <xdr:nvPicPr>
        <xdr:cNvPr id="4" name="Picture 3" descr="Creative Commons License">
          <a:hlinkClick xmlns:r="http://schemas.openxmlformats.org/officeDocument/2006/relationships" r:id="rId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25" y="1095375"/>
          <a:ext cx="768350" cy="1460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portal.drs.wa.gov/Account/Login" TargetMode="External"/><Relationship Id="rId1" Type="http://schemas.openxmlformats.org/officeDocument/2006/relationships/hyperlink" Target="https://www.drs.wa.gov/employ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B1:L37"/>
  <sheetViews>
    <sheetView workbookViewId="0">
      <selection activeCell="B2" sqref="B2:F2"/>
    </sheetView>
  </sheetViews>
  <sheetFormatPr defaultColWidth="9.140625" defaultRowHeight="15" x14ac:dyDescent="0.25"/>
  <cols>
    <col min="1" max="1" width="1.42578125" customWidth="1"/>
    <col min="2" max="2" width="10.85546875" customWidth="1"/>
    <col min="3" max="3" width="13.85546875" customWidth="1"/>
    <col min="4" max="4" width="8.85546875" customWidth="1"/>
    <col min="5" max="5" width="52.5703125" customWidth="1"/>
    <col min="6" max="6" width="8.140625" customWidth="1"/>
    <col min="9" max="9" width="9.140625" customWidth="1"/>
  </cols>
  <sheetData>
    <row r="1" spans="2:12" ht="34.5" customHeight="1" x14ac:dyDescent="0.25">
      <c r="B1" s="564" t="s">
        <v>1211</v>
      </c>
      <c r="C1" s="564"/>
      <c r="D1" s="564"/>
      <c r="E1" s="564"/>
      <c r="F1" s="564"/>
    </row>
    <row r="2" spans="2:12" ht="10.5" customHeight="1" x14ac:dyDescent="0.25">
      <c r="B2" s="567"/>
      <c r="C2" s="568"/>
      <c r="D2" s="568"/>
      <c r="E2" s="568"/>
      <c r="F2" s="568"/>
    </row>
    <row r="3" spans="2:12" ht="41.25" customHeight="1" x14ac:dyDescent="0.25">
      <c r="B3" s="565" t="s">
        <v>727</v>
      </c>
      <c r="C3" s="565"/>
      <c r="D3" s="565"/>
      <c r="E3" s="565"/>
      <c r="F3" s="565"/>
    </row>
    <row r="4" spans="2:12" ht="39" customHeight="1" x14ac:dyDescent="0.25">
      <c r="B4" s="565" t="s">
        <v>1212</v>
      </c>
      <c r="C4" s="565"/>
      <c r="D4" s="565"/>
      <c r="E4" s="565"/>
      <c r="F4" s="565"/>
    </row>
    <row r="5" spans="2:12" ht="43.5" customHeight="1" x14ac:dyDescent="0.25">
      <c r="B5" s="566" t="s">
        <v>1158</v>
      </c>
      <c r="C5" s="566"/>
      <c r="D5" s="566"/>
      <c r="E5" s="566"/>
      <c r="F5" s="566"/>
    </row>
    <row r="6" spans="2:12" ht="44.25" customHeight="1" thickBot="1" x14ac:dyDescent="0.3">
      <c r="B6" s="566" t="s">
        <v>708</v>
      </c>
      <c r="C6" s="566"/>
      <c r="D6" s="566"/>
      <c r="E6" s="566"/>
      <c r="F6" s="566"/>
    </row>
    <row r="7" spans="2:12" ht="57" customHeight="1" x14ac:dyDescent="0.25">
      <c r="B7" s="335" t="s">
        <v>1213</v>
      </c>
      <c r="C7" s="569" t="s">
        <v>1214</v>
      </c>
      <c r="D7" s="569"/>
      <c r="E7" s="569"/>
      <c r="F7" s="570"/>
    </row>
    <row r="8" spans="2:12" ht="43.5" customHeight="1" thickBot="1" x14ac:dyDescent="0.3">
      <c r="B8" s="336"/>
      <c r="C8" s="571" t="s">
        <v>1188</v>
      </c>
      <c r="D8" s="571"/>
      <c r="E8" s="571"/>
      <c r="F8" s="572"/>
      <c r="J8" s="119"/>
      <c r="K8" s="119"/>
      <c r="L8" s="119"/>
    </row>
    <row r="9" spans="2:12" ht="25.5" x14ac:dyDescent="0.25">
      <c r="B9" s="340" t="s">
        <v>1080</v>
      </c>
      <c r="C9" s="133"/>
      <c r="D9" s="337"/>
      <c r="E9" s="337"/>
      <c r="F9" s="338"/>
      <c r="J9" s="119"/>
      <c r="K9" s="119"/>
      <c r="L9" s="119"/>
    </row>
    <row r="10" spans="2:12" ht="17.25" x14ac:dyDescent="0.3">
      <c r="B10" s="271"/>
      <c r="C10" s="339" t="s">
        <v>1160</v>
      </c>
      <c r="D10" s="278"/>
      <c r="E10" s="278"/>
      <c r="F10" s="279"/>
      <c r="J10" s="119"/>
      <c r="K10" s="119"/>
      <c r="L10" s="119"/>
    </row>
    <row r="11" spans="2:12" ht="17.25" x14ac:dyDescent="0.3">
      <c r="B11" s="271"/>
      <c r="C11" s="339" t="s">
        <v>1199</v>
      </c>
      <c r="D11" s="278"/>
      <c r="E11" s="278"/>
      <c r="F11" s="279"/>
      <c r="J11" s="119"/>
      <c r="K11" s="119"/>
      <c r="L11" s="119"/>
    </row>
    <row r="12" spans="2:12" ht="17.25" x14ac:dyDescent="0.3">
      <c r="B12" s="271"/>
      <c r="C12" s="339" t="s">
        <v>1200</v>
      </c>
      <c r="D12" s="278"/>
      <c r="E12" s="278"/>
      <c r="F12" s="279"/>
      <c r="J12" s="119"/>
      <c r="K12" s="119"/>
      <c r="L12" s="119"/>
    </row>
    <row r="13" spans="2:12" ht="29.25" customHeight="1" x14ac:dyDescent="0.3">
      <c r="B13" s="271"/>
      <c r="C13" s="280" t="s">
        <v>1159</v>
      </c>
      <c r="D13" s="280"/>
      <c r="E13" s="280"/>
      <c r="F13" s="281"/>
      <c r="J13" s="119"/>
      <c r="K13" s="119"/>
      <c r="L13" s="119"/>
    </row>
    <row r="14" spans="2:12" ht="50.25" customHeight="1" thickBot="1" x14ac:dyDescent="0.35">
      <c r="B14" s="276"/>
      <c r="C14" s="575" t="s">
        <v>1215</v>
      </c>
      <c r="D14" s="575"/>
      <c r="E14" s="575"/>
      <c r="F14" s="576"/>
      <c r="J14" s="119"/>
      <c r="K14" s="119"/>
      <c r="L14" s="119"/>
    </row>
    <row r="15" spans="2:12" ht="26.25" x14ac:dyDescent="0.45">
      <c r="B15" s="272" t="s">
        <v>1079</v>
      </c>
      <c r="C15" s="133"/>
      <c r="D15" s="273"/>
      <c r="E15" s="273"/>
      <c r="F15" s="274"/>
    </row>
    <row r="16" spans="2:12" ht="17.25" x14ac:dyDescent="0.3">
      <c r="B16" s="271"/>
      <c r="F16" s="241"/>
      <c r="K16" t="s">
        <v>1164</v>
      </c>
    </row>
    <row r="17" spans="2:11" ht="17.25" x14ac:dyDescent="0.3">
      <c r="B17" s="271"/>
      <c r="C17" s="339" t="s">
        <v>1161</v>
      </c>
      <c r="D17" s="269"/>
      <c r="E17" s="282" t="s">
        <v>1146</v>
      </c>
      <c r="F17" s="241"/>
    </row>
    <row r="18" spans="2:11" ht="17.25" x14ac:dyDescent="0.3">
      <c r="B18" s="271"/>
      <c r="C18" s="339" t="s">
        <v>1189</v>
      </c>
      <c r="D18" s="283"/>
      <c r="E18" s="283"/>
      <c r="F18" s="242"/>
      <c r="H18" s="269"/>
    </row>
    <row r="19" spans="2:11" ht="21" customHeight="1" x14ac:dyDescent="0.3">
      <c r="B19" s="271"/>
      <c r="C19" s="283"/>
      <c r="D19" s="283"/>
      <c r="E19" s="496" t="s">
        <v>1198</v>
      </c>
      <c r="F19" s="275"/>
      <c r="I19" t="s">
        <v>1164</v>
      </c>
    </row>
    <row r="20" spans="2:11" ht="97.5" customHeight="1" thickBot="1" x14ac:dyDescent="0.35">
      <c r="B20" s="276"/>
      <c r="C20" s="575" t="s">
        <v>1187</v>
      </c>
      <c r="D20" s="575"/>
      <c r="E20" s="575"/>
      <c r="F20" s="277"/>
    </row>
    <row r="21" spans="2:11" ht="36.75" customHeight="1" x14ac:dyDescent="0.25"/>
    <row r="23" spans="2:11" x14ac:dyDescent="0.25">
      <c r="K23" s="240"/>
    </row>
    <row r="26" spans="2:11" ht="48.75" customHeight="1" x14ac:dyDescent="0.25"/>
    <row r="27" spans="2:11" ht="17.25" customHeight="1" x14ac:dyDescent="0.25"/>
    <row r="30" spans="2:11" ht="15" hidden="1" customHeight="1" x14ac:dyDescent="0.25">
      <c r="B30" s="97"/>
      <c r="C30" s="573" t="s">
        <v>726</v>
      </c>
      <c r="D30" s="574"/>
      <c r="E30" s="663" t="s">
        <v>1147</v>
      </c>
      <c r="F30" s="665"/>
    </row>
    <row r="31" spans="2:11" ht="115.5" hidden="1" customHeight="1" x14ac:dyDescent="0.25">
      <c r="B31" s="97"/>
      <c r="C31" s="98"/>
      <c r="D31" s="663" t="s">
        <v>728</v>
      </c>
      <c r="E31" s="664"/>
      <c r="F31" s="665"/>
    </row>
    <row r="32" spans="2:11" ht="90.75" hidden="1" customHeight="1" x14ac:dyDescent="0.25">
      <c r="B32" s="99"/>
      <c r="D32" s="663" t="s">
        <v>1077</v>
      </c>
      <c r="E32" s="664"/>
      <c r="F32" s="665"/>
    </row>
    <row r="33" spans="2:6" ht="156" hidden="1" customHeight="1" x14ac:dyDescent="0.25">
      <c r="B33" s="99"/>
      <c r="D33" s="663" t="s">
        <v>729</v>
      </c>
      <c r="E33" s="664"/>
      <c r="F33" s="665"/>
    </row>
    <row r="34" spans="2:6" ht="125.25" hidden="1" customHeight="1" x14ac:dyDescent="0.25">
      <c r="B34" s="99"/>
      <c r="D34" s="663" t="s">
        <v>730</v>
      </c>
      <c r="E34" s="664"/>
      <c r="F34" s="665"/>
    </row>
    <row r="35" spans="2:6" ht="39" hidden="1" customHeight="1" x14ac:dyDescent="0.25">
      <c r="B35" s="99"/>
      <c r="D35" s="663" t="s">
        <v>1078</v>
      </c>
      <c r="E35" s="664"/>
      <c r="F35" s="665"/>
    </row>
    <row r="36" spans="2:6" ht="125.25" hidden="1" customHeight="1" x14ac:dyDescent="0.25"/>
    <row r="37" spans="2:6" hidden="1" x14ac:dyDescent="0.25"/>
  </sheetData>
  <mergeCells count="17">
    <mergeCell ref="D35:F35"/>
    <mergeCell ref="D34:F34"/>
    <mergeCell ref="D33:F33"/>
    <mergeCell ref="D32:F32"/>
    <mergeCell ref="D31:F31"/>
    <mergeCell ref="C7:F7"/>
    <mergeCell ref="C8:F8"/>
    <mergeCell ref="C30:D30"/>
    <mergeCell ref="E30:F30"/>
    <mergeCell ref="C14:F14"/>
    <mergeCell ref="C20:E20"/>
    <mergeCell ref="B1:F1"/>
    <mergeCell ref="B3:F3"/>
    <mergeCell ref="B6:F6"/>
    <mergeCell ref="B5:F5"/>
    <mergeCell ref="B2:F2"/>
    <mergeCell ref="B4:F4"/>
  </mergeCells>
  <hyperlinks>
    <hyperlink ref="E17" r:id="rId1" xr:uid="{35370AFB-0A72-4CE1-8EDE-8A12D802437A}"/>
    <hyperlink ref="E19" r:id="rId2" xr:uid="{2DA77E95-A642-4679-9ABC-42A7A7BF41CC}"/>
  </hyperlinks>
  <pageMargins left="0.45" right="0.45" top="0.75" bottom="0.75" header="0.3" footer="0.3"/>
  <pageSetup orientation="portrait" r:id="rId3"/>
  <rowBreaks count="1" manualBreakCount="1">
    <brk id="2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W48"/>
  <sheetViews>
    <sheetView workbookViewId="0">
      <selection activeCell="A6" sqref="A6"/>
    </sheetView>
  </sheetViews>
  <sheetFormatPr defaultRowHeight="15" x14ac:dyDescent="0.25"/>
  <cols>
    <col min="3" max="5" width="11.42578125" customWidth="1"/>
    <col min="6" max="6" width="2.85546875" customWidth="1"/>
    <col min="9" max="9" width="23" bestFit="1" customWidth="1"/>
    <col min="10" max="11" width="14.140625" customWidth="1"/>
    <col min="12" max="12" width="11.140625" bestFit="1" customWidth="1"/>
    <col min="13" max="14" width="12.5703125" customWidth="1"/>
    <col min="17" max="17" width="11.140625" customWidth="1"/>
    <col min="18" max="19" width="12.5703125" bestFit="1" customWidth="1"/>
    <col min="20" max="20" width="16.28515625" customWidth="1"/>
  </cols>
  <sheetData>
    <row r="1" spans="1:23" x14ac:dyDescent="0.25">
      <c r="B1" s="660" t="s">
        <v>677</v>
      </c>
      <c r="C1" s="660"/>
      <c r="D1" s="660"/>
      <c r="E1" s="660"/>
      <c r="I1" s="658" t="s">
        <v>678</v>
      </c>
      <c r="J1" s="658"/>
      <c r="K1" s="658"/>
      <c r="L1" s="658"/>
      <c r="M1" s="658"/>
      <c r="N1" s="658"/>
      <c r="O1" s="658"/>
    </row>
    <row r="2" spans="1:23" x14ac:dyDescent="0.25">
      <c r="B2" s="659" t="s">
        <v>679</v>
      </c>
      <c r="C2" s="659"/>
      <c r="D2" s="659"/>
      <c r="E2" s="659"/>
      <c r="I2" s="659" t="s">
        <v>680</v>
      </c>
      <c r="J2" s="659"/>
      <c r="K2" s="659"/>
      <c r="L2" s="659"/>
      <c r="M2" s="659"/>
      <c r="N2" s="659"/>
      <c r="O2" s="659"/>
    </row>
    <row r="3" spans="1:23" ht="15.75" thickBot="1" x14ac:dyDescent="0.3">
      <c r="J3" s="258" t="s">
        <v>1149</v>
      </c>
    </row>
    <row r="4" spans="1:23" ht="15" customHeight="1" x14ac:dyDescent="0.25">
      <c r="A4" s="182" t="s">
        <v>1101</v>
      </c>
      <c r="B4" s="38" t="s">
        <v>681</v>
      </c>
      <c r="C4" s="133"/>
      <c r="D4" s="176" t="s">
        <v>1128</v>
      </c>
      <c r="E4" s="168"/>
      <c r="I4" s="169" t="s">
        <v>682</v>
      </c>
      <c r="J4" s="170"/>
      <c r="K4" s="170"/>
      <c r="L4" s="170"/>
      <c r="M4" s="170"/>
      <c r="N4" s="170"/>
      <c r="O4" s="171"/>
    </row>
    <row r="5" spans="1:23" ht="45" x14ac:dyDescent="0.25">
      <c r="B5" s="41" t="s">
        <v>683</v>
      </c>
      <c r="C5" s="132" t="s">
        <v>1099</v>
      </c>
      <c r="D5" s="132" t="s">
        <v>1100</v>
      </c>
      <c r="E5" s="132" t="s">
        <v>1098</v>
      </c>
      <c r="G5" s="40" t="s">
        <v>684</v>
      </c>
      <c r="I5" s="184"/>
      <c r="J5" s="183" t="s">
        <v>1136</v>
      </c>
      <c r="K5" s="183" t="s">
        <v>1130</v>
      </c>
      <c r="L5" s="194" t="s">
        <v>1105</v>
      </c>
      <c r="M5" s="183" t="s">
        <v>1096</v>
      </c>
      <c r="N5" s="178" t="s">
        <v>1052</v>
      </c>
      <c r="O5" s="43"/>
    </row>
    <row r="6" spans="1:23" x14ac:dyDescent="0.25">
      <c r="A6" s="39">
        <f>SUM(C6:E6)</f>
        <v>47728</v>
      </c>
      <c r="B6" s="173" t="s">
        <v>633</v>
      </c>
      <c r="C6" s="175">
        <v>45792</v>
      </c>
      <c r="D6" s="175">
        <v>401</v>
      </c>
      <c r="E6" s="175">
        <v>1535</v>
      </c>
      <c r="G6" s="198">
        <v>47728</v>
      </c>
      <c r="H6" s="177">
        <f t="shared" ref="H6:H11" si="0">+A6-G6</f>
        <v>0</v>
      </c>
      <c r="I6" s="44" t="s">
        <v>633</v>
      </c>
      <c r="J6" s="257" t="s">
        <v>1137</v>
      </c>
      <c r="K6" s="189"/>
      <c r="L6" s="190"/>
      <c r="M6" s="52"/>
      <c r="N6" s="52"/>
      <c r="O6" s="45"/>
      <c r="Q6">
        <v>45792</v>
      </c>
      <c r="R6">
        <v>401</v>
      </c>
      <c r="S6">
        <v>1535</v>
      </c>
      <c r="U6" s="39">
        <f>+C6-Q6</f>
        <v>0</v>
      </c>
      <c r="V6" s="39">
        <f>+D6-R6</f>
        <v>0</v>
      </c>
      <c r="W6" s="39">
        <f>+E6-S6</f>
        <v>0</v>
      </c>
    </row>
    <row r="7" spans="1:23" x14ac:dyDescent="0.25">
      <c r="A7" s="39">
        <f t="shared" ref="A7:A11" si="1">SUM(C7:E7)</f>
        <v>44741</v>
      </c>
      <c r="B7" s="173" t="s">
        <v>685</v>
      </c>
      <c r="C7" s="175">
        <v>10072</v>
      </c>
      <c r="D7" s="175">
        <v>6175</v>
      </c>
      <c r="E7" s="175">
        <f>14147+14347</f>
        <v>28494</v>
      </c>
      <c r="G7" s="198">
        <v>44741</v>
      </c>
      <c r="H7" s="177">
        <f t="shared" si="0"/>
        <v>0</v>
      </c>
      <c r="I7" s="46" t="s">
        <v>686</v>
      </c>
      <c r="J7" s="104">
        <v>0.06</v>
      </c>
      <c r="K7" s="104">
        <v>0.06</v>
      </c>
      <c r="L7" s="104">
        <v>0.06</v>
      </c>
      <c r="M7" s="104">
        <v>0.06</v>
      </c>
      <c r="N7" s="104">
        <v>0.06</v>
      </c>
      <c r="O7" s="43"/>
      <c r="Q7">
        <v>10072</v>
      </c>
      <c r="R7">
        <v>6175</v>
      </c>
      <c r="S7">
        <v>28494</v>
      </c>
      <c r="U7" s="39">
        <f t="shared" ref="U7:U11" si="2">+C7-Q7</f>
        <v>0</v>
      </c>
      <c r="V7" s="39">
        <f t="shared" ref="V7:V11" si="3">+D7-R7</f>
        <v>0</v>
      </c>
      <c r="W7" s="39">
        <f t="shared" ref="W7:W11" si="4">+E7-S7</f>
        <v>0</v>
      </c>
    </row>
    <row r="8" spans="1:23" x14ac:dyDescent="0.25">
      <c r="A8" s="39">
        <f t="shared" si="1"/>
        <v>54736</v>
      </c>
      <c r="B8" s="173" t="s">
        <v>687</v>
      </c>
      <c r="C8" s="175">
        <v>10007</v>
      </c>
      <c r="D8" s="175">
        <v>8983</v>
      </c>
      <c r="E8" s="175">
        <f>18300+17446</f>
        <v>35746</v>
      </c>
      <c r="G8" s="198">
        <v>54736</v>
      </c>
      <c r="H8" s="177">
        <f t="shared" si="0"/>
        <v>0</v>
      </c>
      <c r="I8" s="47" t="s">
        <v>688</v>
      </c>
      <c r="J8" s="179">
        <v>0.12859999999999999</v>
      </c>
      <c r="K8" s="179">
        <v>0.12859999999999999</v>
      </c>
      <c r="L8" s="193">
        <v>0.1283</v>
      </c>
      <c r="M8" s="179">
        <v>0.127</v>
      </c>
      <c r="N8" s="105">
        <v>0.1118</v>
      </c>
      <c r="O8" s="48"/>
      <c r="Q8">
        <v>10007</v>
      </c>
      <c r="R8">
        <v>8983</v>
      </c>
      <c r="S8">
        <v>35746</v>
      </c>
      <c r="U8" s="39">
        <f t="shared" si="2"/>
        <v>0</v>
      </c>
      <c r="V8" s="39">
        <f t="shared" si="3"/>
        <v>0</v>
      </c>
      <c r="W8" s="39">
        <f t="shared" si="4"/>
        <v>0</v>
      </c>
    </row>
    <row r="9" spans="1:23" x14ac:dyDescent="0.25">
      <c r="A9" s="39">
        <f t="shared" si="1"/>
        <v>33114</v>
      </c>
      <c r="B9" s="173" t="s">
        <v>635</v>
      </c>
      <c r="C9" s="175">
        <v>32645</v>
      </c>
      <c r="D9" s="131">
        <v>120</v>
      </c>
      <c r="E9" s="175">
        <v>349</v>
      </c>
      <c r="G9" s="198">
        <v>33114</v>
      </c>
      <c r="H9" s="177">
        <f t="shared" si="0"/>
        <v>0</v>
      </c>
      <c r="I9" s="42"/>
      <c r="J9" s="220"/>
      <c r="K9" s="220"/>
      <c r="L9" s="191"/>
      <c r="M9" s="53"/>
      <c r="N9" s="53"/>
      <c r="O9" s="43"/>
      <c r="Q9">
        <v>32645</v>
      </c>
      <c r="R9">
        <v>120</v>
      </c>
      <c r="S9">
        <v>349</v>
      </c>
      <c r="U9" s="39">
        <f t="shared" si="2"/>
        <v>0</v>
      </c>
      <c r="V9" s="39">
        <f t="shared" si="3"/>
        <v>0</v>
      </c>
      <c r="W9" s="39">
        <f t="shared" si="4"/>
        <v>0</v>
      </c>
    </row>
    <row r="10" spans="1:23" x14ac:dyDescent="0.25">
      <c r="A10" s="39">
        <f t="shared" si="1"/>
        <v>30441</v>
      </c>
      <c r="B10" s="173" t="s">
        <v>689</v>
      </c>
      <c r="C10" s="175">
        <v>5874</v>
      </c>
      <c r="D10" s="175">
        <v>2779</v>
      </c>
      <c r="E10" s="175">
        <f>10180+11608</f>
        <v>21788</v>
      </c>
      <c r="G10" s="198">
        <v>30441</v>
      </c>
      <c r="H10" s="177">
        <f t="shared" si="0"/>
        <v>0</v>
      </c>
      <c r="I10" s="42"/>
      <c r="J10" s="195" t="s">
        <v>1139</v>
      </c>
      <c r="K10" s="195" t="s">
        <v>1140</v>
      </c>
      <c r="L10" s="195" t="s">
        <v>1105</v>
      </c>
      <c r="M10" s="183" t="s">
        <v>1097</v>
      </c>
      <c r="N10" s="103" t="s">
        <v>1053</v>
      </c>
      <c r="O10" s="43"/>
      <c r="Q10">
        <v>5874</v>
      </c>
      <c r="R10">
        <v>2779</v>
      </c>
      <c r="S10">
        <v>21788</v>
      </c>
      <c r="U10" s="39">
        <f t="shared" si="2"/>
        <v>0</v>
      </c>
      <c r="V10" s="39">
        <f t="shared" si="3"/>
        <v>0</v>
      </c>
      <c r="W10" s="39">
        <f t="shared" si="4"/>
        <v>0</v>
      </c>
    </row>
    <row r="11" spans="1:23" ht="15.75" thickBot="1" x14ac:dyDescent="0.3">
      <c r="A11" s="39">
        <f t="shared" si="1"/>
        <v>78153</v>
      </c>
      <c r="B11" s="174" t="s">
        <v>690</v>
      </c>
      <c r="C11" s="175">
        <v>13745</v>
      </c>
      <c r="D11" s="175">
        <v>8675</v>
      </c>
      <c r="E11" s="175">
        <f>37306+18427</f>
        <v>55733</v>
      </c>
      <c r="G11" s="198">
        <v>78153</v>
      </c>
      <c r="H11" s="177">
        <f t="shared" si="0"/>
        <v>0</v>
      </c>
      <c r="I11" s="44" t="s">
        <v>635</v>
      </c>
      <c r="J11" s="189"/>
      <c r="K11" s="189"/>
      <c r="L11" s="190"/>
      <c r="M11" s="54"/>
      <c r="N11" s="54"/>
      <c r="O11" s="49"/>
      <c r="Q11">
        <v>13745</v>
      </c>
      <c r="R11">
        <v>8675</v>
      </c>
      <c r="S11">
        <v>55733</v>
      </c>
      <c r="U11" s="39">
        <f t="shared" si="2"/>
        <v>0</v>
      </c>
      <c r="V11" s="39">
        <f t="shared" si="3"/>
        <v>0</v>
      </c>
      <c r="W11" s="39">
        <f t="shared" si="4"/>
        <v>0</v>
      </c>
    </row>
    <row r="12" spans="1:23" x14ac:dyDescent="0.25">
      <c r="B12" s="643" t="s">
        <v>1129</v>
      </c>
      <c r="C12" s="644"/>
      <c r="D12" s="644"/>
      <c r="E12" s="644"/>
      <c r="I12" s="46" t="s">
        <v>686</v>
      </c>
      <c r="J12" s="104">
        <v>0.06</v>
      </c>
      <c r="K12" s="104">
        <v>0.06</v>
      </c>
      <c r="L12" s="104">
        <v>0.06</v>
      </c>
      <c r="M12" s="104">
        <v>0.06</v>
      </c>
      <c r="N12" s="104">
        <v>0.06</v>
      </c>
      <c r="O12" s="50"/>
    </row>
    <row r="13" spans="1:23" x14ac:dyDescent="0.25">
      <c r="B13" s="645"/>
      <c r="C13" s="644"/>
      <c r="D13" s="644"/>
      <c r="E13" s="644"/>
      <c r="I13" s="47" t="s">
        <v>688</v>
      </c>
      <c r="J13" s="193">
        <v>0.15509999999999999</v>
      </c>
      <c r="K13" s="193">
        <v>0.15509999999999999</v>
      </c>
      <c r="L13" s="192">
        <v>0.15409999999999999</v>
      </c>
      <c r="M13" s="179">
        <v>0.152</v>
      </c>
      <c r="N13" s="105">
        <v>0.1313</v>
      </c>
      <c r="O13" s="51"/>
    </row>
    <row r="14" spans="1:23" ht="33.75" customHeight="1" thickBot="1" x14ac:dyDescent="0.3">
      <c r="B14" s="646" t="s">
        <v>679</v>
      </c>
      <c r="C14" s="647"/>
      <c r="D14" s="647"/>
      <c r="E14" s="647"/>
      <c r="I14" s="44" t="s">
        <v>689</v>
      </c>
      <c r="J14" s="189"/>
      <c r="K14" s="189"/>
      <c r="L14" s="190"/>
      <c r="M14" s="54"/>
      <c r="N14" s="54"/>
      <c r="O14" s="49"/>
    </row>
    <row r="15" spans="1:23" x14ac:dyDescent="0.25">
      <c r="I15" s="46" t="s">
        <v>686</v>
      </c>
      <c r="J15" s="180">
        <v>7.7700000000000005E-2</v>
      </c>
      <c r="K15" s="180">
        <v>7.7700000000000005E-2</v>
      </c>
      <c r="L15" s="53">
        <v>7.0599999999999996E-2</v>
      </c>
      <c r="M15" s="180">
        <v>7.0599999999999996E-2</v>
      </c>
      <c r="N15" s="53">
        <v>5.9499999999999997E-2</v>
      </c>
      <c r="O15" s="50"/>
    </row>
    <row r="16" spans="1:23" ht="15" customHeight="1" x14ac:dyDescent="0.25">
      <c r="I16" s="47" t="s">
        <v>688</v>
      </c>
      <c r="J16" s="193">
        <v>0.15509999999999999</v>
      </c>
      <c r="K16" s="193">
        <v>0.15509999999999999</v>
      </c>
      <c r="L16" s="192">
        <v>0.15409999999999999</v>
      </c>
      <c r="M16" s="179">
        <v>0.152</v>
      </c>
      <c r="N16" s="106">
        <v>0.1313</v>
      </c>
      <c r="O16" s="51"/>
    </row>
    <row r="17" spans="1:23" x14ac:dyDescent="0.25">
      <c r="A17" s="39">
        <f t="shared" ref="A17:A18" si="5">SUM(C17:E17)</f>
        <v>206268</v>
      </c>
      <c r="B17" s="173" t="s">
        <v>1110</v>
      </c>
      <c r="C17" s="175">
        <v>55161</v>
      </c>
      <c r="D17" s="175">
        <v>29139</v>
      </c>
      <c r="E17" s="175">
        <f>79014+42954</f>
        <v>121968</v>
      </c>
      <c r="G17" s="198">
        <v>206268</v>
      </c>
      <c r="H17" s="177">
        <f t="shared" ref="H17:H18" si="6">+A17-G17</f>
        <v>0</v>
      </c>
      <c r="I17" s="44" t="s">
        <v>690</v>
      </c>
      <c r="J17" s="189"/>
      <c r="K17" s="189"/>
      <c r="L17" s="190"/>
      <c r="M17" s="54"/>
      <c r="N17" s="54"/>
      <c r="O17" s="49"/>
      <c r="Q17">
        <v>55161</v>
      </c>
      <c r="R17">
        <v>29139</v>
      </c>
      <c r="S17">
        <v>121968</v>
      </c>
      <c r="U17" s="39">
        <f>+C17-Q17</f>
        <v>0</v>
      </c>
      <c r="V17" s="39">
        <f t="shared" ref="V17:V18" si="7">+D17-R17</f>
        <v>0</v>
      </c>
      <c r="W17" s="39">
        <f t="shared" ref="W17:W18" si="8">+E17-S17</f>
        <v>0</v>
      </c>
    </row>
    <row r="18" spans="1:23" x14ac:dyDescent="0.25">
      <c r="A18" s="39">
        <f t="shared" si="5"/>
        <v>49635</v>
      </c>
      <c r="B18" s="173" t="s">
        <v>1111</v>
      </c>
      <c r="C18" s="175">
        <v>5709</v>
      </c>
      <c r="D18" s="175">
        <v>6381</v>
      </c>
      <c r="E18" s="175">
        <f>15230+22315</f>
        <v>37545</v>
      </c>
      <c r="G18" s="198">
        <v>49635</v>
      </c>
      <c r="H18" s="177">
        <f t="shared" si="6"/>
        <v>0</v>
      </c>
      <c r="I18" s="46" t="s">
        <v>686</v>
      </c>
      <c r="J18" s="107" t="s">
        <v>691</v>
      </c>
      <c r="K18" s="107" t="s">
        <v>691</v>
      </c>
      <c r="L18" s="107" t="s">
        <v>691</v>
      </c>
      <c r="M18" s="107" t="s">
        <v>691</v>
      </c>
      <c r="N18" s="107" t="s">
        <v>691</v>
      </c>
      <c r="O18" s="50"/>
      <c r="Q18">
        <v>5709</v>
      </c>
      <c r="R18">
        <v>6381</v>
      </c>
      <c r="S18">
        <v>37545</v>
      </c>
      <c r="U18" s="39">
        <f t="shared" ref="U18" si="9">+C18-Q18</f>
        <v>0</v>
      </c>
      <c r="V18" s="39">
        <f t="shared" si="7"/>
        <v>0</v>
      </c>
      <c r="W18" s="39">
        <f t="shared" si="8"/>
        <v>0</v>
      </c>
    </row>
    <row r="19" spans="1:23" x14ac:dyDescent="0.25">
      <c r="I19" s="47" t="s">
        <v>688</v>
      </c>
      <c r="J19" s="193">
        <v>0.15509999999999999</v>
      </c>
      <c r="K19" s="193">
        <v>0.15509999999999999</v>
      </c>
      <c r="L19" s="192">
        <v>0.15409999999999999</v>
      </c>
      <c r="M19" s="179">
        <v>0.152</v>
      </c>
      <c r="N19" s="106">
        <v>0.1313</v>
      </c>
      <c r="O19" s="55" t="s">
        <v>692</v>
      </c>
    </row>
    <row r="20" spans="1:23" x14ac:dyDescent="0.25">
      <c r="I20" s="44" t="s">
        <v>685</v>
      </c>
      <c r="J20" s="189"/>
      <c r="K20" s="189"/>
      <c r="L20" s="190"/>
      <c r="M20" s="54"/>
      <c r="N20" s="54"/>
      <c r="O20" s="56"/>
    </row>
    <row r="21" spans="1:23" x14ac:dyDescent="0.25">
      <c r="I21" s="46" t="s">
        <v>686</v>
      </c>
      <c r="J21" s="237">
        <v>8.2500000000000004E-2</v>
      </c>
      <c r="K21" s="237">
        <v>8.2500000000000004E-2</v>
      </c>
      <c r="L21" s="53">
        <v>7.2700000000000001E-2</v>
      </c>
      <c r="M21" s="180">
        <v>7.2700000000000001E-2</v>
      </c>
      <c r="N21" s="53">
        <v>5.6300000000000003E-2</v>
      </c>
      <c r="O21" s="57"/>
    </row>
    <row r="22" spans="1:23" x14ac:dyDescent="0.25">
      <c r="I22" s="47" t="s">
        <v>688</v>
      </c>
      <c r="J22" s="192">
        <v>0.13189999999999999</v>
      </c>
      <c r="K22" s="192">
        <v>0.13189999999999999</v>
      </c>
      <c r="L22" s="192">
        <v>0.1358</v>
      </c>
      <c r="M22" s="181">
        <v>0.1348</v>
      </c>
      <c r="N22" s="106">
        <v>0.1158</v>
      </c>
      <c r="O22" s="55"/>
    </row>
    <row r="23" spans="1:23" x14ac:dyDescent="0.25">
      <c r="I23" s="44" t="s">
        <v>687</v>
      </c>
      <c r="J23" s="189"/>
      <c r="K23" s="189"/>
      <c r="L23" s="190"/>
      <c r="M23" s="54"/>
      <c r="N23" s="54"/>
      <c r="O23" s="56"/>
    </row>
    <row r="24" spans="1:23" ht="15" customHeight="1" x14ac:dyDescent="0.25">
      <c r="I24" s="46" t="s">
        <v>686</v>
      </c>
      <c r="J24" s="236"/>
      <c r="K24" s="107" t="s">
        <v>691</v>
      </c>
      <c r="L24" s="107" t="s">
        <v>691</v>
      </c>
      <c r="M24" s="107" t="s">
        <v>691</v>
      </c>
      <c r="N24" s="107" t="s">
        <v>691</v>
      </c>
      <c r="O24" s="57"/>
    </row>
    <row r="25" spans="1:23" x14ac:dyDescent="0.25">
      <c r="I25" s="47" t="s">
        <v>688</v>
      </c>
      <c r="J25" s="192">
        <v>0.13189999999999999</v>
      </c>
      <c r="K25" s="192">
        <v>0.13189999999999999</v>
      </c>
      <c r="L25" s="192">
        <v>0.1358</v>
      </c>
      <c r="M25" s="181">
        <v>0.1348</v>
      </c>
      <c r="N25" s="106">
        <v>0.1158</v>
      </c>
      <c r="O25" s="55" t="s">
        <v>692</v>
      </c>
    </row>
    <row r="26" spans="1:23" ht="15.75" customHeight="1" x14ac:dyDescent="0.25">
      <c r="I26" s="655" t="s">
        <v>693</v>
      </c>
      <c r="J26" s="656"/>
      <c r="K26" s="656"/>
      <c r="L26" s="656"/>
      <c r="M26" s="656"/>
      <c r="N26" s="656"/>
      <c r="O26" s="657"/>
    </row>
    <row r="27" spans="1:23" x14ac:dyDescent="0.25">
      <c r="I27" s="648" t="s">
        <v>694</v>
      </c>
      <c r="J27" s="649"/>
      <c r="K27" s="649"/>
      <c r="L27" s="649"/>
      <c r="M27" s="649"/>
      <c r="N27" s="649"/>
      <c r="O27" s="650"/>
    </row>
    <row r="28" spans="1:23" ht="15.75" thickBot="1" x14ac:dyDescent="0.3">
      <c r="I28" s="651" t="s">
        <v>695</v>
      </c>
      <c r="J28" s="652"/>
      <c r="K28" s="652"/>
      <c r="L28" s="652"/>
      <c r="M28" s="652"/>
      <c r="N28" s="652"/>
      <c r="O28" s="653"/>
    </row>
    <row r="29" spans="1:23" ht="6" customHeight="1" x14ac:dyDescent="0.25"/>
    <row r="30" spans="1:23" ht="41.25" customHeight="1" x14ac:dyDescent="0.25">
      <c r="I30" s="654" t="s">
        <v>1131</v>
      </c>
      <c r="J30" s="654"/>
      <c r="K30" s="654"/>
      <c r="L30" s="654"/>
      <c r="M30" s="654"/>
      <c r="N30" s="654"/>
      <c r="O30" s="654"/>
    </row>
    <row r="31" spans="1:23" x14ac:dyDescent="0.25">
      <c r="I31" s="219"/>
      <c r="J31" s="183" t="s">
        <v>1136</v>
      </c>
      <c r="K31" s="183" t="s">
        <v>1130</v>
      </c>
      <c r="L31" s="194" t="s">
        <v>1105</v>
      </c>
      <c r="M31" s="219"/>
      <c r="N31" s="219"/>
      <c r="O31" s="219"/>
    </row>
    <row r="32" spans="1:23" x14ac:dyDescent="0.25">
      <c r="I32" s="44" t="s">
        <v>710</v>
      </c>
      <c r="J32" t="s">
        <v>1138</v>
      </c>
    </row>
    <row r="33" spans="1:12" x14ac:dyDescent="0.25">
      <c r="I33" s="46" t="s">
        <v>686</v>
      </c>
      <c r="J33" s="104">
        <v>7.9000000000000001E-2</v>
      </c>
      <c r="K33" s="104">
        <v>7.9000000000000001E-2</v>
      </c>
      <c r="L33" s="104">
        <v>7.4099999999999999E-2</v>
      </c>
    </row>
    <row r="34" spans="1:12" ht="15" customHeight="1" x14ac:dyDescent="0.25">
      <c r="I34" s="47" t="s">
        <v>688</v>
      </c>
      <c r="J34" s="105">
        <v>0.12859999999999999</v>
      </c>
      <c r="K34" s="105">
        <v>0.12859999999999999</v>
      </c>
      <c r="L34" s="105">
        <v>0.1283</v>
      </c>
    </row>
    <row r="36" spans="1:12" x14ac:dyDescent="0.25">
      <c r="A36" s="39">
        <f>SUM(C36:E36)</f>
        <v>47728</v>
      </c>
      <c r="B36" s="173" t="s">
        <v>633</v>
      </c>
      <c r="C36" s="175">
        <v>45792</v>
      </c>
      <c r="D36" s="175">
        <v>401</v>
      </c>
      <c r="E36" s="175">
        <v>1535</v>
      </c>
      <c r="G36" s="198">
        <v>47728</v>
      </c>
      <c r="H36" s="177">
        <f t="shared" ref="H36:H41" si="10">+A36-G36</f>
        <v>0</v>
      </c>
    </row>
    <row r="37" spans="1:12" x14ac:dyDescent="0.25">
      <c r="A37" s="39">
        <f t="shared" ref="A37:A41" si="11">SUM(C37:E37)</f>
        <v>44741</v>
      </c>
      <c r="B37" s="173" t="s">
        <v>685</v>
      </c>
      <c r="C37" s="175">
        <v>10072</v>
      </c>
      <c r="D37" s="175">
        <v>6175</v>
      </c>
      <c r="E37" s="175">
        <f>14147+14347</f>
        <v>28494</v>
      </c>
      <c r="G37" s="198">
        <v>44741</v>
      </c>
      <c r="H37" s="177">
        <f t="shared" si="10"/>
        <v>0</v>
      </c>
    </row>
    <row r="38" spans="1:12" x14ac:dyDescent="0.25">
      <c r="A38" s="39">
        <f t="shared" si="11"/>
        <v>54736</v>
      </c>
      <c r="B38" s="173" t="s">
        <v>687</v>
      </c>
      <c r="C38" s="175">
        <v>10007</v>
      </c>
      <c r="D38" s="175">
        <v>8983</v>
      </c>
      <c r="E38" s="175">
        <f>18300+17446</f>
        <v>35746</v>
      </c>
      <c r="G38" s="198">
        <v>54736</v>
      </c>
      <c r="H38" s="177">
        <f t="shared" si="10"/>
        <v>0</v>
      </c>
    </row>
    <row r="39" spans="1:12" x14ac:dyDescent="0.25">
      <c r="A39" s="39">
        <f t="shared" si="11"/>
        <v>33114</v>
      </c>
      <c r="B39" s="173" t="s">
        <v>635</v>
      </c>
      <c r="C39" s="175">
        <v>32645</v>
      </c>
      <c r="D39" s="131">
        <v>120</v>
      </c>
      <c r="E39" s="175">
        <v>349</v>
      </c>
      <c r="G39" s="198">
        <v>33114</v>
      </c>
      <c r="H39" s="177">
        <f t="shared" si="10"/>
        <v>0</v>
      </c>
    </row>
    <row r="40" spans="1:12" x14ac:dyDescent="0.25">
      <c r="A40" s="39">
        <f t="shared" si="11"/>
        <v>30441</v>
      </c>
      <c r="B40" s="173" t="s">
        <v>689</v>
      </c>
      <c r="C40" s="175">
        <v>5874</v>
      </c>
      <c r="D40" s="175">
        <v>2779</v>
      </c>
      <c r="E40" s="175">
        <f>10180+11608</f>
        <v>21788</v>
      </c>
      <c r="G40" s="198">
        <v>30441</v>
      </c>
      <c r="H40" s="177">
        <f t="shared" si="10"/>
        <v>0</v>
      </c>
    </row>
    <row r="41" spans="1:12" ht="15.75" thickBot="1" x14ac:dyDescent="0.3">
      <c r="A41" s="39">
        <f t="shared" si="11"/>
        <v>78153</v>
      </c>
      <c r="B41" s="174" t="s">
        <v>690</v>
      </c>
      <c r="C41" s="175">
        <v>13745</v>
      </c>
      <c r="D41" s="175">
        <v>8675</v>
      </c>
      <c r="E41" s="175">
        <f>37306+18427</f>
        <v>55733</v>
      </c>
      <c r="G41" s="198">
        <v>78153</v>
      </c>
      <c r="H41" s="177">
        <f t="shared" si="10"/>
        <v>0</v>
      </c>
    </row>
    <row r="42" spans="1:12" x14ac:dyDescent="0.25">
      <c r="B42" s="643" t="s">
        <v>1129</v>
      </c>
      <c r="C42" s="644"/>
      <c r="D42" s="644"/>
      <c r="E42" s="644"/>
    </row>
    <row r="43" spans="1:12" x14ac:dyDescent="0.25">
      <c r="B43" s="645"/>
      <c r="C43" s="644"/>
      <c r="D43" s="644"/>
      <c r="E43" s="644"/>
    </row>
    <row r="44" spans="1:12" ht="15.75" thickBot="1" x14ac:dyDescent="0.3">
      <c r="B44" s="646" t="s">
        <v>679</v>
      </c>
      <c r="C44" s="647"/>
      <c r="D44" s="647"/>
      <c r="E44" s="647"/>
    </row>
    <row r="47" spans="1:12" x14ac:dyDescent="0.25">
      <c r="A47" s="39">
        <f t="shared" ref="A47:A48" si="12">SUM(C47:E47)</f>
        <v>206268</v>
      </c>
      <c r="B47" s="173" t="s">
        <v>1110</v>
      </c>
      <c r="C47" s="175">
        <v>55161</v>
      </c>
      <c r="D47" s="175">
        <v>29139</v>
      </c>
      <c r="E47" s="175">
        <f>79014+42954</f>
        <v>121968</v>
      </c>
      <c r="G47" s="198">
        <v>206268</v>
      </c>
      <c r="H47" s="177">
        <f t="shared" ref="H47:H48" si="13">+A47-G47</f>
        <v>0</v>
      </c>
    </row>
    <row r="48" spans="1:12" x14ac:dyDescent="0.25">
      <c r="A48" s="39">
        <f t="shared" si="12"/>
        <v>49635</v>
      </c>
      <c r="B48" s="173" t="s">
        <v>1111</v>
      </c>
      <c r="C48" s="175">
        <v>5709</v>
      </c>
      <c r="D48" s="175">
        <v>6381</v>
      </c>
      <c r="E48" s="175">
        <f>15230+22315</f>
        <v>37545</v>
      </c>
      <c r="G48" s="198">
        <v>49635</v>
      </c>
      <c r="H48" s="177">
        <f t="shared" si="13"/>
        <v>0</v>
      </c>
    </row>
  </sheetData>
  <mergeCells count="12">
    <mergeCell ref="I26:O26"/>
    <mergeCell ref="I1:O1"/>
    <mergeCell ref="I2:O2"/>
    <mergeCell ref="B1:E1"/>
    <mergeCell ref="B14:E14"/>
    <mergeCell ref="B2:E2"/>
    <mergeCell ref="B12:E13"/>
    <mergeCell ref="B42:E43"/>
    <mergeCell ref="B44:E44"/>
    <mergeCell ref="I27:O27"/>
    <mergeCell ref="I28:O28"/>
    <mergeCell ref="I30:O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AG116"/>
  <sheetViews>
    <sheetView zoomScale="85" zoomScaleNormal="85" workbookViewId="0">
      <pane ySplit="4" topLeftCell="A95" activePane="bottomLeft" state="frozen"/>
      <selection pane="bottomLeft" activeCell="A112" sqref="A112:F114"/>
    </sheetView>
  </sheetViews>
  <sheetFormatPr defaultRowHeight="15" x14ac:dyDescent="0.25"/>
  <cols>
    <col min="1" max="1" width="31.28515625" customWidth="1"/>
    <col min="2" max="2" width="19.42578125" customWidth="1"/>
    <col min="3" max="3" width="15.5703125" bestFit="1" customWidth="1"/>
    <col min="4" max="4" width="15.7109375" customWidth="1"/>
    <col min="5" max="5" width="15" bestFit="1" customWidth="1"/>
    <col min="6" max="7" width="15.140625" bestFit="1" customWidth="1"/>
    <col min="8" max="8" width="3" customWidth="1"/>
    <col min="9" max="9" width="10.7109375" bestFit="1" customWidth="1"/>
    <col min="10" max="10" width="30.28515625" customWidth="1"/>
    <col min="11" max="11" width="1.85546875" customWidth="1"/>
    <col min="12" max="12" width="6" bestFit="1" customWidth="1"/>
    <col min="13" max="15" width="12.42578125" bestFit="1" customWidth="1"/>
    <col min="16" max="16" width="13.28515625" bestFit="1" customWidth="1"/>
    <col min="17" max="17" width="10.42578125" bestFit="1" customWidth="1"/>
    <col min="18" max="18" width="13.28515625" bestFit="1" customWidth="1"/>
    <col min="19" max="19" width="10.85546875" bestFit="1" customWidth="1"/>
    <col min="20" max="20" width="13.28515625" bestFit="1" customWidth="1"/>
    <col min="21" max="21" width="10.140625" bestFit="1" customWidth="1"/>
    <col min="22" max="22" width="13.28515625" bestFit="1" customWidth="1"/>
    <col min="23" max="23" width="10.140625" bestFit="1" customWidth="1"/>
    <col min="24" max="24" width="14.28515625" bestFit="1" customWidth="1"/>
    <col min="25" max="25" width="10.140625" bestFit="1" customWidth="1"/>
    <col min="26" max="26" width="14.28515625" bestFit="1" customWidth="1"/>
    <col min="27" max="27" width="10.140625" bestFit="1" customWidth="1"/>
    <col min="28" max="28" width="14.28515625" bestFit="1" customWidth="1"/>
    <col min="29" max="29" width="10.140625" bestFit="1" customWidth="1"/>
    <col min="30" max="30" width="14.28515625" bestFit="1" customWidth="1"/>
  </cols>
  <sheetData>
    <row r="1" spans="1:14" ht="28.5" x14ac:dyDescent="0.25">
      <c r="A1" s="581" t="s">
        <v>1132</v>
      </c>
      <c r="B1" s="582"/>
      <c r="C1" s="582"/>
      <c r="D1" s="582"/>
      <c r="E1" s="582"/>
      <c r="F1" s="582"/>
      <c r="G1" s="583"/>
      <c r="H1" s="25"/>
    </row>
    <row r="2" spans="1:14" ht="15.75" customHeight="1" x14ac:dyDescent="0.25">
      <c r="F2" s="598"/>
      <c r="G2" s="580" t="s">
        <v>8</v>
      </c>
      <c r="H2" s="26"/>
      <c r="I2" s="577" t="s">
        <v>1148</v>
      </c>
      <c r="J2" s="577"/>
      <c r="K2" s="577"/>
      <c r="L2" s="577"/>
      <c r="M2" s="577"/>
      <c r="N2" s="577"/>
    </row>
    <row r="3" spans="1:14" ht="19.5" customHeight="1" x14ac:dyDescent="0.25">
      <c r="F3" s="599"/>
      <c r="G3" s="580"/>
      <c r="H3" s="26"/>
      <c r="I3" s="577"/>
      <c r="J3" s="577"/>
      <c r="K3" s="577"/>
      <c r="L3" s="577"/>
      <c r="M3" s="577"/>
      <c r="N3" s="577"/>
    </row>
    <row r="4" spans="1:14" ht="24" customHeight="1" thickBot="1" x14ac:dyDescent="0.3">
      <c r="F4" s="600"/>
      <c r="G4" s="66" t="str">
        <f>VLOOKUP('2024Comp&amp;Contr'!$A$4,'Collective NPL'!$A$7:$AI$335,2,FALSE)</f>
        <v>101</v>
      </c>
      <c r="H4" s="27"/>
      <c r="I4" s="577"/>
      <c r="J4" s="577"/>
      <c r="K4" s="577"/>
      <c r="L4" s="577"/>
      <c r="M4" s="577"/>
      <c r="N4" s="577"/>
    </row>
    <row r="5" spans="1:14" ht="36.75" customHeight="1" x14ac:dyDescent="0.25">
      <c r="A5" s="67"/>
      <c r="B5" s="601"/>
      <c r="C5" s="601"/>
      <c r="D5" s="601"/>
      <c r="E5" s="601"/>
      <c r="F5" s="601"/>
      <c r="G5" s="601"/>
      <c r="H5" s="27"/>
      <c r="I5" s="125"/>
      <c r="J5" s="134"/>
      <c r="L5" s="125"/>
      <c r="M5" s="134"/>
    </row>
    <row r="6" spans="1:14" ht="22.5" hidden="1" customHeight="1" x14ac:dyDescent="0.25">
      <c r="A6" s="584" t="s">
        <v>712</v>
      </c>
      <c r="B6" s="584"/>
      <c r="C6" s="584"/>
      <c r="D6" s="584"/>
      <c r="E6" s="584"/>
      <c r="F6" s="64"/>
      <c r="G6" s="68"/>
      <c r="H6" s="27"/>
      <c r="I6" s="125"/>
      <c r="J6" s="134"/>
      <c r="L6" s="125"/>
      <c r="M6" s="134"/>
    </row>
    <row r="7" spans="1:14" ht="23.25" hidden="1" customHeight="1" x14ac:dyDescent="0.25">
      <c r="A7" s="69" t="s">
        <v>713</v>
      </c>
      <c r="B7" s="70"/>
      <c r="C7" s="70"/>
      <c r="D7" s="70"/>
      <c r="E7" s="70"/>
      <c r="F7" s="64"/>
      <c r="G7" s="68"/>
      <c r="H7" s="27"/>
      <c r="I7" s="125"/>
      <c r="J7" s="134"/>
      <c r="L7" s="125"/>
      <c r="M7" s="134"/>
    </row>
    <row r="8" spans="1:14" ht="30" hidden="1" customHeight="1" thickBot="1" x14ac:dyDescent="0.3">
      <c r="A8" s="67"/>
      <c r="B8" s="65" t="s">
        <v>670</v>
      </c>
      <c r="C8" s="65" t="s">
        <v>665</v>
      </c>
      <c r="D8" s="65" t="s">
        <v>666</v>
      </c>
      <c r="E8" s="65" t="s">
        <v>714</v>
      </c>
      <c r="F8" s="64" t="s">
        <v>1055</v>
      </c>
      <c r="G8" s="68"/>
      <c r="H8" s="27"/>
      <c r="I8" s="125"/>
      <c r="J8" s="134" t="s">
        <v>1145</v>
      </c>
      <c r="L8" s="125"/>
      <c r="M8" s="134"/>
    </row>
    <row r="9" spans="1:14" ht="24" hidden="1" customHeight="1" x14ac:dyDescent="0.25">
      <c r="A9" s="137" t="s">
        <v>668</v>
      </c>
      <c r="B9" s="143">
        <f>+D74</f>
        <v>0</v>
      </c>
      <c r="C9" s="144">
        <f>IF(+E9&gt;+B9,+E9-B9,0)</f>
        <v>0</v>
      </c>
      <c r="D9" s="144">
        <f>IF(+E9&lt;+B9,+B9-E9,0)</f>
        <v>0</v>
      </c>
      <c r="E9" s="145">
        <f>+D67</f>
        <v>0</v>
      </c>
      <c r="F9" s="138" t="s">
        <v>1056</v>
      </c>
      <c r="G9" s="68"/>
      <c r="H9" s="27"/>
      <c r="I9" s="125"/>
      <c r="J9" s="134"/>
      <c r="L9" s="125"/>
      <c r="M9" s="134"/>
    </row>
    <row r="10" spans="1:14" ht="24" hidden="1" customHeight="1" x14ac:dyDescent="0.25">
      <c r="A10" s="137" t="s">
        <v>669</v>
      </c>
      <c r="B10" s="146">
        <f>+E74</f>
        <v>0</v>
      </c>
      <c r="C10" s="147">
        <f t="shared" ref="C10:C13" si="0">IF(+E10&gt;+B10,+E10-B10,0)</f>
        <v>0</v>
      </c>
      <c r="D10" s="147">
        <f t="shared" ref="D10:D13" si="1">IF(+E10&lt;+B10,+B10-E10,0)</f>
        <v>0</v>
      </c>
      <c r="E10" s="148">
        <f>+E67</f>
        <v>0</v>
      </c>
      <c r="F10" s="139" t="s">
        <v>1056</v>
      </c>
      <c r="G10" s="68"/>
      <c r="H10" s="27"/>
      <c r="I10" s="125"/>
      <c r="J10" s="134"/>
    </row>
    <row r="11" spans="1:14" ht="24" hidden="1" customHeight="1" x14ac:dyDescent="0.25">
      <c r="A11" s="137" t="s">
        <v>667</v>
      </c>
      <c r="B11" s="146">
        <f>+C74</f>
        <v>0</v>
      </c>
      <c r="C11" s="147">
        <f t="shared" si="0"/>
        <v>0</v>
      </c>
      <c r="D11" s="147">
        <f t="shared" si="1"/>
        <v>0</v>
      </c>
      <c r="E11" s="148">
        <f>+C67</f>
        <v>0</v>
      </c>
      <c r="F11" s="139" t="s">
        <v>1056</v>
      </c>
      <c r="G11" s="68"/>
      <c r="H11" s="27"/>
      <c r="I11" s="125"/>
      <c r="J11" s="134"/>
      <c r="L11" s="19"/>
      <c r="M11" s="119"/>
    </row>
    <row r="12" spans="1:14" ht="24" hidden="1" thickBot="1" x14ac:dyDescent="0.3">
      <c r="A12" s="137" t="s">
        <v>709</v>
      </c>
      <c r="B12" s="149">
        <f>+B74</f>
        <v>0</v>
      </c>
      <c r="C12" s="150">
        <f t="shared" si="0"/>
        <v>0</v>
      </c>
      <c r="D12" s="150">
        <f t="shared" si="1"/>
        <v>0</v>
      </c>
      <c r="E12" s="151">
        <f>+B67</f>
        <v>0</v>
      </c>
      <c r="F12" s="139" t="s">
        <v>1056</v>
      </c>
      <c r="G12" s="68"/>
      <c r="H12" s="27"/>
      <c r="I12" s="125"/>
      <c r="J12" s="134"/>
      <c r="L12" s="19"/>
      <c r="M12" s="119"/>
    </row>
    <row r="13" spans="1:14" ht="23.25" hidden="1" x14ac:dyDescent="0.25">
      <c r="A13" s="82" t="s">
        <v>721</v>
      </c>
      <c r="B13" s="140">
        <f>+F74</f>
        <v>0</v>
      </c>
      <c r="C13" s="141">
        <f t="shared" si="0"/>
        <v>0</v>
      </c>
      <c r="D13" s="141">
        <f t="shared" si="1"/>
        <v>0</v>
      </c>
      <c r="E13" s="142">
        <f>+F67</f>
        <v>0</v>
      </c>
      <c r="F13" s="117" t="s">
        <v>1056</v>
      </c>
      <c r="G13" s="68"/>
      <c r="H13" s="27"/>
      <c r="I13" s="125"/>
      <c r="J13" s="134"/>
      <c r="L13" s="19"/>
      <c r="M13" s="119"/>
    </row>
    <row r="14" spans="1:14" ht="23.25" hidden="1" x14ac:dyDescent="0.25">
      <c r="A14" s="73"/>
      <c r="B14" s="73"/>
      <c r="C14" s="73"/>
      <c r="D14" s="73"/>
      <c r="E14" s="73"/>
      <c r="F14" s="73"/>
      <c r="G14" s="68"/>
      <c r="H14" s="27"/>
      <c r="L14" s="19"/>
      <c r="M14" s="119"/>
    </row>
    <row r="15" spans="1:14" ht="24.75" hidden="1" customHeight="1" x14ac:dyDescent="0.25">
      <c r="A15" s="114" t="s">
        <v>1076</v>
      </c>
      <c r="B15" s="74"/>
      <c r="C15" s="75"/>
      <c r="D15" s="75"/>
      <c r="E15" s="75"/>
      <c r="F15" s="72"/>
      <c r="G15" s="62"/>
      <c r="H15" s="27"/>
      <c r="I15" s="125"/>
      <c r="J15" s="135"/>
      <c r="L15" s="19"/>
      <c r="M15" s="119"/>
    </row>
    <row r="16" spans="1:14" ht="24.75" hidden="1" customHeight="1" thickBot="1" x14ac:dyDescent="0.3">
      <c r="A16" s="114" t="s">
        <v>1054</v>
      </c>
      <c r="B16" s="115">
        <f>SUM(B9:B13)</f>
        <v>0</v>
      </c>
      <c r="C16" s="115">
        <f>SUM(C9:C13)</f>
        <v>0</v>
      </c>
      <c r="D16" s="115">
        <f t="shared" ref="D16:E16" si="2">SUM(D9:D13)</f>
        <v>0</v>
      </c>
      <c r="E16" s="115">
        <f t="shared" si="2"/>
        <v>0</v>
      </c>
      <c r="F16" s="118" t="s">
        <v>1056</v>
      </c>
      <c r="G16" s="62"/>
      <c r="H16" s="27"/>
      <c r="L16" s="19"/>
      <c r="M16" s="119"/>
    </row>
    <row r="17" spans="1:13" ht="21.75" hidden="1" customHeight="1" thickTop="1" x14ac:dyDescent="0.25">
      <c r="A17" s="63"/>
      <c r="B17" s="61"/>
      <c r="C17" s="61"/>
      <c r="D17" s="61"/>
      <c r="E17" s="61"/>
      <c r="F17" s="61"/>
      <c r="G17" s="62"/>
      <c r="H17" s="27"/>
      <c r="L17" s="19"/>
      <c r="M17" s="136"/>
    </row>
    <row r="18" spans="1:13" ht="61.5" hidden="1" customHeight="1" x14ac:dyDescent="0.25">
      <c r="A18" s="585" t="s">
        <v>715</v>
      </c>
      <c r="B18" s="585"/>
      <c r="C18" s="585"/>
      <c r="D18" s="585"/>
      <c r="E18" s="585"/>
      <c r="F18" s="61"/>
      <c r="G18" s="62"/>
      <c r="H18" s="27"/>
    </row>
    <row r="19" spans="1:13" ht="26.25" hidden="1" x14ac:dyDescent="0.25">
      <c r="A19" s="586" t="s">
        <v>716</v>
      </c>
      <c r="B19" s="586"/>
      <c r="C19" s="586"/>
      <c r="D19" s="586"/>
      <c r="E19" s="586"/>
      <c r="F19" s="61"/>
      <c r="G19" s="62"/>
      <c r="H19" s="27"/>
    </row>
    <row r="20" spans="1:13" ht="18" hidden="1" customHeight="1" x14ac:dyDescent="0.25">
      <c r="A20" s="596" t="s">
        <v>1141</v>
      </c>
      <c r="B20" s="596"/>
      <c r="C20" s="597"/>
      <c r="D20" s="79">
        <f>+I25</f>
        <v>0</v>
      </c>
      <c r="E20" s="61"/>
      <c r="F20" s="61"/>
      <c r="G20" s="62"/>
      <c r="H20" s="27"/>
    </row>
    <row r="21" spans="1:13" ht="60" hidden="1" customHeight="1" x14ac:dyDescent="0.25">
      <c r="A21" s="587" t="s">
        <v>717</v>
      </c>
      <c r="B21" s="587"/>
      <c r="C21" s="587"/>
      <c r="D21" s="587"/>
      <c r="E21" s="587"/>
      <c r="F21" s="71"/>
      <c r="G21" s="62"/>
      <c r="H21" s="27"/>
    </row>
    <row r="22" spans="1:13" ht="12.75" hidden="1" customHeight="1" x14ac:dyDescent="0.25">
      <c r="A22" s="78"/>
      <c r="B22" s="78"/>
      <c r="C22" s="78"/>
      <c r="D22" s="78"/>
      <c r="E22" s="78"/>
      <c r="F22" s="152" t="s">
        <v>718</v>
      </c>
      <c r="G22" s="62"/>
      <c r="H22" s="27"/>
    </row>
    <row r="23" spans="1:13" ht="23.25" hidden="1" customHeight="1" x14ac:dyDescent="0.25">
      <c r="A23" s="113">
        <v>44012</v>
      </c>
      <c r="B23" s="76" t="s">
        <v>633</v>
      </c>
      <c r="C23" s="76" t="s">
        <v>634</v>
      </c>
      <c r="D23" s="76" t="s">
        <v>635</v>
      </c>
      <c r="E23" s="76" t="s">
        <v>636</v>
      </c>
      <c r="F23" s="153" t="s">
        <v>710</v>
      </c>
      <c r="G23" s="62"/>
      <c r="H23" s="27"/>
      <c r="I23" s="19" t="s">
        <v>719</v>
      </c>
    </row>
    <row r="24" spans="1:13" ht="23.25" hidden="1" customHeight="1" x14ac:dyDescent="0.25">
      <c r="A24" s="77" t="s">
        <v>654</v>
      </c>
      <c r="B24" s="221">
        <f>+B64</f>
        <v>0</v>
      </c>
      <c r="C24" s="221">
        <f>+C64</f>
        <v>0</v>
      </c>
      <c r="D24" s="221">
        <f>+D64</f>
        <v>0</v>
      </c>
      <c r="E24" s="221">
        <f>+E64</f>
        <v>0</v>
      </c>
      <c r="F24" s="154">
        <f>+F64</f>
        <v>0</v>
      </c>
      <c r="G24" s="62"/>
      <c r="H24" s="27"/>
      <c r="I24" s="80">
        <f>SUM(B24:F24)</f>
        <v>0</v>
      </c>
    </row>
    <row r="25" spans="1:13" ht="35.25" hidden="1" customHeight="1" x14ac:dyDescent="0.25">
      <c r="A25" s="77" t="s">
        <v>656</v>
      </c>
      <c r="B25" s="221">
        <f>+B67</f>
        <v>0</v>
      </c>
      <c r="C25" s="221">
        <f>+C67</f>
        <v>0</v>
      </c>
      <c r="D25" s="221">
        <f>+D67</f>
        <v>0</v>
      </c>
      <c r="E25" s="221">
        <f>+E67</f>
        <v>0</v>
      </c>
      <c r="F25" s="154">
        <f>+F74</f>
        <v>0</v>
      </c>
      <c r="G25" s="62"/>
      <c r="H25" s="27"/>
      <c r="I25" s="80">
        <f>SUM(B25:F25)</f>
        <v>0</v>
      </c>
      <c r="J25" s="172" t="e">
        <f>+C41+C45+C49+C53+C57</f>
        <v>#REF!</v>
      </c>
    </row>
    <row r="26" spans="1:13" ht="12.75" hidden="1" customHeight="1" x14ac:dyDescent="0.25">
      <c r="A26" s="110"/>
      <c r="B26" s="111"/>
      <c r="C26" s="111"/>
      <c r="D26" s="111"/>
      <c r="E26" s="111"/>
      <c r="F26" s="111"/>
      <c r="G26" s="62"/>
      <c r="H26" s="27"/>
      <c r="I26" s="80"/>
      <c r="J26" s="212" t="e">
        <f>+J25-I25</f>
        <v>#REF!</v>
      </c>
    </row>
    <row r="27" spans="1:13" ht="39" hidden="1" customHeight="1" x14ac:dyDescent="0.25">
      <c r="A27" s="593" t="s">
        <v>1142</v>
      </c>
      <c r="B27" s="594"/>
      <c r="C27" s="594"/>
      <c r="D27" s="594"/>
      <c r="E27" s="594"/>
      <c r="F27" s="595"/>
      <c r="G27" s="62"/>
      <c r="H27" s="27"/>
      <c r="J27" s="100"/>
    </row>
    <row r="28" spans="1:13" ht="12.75" hidden="1" customHeight="1" x14ac:dyDescent="0.25">
      <c r="A28" s="112"/>
      <c r="B28" s="112"/>
      <c r="C28" s="112"/>
      <c r="D28" s="112"/>
      <c r="E28" s="112"/>
      <c r="F28" s="152" t="s">
        <v>718</v>
      </c>
      <c r="G28" s="62"/>
      <c r="H28" s="27"/>
    </row>
    <row r="29" spans="1:13" ht="23.25" hidden="1" x14ac:dyDescent="0.25">
      <c r="A29" s="84" t="s">
        <v>720</v>
      </c>
      <c r="B29" s="83" t="s">
        <v>633</v>
      </c>
      <c r="C29" s="83" t="s">
        <v>634</v>
      </c>
      <c r="D29" s="83" t="s">
        <v>635</v>
      </c>
      <c r="E29" s="83" t="s">
        <v>636</v>
      </c>
      <c r="F29" s="153" t="s">
        <v>710</v>
      </c>
      <c r="G29" s="62"/>
      <c r="H29" s="27"/>
    </row>
    <row r="30" spans="1:13" ht="38.25" hidden="1" customHeight="1" x14ac:dyDescent="0.25">
      <c r="A30" s="85" t="s">
        <v>696</v>
      </c>
      <c r="B30" s="222">
        <f>+B65</f>
        <v>0</v>
      </c>
      <c r="C30" s="222">
        <f>+C65</f>
        <v>0</v>
      </c>
      <c r="D30" s="222">
        <f>+D65</f>
        <v>0</v>
      </c>
      <c r="E30" s="222">
        <f>+E65</f>
        <v>0</v>
      </c>
      <c r="F30" s="223">
        <f>+F65</f>
        <v>0</v>
      </c>
      <c r="G30" s="62"/>
      <c r="H30" s="27"/>
    </row>
    <row r="31" spans="1:13" ht="28.5" hidden="1" x14ac:dyDescent="0.25">
      <c r="A31" s="85" t="s">
        <v>697</v>
      </c>
      <c r="B31" s="81">
        <f>+B72</f>
        <v>0</v>
      </c>
      <c r="C31" s="81">
        <f>+C72</f>
        <v>0</v>
      </c>
      <c r="D31" s="81">
        <f>+D72</f>
        <v>0</v>
      </c>
      <c r="E31" s="81">
        <f>+E72</f>
        <v>0</v>
      </c>
      <c r="F31" s="155">
        <f>+F72</f>
        <v>0</v>
      </c>
      <c r="G31" s="62"/>
      <c r="H31" s="27"/>
    </row>
    <row r="32" spans="1:13" ht="23.25" hidden="1" x14ac:dyDescent="0.25">
      <c r="A32" s="86" t="s">
        <v>698</v>
      </c>
      <c r="B32" s="81">
        <f>+B30-B31</f>
        <v>0</v>
      </c>
      <c r="C32" s="81">
        <f t="shared" ref="C32:F32" si="3">+C30-C31</f>
        <v>0</v>
      </c>
      <c r="D32" s="81">
        <f t="shared" si="3"/>
        <v>0</v>
      </c>
      <c r="E32" s="81">
        <f t="shared" si="3"/>
        <v>0</v>
      </c>
      <c r="F32" s="155">
        <f t="shared" si="3"/>
        <v>0</v>
      </c>
      <c r="G32" s="62"/>
      <c r="H32" s="27"/>
    </row>
    <row r="33" spans="1:8" ht="72.75" hidden="1" customHeight="1" thickBot="1" x14ac:dyDescent="0.3">
      <c r="A33" s="63"/>
      <c r="B33" s="61"/>
      <c r="C33" s="61"/>
      <c r="D33" s="61"/>
      <c r="E33" s="61"/>
      <c r="F33" s="61"/>
      <c r="G33" s="62"/>
      <c r="H33" s="27"/>
    </row>
    <row r="34" spans="1:8" ht="26.25" hidden="1" customHeight="1" x14ac:dyDescent="0.25">
      <c r="A34" s="590" t="s">
        <v>722</v>
      </c>
      <c r="B34" s="591"/>
      <c r="C34" s="591"/>
      <c r="D34" s="591"/>
      <c r="E34" s="591"/>
      <c r="F34" s="592"/>
      <c r="G34" s="62"/>
      <c r="H34" s="27"/>
    </row>
    <row r="35" spans="1:8" ht="26.25" hidden="1" x14ac:dyDescent="0.25">
      <c r="A35" s="203" t="s">
        <v>1143</v>
      </c>
      <c r="B35" s="199"/>
      <c r="C35" s="200"/>
      <c r="D35" s="200"/>
      <c r="E35" s="200"/>
      <c r="F35" s="204"/>
      <c r="G35" s="62"/>
      <c r="H35" s="27"/>
    </row>
    <row r="36" spans="1:8" ht="26.25" hidden="1" customHeight="1" x14ac:dyDescent="0.25">
      <c r="A36" s="588" t="s">
        <v>699</v>
      </c>
      <c r="B36" s="589"/>
      <c r="C36" s="589"/>
      <c r="D36" s="589"/>
      <c r="E36" s="200"/>
      <c r="F36" s="204"/>
      <c r="G36" s="62"/>
      <c r="H36" s="27"/>
    </row>
    <row r="37" spans="1:8" ht="26.25" hidden="1" customHeight="1" thickBot="1" x14ac:dyDescent="0.3">
      <c r="A37" s="205" t="s">
        <v>700</v>
      </c>
      <c r="B37" s="206"/>
      <c r="C37" s="207"/>
      <c r="D37" s="208"/>
      <c r="E37" s="207"/>
      <c r="F37" s="209"/>
      <c r="G37" s="62"/>
      <c r="H37" s="27"/>
    </row>
    <row r="38" spans="1:8" ht="45.75" hidden="1" x14ac:dyDescent="0.25">
      <c r="A38" s="93"/>
      <c r="B38" s="201" t="s">
        <v>1107</v>
      </c>
      <c r="C38" s="202" t="s">
        <v>1108</v>
      </c>
      <c r="D38" s="202" t="s">
        <v>1109</v>
      </c>
      <c r="E38" s="87"/>
      <c r="F38" s="61"/>
      <c r="G38" s="62"/>
      <c r="H38" s="27"/>
    </row>
    <row r="39" spans="1:8" ht="26.25" hidden="1" x14ac:dyDescent="0.25">
      <c r="A39" s="86" t="s">
        <v>663</v>
      </c>
      <c r="B39" s="196">
        <v>0</v>
      </c>
      <c r="C39" s="238" t="e">
        <f>+'Collective NPL'!#REF!</f>
        <v>#REF!</v>
      </c>
      <c r="D39" s="88">
        <v>0</v>
      </c>
      <c r="E39" s="61"/>
      <c r="F39" s="61"/>
      <c r="G39" s="62"/>
      <c r="H39" s="27"/>
    </row>
    <row r="40" spans="1:8" ht="26.25" hidden="1" x14ac:dyDescent="0.25">
      <c r="A40" s="86" t="s">
        <v>701</v>
      </c>
      <c r="B40" s="256">
        <f>+B65</f>
        <v>0</v>
      </c>
      <c r="C40" s="90">
        <f>+B40</f>
        <v>0</v>
      </c>
      <c r="D40" s="90">
        <f>+B40</f>
        <v>0</v>
      </c>
      <c r="E40" s="61"/>
      <c r="F40" s="61"/>
      <c r="G40" s="62"/>
      <c r="H40" s="27"/>
    </row>
    <row r="41" spans="1:8" ht="26.25" hidden="1" x14ac:dyDescent="0.25">
      <c r="A41" s="86" t="s">
        <v>702</v>
      </c>
      <c r="B41" s="92">
        <f>+B39*B40</f>
        <v>0</v>
      </c>
      <c r="C41" s="91" t="e">
        <f t="shared" ref="C41:D41" si="4">+C39*C40</f>
        <v>#REF!</v>
      </c>
      <c r="D41" s="92">
        <f t="shared" si="4"/>
        <v>0</v>
      </c>
      <c r="E41" s="61"/>
      <c r="F41" s="61"/>
      <c r="G41" s="62"/>
      <c r="H41" s="27"/>
    </row>
    <row r="42" spans="1:8" ht="6.75" hidden="1" customHeight="1" x14ac:dyDescent="0.25">
      <c r="A42" s="89"/>
      <c r="B42" s="59"/>
      <c r="C42" s="59"/>
      <c r="D42" s="59"/>
      <c r="E42" s="61"/>
      <c r="F42" s="61"/>
      <c r="G42" s="62"/>
      <c r="H42" s="27"/>
    </row>
    <row r="43" spans="1:8" ht="26.25" hidden="1" x14ac:dyDescent="0.25">
      <c r="A43" s="86" t="s">
        <v>664</v>
      </c>
      <c r="B43" s="88">
        <v>0</v>
      </c>
      <c r="C43" s="238">
        <f>+'Collective NPL'!R4</f>
        <v>0</v>
      </c>
      <c r="D43" s="197">
        <v>0</v>
      </c>
      <c r="E43" s="61"/>
      <c r="F43" s="61"/>
      <c r="G43" s="62"/>
      <c r="H43" s="27"/>
    </row>
    <row r="44" spans="1:8" ht="26.25" hidden="1" x14ac:dyDescent="0.25">
      <c r="A44" s="86" t="s">
        <v>701</v>
      </c>
      <c r="B44" s="256">
        <f>+C65</f>
        <v>0</v>
      </c>
      <c r="C44" s="90">
        <f>+B44</f>
        <v>0</v>
      </c>
      <c r="D44" s="90">
        <f>+B44</f>
        <v>0</v>
      </c>
      <c r="E44" s="61"/>
      <c r="F44" s="61"/>
      <c r="G44" s="62"/>
      <c r="H44" s="27"/>
    </row>
    <row r="45" spans="1:8" ht="26.25" hidden="1" x14ac:dyDescent="0.25">
      <c r="A45" s="86" t="s">
        <v>703</v>
      </c>
      <c r="B45" s="92">
        <f>+B43*B44</f>
        <v>0</v>
      </c>
      <c r="C45" s="92">
        <f t="shared" ref="C45" si="5">+C43*C44</f>
        <v>0</v>
      </c>
      <c r="D45" s="92">
        <f t="shared" ref="D45" si="6">+D43*D44</f>
        <v>0</v>
      </c>
      <c r="E45" s="61"/>
      <c r="F45" s="61"/>
      <c r="G45" s="62"/>
      <c r="H45" s="27"/>
    </row>
    <row r="46" spans="1:8" ht="7.5" hidden="1" customHeight="1" x14ac:dyDescent="0.25">
      <c r="A46" s="89"/>
      <c r="B46" s="59"/>
      <c r="C46" s="59"/>
      <c r="D46" s="59"/>
      <c r="E46" s="61"/>
      <c r="F46" s="61"/>
      <c r="G46" s="62"/>
      <c r="H46" s="27"/>
    </row>
    <row r="47" spans="1:8" ht="26.25" hidden="1" x14ac:dyDescent="0.25">
      <c r="A47" s="86" t="s">
        <v>704</v>
      </c>
      <c r="B47" s="88">
        <v>0</v>
      </c>
      <c r="C47" s="238">
        <f>+'Collective NPL'!AC4</f>
        <v>0</v>
      </c>
      <c r="D47" s="88">
        <v>0</v>
      </c>
      <c r="E47" s="61"/>
      <c r="F47" s="61"/>
      <c r="G47" s="62"/>
      <c r="H47" s="27"/>
    </row>
    <row r="48" spans="1:8" ht="26.25" hidden="1" x14ac:dyDescent="0.25">
      <c r="A48" s="86" t="s">
        <v>701</v>
      </c>
      <c r="B48" s="256">
        <f>+D65</f>
        <v>0</v>
      </c>
      <c r="C48" s="90">
        <f>+B48</f>
        <v>0</v>
      </c>
      <c r="D48" s="90">
        <f>+B48</f>
        <v>0</v>
      </c>
      <c r="E48" s="61"/>
      <c r="F48" s="61"/>
      <c r="G48" s="62"/>
      <c r="H48" s="27"/>
    </row>
    <row r="49" spans="1:17" ht="26.25" hidden="1" x14ac:dyDescent="0.25">
      <c r="A49" s="86" t="s">
        <v>705</v>
      </c>
      <c r="B49" s="92">
        <f>+B47*B48</f>
        <v>0</v>
      </c>
      <c r="C49" s="91">
        <f t="shared" ref="C49:D49" si="7">+C47*C48</f>
        <v>0</v>
      </c>
      <c r="D49" s="92">
        <f t="shared" si="7"/>
        <v>0</v>
      </c>
      <c r="E49" s="61"/>
      <c r="F49" s="61"/>
      <c r="G49" s="62"/>
      <c r="H49" s="27"/>
    </row>
    <row r="50" spans="1:17" ht="6.75" hidden="1" customHeight="1" x14ac:dyDescent="0.25">
      <c r="A50" s="89"/>
      <c r="B50" s="59"/>
      <c r="C50" s="59"/>
      <c r="D50" s="59"/>
      <c r="E50" s="61"/>
      <c r="F50" s="61"/>
      <c r="G50" s="62"/>
      <c r="H50" s="27"/>
    </row>
    <row r="51" spans="1:17" ht="26.25" hidden="1" x14ac:dyDescent="0.25">
      <c r="A51" s="86" t="s">
        <v>706</v>
      </c>
      <c r="B51" s="88">
        <v>0</v>
      </c>
      <c r="C51" s="238">
        <f>+'Collective NPL'!AN4</f>
        <v>0</v>
      </c>
      <c r="D51" s="197">
        <v>0</v>
      </c>
      <c r="E51" s="61"/>
      <c r="F51" s="61"/>
      <c r="G51" s="62"/>
      <c r="H51" s="27"/>
    </row>
    <row r="52" spans="1:17" ht="26.25" hidden="1" x14ac:dyDescent="0.25">
      <c r="A52" s="86" t="s">
        <v>701</v>
      </c>
      <c r="B52" s="256">
        <f>+E65</f>
        <v>0</v>
      </c>
      <c r="C52" s="90">
        <f>+B52</f>
        <v>0</v>
      </c>
      <c r="D52" s="90">
        <f>+B52</f>
        <v>0</v>
      </c>
      <c r="E52" s="61"/>
      <c r="F52" s="61"/>
      <c r="G52" s="62"/>
      <c r="H52" s="27"/>
    </row>
    <row r="53" spans="1:17" ht="26.25" hidden="1" x14ac:dyDescent="0.25">
      <c r="A53" s="86" t="s">
        <v>707</v>
      </c>
      <c r="B53" s="92">
        <f>+B51*B52</f>
        <v>0</v>
      </c>
      <c r="C53" s="91">
        <f t="shared" ref="C53" si="8">+C51*C52</f>
        <v>0</v>
      </c>
      <c r="D53" s="92">
        <f t="shared" ref="D53" si="9">+D51*D52</f>
        <v>0</v>
      </c>
      <c r="E53" s="61"/>
      <c r="F53" s="61"/>
      <c r="G53" s="62"/>
      <c r="H53" s="27"/>
    </row>
    <row r="54" spans="1:17" ht="26.25" hidden="1" x14ac:dyDescent="0.25">
      <c r="B54" s="61"/>
      <c r="C54" s="61"/>
      <c r="D54" s="61"/>
      <c r="E54" s="61"/>
      <c r="F54" s="61"/>
      <c r="G54" s="62"/>
      <c r="H54" s="27"/>
    </row>
    <row r="55" spans="1:17" ht="26.25" hidden="1" x14ac:dyDescent="0.25">
      <c r="A55" s="213" t="s">
        <v>710</v>
      </c>
      <c r="B55" s="88">
        <v>0</v>
      </c>
      <c r="C55" s="239">
        <f>+'Collective NPL'!AY4</f>
        <v>0</v>
      </c>
      <c r="D55" s="197">
        <v>0</v>
      </c>
      <c r="E55" s="61"/>
      <c r="F55" s="96" t="s">
        <v>711</v>
      </c>
      <c r="G55" s="62"/>
      <c r="H55" s="27"/>
    </row>
    <row r="56" spans="1:17" ht="26.25" hidden="1" x14ac:dyDescent="0.25">
      <c r="A56" s="156" t="s">
        <v>701</v>
      </c>
      <c r="B56" s="256">
        <f>+F65</f>
        <v>0</v>
      </c>
      <c r="C56" s="157">
        <f>+B56</f>
        <v>0</v>
      </c>
      <c r="D56" s="90">
        <f>+B56</f>
        <v>0</v>
      </c>
      <c r="E56" s="61"/>
      <c r="F56" s="61"/>
      <c r="G56" s="62"/>
      <c r="H56" s="27"/>
    </row>
    <row r="57" spans="1:17" ht="26.25" hidden="1" x14ac:dyDescent="0.25">
      <c r="A57" s="156" t="s">
        <v>723</v>
      </c>
      <c r="B57" s="92">
        <f>+B55*B56</f>
        <v>0</v>
      </c>
      <c r="C57" s="158">
        <f t="shared" ref="C57" si="10">+C55*C56</f>
        <v>0</v>
      </c>
      <c r="D57" s="92">
        <f t="shared" ref="D57" si="11">+D55*D56</f>
        <v>0</v>
      </c>
      <c r="E57" s="61"/>
      <c r="F57" s="61"/>
      <c r="G57" s="62"/>
      <c r="H57" s="27"/>
    </row>
    <row r="58" spans="1:17" ht="26.25" hidden="1" x14ac:dyDescent="0.25">
      <c r="B58" s="61"/>
      <c r="C58" s="61"/>
      <c r="D58" s="61"/>
      <c r="E58" s="61"/>
      <c r="F58" s="61"/>
      <c r="G58" s="62"/>
      <c r="H58" s="27"/>
    </row>
    <row r="59" spans="1:17" ht="26.25" hidden="1" x14ac:dyDescent="0.25">
      <c r="A59" s="210" t="s">
        <v>1113</v>
      </c>
      <c r="B59" s="61"/>
      <c r="C59" s="61"/>
      <c r="D59" s="61"/>
      <c r="E59" s="61"/>
      <c r="F59" s="61"/>
      <c r="G59" s="62"/>
      <c r="H59" s="27"/>
    </row>
    <row r="60" spans="1:17" ht="23.25" hidden="1" x14ac:dyDescent="0.25">
      <c r="A60" s="60" t="s">
        <v>652</v>
      </c>
      <c r="H60" s="27"/>
    </row>
    <row r="61" spans="1:17" ht="23.25" hidden="1" x14ac:dyDescent="0.25">
      <c r="A61" s="20"/>
      <c r="B61" s="109" t="s">
        <v>673</v>
      </c>
      <c r="C61" s="109" t="s">
        <v>674</v>
      </c>
      <c r="D61" s="109" t="s">
        <v>675</v>
      </c>
      <c r="E61" s="109" t="s">
        <v>676</v>
      </c>
      <c r="F61" s="94" t="s">
        <v>711</v>
      </c>
      <c r="G61" s="20"/>
      <c r="H61" s="27"/>
    </row>
    <row r="62" spans="1:17" ht="23.25" hidden="1" x14ac:dyDescent="0.25">
      <c r="A62" s="32">
        <v>44012</v>
      </c>
      <c r="B62" s="21" t="s">
        <v>633</v>
      </c>
      <c r="C62" s="21" t="s">
        <v>634</v>
      </c>
      <c r="D62" s="21" t="s">
        <v>635</v>
      </c>
      <c r="E62" s="21" t="s">
        <v>636</v>
      </c>
      <c r="F62" s="95" t="s">
        <v>710</v>
      </c>
      <c r="G62" s="21" t="s">
        <v>657</v>
      </c>
      <c r="H62" s="27"/>
    </row>
    <row r="63" spans="1:17" ht="23.25" hidden="1" x14ac:dyDescent="0.25">
      <c r="A63" s="233" t="s">
        <v>653</v>
      </c>
      <c r="B63" s="224">
        <f>+'Total Contributions'!C9</f>
        <v>744886709.85000026</v>
      </c>
      <c r="C63" s="224">
        <f>+'Total Contributions'!D9</f>
        <v>210550788.66000003</v>
      </c>
      <c r="D63" s="224">
        <f>+'Total Contributions'!E9</f>
        <v>549618500.85999978</v>
      </c>
      <c r="E63" s="224">
        <f>+'Total Contributions'!F9</f>
        <v>605164734.13</v>
      </c>
      <c r="F63" s="224">
        <f>+'Total Contributions'!G9</f>
        <v>947272482.17999983</v>
      </c>
      <c r="G63" s="225"/>
      <c r="H63" s="27"/>
      <c r="J63" s="232" t="s">
        <v>1133</v>
      </c>
    </row>
    <row r="64" spans="1:17" ht="23.25" hidden="1" x14ac:dyDescent="0.25">
      <c r="A64" s="24" t="s">
        <v>654</v>
      </c>
      <c r="B64" s="262">
        <f>IFERROR(VLOOKUP('2024Comp&amp;Contr'!$A$4,#REF!,4,FALSE)+VLOOKUP('2024Comp&amp;Contr'!$A$4,#REF!,6,FALSE),0)</f>
        <v>0</v>
      </c>
      <c r="C64" s="262">
        <f>IFERROR(VLOOKUP('2024Comp&amp;Contr'!$A$4,#REF!,8,FALSE),0)</f>
        <v>0</v>
      </c>
      <c r="D64" s="262">
        <f>IFERROR(VLOOKUP('2024Comp&amp;Contr'!$A$4,#REF!,10,FALSE)+VLOOKUP('2024Comp&amp;Contr'!$A$4,#REF!,12,FALSE),0)</f>
        <v>0</v>
      </c>
      <c r="E64" s="262">
        <f>IFERROR(VLOOKUP('2024Comp&amp;Contr'!$A$4,#REF!,14,FALSE),0)</f>
        <v>0</v>
      </c>
      <c r="F64" s="262">
        <f>IFERROR(VLOOKUP('2024Comp&amp;Contr'!$A$4,#REF!,18,FALSE),0)</f>
        <v>0</v>
      </c>
      <c r="G64" s="226">
        <f>SUM(B64:F64)</f>
        <v>0</v>
      </c>
      <c r="H64" s="27"/>
      <c r="J64" s="123" t="s">
        <v>1144</v>
      </c>
      <c r="M64" s="265" t="s">
        <v>1153</v>
      </c>
      <c r="N64" s="265">
        <v>8</v>
      </c>
      <c r="O64" s="265" t="s">
        <v>1154</v>
      </c>
      <c r="P64" s="265">
        <v>14</v>
      </c>
      <c r="Q64" s="265">
        <v>18</v>
      </c>
    </row>
    <row r="65" spans="1:17" ht="23.25" hidden="1" x14ac:dyDescent="0.25">
      <c r="A65" s="24" t="s">
        <v>655</v>
      </c>
      <c r="B65" s="261">
        <f>IFERROR(VLOOKUP('2024Comp&amp;Contr'!$A$4,#REF!,5,FALSE)+VLOOKUP('2024Comp&amp;Contr'!$A$4,#REF!,7,FALSE),0)</f>
        <v>0</v>
      </c>
      <c r="C65" s="261">
        <f>IFERROR(VLOOKUP('2024Comp&amp;Contr'!$A$4,#REF!,9,FALSE),0)</f>
        <v>0</v>
      </c>
      <c r="D65" s="261">
        <f>IFERROR(VLOOKUP('2024Comp&amp;Contr'!$A$4,#REF!,11,FALSE)+VLOOKUP('2024Comp&amp;Contr'!$A$4,#REF!,13,FALSE),0)</f>
        <v>0</v>
      </c>
      <c r="E65" s="261">
        <f>IFERROR(VLOOKUP('2024Comp&amp;Contr'!$A$4,#REF!,15,FALSE),0)</f>
        <v>0</v>
      </c>
      <c r="F65" s="261">
        <f>IFERROR(VLOOKUP('2024Comp&amp;Contr'!$A$4,#REF!,19,FALSE),0)</f>
        <v>0</v>
      </c>
      <c r="G65" s="225"/>
      <c r="H65" s="27"/>
      <c r="M65" s="266" t="s">
        <v>1151</v>
      </c>
      <c r="N65" s="266">
        <v>9</v>
      </c>
      <c r="O65" s="266" t="s">
        <v>1152</v>
      </c>
      <c r="P65" s="266">
        <v>15</v>
      </c>
      <c r="Q65" s="266">
        <v>19</v>
      </c>
    </row>
    <row r="66" spans="1:17" ht="30" hidden="1" x14ac:dyDescent="0.25">
      <c r="A66" s="211" t="s">
        <v>662</v>
      </c>
      <c r="B66" s="263">
        <f>IFERROR(VLOOKUP('2024Comp&amp;Contr'!$A$4,#REF!,4,FALSE),0)</f>
        <v>0</v>
      </c>
      <c r="C66" s="263">
        <f>IFERROR(VLOOKUP('2024Comp&amp;Contr'!$A$4,#REF!,5,FALSE),0)</f>
        <v>0</v>
      </c>
      <c r="D66" s="263">
        <f>IFERROR(VLOOKUP('2024Comp&amp;Contr'!$A$4,#REF!,6,FALSE),0)</f>
        <v>0</v>
      </c>
      <c r="E66" s="263">
        <f>IFERROR(VLOOKUP('2024Comp&amp;Contr'!$A$4,#REF!,7,FALSE),0)</f>
        <v>0</v>
      </c>
      <c r="F66" s="263">
        <f>IFERROR(VLOOKUP('2024Comp&amp;Contr'!$A$4,#REF!,9,FALSE),0)</f>
        <v>0</v>
      </c>
      <c r="G66" s="226">
        <f>SUM(B66:F66)</f>
        <v>0</v>
      </c>
      <c r="H66" s="27"/>
      <c r="M66" s="167">
        <v>4</v>
      </c>
      <c r="N66" s="167">
        <v>5</v>
      </c>
      <c r="O66" s="167">
        <v>6</v>
      </c>
      <c r="P66" s="167">
        <v>7</v>
      </c>
      <c r="Q66" s="167">
        <v>9</v>
      </c>
    </row>
    <row r="67" spans="1:17" ht="30" hidden="1" x14ac:dyDescent="0.25">
      <c r="A67" s="24" t="s">
        <v>656</v>
      </c>
      <c r="B67" s="264">
        <f>IFERROR(VLOOKUP('2024Comp&amp;Contr'!$A$4,'Collective NPL'!$A$7:$BB$335,11,FALSE),0)</f>
        <v>0</v>
      </c>
      <c r="C67" s="264">
        <f>IFERROR(VLOOKUP('2024Comp&amp;Contr'!$A$4,'Collective NPL'!$A$7:$BB$335,22,FALSE),0)</f>
        <v>0</v>
      </c>
      <c r="D67" s="264">
        <f>IFERROR(VLOOKUP('2024Comp&amp;Contr'!$A$4,'Collective NPL'!$A$7:$BB$335,33,FALSE),0)</f>
        <v>0</v>
      </c>
      <c r="E67" s="264">
        <f>IFERROR(VLOOKUP('2024Comp&amp;Contr'!$A$4,'Collective NPL'!$A$7:$BB$335,44,FALSE),0)</f>
        <v>0</v>
      </c>
      <c r="F67" s="264">
        <f>IFERROR(VLOOKUP('2024Comp&amp;Contr'!$A$4,'Collective NPL'!$A$7:$BB$335,55,FALSE),0)</f>
        <v>0</v>
      </c>
      <c r="G67" s="226">
        <f>SUM(B67:F67)</f>
        <v>0</v>
      </c>
      <c r="H67" s="27"/>
      <c r="M67" s="267">
        <v>11</v>
      </c>
      <c r="N67" s="267">
        <v>22</v>
      </c>
      <c r="O67" s="267">
        <v>33</v>
      </c>
      <c r="P67" s="267">
        <v>44</v>
      </c>
      <c r="Q67" s="267">
        <v>55</v>
      </c>
    </row>
    <row r="68" spans="1:17" ht="12.75" hidden="1" customHeight="1" x14ac:dyDescent="0.25">
      <c r="A68" s="229"/>
      <c r="B68" s="230" t="s">
        <v>673</v>
      </c>
      <c r="C68" s="230" t="s">
        <v>674</v>
      </c>
      <c r="D68" s="230" t="s">
        <v>675</v>
      </c>
      <c r="E68" s="230" t="s">
        <v>676</v>
      </c>
      <c r="F68" s="231" t="s">
        <v>711</v>
      </c>
      <c r="G68" s="229"/>
      <c r="H68" s="27"/>
    </row>
    <row r="69" spans="1:17" ht="23.25" hidden="1" x14ac:dyDescent="0.25">
      <c r="A69" s="32">
        <v>43646</v>
      </c>
      <c r="B69" s="21" t="s">
        <v>633</v>
      </c>
      <c r="C69" s="21" t="s">
        <v>634</v>
      </c>
      <c r="D69" s="21" t="s">
        <v>635</v>
      </c>
      <c r="E69" s="21" t="s">
        <v>636</v>
      </c>
      <c r="F69" s="95" t="s">
        <v>710</v>
      </c>
      <c r="G69" s="21" t="s">
        <v>657</v>
      </c>
      <c r="H69" s="27"/>
    </row>
    <row r="70" spans="1:17" ht="23.25" hidden="1" x14ac:dyDescent="0.25">
      <c r="A70" s="23" t="s">
        <v>653</v>
      </c>
      <c r="B70" s="224">
        <f>+'Total Contributions'!C10</f>
        <v>724745816.4600004</v>
      </c>
      <c r="C70" s="224">
        <f>+'Total Contributions'!D10</f>
        <v>216243952.43999985</v>
      </c>
      <c r="D70" s="224">
        <f>+'Total Contributions'!E10</f>
        <v>525151943.59999961</v>
      </c>
      <c r="E70" s="224">
        <f>+'Total Contributions'!F10</f>
        <v>581839976.43000019</v>
      </c>
      <c r="F70" s="224">
        <f>+'Total Contributions'!G10</f>
        <v>921231342.09000003</v>
      </c>
      <c r="G70" s="225"/>
      <c r="H70" s="27"/>
    </row>
    <row r="71" spans="1:17" ht="23.25" hidden="1" x14ac:dyDescent="0.25">
      <c r="A71" s="24" t="s">
        <v>654</v>
      </c>
      <c r="B71" s="262">
        <f>IFERROR(VLOOKUP('2024Comp&amp;Contr'!$A$4,#REF!,4,FALSE)+VLOOKUP('2024Comp&amp;Contr'!$A$4,#REF!,6,FALSE),0)</f>
        <v>0</v>
      </c>
      <c r="C71" s="262">
        <f>IFERROR(VLOOKUP('2024Comp&amp;Contr'!$A$4,#REF!,8,FALSE),0)</f>
        <v>0</v>
      </c>
      <c r="D71" s="262">
        <f>IFERROR(VLOOKUP('2024Comp&amp;Contr'!$A$4,#REF!,10,FALSE)+VLOOKUP('2024Comp&amp;Contr'!$A$4,#REF!,12,FALSE),0)</f>
        <v>0</v>
      </c>
      <c r="E71" s="262">
        <f>IFERROR(VLOOKUP('2024Comp&amp;Contr'!$A$4,#REF!,14,FALSE),0)</f>
        <v>0</v>
      </c>
      <c r="F71" s="262">
        <f>IFERROR(VLOOKUP('2024Comp&amp;Contr'!$A$4,#REF!,18,FALSE),0)</f>
        <v>0</v>
      </c>
      <c r="G71" s="226">
        <f>SUM(B71:F71)</f>
        <v>0</v>
      </c>
      <c r="H71" s="27"/>
      <c r="M71" s="265" t="s">
        <v>1153</v>
      </c>
      <c r="N71" s="265">
        <v>8</v>
      </c>
      <c r="O71" s="265" t="s">
        <v>1154</v>
      </c>
      <c r="P71" s="265">
        <v>14</v>
      </c>
      <c r="Q71" s="265">
        <v>18</v>
      </c>
    </row>
    <row r="72" spans="1:17" ht="23.25" hidden="1" x14ac:dyDescent="0.25">
      <c r="A72" s="24" t="s">
        <v>655</v>
      </c>
      <c r="B72" s="261">
        <f>IFERROR(VLOOKUP('2024Comp&amp;Contr'!$A$4,#REF!,5,FALSE)+VLOOKUP('2024Comp&amp;Contr'!$A$4,#REF!,7,FALSE),0)</f>
        <v>0</v>
      </c>
      <c r="C72" s="261">
        <f>IFERROR(VLOOKUP('2024Comp&amp;Contr'!$A$4,#REF!,9,FALSE),0)</f>
        <v>0</v>
      </c>
      <c r="D72" s="261">
        <f>IFERROR(VLOOKUP('2024Comp&amp;Contr'!$A$4,#REF!,11,FALSE)+VLOOKUP('2024Comp&amp;Contr'!$A$4,#REF!,13,FALSE),0)</f>
        <v>0</v>
      </c>
      <c r="E72" s="261">
        <f>IFERROR(VLOOKUP('2024Comp&amp;Contr'!$A$4,#REF!,15,FALSE),0)</f>
        <v>0</v>
      </c>
      <c r="F72" s="261">
        <f>IFERROR(VLOOKUP('2024Comp&amp;Contr'!$A$4,#REF!,19,FALSE),0)</f>
        <v>0</v>
      </c>
      <c r="G72" s="225"/>
      <c r="H72" s="27"/>
      <c r="M72" s="266" t="s">
        <v>1151</v>
      </c>
      <c r="N72" s="266">
        <v>9</v>
      </c>
      <c r="O72" s="266" t="s">
        <v>1152</v>
      </c>
      <c r="P72" s="266">
        <v>15</v>
      </c>
      <c r="Q72" s="266">
        <v>19</v>
      </c>
    </row>
    <row r="73" spans="1:17" ht="30" hidden="1" x14ac:dyDescent="0.25">
      <c r="A73" s="211" t="s">
        <v>662</v>
      </c>
      <c r="B73" s="263">
        <f>IFERROR(VLOOKUP('2024Comp&amp;Contr'!$A$4,#REF!,4,FALSE),0)</f>
        <v>0</v>
      </c>
      <c r="C73" s="263">
        <f>IFERROR(VLOOKUP('2024Comp&amp;Contr'!$A$4,#REF!,5,FALSE),0)</f>
        <v>0</v>
      </c>
      <c r="D73" s="263">
        <f>IFERROR(VLOOKUP('2024Comp&amp;Contr'!$A$4,#REF!,6,FALSE),0)</f>
        <v>0</v>
      </c>
      <c r="E73" s="263">
        <f>IFERROR(VLOOKUP('2024Comp&amp;Contr'!$A$4,#REF!,7,FALSE),0)</f>
        <v>0</v>
      </c>
      <c r="F73" s="263">
        <f>IFERROR(VLOOKUP('2024Comp&amp;Contr'!$A$4,#REF!,9,FALSE),0)</f>
        <v>0</v>
      </c>
      <c r="G73" s="226">
        <f>SUM(B73:F73)</f>
        <v>0</v>
      </c>
      <c r="H73" s="27"/>
      <c r="M73" s="167">
        <v>4</v>
      </c>
      <c r="N73" s="167">
        <v>5</v>
      </c>
      <c r="O73" s="167">
        <v>6</v>
      </c>
      <c r="P73" s="167">
        <v>7</v>
      </c>
      <c r="Q73" s="167">
        <v>9</v>
      </c>
    </row>
    <row r="74" spans="1:17" ht="30" hidden="1" x14ac:dyDescent="0.25">
      <c r="A74" s="24" t="s">
        <v>656</v>
      </c>
      <c r="B74" s="264">
        <f>IFERROR(VLOOKUP('2024Comp&amp;Contr'!$A$4,'Collective NPL'!$A$7:$BB$335,10,FALSE),0)</f>
        <v>0</v>
      </c>
      <c r="C74" s="264">
        <f>IFERROR(VLOOKUP('2024Comp&amp;Contr'!$A$4,'Collective NPL'!$A$7:$BB$335,21,FALSE),0)</f>
        <v>0</v>
      </c>
      <c r="D74" s="264">
        <f>IFERROR(VLOOKUP('2024Comp&amp;Contr'!$A$4,'Collective NPL'!$A$7:$BB$335,32,FALSE),0)</f>
        <v>0</v>
      </c>
      <c r="E74" s="264">
        <f>IFERROR(VLOOKUP('2024Comp&amp;Contr'!$A$4,'Collective NPL'!$A$7:$BB$335,43,FALSE),0)</f>
        <v>0</v>
      </c>
      <c r="F74" s="264">
        <f>IFERROR(VLOOKUP('2024Comp&amp;Contr'!$A$4,'Collective NPL'!$A$7:$BB$335,54,FALSE),0)</f>
        <v>0</v>
      </c>
      <c r="G74" s="226">
        <f>SUM(B74:F74)</f>
        <v>0</v>
      </c>
      <c r="H74" s="27"/>
      <c r="M74" s="267">
        <v>10</v>
      </c>
      <c r="N74" s="267">
        <v>21</v>
      </c>
      <c r="O74" s="267">
        <v>32</v>
      </c>
      <c r="P74" s="267">
        <v>43</v>
      </c>
      <c r="Q74" s="267">
        <v>54</v>
      </c>
    </row>
    <row r="75" spans="1:17" ht="13.5" hidden="1" customHeight="1" x14ac:dyDescent="0.25">
      <c r="A75" s="229"/>
      <c r="B75" s="230" t="s">
        <v>673</v>
      </c>
      <c r="C75" s="230" t="s">
        <v>674</v>
      </c>
      <c r="D75" s="230" t="s">
        <v>675</v>
      </c>
      <c r="E75" s="230" t="s">
        <v>676</v>
      </c>
      <c r="F75" s="231" t="s">
        <v>711</v>
      </c>
      <c r="G75" s="229"/>
      <c r="H75" s="27"/>
    </row>
    <row r="76" spans="1:17" ht="23.25" hidden="1" x14ac:dyDescent="0.25">
      <c r="A76" s="32">
        <v>43281</v>
      </c>
      <c r="B76" s="21" t="s">
        <v>633</v>
      </c>
      <c r="C76" s="21" t="s">
        <v>634</v>
      </c>
      <c r="D76" s="21" t="s">
        <v>635</v>
      </c>
      <c r="E76" s="21" t="s">
        <v>636</v>
      </c>
      <c r="F76" s="95" t="s">
        <v>710</v>
      </c>
      <c r="G76" s="21" t="s">
        <v>657</v>
      </c>
      <c r="H76" s="27"/>
    </row>
    <row r="77" spans="1:17" ht="23.25" hidden="1" x14ac:dyDescent="0.25">
      <c r="A77" s="23" t="s">
        <v>653</v>
      </c>
      <c r="B77" s="33">
        <f>+'Total Contributions'!C11</f>
        <v>717041102.62</v>
      </c>
      <c r="C77" s="33">
        <f>+'Total Contributions'!D11</f>
        <v>200166052.97999987</v>
      </c>
      <c r="D77" s="33">
        <f>+'Total Contributions'!E11</f>
        <v>496626267.82999998</v>
      </c>
      <c r="E77" s="33">
        <f>+'Total Contributions'!F11</f>
        <v>522685305.17000031</v>
      </c>
      <c r="F77" s="33">
        <f>+'Total Contributions'!G11</f>
        <v>816736467.21000004</v>
      </c>
      <c r="G77" s="22"/>
      <c r="H77" s="27"/>
    </row>
    <row r="78" spans="1:17" ht="23.25" hidden="1" x14ac:dyDescent="0.25">
      <c r="A78" s="24" t="s">
        <v>654</v>
      </c>
      <c r="B78" s="262">
        <f>IFERROR(VLOOKUP('2024Comp&amp;Contr'!$A$4,#REF!,4,FALSE)+VLOOKUP('2024Comp&amp;Contr'!$A$4,#REF!,6,FALSE),0)</f>
        <v>0</v>
      </c>
      <c r="C78" s="262">
        <f>IFERROR(VLOOKUP('2024Comp&amp;Contr'!$A$4,#REF!,8,FALSE),0)</f>
        <v>0</v>
      </c>
      <c r="D78" s="262">
        <f>IFERROR(VLOOKUP('2024Comp&amp;Contr'!$A$4,#REF!,10,FALSE)+VLOOKUP('2024Comp&amp;Contr'!$A$4,#REF!,12,FALSE),0)</f>
        <v>0</v>
      </c>
      <c r="E78" s="262">
        <f>IFERROR(VLOOKUP('2024Comp&amp;Contr'!$A$4,#REF!,14,FALSE),0)</f>
        <v>0</v>
      </c>
      <c r="F78" s="262">
        <f>IFERROR(VLOOKUP('2024Comp&amp;Contr'!$A$4,#REF!,18,FALSE),0)</f>
        <v>0</v>
      </c>
      <c r="G78" s="34">
        <f>SUM(B78:F78)</f>
        <v>0</v>
      </c>
      <c r="H78" s="27"/>
      <c r="M78" s="265" t="s">
        <v>1153</v>
      </c>
      <c r="N78" s="265">
        <v>8</v>
      </c>
      <c r="O78" s="265" t="s">
        <v>1154</v>
      </c>
      <c r="P78" s="265">
        <v>14</v>
      </c>
      <c r="Q78" s="265">
        <v>18</v>
      </c>
    </row>
    <row r="79" spans="1:17" ht="23.25" hidden="1" x14ac:dyDescent="0.25">
      <c r="A79" s="24" t="s">
        <v>655</v>
      </c>
      <c r="B79" s="261">
        <f>IFERROR(VLOOKUP('2024Comp&amp;Contr'!$A$4,#REF!,5,FALSE)+VLOOKUP('2024Comp&amp;Contr'!$A$4,#REF!,7,FALSE),0)</f>
        <v>0</v>
      </c>
      <c r="C79" s="261">
        <f>IFERROR(VLOOKUP('2024Comp&amp;Contr'!$A$4,#REF!,9,FALSE),0)</f>
        <v>0</v>
      </c>
      <c r="D79" s="261">
        <f>IFERROR(VLOOKUP('2024Comp&amp;Contr'!$A$4,#REF!,11,FALSE)+VLOOKUP('2024Comp&amp;Contr'!$A$4,#REF!,13,FALSE),0)</f>
        <v>0</v>
      </c>
      <c r="E79" s="261">
        <f>IFERROR(VLOOKUP('2024Comp&amp;Contr'!$A$4,#REF!,15,FALSE),0)</f>
        <v>0</v>
      </c>
      <c r="F79" s="261">
        <f>IFERROR(VLOOKUP('2024Comp&amp;Contr'!$A$4,#REF!,19,FALSE),0)</f>
        <v>0</v>
      </c>
      <c r="G79" s="35"/>
      <c r="H79" s="27"/>
      <c r="M79" s="266" t="s">
        <v>1151</v>
      </c>
      <c r="N79" s="266">
        <v>9</v>
      </c>
      <c r="O79" s="266" t="s">
        <v>1152</v>
      </c>
      <c r="P79" s="266">
        <v>15</v>
      </c>
      <c r="Q79" s="266">
        <v>19</v>
      </c>
    </row>
    <row r="80" spans="1:17" ht="30" hidden="1" x14ac:dyDescent="0.25">
      <c r="A80" s="24" t="s">
        <v>662</v>
      </c>
      <c r="B80" s="263">
        <f>IFERROR(VLOOKUP('2024Comp&amp;Contr'!$A$4,#REF!,4,FALSE),0)</f>
        <v>0</v>
      </c>
      <c r="C80" s="263">
        <f>IFERROR(VLOOKUP('2024Comp&amp;Contr'!$A$4,#REF!,5,FALSE),0)</f>
        <v>0</v>
      </c>
      <c r="D80" s="263">
        <f>IFERROR(VLOOKUP('2024Comp&amp;Contr'!$A$4,#REF!,6,FALSE),0)</f>
        <v>0</v>
      </c>
      <c r="E80" s="263">
        <f>IFERROR(VLOOKUP('2024Comp&amp;Contr'!$A$4,#REF!,7,FALSE),0)</f>
        <v>0</v>
      </c>
      <c r="F80" s="263">
        <f>IFERROR(VLOOKUP('2024Comp&amp;Contr'!$A$4,#REF!,9,FALSE),0)</f>
        <v>0</v>
      </c>
      <c r="G80" s="34">
        <f>SUM(B80:F80)</f>
        <v>0</v>
      </c>
      <c r="H80" s="27"/>
      <c r="M80" s="167">
        <v>4</v>
      </c>
      <c r="N80" s="167">
        <v>5</v>
      </c>
      <c r="O80" s="167">
        <v>6</v>
      </c>
      <c r="P80" s="167">
        <v>7</v>
      </c>
      <c r="Q80" s="167">
        <v>9</v>
      </c>
    </row>
    <row r="81" spans="1:33" ht="30" hidden="1" x14ac:dyDescent="0.25">
      <c r="A81" s="24" t="s">
        <v>656</v>
      </c>
      <c r="B81" s="264" t="str">
        <f>IFERROR(VLOOKUP('2024Comp&amp;Contr'!$A$4,'Collective NPL'!$A$7:$BB$335,9,FALSE),0)</f>
        <v xml:space="preserve"> Washtucna School District 109 </v>
      </c>
      <c r="C81" s="264">
        <f>IFERROR(VLOOKUP('2024Comp&amp;Contr'!$A$4,'Collective NPL'!$A$7:$BB$335,20,FALSE),0)</f>
        <v>0</v>
      </c>
      <c r="D81" s="264">
        <f>IFERROR(VLOOKUP('2024Comp&amp;Contr'!$A$4,'Collective NPL'!$A$7:$BB$335,31,FALSE),0)</f>
        <v>0</v>
      </c>
      <c r="E81" s="264">
        <f>IFERROR(VLOOKUP('2024Comp&amp;Contr'!$A$4,'Collective NPL'!$A$7:$BB$335,42,FALSE),0)</f>
        <v>0</v>
      </c>
      <c r="F81" s="264">
        <f>IFERROR(VLOOKUP('2024Comp&amp;Contr'!$A$4,'Collective NPL'!$A$7:$BB$335,53,FALSE),0)</f>
        <v>0</v>
      </c>
      <c r="G81" s="34">
        <f>SUM(B81:F81)</f>
        <v>0</v>
      </c>
      <c r="H81" s="27"/>
      <c r="M81" s="267">
        <v>9</v>
      </c>
      <c r="N81" s="267">
        <v>20</v>
      </c>
      <c r="O81" s="267">
        <v>31</v>
      </c>
      <c r="P81" s="267">
        <v>42</v>
      </c>
      <c r="Q81" s="267">
        <v>53</v>
      </c>
    </row>
    <row r="82" spans="1:33" hidden="1" x14ac:dyDescent="0.25">
      <c r="A82" s="229"/>
      <c r="B82" s="230" t="s">
        <v>673</v>
      </c>
      <c r="C82" s="230" t="s">
        <v>674</v>
      </c>
      <c r="D82" s="230" t="s">
        <v>675</v>
      </c>
      <c r="E82" s="230" t="s">
        <v>676</v>
      </c>
      <c r="F82" s="231" t="s">
        <v>711</v>
      </c>
      <c r="G82" s="229"/>
      <c r="H82" s="20"/>
    </row>
    <row r="83" spans="1:33" ht="18.75" hidden="1" x14ac:dyDescent="0.25">
      <c r="A83" s="32">
        <v>42916</v>
      </c>
      <c r="B83" s="21" t="s">
        <v>633</v>
      </c>
      <c r="C83" s="21" t="s">
        <v>634</v>
      </c>
      <c r="D83" s="21" t="s">
        <v>635</v>
      </c>
      <c r="E83" s="21" t="s">
        <v>636</v>
      </c>
      <c r="F83" s="95" t="s">
        <v>710</v>
      </c>
      <c r="G83" s="21" t="s">
        <v>657</v>
      </c>
      <c r="H83" s="20"/>
    </row>
    <row r="84" spans="1:33" hidden="1" x14ac:dyDescent="0.25">
      <c r="A84" s="23" t="s">
        <v>653</v>
      </c>
      <c r="B84" s="33">
        <f>+'Total Contributions'!C12</f>
        <v>668423585.98000002</v>
      </c>
      <c r="C84" s="33">
        <f>+'Total Contributions'!D12</f>
        <v>174940524.36000001</v>
      </c>
      <c r="D84" s="33">
        <f>+'Total Contributions'!E12</f>
        <v>415893161.38999999</v>
      </c>
      <c r="E84" s="33">
        <f>+'Total Contributions'!F12</f>
        <v>444580498.50999999</v>
      </c>
      <c r="F84" s="33">
        <f>+'Total Contributions'!G12</f>
        <v>771612354.51999998</v>
      </c>
      <c r="G84" s="22"/>
      <c r="H84" s="20"/>
    </row>
    <row r="85" spans="1:33" hidden="1" x14ac:dyDescent="0.25">
      <c r="A85" s="24" t="s">
        <v>654</v>
      </c>
      <c r="B85" s="262">
        <f>IFERROR(VLOOKUP('2024Comp&amp;Contr'!$A$4,#REF!,4,FALSE)+VLOOKUP('2024Comp&amp;Contr'!$A$4,#REF!,6,FALSE),0)</f>
        <v>0</v>
      </c>
      <c r="C85" s="262">
        <f>IFERROR(VLOOKUP('2024Comp&amp;Contr'!$A$4,#REF!,8,FALSE),0)</f>
        <v>0</v>
      </c>
      <c r="D85" s="262">
        <f>IFERROR(VLOOKUP('2024Comp&amp;Contr'!$A$4,#REF!,10,FALSE)+VLOOKUP('2024Comp&amp;Contr'!$A$4,#REF!,12,FALSE),0)</f>
        <v>0</v>
      </c>
      <c r="E85" s="262">
        <f>IFERROR(VLOOKUP('2024Comp&amp;Contr'!$A$4,#REF!,14,FALSE),0)</f>
        <v>0</v>
      </c>
      <c r="F85" s="262">
        <f>IFERROR(VLOOKUP('2024Comp&amp;Contr'!$A$4,#REF!,18,FALSE),0)</f>
        <v>0</v>
      </c>
      <c r="G85" s="34">
        <f>SUM(B85:F85)</f>
        <v>0</v>
      </c>
      <c r="H85" s="20"/>
      <c r="M85" s="265" t="s">
        <v>1153</v>
      </c>
      <c r="N85" s="265">
        <v>8</v>
      </c>
      <c r="O85" s="265" t="s">
        <v>1154</v>
      </c>
      <c r="P85" s="265">
        <v>14</v>
      </c>
      <c r="Q85" s="265">
        <v>18</v>
      </c>
    </row>
    <row r="86" spans="1:33" hidden="1" x14ac:dyDescent="0.25">
      <c r="A86" s="24" t="s">
        <v>655</v>
      </c>
      <c r="B86" s="261">
        <f>IFERROR(VLOOKUP('2024Comp&amp;Contr'!$A$4,#REF!,5,FALSE)+VLOOKUP('2024Comp&amp;Contr'!$A$4,#REF!,7,FALSE),0)</f>
        <v>0</v>
      </c>
      <c r="C86" s="261">
        <f>IFERROR(VLOOKUP('2024Comp&amp;Contr'!$A$4,#REF!,9,FALSE),0)</f>
        <v>0</v>
      </c>
      <c r="D86" s="261">
        <f>IFERROR(VLOOKUP('2024Comp&amp;Contr'!$A$4,#REF!,11,FALSE)+VLOOKUP('2024Comp&amp;Contr'!$A$4,#REF!,13,FALSE),0)</f>
        <v>0</v>
      </c>
      <c r="E86" s="261">
        <f>IFERROR(VLOOKUP('2024Comp&amp;Contr'!$A$4,#REF!,15,FALSE),0)</f>
        <v>0</v>
      </c>
      <c r="F86" s="261">
        <f>IFERROR(VLOOKUP('2024Comp&amp;Contr'!$A$4,#REF!,19,FALSE),0)</f>
        <v>0</v>
      </c>
      <c r="G86" s="35"/>
      <c r="H86" s="20"/>
      <c r="M86" s="266" t="s">
        <v>1151</v>
      </c>
      <c r="N86" s="266">
        <v>9</v>
      </c>
      <c r="O86" s="266" t="s">
        <v>1152</v>
      </c>
      <c r="P86" s="266">
        <v>15</v>
      </c>
      <c r="Q86" s="266">
        <v>19</v>
      </c>
    </row>
    <row r="87" spans="1:33" ht="30" hidden="1" x14ac:dyDescent="0.25">
      <c r="A87" s="24" t="s">
        <v>662</v>
      </c>
      <c r="B87" s="263">
        <f>IFERROR(VLOOKUP('2024Comp&amp;Contr'!$A$4,#REF!,4,FALSE),0)</f>
        <v>0</v>
      </c>
      <c r="C87" s="263">
        <f>IFERROR(VLOOKUP('2024Comp&amp;Contr'!$A$4,#REF!,5,FALSE),0)</f>
        <v>0</v>
      </c>
      <c r="D87" s="263">
        <f>IFERROR(VLOOKUP('2024Comp&amp;Contr'!$A$4,#REF!,6,FALSE),0)</f>
        <v>0</v>
      </c>
      <c r="E87" s="263">
        <f>IFERROR(VLOOKUP('2024Comp&amp;Contr'!$A$4,#REF!,7,FALSE),0)</f>
        <v>0</v>
      </c>
      <c r="F87" s="263">
        <f>IFERROR(VLOOKUP('2024Comp&amp;Contr'!$A$4,#REF!,9,FALSE),0)</f>
        <v>0</v>
      </c>
      <c r="G87" s="34">
        <f>SUM(B87:F87)</f>
        <v>0</v>
      </c>
      <c r="H87" s="20"/>
      <c r="M87" s="167">
        <v>4</v>
      </c>
      <c r="N87" s="167">
        <v>5</v>
      </c>
      <c r="O87" s="167">
        <v>6</v>
      </c>
      <c r="P87" s="167">
        <v>7</v>
      </c>
      <c r="Q87" s="167">
        <v>9</v>
      </c>
    </row>
    <row r="88" spans="1:33" ht="30" hidden="1" x14ac:dyDescent="0.25">
      <c r="A88" s="24" t="s">
        <v>656</v>
      </c>
      <c r="B88" s="264" t="str">
        <f>IFERROR(VLOOKUP('2024Comp&amp;Contr'!$A$4,'Collective NPL'!$A$7:$BB$335,8,FALSE),0)</f>
        <v>101</v>
      </c>
      <c r="C88" s="264">
        <f>IFERROR(VLOOKUP('2024Comp&amp;Contr'!$A$4,'Collective NPL'!$A$7:$BB$335,19,FALSE),0)</f>
        <v>0</v>
      </c>
      <c r="D88" s="264">
        <f>IFERROR(VLOOKUP('2024Comp&amp;Contr'!$A$4,'Collective NPL'!$A$7:$BB$335,30,FALSE),0)</f>
        <v>0</v>
      </c>
      <c r="E88" s="264">
        <f>IFERROR(VLOOKUP('2024Comp&amp;Contr'!$A$4,'Collective NPL'!$A$7:$BB$335,41,FALSE),0)</f>
        <v>0</v>
      </c>
      <c r="F88" s="264">
        <f>IFERROR(VLOOKUP('2024Comp&amp;Contr'!$A$4,'Collective NPL'!$A$7:$BB$335,52,FALSE),0)</f>
        <v>0</v>
      </c>
      <c r="G88" s="34">
        <f>SUM(B88:F88)</f>
        <v>0</v>
      </c>
      <c r="H88" s="20"/>
      <c r="M88" s="267">
        <v>8</v>
      </c>
      <c r="N88" s="267">
        <v>19</v>
      </c>
      <c r="O88" s="267">
        <v>30</v>
      </c>
      <c r="P88" s="267">
        <v>41</v>
      </c>
      <c r="Q88" s="267">
        <v>52</v>
      </c>
    </row>
    <row r="89" spans="1:33" hidden="1" x14ac:dyDescent="0.25">
      <c r="A89" s="20"/>
      <c r="B89" s="109" t="s">
        <v>673</v>
      </c>
      <c r="C89" s="109" t="s">
        <v>674</v>
      </c>
      <c r="D89" s="109" t="s">
        <v>675</v>
      </c>
      <c r="E89" s="109" t="s">
        <v>676</v>
      </c>
      <c r="F89" s="94" t="s">
        <v>711</v>
      </c>
      <c r="G89" s="20"/>
      <c r="H89" s="20"/>
    </row>
    <row r="90" spans="1:33" ht="18.75" hidden="1" x14ac:dyDescent="0.25">
      <c r="A90" s="32">
        <v>42551</v>
      </c>
      <c r="B90" s="21" t="s">
        <v>633</v>
      </c>
      <c r="C90" s="21" t="s">
        <v>634</v>
      </c>
      <c r="D90" s="21" t="s">
        <v>635</v>
      </c>
      <c r="E90" s="21" t="s">
        <v>636</v>
      </c>
      <c r="F90" s="95" t="s">
        <v>710</v>
      </c>
      <c r="G90" s="21" t="s">
        <v>657</v>
      </c>
      <c r="H90" s="20"/>
    </row>
    <row r="91" spans="1:33" hidden="1" x14ac:dyDescent="0.25">
      <c r="A91" s="23" t="s">
        <v>653</v>
      </c>
      <c r="B91" s="33">
        <f>+'Total Contributions'!C13</f>
        <v>601525620.38</v>
      </c>
      <c r="C91" s="33">
        <f>+'Total Contributions'!D13</f>
        <v>135447053.88999999</v>
      </c>
      <c r="D91" s="33">
        <f>+'Total Contributions'!E13</f>
        <v>349936141.76999998</v>
      </c>
      <c r="E91" s="33">
        <f>+'Total Contributions'!F13</f>
        <v>368450109.64999998</v>
      </c>
      <c r="F91" s="33">
        <f>+'Total Contributions'!G13</f>
        <v>610789099.48000002</v>
      </c>
      <c r="G91" s="22"/>
      <c r="H91" s="20"/>
    </row>
    <row r="92" spans="1:33" hidden="1" x14ac:dyDescent="0.25">
      <c r="A92" s="24" t="s">
        <v>654</v>
      </c>
      <c r="B92" s="262">
        <f>IFERROR(VLOOKUP('2024Comp&amp;Contr'!$A$4,#REF!,4,FALSE)+VLOOKUP('2024Comp&amp;Contr'!$A$4,#REF!,6,FALSE),0)</f>
        <v>0</v>
      </c>
      <c r="C92" s="262">
        <f>IFERROR(VLOOKUP('2024Comp&amp;Contr'!$A$4,#REF!,8,FALSE),0)</f>
        <v>0</v>
      </c>
      <c r="D92" s="262">
        <f>IFERROR(VLOOKUP('2024Comp&amp;Contr'!$A$4,#REF!,10,FALSE)+VLOOKUP('2024Comp&amp;Contr'!$A$4,#REF!,12,FALSE),0)</f>
        <v>0</v>
      </c>
      <c r="E92" s="262">
        <f>IFERROR(VLOOKUP('2024Comp&amp;Contr'!$A$4,#REF!,14,FALSE),0)</f>
        <v>0</v>
      </c>
      <c r="F92" s="262">
        <f>IFERROR(VLOOKUP('2024Comp&amp;Contr'!$A$4,#REF!,18,FALSE),0)</f>
        <v>0</v>
      </c>
      <c r="G92" s="34">
        <f>SUM(B92:F92)</f>
        <v>0</v>
      </c>
      <c r="H92" s="20"/>
      <c r="M92" s="265" t="s">
        <v>1153</v>
      </c>
      <c r="N92" s="265">
        <v>8</v>
      </c>
      <c r="O92" s="265" t="s">
        <v>1154</v>
      </c>
      <c r="P92" s="265">
        <v>14</v>
      </c>
      <c r="Q92" s="265">
        <v>18</v>
      </c>
      <c r="AG92" s="102"/>
    </row>
    <row r="93" spans="1:33" hidden="1" x14ac:dyDescent="0.25">
      <c r="A93" s="24" t="s">
        <v>655</v>
      </c>
      <c r="B93" s="261">
        <f>IFERROR(VLOOKUP('2024Comp&amp;Contr'!$A$4,#REF!,5,FALSE)+VLOOKUP('2024Comp&amp;Contr'!$A$4,#REF!,7,FALSE),0)</f>
        <v>0</v>
      </c>
      <c r="C93" s="261">
        <f>IFERROR(VLOOKUP('2024Comp&amp;Contr'!$A$4,#REF!,9,FALSE),0)</f>
        <v>0</v>
      </c>
      <c r="D93" s="261">
        <f>IFERROR(VLOOKUP('2024Comp&amp;Contr'!$A$4,#REF!,11,FALSE)+VLOOKUP('2024Comp&amp;Contr'!$A$4,#REF!,13,FALSE),0)</f>
        <v>0</v>
      </c>
      <c r="E93" s="261">
        <f>IFERROR(VLOOKUP('2024Comp&amp;Contr'!$A$4,#REF!,15,FALSE),0)</f>
        <v>0</v>
      </c>
      <c r="F93" s="261">
        <f>IFERROR(VLOOKUP('2024Comp&amp;Contr'!$A$4,#REF!,19,FALSE),0)</f>
        <v>0</v>
      </c>
      <c r="G93" s="35"/>
      <c r="H93" s="20"/>
      <c r="M93" s="266" t="s">
        <v>1151</v>
      </c>
      <c r="N93" s="266">
        <v>9</v>
      </c>
      <c r="O93" s="266" t="s">
        <v>1152</v>
      </c>
      <c r="P93" s="266">
        <v>15</v>
      </c>
      <c r="Q93" s="266">
        <v>19</v>
      </c>
    </row>
    <row r="94" spans="1:33" ht="30" hidden="1" x14ac:dyDescent="0.25">
      <c r="A94" s="24" t="s">
        <v>662</v>
      </c>
      <c r="B94" s="263">
        <f>IFERROR(VLOOKUP('2024Comp&amp;Contr'!$A$4,#REF!,4,FALSE),0)</f>
        <v>0</v>
      </c>
      <c r="C94" s="263">
        <f>IFERROR(VLOOKUP('2024Comp&amp;Contr'!$A$4,#REF!,5,FALSE),0)</f>
        <v>0</v>
      </c>
      <c r="D94" s="263">
        <f>IFERROR(VLOOKUP('2024Comp&amp;Contr'!$A$4,#REF!,6,FALSE),0)</f>
        <v>0</v>
      </c>
      <c r="E94" s="263">
        <f>IFERROR(VLOOKUP('2024Comp&amp;Contr'!$A$4,#REF!,7,FALSE),0)</f>
        <v>0</v>
      </c>
      <c r="F94" s="263">
        <f>IFERROR(VLOOKUP('2024Comp&amp;Contr'!$A$4,#REF!,9,FALSE),0)</f>
        <v>0</v>
      </c>
      <c r="G94" s="34">
        <f>SUM(B94:F94)</f>
        <v>0</v>
      </c>
      <c r="H94" s="20"/>
      <c r="M94" s="167">
        <v>4</v>
      </c>
      <c r="N94" s="167">
        <v>5</v>
      </c>
      <c r="O94" s="167">
        <v>6</v>
      </c>
      <c r="P94" s="167">
        <v>7</v>
      </c>
      <c r="Q94" s="167">
        <v>9</v>
      </c>
    </row>
    <row r="95" spans="1:33" ht="30" hidden="1" x14ac:dyDescent="0.25">
      <c r="A95" s="24" t="s">
        <v>656</v>
      </c>
      <c r="B95" s="264">
        <f>IFERROR(VLOOKUP('2024Comp&amp;Contr'!$A$4,'Collective NPL'!$A$7:$BB$335,7,FALSE),0)</f>
        <v>1109</v>
      </c>
      <c r="C95" s="264">
        <f>IFERROR(VLOOKUP('2024Comp&amp;Contr'!$A$4,'Collective NPL'!$A$7:$BB$335,18,FALSE),0)</f>
        <v>0</v>
      </c>
      <c r="D95" s="264">
        <f>IFERROR(VLOOKUP('2024Comp&amp;Contr'!$A$4,'Collective NPL'!$A$7:$BB$335,29,FALSE),0)</f>
        <v>0</v>
      </c>
      <c r="E95" s="264">
        <f>IFERROR(VLOOKUP('2024Comp&amp;Contr'!$A$4,'Collective NPL'!$A$7:$BB$335,40,FALSE),0)</f>
        <v>0</v>
      </c>
      <c r="F95" s="264">
        <f>IFERROR(VLOOKUP('2024Comp&amp;Contr'!$A$4,'Collective NPL'!$A$7:$BB$335,51,FALSE),0)</f>
        <v>0</v>
      </c>
      <c r="G95" s="34">
        <f>SUM(B95:F95)</f>
        <v>1109</v>
      </c>
      <c r="H95" s="20"/>
      <c r="M95" s="267">
        <v>7</v>
      </c>
      <c r="N95" s="267">
        <v>18</v>
      </c>
      <c r="O95" s="267">
        <v>29</v>
      </c>
      <c r="P95" s="267">
        <v>40</v>
      </c>
      <c r="Q95" s="267">
        <v>51</v>
      </c>
    </row>
    <row r="96" spans="1:33" hidden="1" x14ac:dyDescent="0.25">
      <c r="A96" s="20"/>
      <c r="B96" s="20"/>
      <c r="C96" s="20"/>
      <c r="D96" s="20"/>
      <c r="E96" s="20"/>
      <c r="F96" s="94" t="s">
        <v>711</v>
      </c>
      <c r="G96" s="20"/>
      <c r="H96" s="20"/>
    </row>
    <row r="97" spans="1:18" ht="18.75" hidden="1" customHeight="1" x14ac:dyDescent="0.25">
      <c r="A97" s="32">
        <v>42185</v>
      </c>
      <c r="B97" s="21" t="s">
        <v>633</v>
      </c>
      <c r="C97" s="21" t="s">
        <v>634</v>
      </c>
      <c r="D97" s="21" t="s">
        <v>635</v>
      </c>
      <c r="E97" s="21" t="s">
        <v>636</v>
      </c>
      <c r="F97" s="95" t="s">
        <v>710</v>
      </c>
      <c r="G97" s="21" t="s">
        <v>657</v>
      </c>
      <c r="H97" s="30"/>
    </row>
    <row r="98" spans="1:18" hidden="1" x14ac:dyDescent="0.25">
      <c r="A98" s="23" t="s">
        <v>653</v>
      </c>
      <c r="B98" s="33">
        <f>+'Total Contributions'!C14</f>
        <v>567096911.89999998</v>
      </c>
      <c r="C98" s="33">
        <f>+'Total Contributions'!D14</f>
        <v>119634338.25999996</v>
      </c>
      <c r="D98" s="33">
        <f>+'Total Contributions'!E14</f>
        <v>303915971.74000001</v>
      </c>
      <c r="E98" s="33">
        <f>+'Total Contributions'!F14</f>
        <v>326403155.27999997</v>
      </c>
      <c r="F98" s="33">
        <f>+'Total Contributions'!G14</f>
        <v>577290928.86000001</v>
      </c>
      <c r="G98" s="22"/>
      <c r="H98" s="20"/>
    </row>
    <row r="99" spans="1:18" hidden="1" x14ac:dyDescent="0.25">
      <c r="A99" s="24" t="s">
        <v>654</v>
      </c>
      <c r="B99" s="262">
        <f>IFERROR(VLOOKUP('2024Comp&amp;Contr'!$A$4,#REF!,4,FALSE)+VLOOKUP('2024Comp&amp;Contr'!$A$4,#REF!,6,FALSE),0)</f>
        <v>0</v>
      </c>
      <c r="C99" s="262">
        <f>IFERROR(VLOOKUP('2024Comp&amp;Contr'!$A$4,#REF!,8,FALSE),0)</f>
        <v>0</v>
      </c>
      <c r="D99" s="262">
        <f>IFERROR(VLOOKUP('2024Comp&amp;Contr'!$A$4,#REF!,10,FALSE)+VLOOKUP('2024Comp&amp;Contr'!$A$4,#REF!,12,FALSE),0)</f>
        <v>0</v>
      </c>
      <c r="E99" s="262">
        <f>IFERROR(VLOOKUP('2024Comp&amp;Contr'!$A$4,#REF!,14,FALSE),0)</f>
        <v>0</v>
      </c>
      <c r="F99" s="262">
        <f>IFERROR(VLOOKUP('2024Comp&amp;Contr'!$A$4,#REF!,18,FALSE),0)</f>
        <v>0</v>
      </c>
      <c r="G99" s="34">
        <f>SUM(B99:F99)</f>
        <v>0</v>
      </c>
      <c r="H99" s="28"/>
      <c r="M99" s="265" t="s">
        <v>1153</v>
      </c>
      <c r="N99" s="265">
        <v>8</v>
      </c>
      <c r="O99" s="265" t="s">
        <v>1154</v>
      </c>
      <c r="P99" s="265">
        <v>14</v>
      </c>
      <c r="Q99" s="265">
        <v>18</v>
      </c>
      <c r="R99" s="122"/>
    </row>
    <row r="100" spans="1:18" hidden="1" x14ac:dyDescent="0.25">
      <c r="A100" s="24" t="s">
        <v>655</v>
      </c>
      <c r="B100" s="261">
        <f>IFERROR(VLOOKUP('2024Comp&amp;Contr'!$A$4,#REF!,5,FALSE)+VLOOKUP('2024Comp&amp;Contr'!$A$4,#REF!,7,FALSE),0)</f>
        <v>0</v>
      </c>
      <c r="C100" s="261">
        <f>IFERROR(VLOOKUP('2024Comp&amp;Contr'!$A$4,#REF!,9,FALSE),0)</f>
        <v>0</v>
      </c>
      <c r="D100" s="261">
        <f>IFERROR(VLOOKUP('2024Comp&amp;Contr'!$A$4,#REF!,11,FALSE)+VLOOKUP('2024Comp&amp;Contr'!$A$4,#REF!,13,FALSE),0)</f>
        <v>0</v>
      </c>
      <c r="E100" s="261">
        <f>IFERROR(VLOOKUP('2024Comp&amp;Contr'!$A$4,#REF!,15,FALSE),0)</f>
        <v>0</v>
      </c>
      <c r="F100" s="261">
        <f>IFERROR(VLOOKUP('2024Comp&amp;Contr'!$A$4,#REF!,19,FALSE),0)</f>
        <v>0</v>
      </c>
      <c r="G100" s="35"/>
      <c r="H100" s="29"/>
      <c r="M100" s="266" t="s">
        <v>1151</v>
      </c>
      <c r="N100" s="266">
        <v>9</v>
      </c>
      <c r="O100" s="266" t="s">
        <v>1152</v>
      </c>
      <c r="P100" s="266">
        <v>15</v>
      </c>
      <c r="Q100" s="266">
        <v>19</v>
      </c>
    </row>
    <row r="101" spans="1:18" ht="30" hidden="1" x14ac:dyDescent="0.25">
      <c r="A101" s="24" t="s">
        <v>662</v>
      </c>
      <c r="B101" s="263">
        <f>IFERROR(VLOOKUP('2024Comp&amp;Contr'!$A$4,#REF!,4,FALSE),0)</f>
        <v>0</v>
      </c>
      <c r="C101" s="263">
        <f>IFERROR(VLOOKUP('2024Comp&amp;Contr'!$A$4,#REF!,5,FALSE),0)</f>
        <v>0</v>
      </c>
      <c r="D101" s="263">
        <f>IFERROR(VLOOKUP('2024Comp&amp;Contr'!$A$4,#REF!,6,FALSE),0)</f>
        <v>0</v>
      </c>
      <c r="E101" s="263">
        <f>IFERROR(VLOOKUP('2024Comp&amp;Contr'!$A$4,#REF!,7,FALSE),0)</f>
        <v>0</v>
      </c>
      <c r="F101" s="263">
        <f>IFERROR(VLOOKUP('2024Comp&amp;Contr'!$A$4,#REF!,9,FALSE),0)</f>
        <v>0</v>
      </c>
      <c r="G101" s="34">
        <f>SUM(B101:F101)</f>
        <v>0</v>
      </c>
      <c r="H101" s="28"/>
      <c r="M101" s="167">
        <v>4</v>
      </c>
      <c r="N101" s="167">
        <v>5</v>
      </c>
      <c r="O101" s="167">
        <v>6</v>
      </c>
      <c r="P101" s="167">
        <v>7</v>
      </c>
      <c r="Q101" s="167">
        <v>9</v>
      </c>
    </row>
    <row r="102" spans="1:18" ht="30" hidden="1" x14ac:dyDescent="0.25">
      <c r="A102" s="24" t="s">
        <v>656</v>
      </c>
      <c r="B102" s="264">
        <f>IFERROR(VLOOKUP('2024Comp&amp;Contr'!$A$4,'Collective NPL'!$A$7:$BB$335,6,FALSE),0)</f>
        <v>1064</v>
      </c>
      <c r="C102" s="264">
        <f>IFERROR(VLOOKUP('2024Comp&amp;Contr'!$A$4,'Collective NPL'!$A$7:$BB$335,17,FALSE),0)</f>
        <v>1</v>
      </c>
      <c r="D102" s="264">
        <f>IFERROR(VLOOKUP('2024Comp&amp;Contr'!$A$4,'Collective NPL'!$A$7:$BB$335,28,FALSE),0)</f>
        <v>0</v>
      </c>
      <c r="E102" s="264">
        <f>IFERROR(VLOOKUP('2024Comp&amp;Contr'!$A$4,'Collective NPL'!$A$7:$BB$335,39,FALSE),0)</f>
        <v>0</v>
      </c>
      <c r="F102" s="264">
        <f>IFERROR(VLOOKUP('2024Comp&amp;Contr'!$A$4,'Collective NPL'!$A$7:$BB$335,50,FALSE),0)</f>
        <v>0</v>
      </c>
      <c r="G102" s="34">
        <f>SUM(B102:F102)</f>
        <v>1065</v>
      </c>
      <c r="H102" s="28"/>
      <c r="M102" s="267">
        <v>6</v>
      </c>
      <c r="N102" s="267">
        <v>17</v>
      </c>
      <c r="O102" s="267">
        <v>28</v>
      </c>
      <c r="P102" s="267">
        <v>39</v>
      </c>
      <c r="Q102" s="267">
        <v>50</v>
      </c>
    </row>
    <row r="103" spans="1:18" hidden="1" x14ac:dyDescent="0.25">
      <c r="A103" s="20"/>
      <c r="B103" s="20"/>
      <c r="C103" s="20"/>
      <c r="D103" s="20"/>
      <c r="E103" s="20"/>
      <c r="F103" s="94" t="s">
        <v>711</v>
      </c>
      <c r="G103" s="20"/>
      <c r="H103" s="20"/>
    </row>
    <row r="104" spans="1:18" ht="18.75" hidden="1" x14ac:dyDescent="0.25">
      <c r="A104" s="7">
        <v>41820</v>
      </c>
      <c r="B104" s="4" t="s">
        <v>633</v>
      </c>
      <c r="C104" s="4" t="s">
        <v>634</v>
      </c>
      <c r="D104" s="4" t="s">
        <v>635</v>
      </c>
      <c r="E104" s="4" t="s">
        <v>636</v>
      </c>
      <c r="F104" s="95" t="s">
        <v>710</v>
      </c>
      <c r="G104" s="4" t="s">
        <v>657</v>
      </c>
      <c r="H104" s="30"/>
    </row>
    <row r="105" spans="1:18" hidden="1" x14ac:dyDescent="0.25">
      <c r="A105" s="23" t="s">
        <v>653</v>
      </c>
      <c r="B105" s="33">
        <f>+'Total Contributions'!C15</f>
        <v>459598002.46000004</v>
      </c>
      <c r="C105" s="33">
        <f>+'Total Contributions'!D15</f>
        <v>97221684.989999995</v>
      </c>
      <c r="D105" s="33">
        <f>+'Total Contributions'!E15</f>
        <v>223776864.40000001</v>
      </c>
      <c r="E105" s="33">
        <f>+'Total Contributions'!F15</f>
        <v>265747327.91999999</v>
      </c>
      <c r="F105" s="33">
        <f>+'Total Contributions'!G15</f>
        <v>445452657.87</v>
      </c>
      <c r="G105" s="22"/>
      <c r="H105" s="20"/>
    </row>
    <row r="106" spans="1:18" hidden="1" x14ac:dyDescent="0.25">
      <c r="A106" s="24" t="s">
        <v>654</v>
      </c>
      <c r="B106" s="262">
        <f>IFERROR(VLOOKUP('2024Comp&amp;Contr'!$A$4,#REF!,4,FALSE)+VLOOKUP('2024Comp&amp;Contr'!$A$4,#REF!,6,FALSE),0)</f>
        <v>0</v>
      </c>
      <c r="C106" s="262">
        <f>IFERROR(VLOOKUP('2024Comp&amp;Contr'!$A$4,#REF!,8,FALSE),0)</f>
        <v>0</v>
      </c>
      <c r="D106" s="262">
        <f>IFERROR(VLOOKUP('2024Comp&amp;Contr'!$A$4,#REF!,10,FALSE)+VLOOKUP('2024Comp&amp;Contr'!$A$4,#REF!,12,FALSE),0)</f>
        <v>0</v>
      </c>
      <c r="E106" s="262">
        <f>IFERROR(VLOOKUP('2024Comp&amp;Contr'!$A$4,#REF!,14,FALSE),0)</f>
        <v>0</v>
      </c>
      <c r="F106" s="262">
        <f>IFERROR(VLOOKUP('2024Comp&amp;Contr'!$A$4,#REF!,18,FALSE),0)</f>
        <v>0</v>
      </c>
      <c r="G106" s="34">
        <f>SUM(B106:F106)</f>
        <v>0</v>
      </c>
      <c r="H106" s="28"/>
      <c r="M106" s="265" t="s">
        <v>1153</v>
      </c>
      <c r="N106" s="265">
        <v>8</v>
      </c>
      <c r="O106" s="265" t="s">
        <v>1154</v>
      </c>
      <c r="P106" s="265">
        <v>14</v>
      </c>
      <c r="Q106" s="265">
        <v>18</v>
      </c>
    </row>
    <row r="107" spans="1:18" hidden="1" x14ac:dyDescent="0.25">
      <c r="A107" s="24" t="s">
        <v>655</v>
      </c>
      <c r="B107" s="261">
        <f>IFERROR(VLOOKUP('2024Comp&amp;Contr'!$A$4,#REF!,5,FALSE)+VLOOKUP('2024Comp&amp;Contr'!$A$4,#REF!,7,FALSE),0)</f>
        <v>0</v>
      </c>
      <c r="C107" s="261">
        <f>IFERROR(VLOOKUP('2024Comp&amp;Contr'!$A$4,#REF!,9,FALSE),0)</f>
        <v>0</v>
      </c>
      <c r="D107" s="261">
        <f>IFERROR(VLOOKUP('2024Comp&amp;Contr'!$A$4,#REF!,11,FALSE)+VLOOKUP('2024Comp&amp;Contr'!$A$4,#REF!,13,FALSE),0)</f>
        <v>0</v>
      </c>
      <c r="E107" s="261">
        <f>IFERROR(VLOOKUP('2024Comp&amp;Contr'!$A$4,#REF!,15,FALSE),0)</f>
        <v>0</v>
      </c>
      <c r="F107" s="261">
        <f>IFERROR(VLOOKUP('2024Comp&amp;Contr'!$A$4,#REF!,19,FALSE),0)</f>
        <v>0</v>
      </c>
      <c r="G107" s="35"/>
      <c r="H107" s="29"/>
      <c r="M107" s="266" t="s">
        <v>1151</v>
      </c>
      <c r="N107" s="266">
        <v>9</v>
      </c>
      <c r="O107" s="266" t="s">
        <v>1152</v>
      </c>
      <c r="P107" s="266">
        <v>15</v>
      </c>
      <c r="Q107" s="266">
        <v>19</v>
      </c>
    </row>
    <row r="108" spans="1:18" ht="30" hidden="1" x14ac:dyDescent="0.25">
      <c r="A108" s="24" t="s">
        <v>662</v>
      </c>
      <c r="B108" s="578" t="s">
        <v>660</v>
      </c>
      <c r="C108" s="578"/>
      <c r="D108" s="578"/>
      <c r="E108" s="578"/>
      <c r="F108" s="579"/>
      <c r="G108" s="578"/>
      <c r="H108" s="31"/>
      <c r="M108" s="167">
        <v>4</v>
      </c>
      <c r="N108" s="167">
        <v>5</v>
      </c>
      <c r="O108" s="167">
        <v>6</v>
      </c>
      <c r="P108" s="167">
        <v>7</v>
      </c>
      <c r="Q108" s="167">
        <v>9</v>
      </c>
    </row>
    <row r="109" spans="1:18" ht="30" hidden="1" x14ac:dyDescent="0.25">
      <c r="A109" s="24" t="s">
        <v>656</v>
      </c>
      <c r="B109" s="264">
        <f>IFERROR(VLOOKUP('2024Comp&amp;Contr'!$A$4,'Collective NPL'!$A$7:$BB$335,5,FALSE),0)</f>
        <v>7</v>
      </c>
      <c r="C109" s="264">
        <f>IFERROR(VLOOKUP('2024Comp&amp;Contr'!$A$4,'Collective NPL'!$A$7:$BB$335,16,FALSE),0)</f>
        <v>0</v>
      </c>
      <c r="D109" s="264">
        <f>IFERROR(VLOOKUP('2024Comp&amp;Contr'!$A$4,'Collective NPL'!$A$7:$BB$335,27,FALSE),0)</f>
        <v>0</v>
      </c>
      <c r="E109" s="264">
        <f>IFERROR(VLOOKUP('2024Comp&amp;Contr'!$A$4,'Collective NPL'!$A$7:$BB$335,38,FALSE),0)</f>
        <v>0</v>
      </c>
      <c r="F109" s="264">
        <f>IFERROR(VLOOKUP('2024Comp&amp;Contr'!$A$4,'Collective NPL'!$A$7:$BB$335,49,FALSE),0)</f>
        <v>0</v>
      </c>
      <c r="G109" s="34">
        <f>SUM(B109:F109)</f>
        <v>7</v>
      </c>
      <c r="H109" s="28"/>
      <c r="M109" s="267">
        <v>5</v>
      </c>
      <c r="N109" s="267">
        <v>16</v>
      </c>
      <c r="O109" s="267">
        <v>27</v>
      </c>
      <c r="P109" s="267">
        <v>38</v>
      </c>
      <c r="Q109" s="267">
        <v>49</v>
      </c>
    </row>
    <row r="110" spans="1:18" hidden="1" x14ac:dyDescent="0.25">
      <c r="A110" s="20"/>
      <c r="B110" s="20"/>
      <c r="C110" s="20"/>
      <c r="D110" s="20"/>
      <c r="E110" s="20"/>
      <c r="F110" s="20"/>
      <c r="G110" s="20"/>
      <c r="H110" s="20"/>
    </row>
    <row r="111" spans="1:18" x14ac:dyDescent="0.25">
      <c r="E111" s="259"/>
      <c r="F111" s="259"/>
    </row>
    <row r="112" spans="1:18" x14ac:dyDescent="0.25">
      <c r="A112" s="577" t="s">
        <v>1148</v>
      </c>
      <c r="B112" s="577"/>
      <c r="C112" s="577"/>
      <c r="D112" s="577"/>
      <c r="E112" s="577"/>
      <c r="F112" s="577"/>
    </row>
    <row r="113" spans="1:6" x14ac:dyDescent="0.25">
      <c r="A113" s="577"/>
      <c r="B113" s="577"/>
      <c r="C113" s="577"/>
      <c r="D113" s="577"/>
      <c r="E113" s="577"/>
      <c r="F113" s="577"/>
    </row>
    <row r="114" spans="1:6" x14ac:dyDescent="0.25">
      <c r="A114" s="577"/>
      <c r="B114" s="577"/>
      <c r="C114" s="577"/>
      <c r="D114" s="577"/>
      <c r="E114" s="577"/>
      <c r="F114" s="577"/>
    </row>
    <row r="116" spans="1:6" x14ac:dyDescent="0.25">
      <c r="A116" t="s">
        <v>1157</v>
      </c>
      <c r="B116" s="130"/>
      <c r="C116" s="130"/>
      <c r="D116" s="130"/>
      <c r="E116" s="130"/>
      <c r="F116" s="130"/>
    </row>
  </sheetData>
  <mergeCells count="15">
    <mergeCell ref="A112:F114"/>
    <mergeCell ref="I2:N4"/>
    <mergeCell ref="B108:G108"/>
    <mergeCell ref="G2:G3"/>
    <mergeCell ref="A1:G1"/>
    <mergeCell ref="A6:E6"/>
    <mergeCell ref="A18:E18"/>
    <mergeCell ref="A19:E19"/>
    <mergeCell ref="A21:E21"/>
    <mergeCell ref="A36:D36"/>
    <mergeCell ref="A34:F34"/>
    <mergeCell ref="A27:F27"/>
    <mergeCell ref="A20:C20"/>
    <mergeCell ref="F2:F4"/>
    <mergeCell ref="B5:G5"/>
  </mergeCells>
  <dataValidations count="1">
    <dataValidation type="list" allowBlank="1" showInputMessage="1" showErrorMessage="1" sqref="A28:A33 A18:E18 A17 A6:A8 A21:A22 A19 A14 A24:A26" xr:uid="{00000000-0002-0000-0200-000000000000}">
      <formula1>$A$7:$A$340</formula1>
    </dataValidation>
  </dataValidations>
  <pageMargins left="0.7" right="0.7" top="1.25" bottom="1.25" header="0.3" footer="0.3"/>
  <pageSetup scale="74"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N51"/>
  <sheetViews>
    <sheetView tabSelected="1" zoomScale="84" zoomScaleNormal="84" workbookViewId="0">
      <selection activeCell="C37" sqref="C37"/>
    </sheetView>
  </sheetViews>
  <sheetFormatPr defaultColWidth="9.140625" defaultRowHeight="16.5" x14ac:dyDescent="0.3"/>
  <cols>
    <col min="1" max="1" width="35.85546875" style="269" customWidth="1"/>
    <col min="2" max="2" width="14.85546875" style="269" bestFit="1" customWidth="1"/>
    <col min="3" max="3" width="15.28515625" style="269" bestFit="1" customWidth="1"/>
    <col min="4" max="5" width="14.85546875" style="269" bestFit="1" customWidth="1"/>
    <col min="6" max="6" width="15.28515625" style="269" bestFit="1" customWidth="1"/>
    <col min="7" max="7" width="14.85546875" style="269" bestFit="1" customWidth="1"/>
    <col min="8" max="8" width="3" style="269" customWidth="1"/>
    <col min="9" max="9" width="7.7109375" style="269" customWidth="1"/>
    <col min="10" max="10" width="9.42578125" style="269" bestFit="1" customWidth="1"/>
    <col min="11" max="11" width="41" style="269" customWidth="1"/>
    <col min="12" max="17" width="9.140625" style="269"/>
    <col min="18" max="18" width="32.42578125" style="269" bestFit="1" customWidth="1"/>
    <col min="19" max="16384" width="9.140625" style="269"/>
  </cols>
  <sheetData>
    <row r="1" spans="1:14" ht="33.75" thickBot="1" x14ac:dyDescent="0.35">
      <c r="A1" s="628" t="s">
        <v>1163</v>
      </c>
      <c r="B1" s="629"/>
      <c r="C1" s="629"/>
      <c r="D1" s="629"/>
      <c r="E1" s="629"/>
      <c r="F1" s="629"/>
      <c r="G1" s="630"/>
      <c r="H1" s="284"/>
      <c r="I1" s="611" t="s">
        <v>1192</v>
      </c>
      <c r="J1" s="612"/>
      <c r="K1" s="612"/>
      <c r="L1" s="612"/>
      <c r="M1" s="613"/>
    </row>
    <row r="2" spans="1:14" ht="16.5" customHeight="1" x14ac:dyDescent="0.3">
      <c r="A2" s="632" t="s">
        <v>1162</v>
      </c>
      <c r="B2" s="619" t="str">
        <f>VLOOKUP('Do not delete'!$A$1,'Collective NPL'!$A$7:$C$334,3,FALSE)</f>
        <v xml:space="preserve"> Washtucna School District 109 </v>
      </c>
      <c r="C2" s="620"/>
      <c r="D2" s="620"/>
      <c r="E2" s="620"/>
      <c r="F2" s="621"/>
      <c r="G2" s="631" t="s">
        <v>8</v>
      </c>
      <c r="H2" s="285"/>
      <c r="I2" s="614"/>
      <c r="J2" s="565"/>
      <c r="K2" s="565"/>
      <c r="L2" s="565"/>
      <c r="M2" s="615"/>
    </row>
    <row r="3" spans="1:14" ht="21" customHeight="1" x14ac:dyDescent="0.3">
      <c r="A3" s="633"/>
      <c r="B3" s="622"/>
      <c r="C3" s="623"/>
      <c r="D3" s="623"/>
      <c r="E3" s="623"/>
      <c r="F3" s="624"/>
      <c r="G3" s="631"/>
      <c r="H3" s="285"/>
      <c r="I3" s="614"/>
      <c r="J3" s="565"/>
      <c r="K3" s="565"/>
      <c r="L3" s="565"/>
      <c r="M3" s="615"/>
    </row>
    <row r="4" spans="1:14" ht="19.5" customHeight="1" thickBot="1" x14ac:dyDescent="0.35">
      <c r="A4" s="286">
        <v>1109</v>
      </c>
      <c r="B4" s="625"/>
      <c r="C4" s="626"/>
      <c r="D4" s="626"/>
      <c r="E4" s="626"/>
      <c r="F4" s="627"/>
      <c r="G4" s="287" t="str">
        <f>VLOOKUP('Do not delete'!$A$1,'Collective NPL'!$A$7:$AI$335,2,FALSE)</f>
        <v>101</v>
      </c>
      <c r="H4" s="288"/>
      <c r="I4" s="616"/>
      <c r="J4" s="617"/>
      <c r="K4" s="617"/>
      <c r="L4" s="617"/>
      <c r="M4" s="618"/>
    </row>
    <row r="5" spans="1:14" ht="6.6" customHeight="1" thickBot="1" x14ac:dyDescent="0.35">
      <c r="A5" s="289"/>
      <c r="B5" s="290"/>
      <c r="C5" s="290"/>
      <c r="D5" s="290"/>
      <c r="E5" s="290"/>
      <c r="F5" s="290"/>
      <c r="G5" s="291"/>
      <c r="H5" s="288"/>
      <c r="I5" s="345"/>
      <c r="J5" s="345"/>
      <c r="K5" s="345"/>
    </row>
    <row r="6" spans="1:14" ht="19.899999999999999" hidden="1" customHeight="1" x14ac:dyDescent="0.3">
      <c r="A6" s="292"/>
      <c r="B6" s="293"/>
      <c r="C6" s="293"/>
      <c r="D6" s="293"/>
      <c r="E6" s="293"/>
      <c r="F6" s="293"/>
      <c r="G6" s="293"/>
      <c r="H6" s="294"/>
      <c r="I6" s="345"/>
      <c r="J6" s="345"/>
      <c r="K6" s="345"/>
      <c r="L6" s="345"/>
      <c r="M6" s="329"/>
      <c r="N6" s="329"/>
    </row>
    <row r="7" spans="1:14" ht="37.5" customHeight="1" thickBot="1" x14ac:dyDescent="0.35">
      <c r="A7" s="662" t="s">
        <v>1210</v>
      </c>
      <c r="B7" s="490"/>
      <c r="C7" s="490"/>
      <c r="D7" s="490"/>
      <c r="E7" s="490"/>
      <c r="F7" s="490"/>
      <c r="G7" s="491"/>
      <c r="H7" s="294"/>
      <c r="I7" s="345"/>
      <c r="J7" s="345"/>
      <c r="K7" s="345"/>
      <c r="L7" s="345"/>
      <c r="M7" s="345"/>
      <c r="N7" s="329"/>
    </row>
    <row r="8" spans="1:14" ht="21" thickBot="1" x14ac:dyDescent="0.35">
      <c r="A8" s="492">
        <v>45473</v>
      </c>
      <c r="B8" s="296" t="s">
        <v>635</v>
      </c>
      <c r="C8" s="296" t="s">
        <v>636</v>
      </c>
      <c r="D8" s="296" t="s">
        <v>634</v>
      </c>
      <c r="E8" s="296" t="s">
        <v>633</v>
      </c>
      <c r="F8" s="297" t="s">
        <v>710</v>
      </c>
      <c r="G8" s="296" t="s">
        <v>657</v>
      </c>
      <c r="H8" s="294"/>
      <c r="I8" s="345"/>
      <c r="J8" s="293" t="s">
        <v>1204</v>
      </c>
      <c r="K8" s="345"/>
      <c r="L8" s="345"/>
      <c r="M8" s="345"/>
      <c r="N8" s="329"/>
    </row>
    <row r="9" spans="1:14" ht="18" thickBot="1" x14ac:dyDescent="0.35">
      <c r="A9" s="298" t="s">
        <v>653</v>
      </c>
      <c r="B9" s="299">
        <f>+'Total Contributions'!E6</f>
        <v>222935789.79999983</v>
      </c>
      <c r="C9" s="299">
        <f>+'Total Contributions'!F6</f>
        <v>709690571.5800004</v>
      </c>
      <c r="D9" s="299">
        <f>+'Total Contributions'!D6</f>
        <v>260054587.27000007</v>
      </c>
      <c r="E9" s="299">
        <f>+'Total Contributions'!C6</f>
        <v>598621463.64000046</v>
      </c>
      <c r="F9" s="299">
        <f>+'Total Contributions'!G6</f>
        <v>984284096.81000042</v>
      </c>
      <c r="G9" s="300"/>
      <c r="H9" s="294"/>
      <c r="I9" s="450"/>
      <c r="J9" s="451" t="s">
        <v>7</v>
      </c>
      <c r="K9" s="244" t="s">
        <v>6</v>
      </c>
      <c r="L9" s="245" t="s">
        <v>1038</v>
      </c>
    </row>
    <row r="10" spans="1:14" x14ac:dyDescent="0.3">
      <c r="A10" s="301" t="s">
        <v>654</v>
      </c>
      <c r="B10" s="465">
        <f>IFERROR(VLOOKUP($A$4,'2024 PEFI ER Contributions'!$A$7:$S$350,10,FALSE)+VLOOKUP($A$4,'2024 PEFI ER Contributions'!$A$7:$S$350,12,FALSE),0)</f>
        <v>31079.68</v>
      </c>
      <c r="C10" s="466">
        <f>IFERROR(VLOOKUP($A$4,'2024 PEFI ER Contributions'!$A$7:$S$350,14,FALSE),0)</f>
        <v>83539.55</v>
      </c>
      <c r="D10" s="468">
        <f>IFERROR(VLOOKUP($A$4,'2024 PEFI ER Contributions'!$A$7:$S$350,8,FALSE),0)</f>
        <v>27346.93</v>
      </c>
      <c r="E10" s="469">
        <f>IFERROR(VLOOKUP($A$4,'2024 PEFI ER Contributions'!$A$7:$S$350,4,FALSE)+VLOOKUP($A$4,'2024 PEFI ER Contributions'!$A$7:$S$350,6,FALSE),0)</f>
        <v>11262.24</v>
      </c>
      <c r="F10" s="470">
        <f>IFERROR(VLOOKUP($A$4,'2024 PEFI ER Contributions'!$A$7:$S$350,18,FALSE),0)</f>
        <v>0</v>
      </c>
      <c r="G10" s="302">
        <f>SUM(B10:F10)</f>
        <v>153228.4</v>
      </c>
      <c r="H10" s="294"/>
      <c r="I10" s="345"/>
      <c r="J10" s="443">
        <v>6901</v>
      </c>
      <c r="K10" s="515" t="s">
        <v>1203</v>
      </c>
      <c r="L10" s="429">
        <v>4309</v>
      </c>
    </row>
    <row r="11" spans="1:14" x14ac:dyDescent="0.3">
      <c r="A11" s="301" t="s">
        <v>655</v>
      </c>
      <c r="B11" s="472">
        <f>IFERROR(VLOOKUP($A$4,'2024 PEFI ER Contributions'!$A$7:$S$350,11,FALSE)+VLOOKUP($A$4,'2024 PEFI ER Contributions'!$A$7:$S$350,13,FALSE),0)</f>
        <v>1.3941090404498164E-4</v>
      </c>
      <c r="C11" s="472">
        <f>IFERROR(VLOOKUP($A$4,'2024 PEFI ER Contributions'!$A$7:$S$350,15,FALSE),0)</f>
        <v>1.1771263892376931E-4</v>
      </c>
      <c r="D11" s="472">
        <f>IFERROR(VLOOKUP($A$4,'2024 PEFI ER Contributions'!$A$7:$S$350,9,FALSE),0)</f>
        <v>1.0515842188012328E-4</v>
      </c>
      <c r="E11" s="472">
        <f>IFERROR(VLOOKUP($A$4,'2024 PEFI ER Contributions'!$A$7:$S$350,5,FALSE)+VLOOKUP($A$4,'2024 PEFI ER Contributions'!$A$7:$S$350,7,FALSE),0)</f>
        <v>1.8813625444564589E-5</v>
      </c>
      <c r="F11" s="472">
        <f>IFERROR(VLOOKUP($A$4,'2024 PEFI ER Contributions'!$A$7:$S$350,19,FALSE),0)</f>
        <v>0</v>
      </c>
      <c r="G11" s="303"/>
      <c r="H11" s="294"/>
      <c r="I11" s="330"/>
      <c r="J11"/>
      <c r="K11"/>
      <c r="L11"/>
    </row>
    <row r="12" spans="1:14" ht="17.25" x14ac:dyDescent="0.3">
      <c r="A12" s="304" t="s">
        <v>1074</v>
      </c>
      <c r="B12" s="305">
        <f>+B10/B9</f>
        <v>1.3941090404498177E-4</v>
      </c>
      <c r="C12" s="305">
        <f>+C10/C9</f>
        <v>1.1771263892376925E-4</v>
      </c>
      <c r="D12" s="305">
        <f>+D10/D9</f>
        <v>1.0515842188012327E-4</v>
      </c>
      <c r="E12" s="305">
        <f>+E10/E9</f>
        <v>1.8813625444564576E-5</v>
      </c>
      <c r="F12" s="305">
        <f>+F10/F9</f>
        <v>0</v>
      </c>
      <c r="G12" s="306"/>
      <c r="H12" s="294"/>
      <c r="I12" s="330"/>
      <c r="J12"/>
      <c r="K12"/>
      <c r="L12"/>
    </row>
    <row r="13" spans="1:14" ht="17.25" thickBot="1" x14ac:dyDescent="0.35">
      <c r="A13" s="301" t="s">
        <v>662</v>
      </c>
      <c r="B13" s="307">
        <f>IFERROR(VLOOKUP($A$4,'2024 ER Compensation'!$A$7:$I$350,6,FALSE),0)</f>
        <v>0</v>
      </c>
      <c r="C13" s="307">
        <f>IFERROR(VLOOKUP($A$4,'2024 ER Compensation'!$A$7:$I$350,7,FALSE),0)</f>
        <v>1036866.8500000001</v>
      </c>
      <c r="D13" s="307">
        <f>IFERROR(VLOOKUP($A$4,'2024 ER Compensation'!$A$7:$I$350,5,FALSE),0)</f>
        <v>352406.76</v>
      </c>
      <c r="E13" s="307">
        <f>IFERROR(VLOOKUP($A$4,'2024 ER Compensation'!$A$7:$I$350,4,FALSE),0)</f>
        <v>0</v>
      </c>
      <c r="F13" s="307">
        <f>IFERROR(VLOOKUP($A$4,'2024 ER Compensation'!$A$7:$I$350,9,FALSE),0)</f>
        <v>0</v>
      </c>
      <c r="G13" s="302">
        <f>SUM(B13:F13)</f>
        <v>1389273.61</v>
      </c>
      <c r="H13" s="294"/>
      <c r="I13" s="330"/>
      <c r="J13"/>
      <c r="K13"/>
      <c r="L13"/>
    </row>
    <row r="14" spans="1:14" ht="31.5" customHeight="1" thickBot="1" x14ac:dyDescent="0.35">
      <c r="A14" s="661" t="s">
        <v>1197</v>
      </c>
      <c r="B14" s="488"/>
      <c r="C14" s="488"/>
      <c r="D14" s="488"/>
      <c r="E14" s="488"/>
      <c r="F14" s="488"/>
      <c r="G14" s="489"/>
      <c r="H14" s="294"/>
      <c r="J14"/>
      <c r="K14"/>
      <c r="L14"/>
    </row>
    <row r="15" spans="1:14" ht="20.25" x14ac:dyDescent="0.3">
      <c r="A15" s="308"/>
      <c r="B15" s="309" t="s">
        <v>635</v>
      </c>
      <c r="C15" s="309" t="s">
        <v>636</v>
      </c>
      <c r="D15" s="309" t="s">
        <v>634</v>
      </c>
      <c r="E15" s="309" t="s">
        <v>633</v>
      </c>
      <c r="F15" s="309" t="s">
        <v>710</v>
      </c>
      <c r="G15" s="310"/>
      <c r="H15" s="294"/>
      <c r="J15" s="293"/>
    </row>
    <row r="16" spans="1:14" x14ac:dyDescent="0.3">
      <c r="A16" s="311" t="s">
        <v>1065</v>
      </c>
      <c r="B16" s="312">
        <f>VLOOKUP($A$4,'2024 ER Compensation'!$A$7:$AC$350,11,FALSE)</f>
        <v>0</v>
      </c>
      <c r="C16" s="312">
        <f>VLOOKUP($A$4,'2024 ER Compensation'!$A$7:$AC$350,12,FALSE)</f>
        <v>1036866.8500000001</v>
      </c>
      <c r="D16" s="312">
        <f>VLOOKUP($A$4,'2024 ER Compensation'!$A$7:$AC$350,14,FALSE)</f>
        <v>352406.76</v>
      </c>
      <c r="E16" s="312">
        <f>VLOOKUP($A$4,'2024 ER Compensation'!$A$7:$AC$350,16,FALSE)</f>
        <v>0</v>
      </c>
      <c r="F16" s="312">
        <f>VLOOKUP($A$4,'2024 ER Compensation'!$A$7:$AC$350,17,FALSE)</f>
        <v>0</v>
      </c>
      <c r="G16" s="313">
        <f>SUM(B16:F16)</f>
        <v>1389273.61</v>
      </c>
      <c r="H16" s="294"/>
    </row>
    <row r="17" spans="1:13" x14ac:dyDescent="0.3">
      <c r="A17" s="314" t="s">
        <v>1066</v>
      </c>
      <c r="B17" s="312">
        <f>VLOOKUP($A$4,'2024 ER Compensation'!$A$7:$AC$350,21,FALSE)</f>
        <v>0</v>
      </c>
      <c r="C17" s="312">
        <f>VLOOKUP($A$4,'2024 ER Compensation'!$A$7:$AC$350,22,FALSE)</f>
        <v>53889.22</v>
      </c>
      <c r="D17" s="312">
        <f>VLOOKUP($A$4,'2024 ER Compensation'!$A$7:$AC$350,24,FALSE)</f>
        <v>17303.939999999999</v>
      </c>
      <c r="E17" s="312">
        <f>VLOOKUP($A$4,'2024 ER Compensation'!$A$7:$AC$350,26,FALSE)</f>
        <v>0</v>
      </c>
      <c r="F17" s="312">
        <f>VLOOKUP($A$4,'2024 ER Compensation'!$A$7:$AC$350,27,FALSE)</f>
        <v>0</v>
      </c>
      <c r="G17" s="313">
        <f>SUM(B17:F17)</f>
        <v>71193.16</v>
      </c>
      <c r="H17" s="294"/>
    </row>
    <row r="18" spans="1:13" ht="6" customHeight="1" x14ac:dyDescent="0.3">
      <c r="A18" s="315"/>
      <c r="B18" s="295"/>
      <c r="C18" s="295"/>
      <c r="D18" s="295"/>
      <c r="E18" s="295"/>
      <c r="F18" s="295"/>
      <c r="G18" s="316"/>
      <c r="H18" s="294"/>
    </row>
    <row r="19" spans="1:13" x14ac:dyDescent="0.3">
      <c r="A19" s="314" t="s">
        <v>1068</v>
      </c>
      <c r="B19" s="464">
        <f>VLOOKUP($A$4,'2024 PEFI ER Contributions'!$A$7:$AW$350,36,FALSE)</f>
        <v>0</v>
      </c>
      <c r="C19" s="463">
        <f>VLOOKUP($A$4,'2024 PEFI ER Contributions'!$A$7:$AW$350,37,FALSE)</f>
        <v>83539.55</v>
      </c>
      <c r="D19" s="467">
        <f>VLOOKUP($A$4,'2024 PEFI ER Contributions'!$A$7:$AW$350,38,FALSE)</f>
        <v>27346.93</v>
      </c>
      <c r="E19" s="317">
        <f>VLOOKUP($A$4,'2024 PEFI ER Contributions'!$A$7:$AW$350,39,FALSE)</f>
        <v>0</v>
      </c>
      <c r="F19" s="471">
        <f>VLOOKUP($A$4,'2024 PEFI ER Contributions'!$A$7:$AW$350,40,FALSE)</f>
        <v>0</v>
      </c>
      <c r="G19" s="313">
        <f>SUM(B19:F19)</f>
        <v>110886.48000000001</v>
      </c>
      <c r="H19" s="294"/>
    </row>
    <row r="20" spans="1:13" x14ac:dyDescent="0.3">
      <c r="A20" s="314" t="s">
        <v>1069</v>
      </c>
      <c r="B20" s="318">
        <f>VLOOKUP($A$4,'2024 PEFI ER Contributions'!$A$7:$AW$350,43,FALSE)</f>
        <v>0</v>
      </c>
      <c r="C20" s="464">
        <f>VLOOKUP($A$4,'2024 PEFI ER Contributions'!$A$7:$AW$350,44,FALSE)</f>
        <v>31079.68</v>
      </c>
      <c r="D20" s="317">
        <f>VLOOKUP($A$4,'2024 PEFI ER Contributions'!$A$7:$AW$350,45,FALSE)</f>
        <v>11262.24</v>
      </c>
      <c r="E20" s="318">
        <f>VLOOKUP($A$4,'2024 PEFI ER Contributions'!$A$7:$AW$350,46,FALSE)</f>
        <v>0</v>
      </c>
      <c r="F20" s="317">
        <f>VLOOKUP($A$4,'2024 PEFI ER Contributions'!$A$7:$AW$350,47,FALSE)</f>
        <v>0</v>
      </c>
      <c r="G20" s="313">
        <f>SUM(B20:F20)</f>
        <v>42341.919999999998</v>
      </c>
      <c r="H20" s="294"/>
      <c r="I20" s="608" t="s">
        <v>1069</v>
      </c>
      <c r="J20" s="609"/>
      <c r="K20" s="609"/>
      <c r="L20" s="609"/>
      <c r="M20" s="610"/>
    </row>
    <row r="21" spans="1:13" ht="6" customHeight="1" x14ac:dyDescent="0.3">
      <c r="A21" s="315"/>
      <c r="B21" s="295"/>
      <c r="C21" s="295"/>
      <c r="D21" s="295"/>
      <c r="E21" s="295"/>
      <c r="F21" s="319"/>
      <c r="G21" s="316"/>
      <c r="H21" s="294"/>
      <c r="I21" s="346"/>
      <c r="M21" s="347"/>
    </row>
    <row r="22" spans="1:13" x14ac:dyDescent="0.3">
      <c r="A22" s="314" t="s">
        <v>1067</v>
      </c>
      <c r="B22" s="318">
        <f>VLOOKUP($A$4,'2024 PEFI ER Contributions'!$A$7:$AW$350,25,FALSE)</f>
        <v>0</v>
      </c>
      <c r="C22" s="318">
        <f>VLOOKUP($A$4,'2024 PEFI ER Contributions'!$A$7:$AW$350,26,FALSE)</f>
        <v>98130.5</v>
      </c>
      <c r="D22" s="318">
        <f>VLOOKUP($A$4,'2024 PEFI ER Contributions'!$A$7:$AW$350,27,FALSE)</f>
        <v>26913.360000000001</v>
      </c>
      <c r="E22" s="318">
        <f>VLOOKUP($A$4,'2024 PEFI ER Contributions'!$A$7:$AW$350,28,FALSE)</f>
        <v>0</v>
      </c>
      <c r="F22" s="318">
        <f>VLOOKUP($A$4,'2024 PEFI ER Contributions'!$A$7:$AW$350,29,FALSE)</f>
        <v>0</v>
      </c>
      <c r="G22" s="313">
        <f>SUM(B22:F22)</f>
        <v>125043.86</v>
      </c>
      <c r="H22" s="294"/>
      <c r="I22" s="602" t="s">
        <v>1216</v>
      </c>
      <c r="J22" s="603"/>
      <c r="K22" s="603"/>
      <c r="L22" s="603"/>
      <c r="M22" s="604"/>
    </row>
    <row r="23" spans="1:13" x14ac:dyDescent="0.3">
      <c r="A23" s="314" t="s">
        <v>1070</v>
      </c>
      <c r="B23" s="318">
        <f>VLOOKUP($A$4,'2024 PEFI ER Contributions'!$A$7:$BW$350,52,FALSE)</f>
        <v>0</v>
      </c>
      <c r="C23" s="318">
        <f>VLOOKUP($A$4,'2024 PEFI ER Contributions'!$A$7:$BW$350,53,FALSE)</f>
        <v>2009.26</v>
      </c>
      <c r="D23" s="318">
        <f>VLOOKUP($A$4,'2024 PEFI ER Contributions'!$A$7:$BW$350,54,FALSE)</f>
        <v>686.61</v>
      </c>
      <c r="E23" s="318">
        <f>VLOOKUP($A$4,'2024 PEFI ER Contributions'!$A$7:$BW$350,55,FALSE)</f>
        <v>0</v>
      </c>
      <c r="F23" s="318">
        <f>VLOOKUP($A$4,'2024 PEFI ER Contributions'!$A$7:$BW$350,56,FALSE)</f>
        <v>0</v>
      </c>
      <c r="G23" s="313">
        <f>SUM(B23:F23)</f>
        <v>2695.87</v>
      </c>
      <c r="H23" s="294"/>
      <c r="I23" s="602"/>
      <c r="J23" s="603"/>
      <c r="K23" s="603"/>
      <c r="L23" s="603"/>
      <c r="M23" s="604"/>
    </row>
    <row r="24" spans="1:13" x14ac:dyDescent="0.3">
      <c r="A24" s="314" t="s">
        <v>1071</v>
      </c>
      <c r="B24" s="318">
        <f>VLOOKUP($A$4,'2024 PEFI ER Contributions'!$A$7:$BW$350,59,FALSE)</f>
        <v>0</v>
      </c>
      <c r="C24" s="318">
        <v>0</v>
      </c>
      <c r="D24" s="318">
        <v>0</v>
      </c>
      <c r="E24" s="318">
        <f>VLOOKUP($A$4,'2024 PEFI ER Contributions'!$A$7:$BW$350,60,FALSE)</f>
        <v>0</v>
      </c>
      <c r="F24" s="318">
        <v>0</v>
      </c>
      <c r="G24" s="313">
        <f>SUM(B24:F24)</f>
        <v>0</v>
      </c>
      <c r="H24" s="294"/>
      <c r="I24" s="602"/>
      <c r="J24" s="603"/>
      <c r="K24" s="603"/>
      <c r="L24" s="603"/>
      <c r="M24" s="604"/>
    </row>
    <row r="25" spans="1:13" x14ac:dyDescent="0.3">
      <c r="A25" s="314" t="s">
        <v>1072</v>
      </c>
      <c r="B25" s="318">
        <f>VLOOKUP($A$4,'2024 PEFI ER Contributions'!$A$7:$BW$350,63,FALSE)</f>
        <v>0</v>
      </c>
      <c r="C25" s="318">
        <v>0</v>
      </c>
      <c r="D25" s="318">
        <v>0</v>
      </c>
      <c r="E25" s="318">
        <f>VLOOKUP($A$4,'2024 PEFI ER Contributions'!$A$7:$BW$350,64,FALSE)</f>
        <v>0</v>
      </c>
      <c r="F25" s="318">
        <v>0</v>
      </c>
      <c r="G25" s="313">
        <f>SUM(B25:F25)</f>
        <v>0</v>
      </c>
      <c r="H25" s="294"/>
      <c r="I25" s="602"/>
      <c r="J25" s="603"/>
      <c r="K25" s="603"/>
      <c r="L25" s="603"/>
      <c r="M25" s="604"/>
    </row>
    <row r="26" spans="1:13" ht="6" customHeight="1" x14ac:dyDescent="0.3">
      <c r="A26" s="315"/>
      <c r="B26" s="295"/>
      <c r="C26" s="295"/>
      <c r="D26" s="295"/>
      <c r="E26" s="295"/>
      <c r="F26" s="295"/>
      <c r="G26" s="316"/>
      <c r="H26" s="294"/>
      <c r="I26" s="602"/>
      <c r="J26" s="603"/>
      <c r="K26" s="603"/>
      <c r="L26" s="603"/>
      <c r="M26" s="604"/>
    </row>
    <row r="27" spans="1:13" ht="17.25" thickBot="1" x14ac:dyDescent="0.35">
      <c r="A27" s="320" t="s">
        <v>1073</v>
      </c>
      <c r="B27" s="321">
        <f t="shared" ref="B27:F27" si="0">SUM(B19:B25)</f>
        <v>0</v>
      </c>
      <c r="C27" s="321">
        <f t="shared" si="0"/>
        <v>214758.99000000002</v>
      </c>
      <c r="D27" s="321">
        <f t="shared" si="0"/>
        <v>66209.14</v>
      </c>
      <c r="E27" s="321">
        <f t="shared" si="0"/>
        <v>0</v>
      </c>
      <c r="F27" s="321">
        <f t="shared" si="0"/>
        <v>0</v>
      </c>
      <c r="G27" s="322">
        <f>SUM(B27:F27)</f>
        <v>280968.13</v>
      </c>
      <c r="I27" s="602"/>
      <c r="J27" s="603"/>
      <c r="K27" s="603"/>
      <c r="L27" s="603"/>
      <c r="M27" s="604"/>
    </row>
    <row r="28" spans="1:13" ht="17.25" thickBot="1" x14ac:dyDescent="0.35">
      <c r="A28" s="341"/>
      <c r="B28" s="342"/>
      <c r="C28" s="342"/>
      <c r="D28" s="342"/>
      <c r="E28" s="342"/>
      <c r="F28" s="342"/>
      <c r="G28" s="343"/>
      <c r="I28" s="602"/>
      <c r="J28" s="603"/>
      <c r="K28" s="603"/>
      <c r="L28" s="603"/>
      <c r="M28" s="604"/>
    </row>
    <row r="29" spans="1:13" ht="18" thickBot="1" x14ac:dyDescent="0.35">
      <c r="A29" s="485" t="s">
        <v>1166</v>
      </c>
      <c r="B29" s="486"/>
      <c r="C29" s="486"/>
      <c r="D29" s="486"/>
      <c r="E29" s="486"/>
      <c r="F29" s="486"/>
      <c r="G29" s="487"/>
      <c r="I29" s="602"/>
      <c r="J29" s="603"/>
      <c r="K29" s="603"/>
      <c r="L29" s="603"/>
      <c r="M29" s="604"/>
    </row>
    <row r="30" spans="1:13" ht="20.25" x14ac:dyDescent="0.3">
      <c r="A30" s="270"/>
      <c r="B30" s="309" t="s">
        <v>635</v>
      </c>
      <c r="C30" s="309" t="s">
        <v>636</v>
      </c>
      <c r="D30" s="309" t="s">
        <v>634</v>
      </c>
      <c r="E30" s="309" t="s">
        <v>633</v>
      </c>
      <c r="F30" s="309" t="s">
        <v>710</v>
      </c>
      <c r="G30" s="323" t="s">
        <v>657</v>
      </c>
      <c r="I30" s="602"/>
      <c r="J30" s="603"/>
      <c r="K30" s="603"/>
      <c r="L30" s="603"/>
      <c r="M30" s="604"/>
    </row>
    <row r="31" spans="1:13" ht="30" x14ac:dyDescent="0.3">
      <c r="A31" s="473" t="s">
        <v>1165</v>
      </c>
      <c r="B31" s="344">
        <f>+B19+B20+B23+B24+B25</f>
        <v>0</v>
      </c>
      <c r="C31" s="344">
        <f>+C19+C20+C23+C24+C25</f>
        <v>116628.49</v>
      </c>
      <c r="D31" s="344">
        <f>+D19+D20+D23+D24+D25</f>
        <v>39295.78</v>
      </c>
      <c r="E31" s="344">
        <f>+E19+E20+E23+E24+E25</f>
        <v>0</v>
      </c>
      <c r="F31" s="344">
        <f>+F19+F20+F23+F24+F25</f>
        <v>0</v>
      </c>
      <c r="G31" s="313">
        <f>SUM(B31:F31)</f>
        <v>155924.27000000002</v>
      </c>
      <c r="I31" s="605"/>
      <c r="J31" s="606"/>
      <c r="K31" s="606"/>
      <c r="L31" s="606"/>
      <c r="M31" s="607"/>
    </row>
    <row r="32" spans="1:13" x14ac:dyDescent="0.3">
      <c r="A32" s="473" t="s">
        <v>1067</v>
      </c>
      <c r="B32" s="324">
        <f t="shared" ref="B32:G32" si="1">+B22</f>
        <v>0</v>
      </c>
      <c r="C32" s="324">
        <f t="shared" si="1"/>
        <v>98130.5</v>
      </c>
      <c r="D32" s="324">
        <f t="shared" si="1"/>
        <v>26913.360000000001</v>
      </c>
      <c r="E32" s="324">
        <f t="shared" si="1"/>
        <v>0</v>
      </c>
      <c r="F32" s="324">
        <f t="shared" si="1"/>
        <v>0</v>
      </c>
      <c r="G32" s="325">
        <f t="shared" si="1"/>
        <v>125043.86</v>
      </c>
    </row>
    <row r="33" spans="1:12" ht="17.25" thickBot="1" x14ac:dyDescent="0.35">
      <c r="A33" s="474" t="s">
        <v>1073</v>
      </c>
      <c r="B33" s="326">
        <f t="shared" ref="B33:F33" si="2">+B31+B32</f>
        <v>0</v>
      </c>
      <c r="C33" s="326">
        <f t="shared" si="2"/>
        <v>214758.99</v>
      </c>
      <c r="D33" s="326">
        <f t="shared" si="2"/>
        <v>66209.14</v>
      </c>
      <c r="E33" s="326">
        <f t="shared" si="2"/>
        <v>0</v>
      </c>
      <c r="F33" s="326">
        <f t="shared" si="2"/>
        <v>0</v>
      </c>
      <c r="G33" s="327">
        <f>+G31+G32</f>
        <v>280968.13</v>
      </c>
    </row>
    <row r="34" spans="1:12" ht="18" thickBot="1" x14ac:dyDescent="0.35">
      <c r="J34" s="451" t="s">
        <v>7</v>
      </c>
      <c r="K34" s="244" t="s">
        <v>6</v>
      </c>
      <c r="L34" s="245" t="s">
        <v>1038</v>
      </c>
    </row>
    <row r="35" spans="1:12" x14ac:dyDescent="0.3">
      <c r="J35" s="443">
        <v>4901</v>
      </c>
      <c r="K35" s="529" t="s">
        <v>1196</v>
      </c>
      <c r="L35" s="532">
        <v>4281</v>
      </c>
    </row>
    <row r="36" spans="1:12" x14ac:dyDescent="0.3">
      <c r="J36" s="443">
        <v>5903</v>
      </c>
      <c r="K36" s="435" t="s">
        <v>1081</v>
      </c>
      <c r="L36" s="528">
        <v>2901</v>
      </c>
    </row>
    <row r="37" spans="1:12" x14ac:dyDescent="0.3">
      <c r="J37" s="443">
        <v>6901</v>
      </c>
      <c r="K37" s="529" t="s">
        <v>1205</v>
      </c>
      <c r="L37" s="429">
        <v>4309</v>
      </c>
    </row>
    <row r="38" spans="1:12" x14ac:dyDescent="0.3">
      <c r="J38" s="429">
        <v>17902</v>
      </c>
      <c r="K38" s="434" t="s">
        <v>1035</v>
      </c>
      <c r="L38" s="528">
        <v>2633</v>
      </c>
    </row>
    <row r="39" spans="1:12" x14ac:dyDescent="0.3">
      <c r="J39" s="429">
        <v>17908</v>
      </c>
      <c r="K39" s="434" t="s">
        <v>1032</v>
      </c>
      <c r="L39" s="528">
        <v>2630</v>
      </c>
    </row>
    <row r="40" spans="1:12" x14ac:dyDescent="0.3">
      <c r="J40" s="429">
        <v>17911</v>
      </c>
      <c r="K40" s="435" t="s">
        <v>1116</v>
      </c>
      <c r="L40" s="528">
        <v>3063</v>
      </c>
    </row>
    <row r="41" spans="1:12" ht="15.75" customHeight="1" x14ac:dyDescent="0.3">
      <c r="C41" s="328"/>
      <c r="D41" s="328"/>
      <c r="E41" s="328"/>
      <c r="J41" s="429">
        <v>17917</v>
      </c>
      <c r="K41" s="529" t="s">
        <v>1180</v>
      </c>
      <c r="L41" s="531">
        <v>4263</v>
      </c>
    </row>
    <row r="42" spans="1:12" ht="15" customHeight="1" x14ac:dyDescent="0.3">
      <c r="B42" s="328"/>
      <c r="C42" s="328"/>
      <c r="D42" s="328"/>
      <c r="E42" s="328"/>
      <c r="J42" s="429">
        <v>18901</v>
      </c>
      <c r="K42" s="436" t="s">
        <v>1168</v>
      </c>
      <c r="L42" s="528">
        <v>4260</v>
      </c>
    </row>
    <row r="43" spans="1:12" ht="15.75" customHeight="1" x14ac:dyDescent="0.3">
      <c r="B43" s="328"/>
      <c r="C43" s="328"/>
      <c r="D43" s="328"/>
      <c r="E43" s="328"/>
      <c r="J43" s="429">
        <v>27901</v>
      </c>
      <c r="K43" s="529" t="s">
        <v>1135</v>
      </c>
      <c r="L43" s="528">
        <v>4174</v>
      </c>
    </row>
    <row r="44" spans="1:12" x14ac:dyDescent="0.3">
      <c r="J44" s="429">
        <v>27904</v>
      </c>
      <c r="K44" s="434" t="s">
        <v>1031</v>
      </c>
      <c r="L44" s="528">
        <v>2631</v>
      </c>
    </row>
    <row r="45" spans="1:12" x14ac:dyDescent="0.3">
      <c r="J45" s="429">
        <v>31801</v>
      </c>
      <c r="K45" s="433" t="s">
        <v>1036</v>
      </c>
      <c r="L45" s="528">
        <v>1597</v>
      </c>
    </row>
    <row r="46" spans="1:12" x14ac:dyDescent="0.3">
      <c r="J46" s="429">
        <v>32901</v>
      </c>
      <c r="K46" s="434" t="s">
        <v>1034</v>
      </c>
      <c r="L46" s="528">
        <v>2632</v>
      </c>
    </row>
    <row r="47" spans="1:12" x14ac:dyDescent="0.3">
      <c r="J47" s="530">
        <v>32903</v>
      </c>
      <c r="K47" s="436" t="s">
        <v>1170</v>
      </c>
      <c r="L47" s="528">
        <v>4258</v>
      </c>
    </row>
    <row r="48" spans="1:12" x14ac:dyDescent="0.3">
      <c r="J48" s="429">
        <v>32907</v>
      </c>
      <c r="K48" s="434" t="s">
        <v>1037</v>
      </c>
      <c r="L48" s="528">
        <v>2635</v>
      </c>
    </row>
    <row r="49" spans="10:12" x14ac:dyDescent="0.3">
      <c r="J49" s="429">
        <v>37902</v>
      </c>
      <c r="K49" s="529" t="s">
        <v>1182</v>
      </c>
      <c r="L49" s="531">
        <v>4276</v>
      </c>
    </row>
    <row r="50" spans="10:12" x14ac:dyDescent="0.3">
      <c r="J50" s="429">
        <v>38901</v>
      </c>
      <c r="K50" s="529" t="s">
        <v>1184</v>
      </c>
      <c r="L50" s="532">
        <v>4280</v>
      </c>
    </row>
    <row r="51" spans="10:12" x14ac:dyDescent="0.3">
      <c r="J51" s="429">
        <v>99999</v>
      </c>
      <c r="K51" s="529" t="s">
        <v>1186</v>
      </c>
      <c r="L51" s="533">
        <v>4279</v>
      </c>
    </row>
  </sheetData>
  <sortState xmlns:xlrd2="http://schemas.microsoft.com/office/spreadsheetml/2017/richdata2" ref="J35:L51">
    <sortCondition ref="J35:J51"/>
  </sortState>
  <mergeCells count="7">
    <mergeCell ref="I22:M31"/>
    <mergeCell ref="I20:M20"/>
    <mergeCell ref="I1:M4"/>
    <mergeCell ref="B2:F4"/>
    <mergeCell ref="A1:G1"/>
    <mergeCell ref="G2:G3"/>
    <mergeCell ref="A2:A3"/>
  </mergeCells>
  <printOptions horizontalCentered="1"/>
  <pageMargins left="0" right="0" top="0.75" bottom="0.75" header="0.3" footer="0.3"/>
  <pageSetup scale="8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'Collective NPL'!$A$7:$A$325</xm:f>
          </x14:formula1>
          <xm:sqref>A5</xm:sqref>
        </x14:dataValidation>
        <x14:dataValidation type="list" allowBlank="1" showInputMessage="1" showErrorMessage="1" xr:uid="{00000000-0002-0000-0200-000001000000}">
          <x14:formula1>
            <xm:f>'Collective NPL'!$A$7:$A$334</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B368"/>
  <sheetViews>
    <sheetView workbookViewId="0">
      <pane xSplit="3" ySplit="6" topLeftCell="D19" activePane="bottomRight" state="frozen"/>
      <selection pane="topRight" activeCell="D1" sqref="D1"/>
      <selection pane="bottomLeft" activeCell="A7" sqref="A7"/>
      <selection pane="bottomRight" activeCell="F45" sqref="F45"/>
    </sheetView>
  </sheetViews>
  <sheetFormatPr defaultRowHeight="15" x14ac:dyDescent="0.25"/>
  <cols>
    <col min="2" max="2" width="6.5703125" bestFit="1" customWidth="1"/>
    <col min="3" max="3" width="48" bestFit="1" customWidth="1"/>
    <col min="4" max="4" width="6" bestFit="1" customWidth="1"/>
    <col min="5" max="5" width="7" customWidth="1"/>
    <col min="6" max="6" width="6.5703125" bestFit="1" customWidth="1"/>
    <col min="7" max="7" width="7.5703125" bestFit="1" customWidth="1"/>
    <col min="8" max="8" width="4.7109375" bestFit="1" customWidth="1"/>
    <col min="9" max="9" width="45.42578125" customWidth="1"/>
    <col min="10" max="10" width="16.42578125" customWidth="1"/>
    <col min="11" max="12" width="6.42578125" bestFit="1" customWidth="1"/>
    <col min="13" max="13" width="9.28515625" bestFit="1" customWidth="1"/>
    <col min="14" max="14" width="5.5703125" bestFit="1" customWidth="1"/>
    <col min="15" max="15" width="48" bestFit="1" customWidth="1"/>
    <col min="16" max="16" width="1.140625" customWidth="1"/>
    <col min="17" max="17" width="12.5703125" bestFit="1" customWidth="1"/>
    <col min="18" max="18" width="12.7109375" customWidth="1"/>
    <col min="19" max="21" width="3" hidden="1" customWidth="1"/>
    <col min="22" max="25" width="14.28515625" hidden="1" customWidth="1"/>
    <col min="26" max="26" width="15" hidden="1" customWidth="1"/>
    <col min="27" max="29" width="14.28515625" bestFit="1" customWidth="1"/>
    <col min="30" max="32" width="3" hidden="1" customWidth="1"/>
    <col min="33" max="33" width="14.28515625" hidden="1" customWidth="1"/>
    <col min="34" max="35" width="12.5703125" hidden="1" customWidth="1"/>
    <col min="36" max="36" width="14.28515625" hidden="1" customWidth="1"/>
    <col min="37" max="37" width="15" hidden="1" customWidth="1"/>
    <col min="38" max="40" width="12.5703125" bestFit="1" customWidth="1"/>
    <col min="41" max="43" width="3" hidden="1" customWidth="1"/>
    <col min="44" max="44" width="9.140625" hidden="1" customWidth="1"/>
    <col min="45" max="48" width="14.28515625" hidden="1" customWidth="1"/>
    <col min="49" max="50" width="15" bestFit="1" customWidth="1"/>
    <col min="51" max="51" width="14.28515625" bestFit="1" customWidth="1"/>
    <col min="52" max="54" width="3" hidden="1" customWidth="1"/>
    <col min="56" max="56" width="15.28515625" bestFit="1" customWidth="1"/>
    <col min="57" max="59" width="14.28515625" bestFit="1" customWidth="1"/>
  </cols>
  <sheetData>
    <row r="1" spans="1:17" x14ac:dyDescent="0.25">
      <c r="A1" s="185">
        <v>1</v>
      </c>
      <c r="B1" s="185">
        <v>2</v>
      </c>
      <c r="C1" s="185">
        <v>3</v>
      </c>
    </row>
    <row r="5" spans="1:17" ht="15.75" thickBot="1" x14ac:dyDescent="0.3"/>
    <row r="6" spans="1:17" ht="18" thickBot="1" x14ac:dyDescent="0.3">
      <c r="A6" s="188" t="s">
        <v>7</v>
      </c>
      <c r="B6" s="188" t="s">
        <v>8</v>
      </c>
      <c r="C6" s="116" t="s">
        <v>6</v>
      </c>
      <c r="F6" s="425" t="s">
        <v>1038</v>
      </c>
      <c r="G6" s="426" t="s">
        <v>7</v>
      </c>
      <c r="H6" s="427" t="s">
        <v>8</v>
      </c>
      <c r="I6" s="427" t="s">
        <v>6</v>
      </c>
      <c r="L6" t="s">
        <v>1201</v>
      </c>
      <c r="M6" s="497" t="s">
        <v>7</v>
      </c>
      <c r="N6" s="498" t="s">
        <v>8</v>
      </c>
      <c r="O6" s="499" t="s">
        <v>6</v>
      </c>
      <c r="Q6" s="500"/>
    </row>
    <row r="7" spans="1:17" x14ac:dyDescent="0.25">
      <c r="A7" s="443">
        <v>1109</v>
      </c>
      <c r="B7" s="188" t="s">
        <v>18</v>
      </c>
      <c r="C7" s="36" t="s">
        <v>590</v>
      </c>
      <c r="D7" s="125"/>
      <c r="E7">
        <v>7</v>
      </c>
      <c r="F7" s="428">
        <v>1064</v>
      </c>
      <c r="G7" s="443">
        <v>1109</v>
      </c>
      <c r="H7" s="429" t="s">
        <v>18</v>
      </c>
      <c r="I7" s="430" t="s">
        <v>590</v>
      </c>
      <c r="K7" s="516">
        <f t="shared" ref="K7:K70" si="0">+L7-F7</f>
        <v>0</v>
      </c>
      <c r="L7" s="503">
        <v>1064</v>
      </c>
      <c r="M7" s="514">
        <v>1109</v>
      </c>
      <c r="N7" s="501" t="s">
        <v>18</v>
      </c>
      <c r="O7" s="502" t="s">
        <v>590</v>
      </c>
      <c r="Q7" s="500">
        <v>1</v>
      </c>
    </row>
    <row r="8" spans="1:17" x14ac:dyDescent="0.25">
      <c r="A8" s="443">
        <v>1122</v>
      </c>
      <c r="B8" s="116" t="s">
        <v>18</v>
      </c>
      <c r="C8" s="108" t="s">
        <v>39</v>
      </c>
      <c r="D8" s="125"/>
      <c r="E8">
        <f t="shared" ref="E8:E71" si="1">+E7+1</f>
        <v>8</v>
      </c>
      <c r="F8" s="428">
        <v>57</v>
      </c>
      <c r="G8" s="443">
        <v>1122</v>
      </c>
      <c r="H8" s="429" t="s">
        <v>18</v>
      </c>
      <c r="I8" s="430" t="s">
        <v>39</v>
      </c>
      <c r="K8" s="517">
        <f t="shared" si="0"/>
        <v>0</v>
      </c>
      <c r="L8" s="428">
        <v>57</v>
      </c>
      <c r="M8" s="513">
        <v>1122</v>
      </c>
      <c r="N8" s="429" t="s">
        <v>18</v>
      </c>
      <c r="O8" s="439" t="s">
        <v>39</v>
      </c>
      <c r="Q8" s="500">
        <f t="shared" ref="Q8:Q44" si="2">+Q7+1</f>
        <v>2</v>
      </c>
    </row>
    <row r="9" spans="1:17" x14ac:dyDescent="0.25">
      <c r="A9" s="443">
        <v>1147</v>
      </c>
      <c r="B9" s="116" t="s">
        <v>26</v>
      </c>
      <c r="C9" s="108" t="s">
        <v>400</v>
      </c>
      <c r="D9" s="125"/>
      <c r="E9">
        <f t="shared" si="1"/>
        <v>9</v>
      </c>
      <c r="F9" s="428">
        <v>695</v>
      </c>
      <c r="G9" s="443">
        <v>1147</v>
      </c>
      <c r="H9" s="429" t="s">
        <v>26</v>
      </c>
      <c r="I9" s="430" t="s">
        <v>400</v>
      </c>
      <c r="K9" s="517">
        <f t="shared" si="0"/>
        <v>0</v>
      </c>
      <c r="L9" s="428">
        <v>695</v>
      </c>
      <c r="M9" s="513">
        <v>1147</v>
      </c>
      <c r="N9" s="429" t="s">
        <v>26</v>
      </c>
      <c r="O9" s="439" t="s">
        <v>400</v>
      </c>
      <c r="Q9" s="500">
        <f t="shared" si="2"/>
        <v>3</v>
      </c>
    </row>
    <row r="10" spans="1:17" x14ac:dyDescent="0.25">
      <c r="A10" s="443">
        <v>1158</v>
      </c>
      <c r="B10" s="116" t="s">
        <v>18</v>
      </c>
      <c r="C10" s="108" t="s">
        <v>270</v>
      </c>
      <c r="D10" s="125"/>
      <c r="E10">
        <f t="shared" si="1"/>
        <v>10</v>
      </c>
      <c r="F10" s="428">
        <v>543</v>
      </c>
      <c r="G10" s="443">
        <v>1158</v>
      </c>
      <c r="H10" s="429" t="s">
        <v>18</v>
      </c>
      <c r="I10" s="430" t="s">
        <v>270</v>
      </c>
      <c r="K10" s="517">
        <f t="shared" si="0"/>
        <v>0</v>
      </c>
      <c r="L10" s="428">
        <v>543</v>
      </c>
      <c r="M10" s="513">
        <v>1158</v>
      </c>
      <c r="N10" s="429" t="s">
        <v>18</v>
      </c>
      <c r="O10" s="439" t="s">
        <v>270</v>
      </c>
      <c r="Q10" s="500">
        <f t="shared" si="2"/>
        <v>4</v>
      </c>
    </row>
    <row r="11" spans="1:17" x14ac:dyDescent="0.25">
      <c r="A11" s="443">
        <v>1160</v>
      </c>
      <c r="B11" s="116" t="s">
        <v>18</v>
      </c>
      <c r="C11" s="108" t="s">
        <v>458</v>
      </c>
      <c r="D11" s="125"/>
      <c r="E11">
        <f t="shared" si="1"/>
        <v>11</v>
      </c>
      <c r="F11" s="428">
        <v>814</v>
      </c>
      <c r="G11" s="443">
        <v>1160</v>
      </c>
      <c r="H11" s="429" t="s">
        <v>18</v>
      </c>
      <c r="I11" s="430" t="s">
        <v>458</v>
      </c>
      <c r="K11" s="517">
        <f t="shared" si="0"/>
        <v>0</v>
      </c>
      <c r="L11" s="428">
        <v>814</v>
      </c>
      <c r="M11" s="513">
        <v>1160</v>
      </c>
      <c r="N11" s="429" t="s">
        <v>18</v>
      </c>
      <c r="O11" s="439" t="s">
        <v>458</v>
      </c>
      <c r="Q11" s="500">
        <f t="shared" si="2"/>
        <v>5</v>
      </c>
    </row>
    <row r="12" spans="1:17" x14ac:dyDescent="0.25">
      <c r="A12" s="443">
        <v>2250</v>
      </c>
      <c r="B12" s="116" t="s">
        <v>26</v>
      </c>
      <c r="C12" s="108" t="s">
        <v>90</v>
      </c>
      <c r="D12" s="125"/>
      <c r="E12">
        <f t="shared" si="1"/>
        <v>12</v>
      </c>
      <c r="F12" s="428">
        <v>156</v>
      </c>
      <c r="G12" s="443">
        <v>2250</v>
      </c>
      <c r="H12" s="429" t="s">
        <v>26</v>
      </c>
      <c r="I12" s="430" t="s">
        <v>90</v>
      </c>
      <c r="K12" s="517">
        <f t="shared" si="0"/>
        <v>0</v>
      </c>
      <c r="L12" s="428">
        <v>156</v>
      </c>
      <c r="M12" s="513">
        <v>2250</v>
      </c>
      <c r="N12" s="429" t="s">
        <v>26</v>
      </c>
      <c r="O12" s="439" t="s">
        <v>90</v>
      </c>
      <c r="Q12" s="500">
        <f t="shared" si="2"/>
        <v>6</v>
      </c>
    </row>
    <row r="13" spans="1:17" x14ac:dyDescent="0.25">
      <c r="A13" s="443">
        <v>2420</v>
      </c>
      <c r="B13" s="116" t="s">
        <v>26</v>
      </c>
      <c r="C13" s="108" t="s">
        <v>24</v>
      </c>
      <c r="D13" s="125"/>
      <c r="E13">
        <f t="shared" si="1"/>
        <v>13</v>
      </c>
      <c r="F13" s="428">
        <v>29</v>
      </c>
      <c r="G13" s="443">
        <v>2420</v>
      </c>
      <c r="H13" s="429" t="s">
        <v>26</v>
      </c>
      <c r="I13" s="430" t="s">
        <v>24</v>
      </c>
      <c r="K13" s="517">
        <f t="shared" si="0"/>
        <v>0</v>
      </c>
      <c r="L13" s="428">
        <v>29</v>
      </c>
      <c r="M13" s="513">
        <v>2420</v>
      </c>
      <c r="N13" s="429" t="s">
        <v>26</v>
      </c>
      <c r="O13" s="439" t="s">
        <v>24</v>
      </c>
      <c r="Q13" s="500">
        <f t="shared" si="2"/>
        <v>7</v>
      </c>
    </row>
    <row r="14" spans="1:17" x14ac:dyDescent="0.25">
      <c r="A14" s="443">
        <v>3017</v>
      </c>
      <c r="B14" s="116" t="s">
        <v>26</v>
      </c>
      <c r="C14" s="108" t="s">
        <v>240</v>
      </c>
      <c r="D14" s="125"/>
      <c r="E14">
        <f t="shared" si="1"/>
        <v>14</v>
      </c>
      <c r="F14" s="428">
        <v>433</v>
      </c>
      <c r="G14" s="443">
        <v>3017</v>
      </c>
      <c r="H14" s="429" t="s">
        <v>26</v>
      </c>
      <c r="I14" s="430" t="s">
        <v>240</v>
      </c>
      <c r="K14" s="517">
        <f t="shared" si="0"/>
        <v>0</v>
      </c>
      <c r="L14" s="428">
        <v>433</v>
      </c>
      <c r="M14" s="513">
        <v>3017</v>
      </c>
      <c r="N14" s="429" t="s">
        <v>26</v>
      </c>
      <c r="O14" s="439" t="s">
        <v>240</v>
      </c>
      <c r="Q14" s="500">
        <f t="shared" si="2"/>
        <v>8</v>
      </c>
    </row>
    <row r="15" spans="1:17" x14ac:dyDescent="0.25">
      <c r="A15" s="443">
        <v>3050</v>
      </c>
      <c r="B15" s="116" t="s">
        <v>26</v>
      </c>
      <c r="C15" s="108" t="s">
        <v>410</v>
      </c>
      <c r="D15" s="125"/>
      <c r="E15">
        <f t="shared" si="1"/>
        <v>15</v>
      </c>
      <c r="F15" s="428">
        <v>712</v>
      </c>
      <c r="G15" s="443">
        <v>3050</v>
      </c>
      <c r="H15" s="429" t="s">
        <v>26</v>
      </c>
      <c r="I15" s="430" t="s">
        <v>410</v>
      </c>
      <c r="K15" s="517">
        <f t="shared" si="0"/>
        <v>0</v>
      </c>
      <c r="L15" s="428">
        <v>712</v>
      </c>
      <c r="M15" s="513">
        <v>3050</v>
      </c>
      <c r="N15" s="429" t="s">
        <v>26</v>
      </c>
      <c r="O15" s="439" t="s">
        <v>410</v>
      </c>
      <c r="Q15" s="500">
        <f t="shared" si="2"/>
        <v>9</v>
      </c>
    </row>
    <row r="16" spans="1:17" x14ac:dyDescent="0.25">
      <c r="A16" s="443">
        <v>3052</v>
      </c>
      <c r="B16" s="116" t="s">
        <v>26</v>
      </c>
      <c r="C16" s="108" t="s">
        <v>246</v>
      </c>
      <c r="D16" s="125"/>
      <c r="E16">
        <f t="shared" si="1"/>
        <v>16</v>
      </c>
      <c r="F16" s="428">
        <v>483</v>
      </c>
      <c r="G16" s="443">
        <v>3052</v>
      </c>
      <c r="H16" s="429" t="s">
        <v>26</v>
      </c>
      <c r="I16" s="430" t="s">
        <v>246</v>
      </c>
      <c r="K16" s="517">
        <f t="shared" si="0"/>
        <v>0</v>
      </c>
      <c r="L16" s="428">
        <v>483</v>
      </c>
      <c r="M16" s="513">
        <v>3052</v>
      </c>
      <c r="N16" s="429" t="s">
        <v>26</v>
      </c>
      <c r="O16" s="439" t="s">
        <v>246</v>
      </c>
      <c r="Q16" s="500">
        <f t="shared" si="2"/>
        <v>10</v>
      </c>
    </row>
    <row r="17" spans="1:17" x14ac:dyDescent="0.25">
      <c r="A17" s="443">
        <v>3053</v>
      </c>
      <c r="B17" s="116" t="s">
        <v>26</v>
      </c>
      <c r="C17" s="108" t="s">
        <v>186</v>
      </c>
      <c r="D17" s="125"/>
      <c r="E17">
        <f t="shared" si="1"/>
        <v>17</v>
      </c>
      <c r="F17" s="428">
        <v>305</v>
      </c>
      <c r="G17" s="443">
        <v>3053</v>
      </c>
      <c r="H17" s="429" t="s">
        <v>26</v>
      </c>
      <c r="I17" s="430" t="s">
        <v>186</v>
      </c>
      <c r="K17" s="517">
        <f t="shared" si="0"/>
        <v>0</v>
      </c>
      <c r="L17" s="428">
        <v>305</v>
      </c>
      <c r="M17" s="513">
        <v>3053</v>
      </c>
      <c r="N17" s="429" t="s">
        <v>26</v>
      </c>
      <c r="O17" s="439" t="s">
        <v>186</v>
      </c>
      <c r="Q17" s="500">
        <f t="shared" si="2"/>
        <v>11</v>
      </c>
    </row>
    <row r="18" spans="1:17" x14ac:dyDescent="0.25">
      <c r="A18" s="443">
        <v>3116</v>
      </c>
      <c r="B18" s="116" t="s">
        <v>26</v>
      </c>
      <c r="C18" s="108" t="s">
        <v>426</v>
      </c>
      <c r="D18" s="125"/>
      <c r="E18">
        <f t="shared" si="1"/>
        <v>18</v>
      </c>
      <c r="F18" s="428">
        <v>767</v>
      </c>
      <c r="G18" s="443">
        <v>3116</v>
      </c>
      <c r="H18" s="429" t="s">
        <v>26</v>
      </c>
      <c r="I18" s="430" t="s">
        <v>426</v>
      </c>
      <c r="K18" s="517">
        <f t="shared" si="0"/>
        <v>0</v>
      </c>
      <c r="L18" s="428">
        <v>767</v>
      </c>
      <c r="M18" s="513">
        <v>3116</v>
      </c>
      <c r="N18" s="429" t="s">
        <v>26</v>
      </c>
      <c r="O18" s="439" t="s">
        <v>426</v>
      </c>
      <c r="Q18" s="500">
        <f t="shared" si="2"/>
        <v>12</v>
      </c>
    </row>
    <row r="19" spans="1:17" x14ac:dyDescent="0.25">
      <c r="A19" s="443">
        <v>3400</v>
      </c>
      <c r="B19" s="116" t="s">
        <v>26</v>
      </c>
      <c r="C19" s="108" t="s">
        <v>454</v>
      </c>
      <c r="D19" s="125"/>
      <c r="E19">
        <f t="shared" si="1"/>
        <v>19</v>
      </c>
      <c r="F19" s="428">
        <v>810</v>
      </c>
      <c r="G19" s="443">
        <v>3400</v>
      </c>
      <c r="H19" s="429" t="s">
        <v>26</v>
      </c>
      <c r="I19" s="430" t="s">
        <v>454</v>
      </c>
      <c r="K19" s="517">
        <f t="shared" si="0"/>
        <v>0</v>
      </c>
      <c r="L19" s="428">
        <v>810</v>
      </c>
      <c r="M19" s="513">
        <v>3400</v>
      </c>
      <c r="N19" s="429" t="s">
        <v>26</v>
      </c>
      <c r="O19" s="439" t="s">
        <v>454</v>
      </c>
      <c r="Q19" s="500">
        <f t="shared" si="2"/>
        <v>13</v>
      </c>
    </row>
    <row r="20" spans="1:17" x14ac:dyDescent="0.25">
      <c r="A20" s="443">
        <v>4019</v>
      </c>
      <c r="B20" s="116" t="s">
        <v>55</v>
      </c>
      <c r="C20" s="108" t="s">
        <v>286</v>
      </c>
      <c r="D20" s="125"/>
      <c r="E20">
        <f t="shared" si="1"/>
        <v>20</v>
      </c>
      <c r="F20" s="428">
        <v>564</v>
      </c>
      <c r="G20" s="443">
        <v>4019</v>
      </c>
      <c r="H20" s="429" t="s">
        <v>55</v>
      </c>
      <c r="I20" s="430" t="s">
        <v>286</v>
      </c>
      <c r="K20" s="517">
        <f t="shared" si="0"/>
        <v>0</v>
      </c>
      <c r="L20" s="428">
        <v>564</v>
      </c>
      <c r="M20" s="513">
        <v>4019</v>
      </c>
      <c r="N20" s="429" t="s">
        <v>55</v>
      </c>
      <c r="O20" s="439" t="s">
        <v>286</v>
      </c>
      <c r="Q20" s="500">
        <f t="shared" si="2"/>
        <v>14</v>
      </c>
    </row>
    <row r="21" spans="1:17" x14ac:dyDescent="0.25">
      <c r="A21" s="443">
        <v>4069</v>
      </c>
      <c r="B21" s="116" t="s">
        <v>55</v>
      </c>
      <c r="C21" s="108" t="s">
        <v>522</v>
      </c>
      <c r="D21" s="125"/>
      <c r="E21">
        <f t="shared" si="1"/>
        <v>21</v>
      </c>
      <c r="F21" s="428">
        <v>1412</v>
      </c>
      <c r="G21" s="443">
        <v>4069</v>
      </c>
      <c r="H21" s="429" t="s">
        <v>55</v>
      </c>
      <c r="I21" s="430" t="s">
        <v>522</v>
      </c>
      <c r="K21" s="517">
        <f t="shared" si="0"/>
        <v>0</v>
      </c>
      <c r="L21" s="428">
        <v>1412</v>
      </c>
      <c r="M21" s="513">
        <v>4069</v>
      </c>
      <c r="N21" s="429" t="s">
        <v>55</v>
      </c>
      <c r="O21" s="439" t="s">
        <v>522</v>
      </c>
      <c r="Q21" s="500">
        <f t="shared" si="2"/>
        <v>15</v>
      </c>
    </row>
    <row r="22" spans="1:17" x14ac:dyDescent="0.25">
      <c r="A22" s="443">
        <v>4127</v>
      </c>
      <c r="B22" s="116" t="s">
        <v>55</v>
      </c>
      <c r="C22" s="108" t="s">
        <v>166</v>
      </c>
      <c r="D22" s="125"/>
      <c r="E22">
        <f t="shared" si="1"/>
        <v>22</v>
      </c>
      <c r="F22" s="428">
        <v>278</v>
      </c>
      <c r="G22" s="443">
        <v>4127</v>
      </c>
      <c r="H22" s="429" t="s">
        <v>55</v>
      </c>
      <c r="I22" s="430" t="s">
        <v>166</v>
      </c>
      <c r="K22" s="517">
        <f t="shared" si="0"/>
        <v>0</v>
      </c>
      <c r="L22" s="428">
        <v>278</v>
      </c>
      <c r="M22" s="513">
        <v>4127</v>
      </c>
      <c r="N22" s="429" t="s">
        <v>55</v>
      </c>
      <c r="O22" s="439" t="s">
        <v>166</v>
      </c>
      <c r="Q22" s="500">
        <f t="shared" si="2"/>
        <v>16</v>
      </c>
    </row>
    <row r="23" spans="1:17" x14ac:dyDescent="0.25">
      <c r="A23" s="443">
        <v>4129</v>
      </c>
      <c r="B23" s="116" t="s">
        <v>55</v>
      </c>
      <c r="C23" s="108" t="s">
        <v>258</v>
      </c>
      <c r="D23" s="125"/>
      <c r="E23">
        <f t="shared" si="1"/>
        <v>23</v>
      </c>
      <c r="F23" s="428">
        <v>514</v>
      </c>
      <c r="G23" s="443">
        <v>4129</v>
      </c>
      <c r="H23" s="429" t="s">
        <v>55</v>
      </c>
      <c r="I23" s="430" t="s">
        <v>258</v>
      </c>
      <c r="K23" s="517">
        <f t="shared" si="0"/>
        <v>0</v>
      </c>
      <c r="L23" s="428">
        <v>514</v>
      </c>
      <c r="M23" s="513">
        <v>4129</v>
      </c>
      <c r="N23" s="429" t="s">
        <v>55</v>
      </c>
      <c r="O23" s="439" t="s">
        <v>258</v>
      </c>
      <c r="Q23" s="500">
        <f t="shared" si="2"/>
        <v>17</v>
      </c>
    </row>
    <row r="24" spans="1:17" x14ac:dyDescent="0.25">
      <c r="A24" s="443">
        <v>4222</v>
      </c>
      <c r="B24" s="116" t="s">
        <v>55</v>
      </c>
      <c r="C24" s="108" t="s">
        <v>70</v>
      </c>
      <c r="D24" s="125"/>
      <c r="E24">
        <f t="shared" si="1"/>
        <v>24</v>
      </c>
      <c r="F24" s="428">
        <v>106</v>
      </c>
      <c r="G24" s="443">
        <v>4222</v>
      </c>
      <c r="H24" s="429" t="s">
        <v>55</v>
      </c>
      <c r="I24" s="430" t="s">
        <v>70</v>
      </c>
      <c r="K24" s="517">
        <f t="shared" si="0"/>
        <v>0</v>
      </c>
      <c r="L24" s="428">
        <v>106</v>
      </c>
      <c r="M24" s="513">
        <v>4222</v>
      </c>
      <c r="N24" s="429" t="s">
        <v>55</v>
      </c>
      <c r="O24" s="439" t="s">
        <v>70</v>
      </c>
      <c r="Q24" s="500">
        <f t="shared" si="2"/>
        <v>18</v>
      </c>
    </row>
    <row r="25" spans="1:17" x14ac:dyDescent="0.25">
      <c r="A25" s="443">
        <v>4228</v>
      </c>
      <c r="B25" s="116" t="s">
        <v>55</v>
      </c>
      <c r="C25" s="108" t="s">
        <v>68</v>
      </c>
      <c r="D25" s="125"/>
      <c r="E25">
        <f t="shared" si="1"/>
        <v>25</v>
      </c>
      <c r="F25" s="428">
        <v>103</v>
      </c>
      <c r="G25" s="443">
        <v>4228</v>
      </c>
      <c r="H25" s="429" t="s">
        <v>55</v>
      </c>
      <c r="I25" s="430" t="s">
        <v>68</v>
      </c>
      <c r="K25" s="517">
        <f t="shared" si="0"/>
        <v>0</v>
      </c>
      <c r="L25" s="428">
        <v>103</v>
      </c>
      <c r="M25" s="513">
        <v>4228</v>
      </c>
      <c r="N25" s="429" t="s">
        <v>55</v>
      </c>
      <c r="O25" s="439" t="s">
        <v>68</v>
      </c>
      <c r="Q25" s="500">
        <f t="shared" si="2"/>
        <v>19</v>
      </c>
    </row>
    <row r="26" spans="1:17" x14ac:dyDescent="0.25">
      <c r="A26" s="443">
        <v>4246</v>
      </c>
      <c r="B26" s="116" t="s">
        <v>55</v>
      </c>
      <c r="C26" s="108" t="s">
        <v>596</v>
      </c>
      <c r="D26" s="125"/>
      <c r="E26">
        <f t="shared" si="1"/>
        <v>26</v>
      </c>
      <c r="F26" s="428">
        <v>1073</v>
      </c>
      <c r="G26" s="443">
        <v>4246</v>
      </c>
      <c r="H26" s="429" t="s">
        <v>55</v>
      </c>
      <c r="I26" s="430" t="s">
        <v>596</v>
      </c>
      <c r="K26" s="517">
        <f t="shared" si="0"/>
        <v>0</v>
      </c>
      <c r="L26" s="428">
        <v>1073</v>
      </c>
      <c r="M26" s="513">
        <v>4246</v>
      </c>
      <c r="N26" s="429" t="s">
        <v>55</v>
      </c>
      <c r="O26" s="439" t="s">
        <v>596</v>
      </c>
      <c r="Q26" s="500">
        <f t="shared" si="2"/>
        <v>20</v>
      </c>
    </row>
    <row r="27" spans="1:17" x14ac:dyDescent="0.25">
      <c r="A27" s="443">
        <v>4801</v>
      </c>
      <c r="B27" s="116">
        <v>171</v>
      </c>
      <c r="C27" s="534" t="s">
        <v>344</v>
      </c>
      <c r="D27" s="125"/>
      <c r="E27">
        <f t="shared" si="1"/>
        <v>27</v>
      </c>
      <c r="F27" s="428">
        <v>266</v>
      </c>
      <c r="G27" s="443">
        <v>4801</v>
      </c>
      <c r="H27" s="429">
        <v>171</v>
      </c>
      <c r="I27" s="529" t="s">
        <v>344</v>
      </c>
      <c r="K27" s="517">
        <f t="shared" si="0"/>
        <v>0</v>
      </c>
      <c r="L27" s="428">
        <v>266</v>
      </c>
      <c r="M27" s="513">
        <v>4801</v>
      </c>
      <c r="N27" s="429">
        <v>171</v>
      </c>
      <c r="O27" s="535" t="s">
        <v>344</v>
      </c>
      <c r="Q27" s="500">
        <f t="shared" si="2"/>
        <v>21</v>
      </c>
    </row>
    <row r="28" spans="1:17" x14ac:dyDescent="0.25">
      <c r="A28" s="444">
        <v>4901</v>
      </c>
      <c r="B28" s="432" t="s">
        <v>1039</v>
      </c>
      <c r="C28" s="454" t="s">
        <v>1196</v>
      </c>
      <c r="D28" s="125"/>
      <c r="E28">
        <f t="shared" si="1"/>
        <v>28</v>
      </c>
      <c r="F28" s="247">
        <v>4281</v>
      </c>
      <c r="G28" s="444">
        <v>4901</v>
      </c>
      <c r="H28" s="432" t="s">
        <v>1039</v>
      </c>
      <c r="I28" s="454" t="s">
        <v>1196</v>
      </c>
      <c r="K28" s="517">
        <f t="shared" si="0"/>
        <v>0</v>
      </c>
      <c r="L28" s="505">
        <v>4281</v>
      </c>
      <c r="M28" s="513">
        <v>4901</v>
      </c>
      <c r="N28" s="432" t="s">
        <v>1039</v>
      </c>
      <c r="O28" s="454" t="s">
        <v>1196</v>
      </c>
      <c r="Q28" s="500">
        <f t="shared" si="2"/>
        <v>22</v>
      </c>
    </row>
    <row r="29" spans="1:17" x14ac:dyDescent="0.25">
      <c r="A29" s="443">
        <v>5121</v>
      </c>
      <c r="B29" s="116" t="s">
        <v>52</v>
      </c>
      <c r="C29" s="108" t="s">
        <v>420</v>
      </c>
      <c r="D29" s="125"/>
      <c r="E29">
        <f t="shared" si="1"/>
        <v>29</v>
      </c>
      <c r="F29" s="428">
        <v>753</v>
      </c>
      <c r="G29" s="443">
        <v>5121</v>
      </c>
      <c r="H29" s="429" t="s">
        <v>52</v>
      </c>
      <c r="I29" s="430" t="s">
        <v>420</v>
      </c>
      <c r="K29" s="517">
        <f t="shared" si="0"/>
        <v>0</v>
      </c>
      <c r="L29" s="428">
        <v>753</v>
      </c>
      <c r="M29" s="513">
        <v>5121</v>
      </c>
      <c r="N29" s="429" t="s">
        <v>52</v>
      </c>
      <c r="O29" s="439" t="s">
        <v>420</v>
      </c>
      <c r="Q29" s="500">
        <f t="shared" si="2"/>
        <v>23</v>
      </c>
    </row>
    <row r="30" spans="1:17" x14ac:dyDescent="0.25">
      <c r="A30" s="443">
        <v>5313</v>
      </c>
      <c r="B30" s="116" t="s">
        <v>52</v>
      </c>
      <c r="C30" s="108" t="s">
        <v>118</v>
      </c>
      <c r="D30" s="125"/>
      <c r="E30">
        <f t="shared" si="1"/>
        <v>30</v>
      </c>
      <c r="F30" s="428">
        <v>210</v>
      </c>
      <c r="G30" s="443">
        <v>5313</v>
      </c>
      <c r="H30" s="429" t="s">
        <v>52</v>
      </c>
      <c r="I30" s="430" t="s">
        <v>118</v>
      </c>
      <c r="K30" s="517">
        <f t="shared" si="0"/>
        <v>0</v>
      </c>
      <c r="L30" s="428">
        <v>210</v>
      </c>
      <c r="M30" s="513">
        <v>5313</v>
      </c>
      <c r="N30" s="429" t="s">
        <v>52</v>
      </c>
      <c r="O30" s="439" t="s">
        <v>118</v>
      </c>
      <c r="Q30" s="500">
        <f t="shared" si="2"/>
        <v>24</v>
      </c>
    </row>
    <row r="31" spans="1:17" x14ac:dyDescent="0.25">
      <c r="A31" s="443">
        <v>5323</v>
      </c>
      <c r="B31" s="116" t="s">
        <v>52</v>
      </c>
      <c r="C31" s="108" t="s">
        <v>486</v>
      </c>
      <c r="D31" s="125"/>
      <c r="E31">
        <f t="shared" si="1"/>
        <v>31</v>
      </c>
      <c r="F31" s="428">
        <v>857</v>
      </c>
      <c r="G31" s="443">
        <v>5323</v>
      </c>
      <c r="H31" s="429" t="s">
        <v>52</v>
      </c>
      <c r="I31" s="430" t="s">
        <v>486</v>
      </c>
      <c r="K31" s="517">
        <f t="shared" si="0"/>
        <v>0</v>
      </c>
      <c r="L31" s="428">
        <v>857</v>
      </c>
      <c r="M31" s="513">
        <v>5323</v>
      </c>
      <c r="N31" s="429" t="s">
        <v>52</v>
      </c>
      <c r="O31" s="439" t="s">
        <v>486</v>
      </c>
      <c r="Q31" s="500">
        <f t="shared" si="2"/>
        <v>25</v>
      </c>
    </row>
    <row r="32" spans="1:17" x14ac:dyDescent="0.25">
      <c r="A32" s="443">
        <v>5401</v>
      </c>
      <c r="B32" s="116" t="s">
        <v>52</v>
      </c>
      <c r="C32" s="108" t="s">
        <v>64</v>
      </c>
      <c r="D32" s="125"/>
      <c r="E32">
        <f t="shared" si="1"/>
        <v>32</v>
      </c>
      <c r="F32" s="428">
        <v>98</v>
      </c>
      <c r="G32" s="443">
        <v>5401</v>
      </c>
      <c r="H32" s="429" t="s">
        <v>52</v>
      </c>
      <c r="I32" s="430" t="s">
        <v>64</v>
      </c>
      <c r="K32" s="517">
        <f t="shared" si="0"/>
        <v>0</v>
      </c>
      <c r="L32" s="428">
        <v>98</v>
      </c>
      <c r="M32" s="513">
        <v>5401</v>
      </c>
      <c r="N32" s="429" t="s">
        <v>52</v>
      </c>
      <c r="O32" s="439" t="s">
        <v>64</v>
      </c>
      <c r="Q32" s="500">
        <f t="shared" si="2"/>
        <v>26</v>
      </c>
    </row>
    <row r="33" spans="1:17" x14ac:dyDescent="0.25">
      <c r="A33" s="443">
        <v>5402</v>
      </c>
      <c r="B33" s="116" t="s">
        <v>52</v>
      </c>
      <c r="C33" s="108" t="s">
        <v>438</v>
      </c>
      <c r="D33" s="125"/>
      <c r="E33">
        <f t="shared" si="1"/>
        <v>33</v>
      </c>
      <c r="F33" s="428">
        <v>787</v>
      </c>
      <c r="G33" s="443">
        <v>5402</v>
      </c>
      <c r="H33" s="429" t="s">
        <v>52</v>
      </c>
      <c r="I33" s="430" t="s">
        <v>438</v>
      </c>
      <c r="K33" s="517">
        <f t="shared" si="0"/>
        <v>0</v>
      </c>
      <c r="L33" s="428">
        <v>787</v>
      </c>
      <c r="M33" s="513">
        <v>5402</v>
      </c>
      <c r="N33" s="429" t="s">
        <v>52</v>
      </c>
      <c r="O33" s="439" t="s">
        <v>438</v>
      </c>
      <c r="Q33" s="500">
        <f t="shared" si="2"/>
        <v>27</v>
      </c>
    </row>
    <row r="34" spans="1:17" x14ac:dyDescent="0.25">
      <c r="A34" s="443">
        <v>5903</v>
      </c>
      <c r="B34" s="250" t="s">
        <v>1039</v>
      </c>
      <c r="C34" s="235" t="s">
        <v>1081</v>
      </c>
      <c r="D34" s="125"/>
      <c r="E34">
        <f t="shared" si="1"/>
        <v>34</v>
      </c>
      <c r="F34" s="431">
        <v>2901</v>
      </c>
      <c r="G34" s="443">
        <v>5903</v>
      </c>
      <c r="H34" s="429" t="s">
        <v>52</v>
      </c>
      <c r="I34" s="430" t="s">
        <v>1086</v>
      </c>
      <c r="K34" s="517">
        <f t="shared" si="0"/>
        <v>0</v>
      </c>
      <c r="L34" s="431">
        <v>2901</v>
      </c>
      <c r="M34" s="513">
        <v>5903</v>
      </c>
      <c r="N34" s="432" t="s">
        <v>1039</v>
      </c>
      <c r="O34" s="506" t="s">
        <v>1081</v>
      </c>
      <c r="Q34" s="500">
        <f t="shared" si="2"/>
        <v>28</v>
      </c>
    </row>
    <row r="35" spans="1:17" x14ac:dyDescent="0.25">
      <c r="A35" s="443">
        <v>6037</v>
      </c>
      <c r="B35" s="116" t="s">
        <v>34</v>
      </c>
      <c r="C35" s="108" t="s">
        <v>572</v>
      </c>
      <c r="D35" s="125"/>
      <c r="E35">
        <f t="shared" si="1"/>
        <v>35</v>
      </c>
      <c r="F35" s="428">
        <v>1031</v>
      </c>
      <c r="G35" s="443">
        <v>6037</v>
      </c>
      <c r="H35" s="429" t="s">
        <v>34</v>
      </c>
      <c r="I35" s="430" t="s">
        <v>572</v>
      </c>
      <c r="K35" s="517">
        <f t="shared" si="0"/>
        <v>0</v>
      </c>
      <c r="L35" s="428">
        <v>1031</v>
      </c>
      <c r="M35" s="513">
        <v>6037</v>
      </c>
      <c r="N35" s="429" t="s">
        <v>34</v>
      </c>
      <c r="O35" s="439" t="s">
        <v>572</v>
      </c>
      <c r="Q35" s="500">
        <f t="shared" si="2"/>
        <v>29</v>
      </c>
    </row>
    <row r="36" spans="1:17" x14ac:dyDescent="0.25">
      <c r="A36" s="443">
        <v>6098</v>
      </c>
      <c r="B36" s="116" t="s">
        <v>34</v>
      </c>
      <c r="C36" s="108" t="s">
        <v>220</v>
      </c>
      <c r="D36" s="125"/>
      <c r="E36">
        <f t="shared" si="1"/>
        <v>36</v>
      </c>
      <c r="F36" s="428">
        <v>381</v>
      </c>
      <c r="G36" s="443">
        <v>6098</v>
      </c>
      <c r="H36" s="429" t="s">
        <v>34</v>
      </c>
      <c r="I36" s="430" t="s">
        <v>220</v>
      </c>
      <c r="K36" s="517">
        <f t="shared" si="0"/>
        <v>0</v>
      </c>
      <c r="L36" s="428">
        <v>381</v>
      </c>
      <c r="M36" s="513">
        <v>6098</v>
      </c>
      <c r="N36" s="429" t="s">
        <v>34</v>
      </c>
      <c r="O36" s="439" t="s">
        <v>220</v>
      </c>
      <c r="Q36" s="500">
        <f t="shared" si="2"/>
        <v>30</v>
      </c>
    </row>
    <row r="37" spans="1:17" x14ac:dyDescent="0.25">
      <c r="A37" s="443">
        <v>6101</v>
      </c>
      <c r="B37" s="116" t="s">
        <v>34</v>
      </c>
      <c r="C37" s="108" t="s">
        <v>252</v>
      </c>
      <c r="D37" s="125"/>
      <c r="E37">
        <f t="shared" si="1"/>
        <v>37</v>
      </c>
      <c r="F37" s="428">
        <v>506</v>
      </c>
      <c r="G37" s="443">
        <v>6101</v>
      </c>
      <c r="H37" s="429" t="s">
        <v>34</v>
      </c>
      <c r="I37" s="430" t="s">
        <v>252</v>
      </c>
      <c r="K37" s="517">
        <f t="shared" si="0"/>
        <v>0</v>
      </c>
      <c r="L37" s="428">
        <v>506</v>
      </c>
      <c r="M37" s="513">
        <v>6101</v>
      </c>
      <c r="N37" s="429" t="s">
        <v>34</v>
      </c>
      <c r="O37" s="439" t="s">
        <v>252</v>
      </c>
      <c r="Q37" s="500">
        <f t="shared" si="2"/>
        <v>31</v>
      </c>
    </row>
    <row r="38" spans="1:17" x14ac:dyDescent="0.25">
      <c r="A38" s="443">
        <v>6103</v>
      </c>
      <c r="B38" s="116" t="s">
        <v>34</v>
      </c>
      <c r="C38" s="108" t="s">
        <v>210</v>
      </c>
      <c r="D38" s="125"/>
      <c r="E38">
        <f t="shared" si="1"/>
        <v>38</v>
      </c>
      <c r="F38" s="428">
        <v>366</v>
      </c>
      <c r="G38" s="443">
        <v>6103</v>
      </c>
      <c r="H38" s="429" t="s">
        <v>34</v>
      </c>
      <c r="I38" s="430" t="s">
        <v>210</v>
      </c>
      <c r="K38" s="517">
        <f t="shared" si="0"/>
        <v>0</v>
      </c>
      <c r="L38" s="428">
        <v>366</v>
      </c>
      <c r="M38" s="513">
        <v>6103</v>
      </c>
      <c r="N38" s="429" t="s">
        <v>34</v>
      </c>
      <c r="O38" s="439" t="s">
        <v>210</v>
      </c>
      <c r="Q38" s="500">
        <f t="shared" si="2"/>
        <v>32</v>
      </c>
    </row>
    <row r="39" spans="1:17" x14ac:dyDescent="0.25">
      <c r="A39" s="443">
        <v>6112</v>
      </c>
      <c r="B39" s="116" t="s">
        <v>34</v>
      </c>
      <c r="C39" s="108" t="s">
        <v>588</v>
      </c>
      <c r="D39" s="125"/>
      <c r="E39">
        <f t="shared" si="1"/>
        <v>39</v>
      </c>
      <c r="F39" s="428">
        <v>1063</v>
      </c>
      <c r="G39" s="443">
        <v>6112</v>
      </c>
      <c r="H39" s="429" t="s">
        <v>34</v>
      </c>
      <c r="I39" s="430" t="s">
        <v>588</v>
      </c>
      <c r="K39" s="517">
        <f t="shared" si="0"/>
        <v>0</v>
      </c>
      <c r="L39" s="428">
        <v>1063</v>
      </c>
      <c r="M39" s="513">
        <v>6112</v>
      </c>
      <c r="N39" s="429" t="s">
        <v>34</v>
      </c>
      <c r="O39" s="439" t="s">
        <v>588</v>
      </c>
      <c r="Q39" s="500">
        <f t="shared" si="2"/>
        <v>33</v>
      </c>
    </row>
    <row r="40" spans="1:17" x14ac:dyDescent="0.25">
      <c r="A40" s="443">
        <v>6114</v>
      </c>
      <c r="B40" s="116" t="s">
        <v>34</v>
      </c>
      <c r="C40" s="108" t="s">
        <v>176</v>
      </c>
      <c r="D40" s="125"/>
      <c r="E40">
        <f t="shared" si="1"/>
        <v>40</v>
      </c>
      <c r="F40" s="428">
        <v>291</v>
      </c>
      <c r="G40" s="443">
        <v>6114</v>
      </c>
      <c r="H40" s="429" t="s">
        <v>34</v>
      </c>
      <c r="I40" s="430" t="s">
        <v>176</v>
      </c>
      <c r="K40" s="517">
        <f t="shared" si="0"/>
        <v>0</v>
      </c>
      <c r="L40" s="428">
        <v>291</v>
      </c>
      <c r="M40" s="513">
        <v>6114</v>
      </c>
      <c r="N40" s="429" t="s">
        <v>34</v>
      </c>
      <c r="O40" s="439" t="s">
        <v>176</v>
      </c>
      <c r="Q40" s="500">
        <f t="shared" si="2"/>
        <v>34</v>
      </c>
    </row>
    <row r="41" spans="1:17" x14ac:dyDescent="0.25">
      <c r="A41" s="443">
        <v>6117</v>
      </c>
      <c r="B41" s="116" t="s">
        <v>34</v>
      </c>
      <c r="C41" s="108" t="s">
        <v>62</v>
      </c>
      <c r="D41" s="125"/>
      <c r="E41">
        <f t="shared" si="1"/>
        <v>41</v>
      </c>
      <c r="F41" s="428">
        <v>96</v>
      </c>
      <c r="G41" s="443">
        <v>6117</v>
      </c>
      <c r="H41" s="429" t="s">
        <v>34</v>
      </c>
      <c r="I41" s="430" t="s">
        <v>62</v>
      </c>
      <c r="K41" s="517">
        <f t="shared" si="0"/>
        <v>0</v>
      </c>
      <c r="L41" s="428">
        <v>96</v>
      </c>
      <c r="M41" s="513">
        <v>6117</v>
      </c>
      <c r="N41" s="429" t="s">
        <v>34</v>
      </c>
      <c r="O41" s="439" t="s">
        <v>62</v>
      </c>
      <c r="Q41" s="500">
        <f t="shared" si="2"/>
        <v>35</v>
      </c>
    </row>
    <row r="42" spans="1:17" x14ac:dyDescent="0.25">
      <c r="A42" s="443">
        <v>6119</v>
      </c>
      <c r="B42" s="116" t="s">
        <v>34</v>
      </c>
      <c r="C42" s="108" t="s">
        <v>32</v>
      </c>
      <c r="D42" s="125"/>
      <c r="E42">
        <f t="shared" si="1"/>
        <v>42</v>
      </c>
      <c r="F42" s="428">
        <v>45</v>
      </c>
      <c r="G42" s="443">
        <v>6119</v>
      </c>
      <c r="H42" s="429" t="s">
        <v>34</v>
      </c>
      <c r="I42" s="430" t="s">
        <v>32</v>
      </c>
      <c r="K42" s="517">
        <f t="shared" si="0"/>
        <v>0</v>
      </c>
      <c r="L42" s="428">
        <v>45</v>
      </c>
      <c r="M42" s="513">
        <v>6119</v>
      </c>
      <c r="N42" s="429" t="s">
        <v>34</v>
      </c>
      <c r="O42" s="439" t="s">
        <v>32</v>
      </c>
      <c r="Q42" s="500">
        <f t="shared" si="2"/>
        <v>36</v>
      </c>
    </row>
    <row r="43" spans="1:17" x14ac:dyDescent="0.25">
      <c r="A43" s="443">
        <v>6122</v>
      </c>
      <c r="B43" s="116" t="s">
        <v>34</v>
      </c>
      <c r="C43" s="108" t="s">
        <v>456</v>
      </c>
      <c r="D43" s="125"/>
      <c r="E43">
        <f t="shared" si="1"/>
        <v>43</v>
      </c>
      <c r="F43" s="428">
        <v>812</v>
      </c>
      <c r="G43" s="443">
        <v>6122</v>
      </c>
      <c r="H43" s="429" t="s">
        <v>34</v>
      </c>
      <c r="I43" s="430" t="s">
        <v>456</v>
      </c>
      <c r="K43" s="517">
        <f t="shared" si="0"/>
        <v>0</v>
      </c>
      <c r="L43" s="428">
        <v>812</v>
      </c>
      <c r="M43" s="513">
        <v>6122</v>
      </c>
      <c r="N43" s="429" t="s">
        <v>34</v>
      </c>
      <c r="O43" s="439" t="s">
        <v>456</v>
      </c>
      <c r="Q43" s="500">
        <f t="shared" si="2"/>
        <v>37</v>
      </c>
    </row>
    <row r="44" spans="1:17" x14ac:dyDescent="0.25">
      <c r="A44" s="443">
        <v>6801</v>
      </c>
      <c r="B44" s="116" t="s">
        <v>34</v>
      </c>
      <c r="C44" s="249" t="s">
        <v>154</v>
      </c>
      <c r="D44" s="125"/>
      <c r="E44">
        <f t="shared" si="1"/>
        <v>44</v>
      </c>
      <c r="F44" s="428">
        <v>261</v>
      </c>
      <c r="G44" s="443">
        <v>6801</v>
      </c>
      <c r="H44" s="429" t="s">
        <v>34</v>
      </c>
      <c r="I44" s="430" t="s">
        <v>154</v>
      </c>
      <c r="K44" s="517">
        <f t="shared" si="0"/>
        <v>0</v>
      </c>
      <c r="L44" s="428">
        <v>261</v>
      </c>
      <c r="M44" s="513">
        <v>6801</v>
      </c>
      <c r="N44" s="429" t="s">
        <v>34</v>
      </c>
      <c r="O44" s="504" t="s">
        <v>154</v>
      </c>
      <c r="Q44" s="500">
        <f t="shared" si="2"/>
        <v>38</v>
      </c>
    </row>
    <row r="45" spans="1:17" x14ac:dyDescent="0.25">
      <c r="A45" s="513">
        <v>6901</v>
      </c>
      <c r="B45" s="432" t="s">
        <v>1039</v>
      </c>
      <c r="C45" s="454" t="s">
        <v>1207</v>
      </c>
      <c r="D45" s="125"/>
      <c r="E45">
        <f t="shared" si="1"/>
        <v>45</v>
      </c>
      <c r="F45" s="527">
        <v>4309</v>
      </c>
      <c r="G45" s="513">
        <v>6901</v>
      </c>
      <c r="H45" s="432" t="s">
        <v>1039</v>
      </c>
      <c r="I45" s="454" t="s">
        <v>1207</v>
      </c>
      <c r="K45" s="517">
        <f t="shared" si="0"/>
        <v>0</v>
      </c>
      <c r="L45" s="527">
        <v>4309</v>
      </c>
      <c r="M45" s="513">
        <v>6901</v>
      </c>
      <c r="N45" s="432" t="s">
        <v>1039</v>
      </c>
      <c r="O45" s="454" t="s">
        <v>1207</v>
      </c>
      <c r="Q45" s="500" t="s">
        <v>1202</v>
      </c>
    </row>
    <row r="46" spans="1:17" x14ac:dyDescent="0.25">
      <c r="A46" s="443">
        <v>7002</v>
      </c>
      <c r="B46" s="116" t="s">
        <v>26</v>
      </c>
      <c r="C46" s="108" t="s">
        <v>132</v>
      </c>
      <c r="D46" s="125"/>
      <c r="E46">
        <f t="shared" si="1"/>
        <v>46</v>
      </c>
      <c r="F46" s="428">
        <v>225</v>
      </c>
      <c r="G46" s="443">
        <v>7002</v>
      </c>
      <c r="H46" s="429" t="s">
        <v>26</v>
      </c>
      <c r="I46" s="430" t="s">
        <v>132</v>
      </c>
      <c r="K46" s="517">
        <f t="shared" si="0"/>
        <v>0</v>
      </c>
      <c r="L46" s="428">
        <v>225</v>
      </c>
      <c r="M46" s="513">
        <v>7002</v>
      </c>
      <c r="N46" s="429" t="s">
        <v>26</v>
      </c>
      <c r="O46" s="439" t="s">
        <v>132</v>
      </c>
    </row>
    <row r="47" spans="1:17" x14ac:dyDescent="0.25">
      <c r="A47" s="443">
        <v>7035</v>
      </c>
      <c r="B47" s="116" t="s">
        <v>26</v>
      </c>
      <c r="C47" s="108" t="s">
        <v>520</v>
      </c>
      <c r="D47" s="125"/>
      <c r="E47">
        <f t="shared" si="1"/>
        <v>47</v>
      </c>
      <c r="F47" s="428">
        <v>933</v>
      </c>
      <c r="G47" s="443">
        <v>7035</v>
      </c>
      <c r="H47" s="429" t="s">
        <v>26</v>
      </c>
      <c r="I47" s="430" t="s">
        <v>520</v>
      </c>
      <c r="K47" s="517">
        <f t="shared" si="0"/>
        <v>0</v>
      </c>
      <c r="L47" s="428">
        <v>933</v>
      </c>
      <c r="M47" s="513">
        <v>7035</v>
      </c>
      <c r="N47" s="429" t="s">
        <v>26</v>
      </c>
      <c r="O47" s="439" t="s">
        <v>520</v>
      </c>
    </row>
    <row r="48" spans="1:17" x14ac:dyDescent="0.25">
      <c r="A48" s="443">
        <v>8122</v>
      </c>
      <c r="B48" s="116" t="s">
        <v>34</v>
      </c>
      <c r="C48" s="108" t="s">
        <v>272</v>
      </c>
      <c r="D48" s="125"/>
      <c r="E48">
        <f t="shared" si="1"/>
        <v>48</v>
      </c>
      <c r="F48" s="428">
        <v>550</v>
      </c>
      <c r="G48" s="443">
        <v>8122</v>
      </c>
      <c r="H48" s="429" t="s">
        <v>34</v>
      </c>
      <c r="I48" s="430" t="s">
        <v>272</v>
      </c>
      <c r="K48" s="517">
        <f t="shared" si="0"/>
        <v>0</v>
      </c>
      <c r="L48" s="428">
        <v>550</v>
      </c>
      <c r="M48" s="513">
        <v>8122</v>
      </c>
      <c r="N48" s="429" t="s">
        <v>34</v>
      </c>
      <c r="O48" s="439" t="s">
        <v>272</v>
      </c>
    </row>
    <row r="49" spans="1:15" x14ac:dyDescent="0.25">
      <c r="A49" s="443">
        <v>8130</v>
      </c>
      <c r="B49" s="116" t="s">
        <v>34</v>
      </c>
      <c r="C49" s="108" t="s">
        <v>558</v>
      </c>
      <c r="D49" s="125"/>
      <c r="E49">
        <f t="shared" si="1"/>
        <v>49</v>
      </c>
      <c r="F49" s="428">
        <v>994</v>
      </c>
      <c r="G49" s="443">
        <v>8130</v>
      </c>
      <c r="H49" s="429" t="s">
        <v>34</v>
      </c>
      <c r="I49" s="430" t="s">
        <v>558</v>
      </c>
      <c r="K49" s="517">
        <f t="shared" si="0"/>
        <v>0</v>
      </c>
      <c r="L49" s="428">
        <v>994</v>
      </c>
      <c r="M49" s="513">
        <v>8130</v>
      </c>
      <c r="N49" s="429" t="s">
        <v>34</v>
      </c>
      <c r="O49" s="439" t="s">
        <v>558</v>
      </c>
    </row>
    <row r="50" spans="1:15" x14ac:dyDescent="0.25">
      <c r="A50" s="443">
        <v>8401</v>
      </c>
      <c r="B50" s="116" t="s">
        <v>34</v>
      </c>
      <c r="C50" s="108" t="s">
        <v>72</v>
      </c>
      <c r="D50" s="125"/>
      <c r="E50">
        <f t="shared" si="1"/>
        <v>50</v>
      </c>
      <c r="F50" s="428">
        <v>108</v>
      </c>
      <c r="G50" s="443">
        <v>8401</v>
      </c>
      <c r="H50" s="429" t="s">
        <v>34</v>
      </c>
      <c r="I50" s="430" t="s">
        <v>72</v>
      </c>
      <c r="K50" s="517">
        <f t="shared" si="0"/>
        <v>0</v>
      </c>
      <c r="L50" s="428">
        <v>108</v>
      </c>
      <c r="M50" s="513">
        <v>8401</v>
      </c>
      <c r="N50" s="429" t="s">
        <v>34</v>
      </c>
      <c r="O50" s="439" t="s">
        <v>72</v>
      </c>
    </row>
    <row r="51" spans="1:15" x14ac:dyDescent="0.25">
      <c r="A51" s="443">
        <v>8402</v>
      </c>
      <c r="B51" s="116" t="s">
        <v>34</v>
      </c>
      <c r="C51" s="108" t="s">
        <v>234</v>
      </c>
      <c r="D51" s="125"/>
      <c r="E51">
        <f t="shared" si="1"/>
        <v>51</v>
      </c>
      <c r="F51" s="428">
        <v>424</v>
      </c>
      <c r="G51" s="443">
        <v>8402</v>
      </c>
      <c r="H51" s="429" t="s">
        <v>34</v>
      </c>
      <c r="I51" s="430" t="s">
        <v>234</v>
      </c>
      <c r="K51" s="517">
        <f t="shared" si="0"/>
        <v>0</v>
      </c>
      <c r="L51" s="428">
        <v>424</v>
      </c>
      <c r="M51" s="513">
        <v>8402</v>
      </c>
      <c r="N51" s="429" t="s">
        <v>34</v>
      </c>
      <c r="O51" s="439" t="s">
        <v>234</v>
      </c>
    </row>
    <row r="52" spans="1:15" x14ac:dyDescent="0.25">
      <c r="A52" s="443">
        <v>8404</v>
      </c>
      <c r="B52" s="116" t="s">
        <v>34</v>
      </c>
      <c r="C52" s="108" t="s">
        <v>620</v>
      </c>
      <c r="D52" s="125"/>
      <c r="E52">
        <f t="shared" si="1"/>
        <v>52</v>
      </c>
      <c r="F52" s="428">
        <v>1113</v>
      </c>
      <c r="G52" s="443">
        <v>8404</v>
      </c>
      <c r="H52" s="429" t="s">
        <v>34</v>
      </c>
      <c r="I52" s="430" t="s">
        <v>620</v>
      </c>
      <c r="K52" s="517">
        <f t="shared" si="0"/>
        <v>0</v>
      </c>
      <c r="L52" s="428">
        <v>1113</v>
      </c>
      <c r="M52" s="513">
        <v>8404</v>
      </c>
      <c r="N52" s="429" t="s">
        <v>34</v>
      </c>
      <c r="O52" s="439" t="s">
        <v>620</v>
      </c>
    </row>
    <row r="53" spans="1:15" x14ac:dyDescent="0.25">
      <c r="A53" s="443">
        <v>8458</v>
      </c>
      <c r="B53" s="116" t="s">
        <v>34</v>
      </c>
      <c r="C53" s="108" t="s">
        <v>238</v>
      </c>
      <c r="D53" s="125"/>
      <c r="E53">
        <f t="shared" si="1"/>
        <v>53</v>
      </c>
      <c r="F53" s="428">
        <v>428</v>
      </c>
      <c r="G53" s="443">
        <v>8458</v>
      </c>
      <c r="H53" s="429" t="s">
        <v>34</v>
      </c>
      <c r="I53" s="430" t="s">
        <v>238</v>
      </c>
      <c r="K53" s="517">
        <f t="shared" si="0"/>
        <v>0</v>
      </c>
      <c r="L53" s="428">
        <v>428</v>
      </c>
      <c r="M53" s="513">
        <v>8458</v>
      </c>
      <c r="N53" s="429" t="s">
        <v>34</v>
      </c>
      <c r="O53" s="439" t="s">
        <v>238</v>
      </c>
    </row>
    <row r="54" spans="1:15" x14ac:dyDescent="0.25">
      <c r="A54" s="443">
        <v>9013</v>
      </c>
      <c r="B54" s="116" t="s">
        <v>55</v>
      </c>
      <c r="C54" s="108" t="s">
        <v>394</v>
      </c>
      <c r="D54" s="125"/>
      <c r="E54">
        <f t="shared" si="1"/>
        <v>54</v>
      </c>
      <c r="F54" s="428">
        <v>686</v>
      </c>
      <c r="G54" s="443">
        <v>9013</v>
      </c>
      <c r="H54" s="429" t="s">
        <v>55</v>
      </c>
      <c r="I54" s="430" t="s">
        <v>394</v>
      </c>
      <c r="K54" s="517">
        <f t="shared" si="0"/>
        <v>0</v>
      </c>
      <c r="L54" s="428">
        <v>686</v>
      </c>
      <c r="M54" s="513">
        <v>9013</v>
      </c>
      <c r="N54" s="429" t="s">
        <v>55</v>
      </c>
      <c r="O54" s="439" t="s">
        <v>394</v>
      </c>
    </row>
    <row r="55" spans="1:15" x14ac:dyDescent="0.25">
      <c r="A55" s="443">
        <v>9075</v>
      </c>
      <c r="B55" s="116" t="s">
        <v>55</v>
      </c>
      <c r="C55" s="108" t="s">
        <v>56</v>
      </c>
      <c r="D55" s="125"/>
      <c r="E55">
        <f t="shared" si="1"/>
        <v>55</v>
      </c>
      <c r="F55" s="428">
        <v>87</v>
      </c>
      <c r="G55" s="443">
        <v>9075</v>
      </c>
      <c r="H55" s="429" t="s">
        <v>55</v>
      </c>
      <c r="I55" s="430" t="s">
        <v>56</v>
      </c>
      <c r="K55" s="517">
        <f t="shared" si="0"/>
        <v>0</v>
      </c>
      <c r="L55" s="428">
        <v>87</v>
      </c>
      <c r="M55" s="513">
        <v>9075</v>
      </c>
      <c r="N55" s="429" t="s">
        <v>55</v>
      </c>
      <c r="O55" s="439" t="s">
        <v>56</v>
      </c>
    </row>
    <row r="56" spans="1:15" x14ac:dyDescent="0.25">
      <c r="A56" s="443">
        <v>9102</v>
      </c>
      <c r="B56" s="116" t="s">
        <v>55</v>
      </c>
      <c r="C56" s="108" t="s">
        <v>402</v>
      </c>
      <c r="D56" s="125"/>
      <c r="E56">
        <f t="shared" si="1"/>
        <v>56</v>
      </c>
      <c r="F56" s="428">
        <v>701</v>
      </c>
      <c r="G56" s="443">
        <v>9102</v>
      </c>
      <c r="H56" s="429" t="s">
        <v>55</v>
      </c>
      <c r="I56" s="430" t="s">
        <v>402</v>
      </c>
      <c r="K56" s="517">
        <f t="shared" si="0"/>
        <v>0</v>
      </c>
      <c r="L56" s="428">
        <v>701</v>
      </c>
      <c r="M56" s="513">
        <v>9102</v>
      </c>
      <c r="N56" s="429" t="s">
        <v>55</v>
      </c>
      <c r="O56" s="439" t="s">
        <v>402</v>
      </c>
    </row>
    <row r="57" spans="1:15" x14ac:dyDescent="0.25">
      <c r="A57" s="443">
        <v>9206</v>
      </c>
      <c r="B57" s="116" t="s">
        <v>55</v>
      </c>
      <c r="C57" s="108" t="s">
        <v>144</v>
      </c>
      <c r="D57" s="125"/>
      <c r="E57">
        <f t="shared" si="1"/>
        <v>57</v>
      </c>
      <c r="F57" s="428">
        <v>249</v>
      </c>
      <c r="G57" s="443">
        <v>9206</v>
      </c>
      <c r="H57" s="429" t="s">
        <v>55</v>
      </c>
      <c r="I57" s="430" t="s">
        <v>144</v>
      </c>
      <c r="K57" s="517">
        <f t="shared" si="0"/>
        <v>0</v>
      </c>
      <c r="L57" s="428">
        <v>249</v>
      </c>
      <c r="M57" s="513">
        <v>9206</v>
      </c>
      <c r="N57" s="429" t="s">
        <v>55</v>
      </c>
      <c r="O57" s="439" t="s">
        <v>144</v>
      </c>
    </row>
    <row r="58" spans="1:15" x14ac:dyDescent="0.25">
      <c r="A58" s="443">
        <v>9207</v>
      </c>
      <c r="B58" s="116" t="s">
        <v>55</v>
      </c>
      <c r="C58" s="108" t="s">
        <v>284</v>
      </c>
      <c r="D58" s="125"/>
      <c r="E58">
        <f t="shared" si="1"/>
        <v>58</v>
      </c>
      <c r="F58" s="428">
        <v>562</v>
      </c>
      <c r="G58" s="443">
        <v>9207</v>
      </c>
      <c r="H58" s="429" t="s">
        <v>55</v>
      </c>
      <c r="I58" s="430" t="s">
        <v>284</v>
      </c>
      <c r="K58" s="517">
        <f t="shared" si="0"/>
        <v>0</v>
      </c>
      <c r="L58" s="428">
        <v>562</v>
      </c>
      <c r="M58" s="513">
        <v>9207</v>
      </c>
      <c r="N58" s="429" t="s">
        <v>55</v>
      </c>
      <c r="O58" s="439" t="s">
        <v>284</v>
      </c>
    </row>
    <row r="59" spans="1:15" x14ac:dyDescent="0.25">
      <c r="A59" s="443">
        <v>9209</v>
      </c>
      <c r="B59" s="116" t="s">
        <v>55</v>
      </c>
      <c r="C59" s="108" t="s">
        <v>592</v>
      </c>
      <c r="D59" s="125"/>
      <c r="E59">
        <f t="shared" si="1"/>
        <v>59</v>
      </c>
      <c r="F59" s="428">
        <v>1067</v>
      </c>
      <c r="G59" s="443">
        <v>9209</v>
      </c>
      <c r="H59" s="429" t="s">
        <v>55</v>
      </c>
      <c r="I59" s="430" t="s">
        <v>592</v>
      </c>
      <c r="K59" s="517">
        <f t="shared" si="0"/>
        <v>0</v>
      </c>
      <c r="L59" s="428">
        <v>1067</v>
      </c>
      <c r="M59" s="513">
        <v>9209</v>
      </c>
      <c r="N59" s="429" t="s">
        <v>55</v>
      </c>
      <c r="O59" s="439" t="s">
        <v>592</v>
      </c>
    </row>
    <row r="60" spans="1:15" x14ac:dyDescent="0.25">
      <c r="A60" s="443">
        <v>10003</v>
      </c>
      <c r="B60" s="116" t="s">
        <v>18</v>
      </c>
      <c r="C60" s="108" t="s">
        <v>236</v>
      </c>
      <c r="D60" s="125"/>
      <c r="E60">
        <f t="shared" si="1"/>
        <v>60</v>
      </c>
      <c r="F60" s="428">
        <v>425</v>
      </c>
      <c r="G60" s="443">
        <v>10003</v>
      </c>
      <c r="H60" s="429" t="s">
        <v>18</v>
      </c>
      <c r="I60" s="430" t="s">
        <v>236</v>
      </c>
      <c r="K60" s="517">
        <f t="shared" si="0"/>
        <v>0</v>
      </c>
      <c r="L60" s="428">
        <v>425</v>
      </c>
      <c r="M60" s="458">
        <v>10003</v>
      </c>
      <c r="N60" s="429" t="s">
        <v>18</v>
      </c>
      <c r="O60" s="439" t="s">
        <v>236</v>
      </c>
    </row>
    <row r="61" spans="1:15" x14ac:dyDescent="0.25">
      <c r="A61" s="443">
        <v>10050</v>
      </c>
      <c r="B61" s="116" t="s">
        <v>18</v>
      </c>
      <c r="C61" s="108" t="s">
        <v>122</v>
      </c>
      <c r="D61" s="125"/>
      <c r="E61">
        <f t="shared" si="1"/>
        <v>61</v>
      </c>
      <c r="F61" s="428">
        <v>214</v>
      </c>
      <c r="G61" s="443">
        <v>10050</v>
      </c>
      <c r="H61" s="429" t="s">
        <v>18</v>
      </c>
      <c r="I61" s="430" t="s">
        <v>122</v>
      </c>
      <c r="K61" s="517">
        <f t="shared" si="0"/>
        <v>0</v>
      </c>
      <c r="L61" s="428">
        <v>214</v>
      </c>
      <c r="M61" s="458">
        <v>10050</v>
      </c>
      <c r="N61" s="429" t="s">
        <v>18</v>
      </c>
      <c r="O61" s="439" t="s">
        <v>122</v>
      </c>
    </row>
    <row r="62" spans="1:15" x14ac:dyDescent="0.25">
      <c r="A62" s="443">
        <v>10065</v>
      </c>
      <c r="B62" s="116" t="s">
        <v>18</v>
      </c>
      <c r="C62" s="108" t="s">
        <v>392</v>
      </c>
      <c r="D62" s="125"/>
      <c r="E62">
        <f t="shared" si="1"/>
        <v>62</v>
      </c>
      <c r="F62" s="428">
        <v>685</v>
      </c>
      <c r="G62" s="443">
        <v>10065</v>
      </c>
      <c r="H62" s="429" t="s">
        <v>18</v>
      </c>
      <c r="I62" s="430" t="s">
        <v>392</v>
      </c>
      <c r="K62" s="517">
        <f t="shared" si="0"/>
        <v>0</v>
      </c>
      <c r="L62" s="428">
        <v>685</v>
      </c>
      <c r="M62" s="458">
        <v>10065</v>
      </c>
      <c r="N62" s="429" t="s">
        <v>18</v>
      </c>
      <c r="O62" s="439" t="s">
        <v>392</v>
      </c>
    </row>
    <row r="63" spans="1:15" x14ac:dyDescent="0.25">
      <c r="A63" s="443">
        <v>10070</v>
      </c>
      <c r="B63" s="116" t="s">
        <v>18</v>
      </c>
      <c r="C63" s="108" t="s">
        <v>226</v>
      </c>
      <c r="D63" s="125"/>
      <c r="E63">
        <f t="shared" si="1"/>
        <v>63</v>
      </c>
      <c r="F63" s="428">
        <v>396</v>
      </c>
      <c r="G63" s="443">
        <v>10070</v>
      </c>
      <c r="H63" s="429" t="s">
        <v>18</v>
      </c>
      <c r="I63" s="430" t="s">
        <v>226</v>
      </c>
      <c r="K63" s="517">
        <f t="shared" si="0"/>
        <v>0</v>
      </c>
      <c r="L63" s="428">
        <v>396</v>
      </c>
      <c r="M63" s="458">
        <v>10070</v>
      </c>
      <c r="N63" s="429" t="s">
        <v>18</v>
      </c>
      <c r="O63" s="439" t="s">
        <v>226</v>
      </c>
    </row>
    <row r="64" spans="1:15" x14ac:dyDescent="0.25">
      <c r="A64" s="443">
        <v>10309</v>
      </c>
      <c r="B64" s="116" t="s">
        <v>18</v>
      </c>
      <c r="C64" s="108" t="s">
        <v>452</v>
      </c>
      <c r="D64" s="125"/>
      <c r="E64">
        <f t="shared" si="1"/>
        <v>64</v>
      </c>
      <c r="F64" s="428">
        <v>805</v>
      </c>
      <c r="G64" s="443">
        <v>10309</v>
      </c>
      <c r="H64" s="429" t="s">
        <v>18</v>
      </c>
      <c r="I64" s="430" t="s">
        <v>452</v>
      </c>
      <c r="K64" s="517">
        <f t="shared" si="0"/>
        <v>0</v>
      </c>
      <c r="L64" s="428">
        <v>805</v>
      </c>
      <c r="M64" s="458">
        <v>10309</v>
      </c>
      <c r="N64" s="429" t="s">
        <v>18</v>
      </c>
      <c r="O64" s="439" t="s">
        <v>452</v>
      </c>
    </row>
    <row r="65" spans="1:15" x14ac:dyDescent="0.25">
      <c r="A65" s="443">
        <v>11001</v>
      </c>
      <c r="B65" s="116" t="s">
        <v>26</v>
      </c>
      <c r="C65" s="108" t="s">
        <v>406</v>
      </c>
      <c r="D65" s="125"/>
      <c r="E65">
        <f t="shared" si="1"/>
        <v>65</v>
      </c>
      <c r="F65" s="428">
        <v>709</v>
      </c>
      <c r="G65" s="443">
        <v>11001</v>
      </c>
      <c r="H65" s="429" t="s">
        <v>26</v>
      </c>
      <c r="I65" s="430" t="s">
        <v>406</v>
      </c>
      <c r="K65" s="517">
        <f t="shared" si="0"/>
        <v>0</v>
      </c>
      <c r="L65" s="428">
        <v>709</v>
      </c>
      <c r="M65" s="458">
        <v>11001</v>
      </c>
      <c r="N65" s="429" t="s">
        <v>26</v>
      </c>
      <c r="O65" s="439" t="s">
        <v>406</v>
      </c>
    </row>
    <row r="66" spans="1:15" x14ac:dyDescent="0.25">
      <c r="A66" s="443">
        <v>11051</v>
      </c>
      <c r="B66" s="116" t="s">
        <v>26</v>
      </c>
      <c r="C66" s="108" t="s">
        <v>346</v>
      </c>
      <c r="D66" s="125"/>
      <c r="E66">
        <f t="shared" si="1"/>
        <v>66</v>
      </c>
      <c r="F66" s="428">
        <v>648</v>
      </c>
      <c r="G66" s="443">
        <v>11051</v>
      </c>
      <c r="H66" s="429" t="s">
        <v>26</v>
      </c>
      <c r="I66" s="430" t="s">
        <v>346</v>
      </c>
      <c r="K66" s="517">
        <f t="shared" si="0"/>
        <v>0</v>
      </c>
      <c r="L66" s="428">
        <v>648</v>
      </c>
      <c r="M66" s="458">
        <v>11051</v>
      </c>
      <c r="N66" s="429" t="s">
        <v>26</v>
      </c>
      <c r="O66" s="439" t="s">
        <v>346</v>
      </c>
    </row>
    <row r="67" spans="1:15" x14ac:dyDescent="0.25">
      <c r="A67" s="443">
        <v>11054</v>
      </c>
      <c r="B67" s="116" t="s">
        <v>26</v>
      </c>
      <c r="C67" s="108" t="s">
        <v>518</v>
      </c>
      <c r="D67" s="125"/>
      <c r="E67">
        <f t="shared" si="1"/>
        <v>67</v>
      </c>
      <c r="F67" s="428">
        <v>932</v>
      </c>
      <c r="G67" s="443">
        <v>11054</v>
      </c>
      <c r="H67" s="429" t="s">
        <v>26</v>
      </c>
      <c r="I67" s="430" t="s">
        <v>518</v>
      </c>
      <c r="K67" s="517">
        <f t="shared" si="0"/>
        <v>0</v>
      </c>
      <c r="L67" s="428">
        <v>932</v>
      </c>
      <c r="M67" s="458">
        <v>11054</v>
      </c>
      <c r="N67" s="429" t="s">
        <v>26</v>
      </c>
      <c r="O67" s="439" t="s">
        <v>518</v>
      </c>
    </row>
    <row r="68" spans="1:15" x14ac:dyDescent="0.25">
      <c r="A68" s="443">
        <v>11056</v>
      </c>
      <c r="B68" s="116" t="s">
        <v>26</v>
      </c>
      <c r="C68" s="108" t="s">
        <v>232</v>
      </c>
      <c r="D68" s="125"/>
      <c r="E68">
        <f t="shared" si="1"/>
        <v>68</v>
      </c>
      <c r="F68" s="428">
        <v>421</v>
      </c>
      <c r="G68" s="443">
        <v>11056</v>
      </c>
      <c r="H68" s="429" t="s">
        <v>26</v>
      </c>
      <c r="I68" s="430" t="s">
        <v>232</v>
      </c>
      <c r="K68" s="517">
        <f t="shared" si="0"/>
        <v>0</v>
      </c>
      <c r="L68" s="428">
        <v>421</v>
      </c>
      <c r="M68" s="458">
        <v>11056</v>
      </c>
      <c r="N68" s="429" t="s">
        <v>26</v>
      </c>
      <c r="O68" s="439" t="s">
        <v>232</v>
      </c>
    </row>
    <row r="69" spans="1:15" x14ac:dyDescent="0.25">
      <c r="A69" s="443">
        <v>11801</v>
      </c>
      <c r="B69" s="116">
        <v>123</v>
      </c>
      <c r="C69" s="249" t="s">
        <v>158</v>
      </c>
      <c r="D69" s="125"/>
      <c r="E69">
        <f t="shared" si="1"/>
        <v>69</v>
      </c>
      <c r="F69" s="428">
        <v>265</v>
      </c>
      <c r="G69" s="443">
        <v>11801</v>
      </c>
      <c r="H69" s="429">
        <v>123</v>
      </c>
      <c r="I69" s="430" t="s">
        <v>158</v>
      </c>
      <c r="K69" s="517">
        <f t="shared" si="0"/>
        <v>0</v>
      </c>
      <c r="L69" s="428">
        <v>265</v>
      </c>
      <c r="M69" s="458">
        <v>11801</v>
      </c>
      <c r="N69" s="429">
        <v>123</v>
      </c>
      <c r="O69" s="504" t="s">
        <v>158</v>
      </c>
    </row>
    <row r="70" spans="1:15" x14ac:dyDescent="0.25">
      <c r="A70" s="443">
        <v>12110</v>
      </c>
      <c r="B70" s="116" t="s">
        <v>26</v>
      </c>
      <c r="C70" s="108" t="s">
        <v>418</v>
      </c>
      <c r="D70" s="125"/>
      <c r="E70">
        <f t="shared" si="1"/>
        <v>70</v>
      </c>
      <c r="F70" s="428">
        <v>750</v>
      </c>
      <c r="G70" s="443">
        <v>12110</v>
      </c>
      <c r="H70" s="429" t="s">
        <v>26</v>
      </c>
      <c r="I70" s="430" t="s">
        <v>418</v>
      </c>
      <c r="K70" s="517">
        <f t="shared" si="0"/>
        <v>0</v>
      </c>
      <c r="L70" s="428">
        <v>750</v>
      </c>
      <c r="M70" s="458">
        <v>12110</v>
      </c>
      <c r="N70" s="429" t="s">
        <v>26</v>
      </c>
      <c r="O70" s="439" t="s">
        <v>418</v>
      </c>
    </row>
    <row r="71" spans="1:15" x14ac:dyDescent="0.25">
      <c r="A71" s="443">
        <v>13073</v>
      </c>
      <c r="B71" s="116" t="s">
        <v>45</v>
      </c>
      <c r="C71" s="108" t="s">
        <v>578</v>
      </c>
      <c r="D71" s="125"/>
      <c r="E71">
        <f t="shared" si="1"/>
        <v>71</v>
      </c>
      <c r="F71" s="428">
        <v>1044</v>
      </c>
      <c r="G71" s="443">
        <v>13073</v>
      </c>
      <c r="H71" s="429" t="s">
        <v>45</v>
      </c>
      <c r="I71" s="430" t="s">
        <v>578</v>
      </c>
      <c r="K71" s="517">
        <f t="shared" ref="K71:K134" si="3">+L71-F71</f>
        <v>0</v>
      </c>
      <c r="L71" s="428">
        <v>1044</v>
      </c>
      <c r="M71" s="458">
        <v>13073</v>
      </c>
      <c r="N71" s="429" t="s">
        <v>45</v>
      </c>
      <c r="O71" s="439" t="s">
        <v>578</v>
      </c>
    </row>
    <row r="72" spans="1:15" x14ac:dyDescent="0.25">
      <c r="A72" s="443">
        <v>13144</v>
      </c>
      <c r="B72" s="116" t="s">
        <v>55</v>
      </c>
      <c r="C72" s="108" t="s">
        <v>442</v>
      </c>
      <c r="D72" s="125"/>
      <c r="E72">
        <f t="shared" ref="E72:E135" si="4">+E71+1</f>
        <v>72</v>
      </c>
      <c r="F72" s="428">
        <v>790</v>
      </c>
      <c r="G72" s="443">
        <v>13144</v>
      </c>
      <c r="H72" s="429" t="s">
        <v>55</v>
      </c>
      <c r="I72" s="430" t="s">
        <v>442</v>
      </c>
      <c r="K72" s="517">
        <f t="shared" si="3"/>
        <v>0</v>
      </c>
      <c r="L72" s="428">
        <v>790</v>
      </c>
      <c r="M72" s="458">
        <v>13144</v>
      </c>
      <c r="N72" s="429" t="s">
        <v>55</v>
      </c>
      <c r="O72" s="439" t="s">
        <v>442</v>
      </c>
    </row>
    <row r="73" spans="1:15" x14ac:dyDescent="0.25">
      <c r="A73" s="443">
        <v>13146</v>
      </c>
      <c r="B73" s="116" t="s">
        <v>55</v>
      </c>
      <c r="C73" s="536" t="s">
        <v>586</v>
      </c>
      <c r="D73" s="125"/>
      <c r="E73">
        <f t="shared" si="4"/>
        <v>73</v>
      </c>
      <c r="F73" s="428">
        <v>1059</v>
      </c>
      <c r="G73" s="443">
        <v>13146</v>
      </c>
      <c r="H73" s="429" t="s">
        <v>55</v>
      </c>
      <c r="I73" s="529" t="s">
        <v>586</v>
      </c>
      <c r="K73" s="517">
        <f t="shared" si="3"/>
        <v>0</v>
      </c>
      <c r="L73" s="428">
        <v>1059</v>
      </c>
      <c r="M73" s="458">
        <v>13146</v>
      </c>
      <c r="N73" s="429" t="s">
        <v>55</v>
      </c>
      <c r="O73" s="434" t="s">
        <v>586</v>
      </c>
    </row>
    <row r="74" spans="1:15" x14ac:dyDescent="0.25">
      <c r="A74" s="443">
        <v>13151</v>
      </c>
      <c r="B74" s="116" t="s">
        <v>55</v>
      </c>
      <c r="C74" s="108" t="s">
        <v>114</v>
      </c>
      <c r="D74" s="125"/>
      <c r="E74">
        <f t="shared" si="4"/>
        <v>74</v>
      </c>
      <c r="F74" s="428">
        <v>197</v>
      </c>
      <c r="G74" s="443">
        <v>13151</v>
      </c>
      <c r="H74" s="429" t="s">
        <v>55</v>
      </c>
      <c r="I74" s="430" t="s">
        <v>114</v>
      </c>
      <c r="K74" s="517">
        <f t="shared" si="3"/>
        <v>0</v>
      </c>
      <c r="L74" s="428">
        <v>197</v>
      </c>
      <c r="M74" s="458">
        <v>13151</v>
      </c>
      <c r="N74" s="429" t="s">
        <v>55</v>
      </c>
      <c r="O74" s="439" t="s">
        <v>114</v>
      </c>
    </row>
    <row r="75" spans="1:15" x14ac:dyDescent="0.25">
      <c r="A75" s="443">
        <v>13156</v>
      </c>
      <c r="B75" s="116" t="s">
        <v>55</v>
      </c>
      <c r="C75" s="108" t="s">
        <v>502</v>
      </c>
      <c r="D75" s="125"/>
      <c r="E75">
        <f t="shared" si="4"/>
        <v>75</v>
      </c>
      <c r="F75" s="428">
        <v>905</v>
      </c>
      <c r="G75" s="443">
        <v>13156</v>
      </c>
      <c r="H75" s="429" t="s">
        <v>55</v>
      </c>
      <c r="I75" s="430" t="s">
        <v>502</v>
      </c>
      <c r="K75" s="517">
        <f t="shared" si="3"/>
        <v>0</v>
      </c>
      <c r="L75" s="428">
        <v>905</v>
      </c>
      <c r="M75" s="458">
        <v>13156</v>
      </c>
      <c r="N75" s="429" t="s">
        <v>55</v>
      </c>
      <c r="O75" s="439" t="s">
        <v>502</v>
      </c>
    </row>
    <row r="76" spans="1:15" x14ac:dyDescent="0.25">
      <c r="A76" s="443">
        <v>13160</v>
      </c>
      <c r="B76" s="116" t="s">
        <v>45</v>
      </c>
      <c r="C76" s="108" t="s">
        <v>470</v>
      </c>
      <c r="D76" s="125"/>
      <c r="E76">
        <f t="shared" si="4"/>
        <v>76</v>
      </c>
      <c r="F76" s="428">
        <v>825</v>
      </c>
      <c r="G76" s="443">
        <v>13160</v>
      </c>
      <c r="H76" s="429" t="s">
        <v>45</v>
      </c>
      <c r="I76" s="430" t="s">
        <v>470</v>
      </c>
      <c r="K76" s="517">
        <f t="shared" si="3"/>
        <v>0</v>
      </c>
      <c r="L76" s="428">
        <v>825</v>
      </c>
      <c r="M76" s="458">
        <v>13160</v>
      </c>
      <c r="N76" s="429" t="s">
        <v>45</v>
      </c>
      <c r="O76" s="439" t="s">
        <v>470</v>
      </c>
    </row>
    <row r="77" spans="1:15" x14ac:dyDescent="0.25">
      <c r="A77" s="443">
        <v>13161</v>
      </c>
      <c r="B77" s="116" t="s">
        <v>55</v>
      </c>
      <c r="C77" s="108" t="s">
        <v>314</v>
      </c>
      <c r="D77" s="125"/>
      <c r="E77">
        <f t="shared" si="4"/>
        <v>77</v>
      </c>
      <c r="F77" s="428">
        <v>611</v>
      </c>
      <c r="G77" s="443">
        <v>13161</v>
      </c>
      <c r="H77" s="429" t="s">
        <v>55</v>
      </c>
      <c r="I77" s="430" t="s">
        <v>314</v>
      </c>
      <c r="K77" s="517">
        <f t="shared" si="3"/>
        <v>0</v>
      </c>
      <c r="L77" s="428">
        <v>611</v>
      </c>
      <c r="M77" s="458">
        <v>13161</v>
      </c>
      <c r="N77" s="429" t="s">
        <v>55</v>
      </c>
      <c r="O77" s="439" t="s">
        <v>314</v>
      </c>
    </row>
    <row r="78" spans="1:15" x14ac:dyDescent="0.25">
      <c r="A78" s="443">
        <v>13165</v>
      </c>
      <c r="B78" s="116" t="s">
        <v>55</v>
      </c>
      <c r="C78" s="108" t="s">
        <v>170</v>
      </c>
      <c r="D78" s="125"/>
      <c r="E78">
        <f t="shared" si="4"/>
        <v>78</v>
      </c>
      <c r="F78" s="428">
        <v>284</v>
      </c>
      <c r="G78" s="443">
        <v>13165</v>
      </c>
      <c r="H78" s="429" t="s">
        <v>55</v>
      </c>
      <c r="I78" s="430" t="s">
        <v>170</v>
      </c>
      <c r="K78" s="517">
        <f t="shared" si="3"/>
        <v>0</v>
      </c>
      <c r="L78" s="428">
        <v>284</v>
      </c>
      <c r="M78" s="458">
        <v>13165</v>
      </c>
      <c r="N78" s="429" t="s">
        <v>55</v>
      </c>
      <c r="O78" s="439" t="s">
        <v>170</v>
      </c>
    </row>
    <row r="79" spans="1:15" x14ac:dyDescent="0.25">
      <c r="A79" s="443">
        <v>13167</v>
      </c>
      <c r="B79" s="116" t="s">
        <v>55</v>
      </c>
      <c r="C79" s="108" t="s">
        <v>612</v>
      </c>
      <c r="D79" s="125"/>
      <c r="E79">
        <f t="shared" si="4"/>
        <v>79</v>
      </c>
      <c r="F79" s="428">
        <v>1104</v>
      </c>
      <c r="G79" s="443">
        <v>13167</v>
      </c>
      <c r="H79" s="429" t="s">
        <v>55</v>
      </c>
      <c r="I79" s="430" t="s">
        <v>612</v>
      </c>
      <c r="K79" s="517">
        <f t="shared" si="3"/>
        <v>0</v>
      </c>
      <c r="L79" s="428">
        <v>1104</v>
      </c>
      <c r="M79" s="458">
        <v>13167</v>
      </c>
      <c r="N79" s="429" t="s">
        <v>55</v>
      </c>
      <c r="O79" s="439" t="s">
        <v>612</v>
      </c>
    </row>
    <row r="80" spans="1:15" x14ac:dyDescent="0.25">
      <c r="A80" s="443">
        <v>13301</v>
      </c>
      <c r="B80" s="116" t="s">
        <v>55</v>
      </c>
      <c r="C80" s="108" t="s">
        <v>198</v>
      </c>
      <c r="D80" s="125"/>
      <c r="E80">
        <f t="shared" si="4"/>
        <v>80</v>
      </c>
      <c r="F80" s="428">
        <v>339</v>
      </c>
      <c r="G80" s="443">
        <v>13301</v>
      </c>
      <c r="H80" s="429" t="s">
        <v>55</v>
      </c>
      <c r="I80" s="430" t="s">
        <v>198</v>
      </c>
      <c r="K80" s="517">
        <f t="shared" si="3"/>
        <v>0</v>
      </c>
      <c r="L80" s="428">
        <v>339</v>
      </c>
      <c r="M80" s="458">
        <v>13301</v>
      </c>
      <c r="N80" s="429" t="s">
        <v>55</v>
      </c>
      <c r="O80" s="439" t="s">
        <v>198</v>
      </c>
    </row>
    <row r="81" spans="1:15" x14ac:dyDescent="0.25">
      <c r="A81" s="443">
        <v>14005</v>
      </c>
      <c r="B81" s="116" t="s">
        <v>13</v>
      </c>
      <c r="C81" s="108" t="s">
        <v>11</v>
      </c>
      <c r="D81" s="125"/>
      <c r="E81">
        <f t="shared" si="4"/>
        <v>81</v>
      </c>
      <c r="F81" s="428">
        <v>2</v>
      </c>
      <c r="G81" s="443">
        <v>14005</v>
      </c>
      <c r="H81" s="429" t="s">
        <v>13</v>
      </c>
      <c r="I81" s="430" t="s">
        <v>11</v>
      </c>
      <c r="K81" s="517">
        <f t="shared" si="3"/>
        <v>0</v>
      </c>
      <c r="L81" s="428">
        <v>2</v>
      </c>
      <c r="M81" s="458">
        <v>14005</v>
      </c>
      <c r="N81" s="429" t="s">
        <v>13</v>
      </c>
      <c r="O81" s="439" t="s">
        <v>11</v>
      </c>
    </row>
    <row r="82" spans="1:15" x14ac:dyDescent="0.25">
      <c r="A82" s="443">
        <v>14028</v>
      </c>
      <c r="B82" s="116" t="s">
        <v>13</v>
      </c>
      <c r="C82" s="108" t="s">
        <v>224</v>
      </c>
      <c r="D82" s="125"/>
      <c r="E82">
        <f t="shared" si="4"/>
        <v>82</v>
      </c>
      <c r="F82" s="428">
        <v>385</v>
      </c>
      <c r="G82" s="443">
        <v>14028</v>
      </c>
      <c r="H82" s="429" t="s">
        <v>13</v>
      </c>
      <c r="I82" s="430" t="s">
        <v>224</v>
      </c>
      <c r="K82" s="517">
        <f t="shared" si="3"/>
        <v>0</v>
      </c>
      <c r="L82" s="428">
        <v>385</v>
      </c>
      <c r="M82" s="458">
        <v>14028</v>
      </c>
      <c r="N82" s="429" t="s">
        <v>13</v>
      </c>
      <c r="O82" s="439" t="s">
        <v>224</v>
      </c>
    </row>
    <row r="83" spans="1:15" x14ac:dyDescent="0.25">
      <c r="A83" s="443">
        <v>14064</v>
      </c>
      <c r="B83" s="116" t="s">
        <v>13</v>
      </c>
      <c r="C83" s="108" t="s">
        <v>342</v>
      </c>
      <c r="D83" s="125"/>
      <c r="E83">
        <f t="shared" si="4"/>
        <v>83</v>
      </c>
      <c r="F83" s="428">
        <v>645</v>
      </c>
      <c r="G83" s="443">
        <v>14064</v>
      </c>
      <c r="H83" s="429" t="s">
        <v>13</v>
      </c>
      <c r="I83" s="430" t="s">
        <v>342</v>
      </c>
      <c r="K83" s="517">
        <f t="shared" si="3"/>
        <v>0</v>
      </c>
      <c r="L83" s="428">
        <v>645</v>
      </c>
      <c r="M83" s="458">
        <v>14064</v>
      </c>
      <c r="N83" s="429" t="s">
        <v>13</v>
      </c>
      <c r="O83" s="439" t="s">
        <v>342</v>
      </c>
    </row>
    <row r="84" spans="1:15" x14ac:dyDescent="0.25">
      <c r="A84" s="443">
        <v>14065</v>
      </c>
      <c r="B84" s="116" t="s">
        <v>13</v>
      </c>
      <c r="C84" s="108" t="s">
        <v>294</v>
      </c>
      <c r="D84" s="125"/>
      <c r="E84">
        <f t="shared" si="4"/>
        <v>84</v>
      </c>
      <c r="F84" s="428">
        <v>577</v>
      </c>
      <c r="G84" s="443">
        <v>14065</v>
      </c>
      <c r="H84" s="429" t="s">
        <v>13</v>
      </c>
      <c r="I84" s="430" t="s">
        <v>294</v>
      </c>
      <c r="K84" s="517">
        <f t="shared" si="3"/>
        <v>0</v>
      </c>
      <c r="L84" s="428">
        <v>577</v>
      </c>
      <c r="M84" s="458">
        <v>14065</v>
      </c>
      <c r="N84" s="429" t="s">
        <v>13</v>
      </c>
      <c r="O84" s="439" t="s">
        <v>294</v>
      </c>
    </row>
    <row r="85" spans="1:15" x14ac:dyDescent="0.25">
      <c r="A85" s="443">
        <v>14066</v>
      </c>
      <c r="B85" s="116" t="s">
        <v>13</v>
      </c>
      <c r="C85" s="108" t="s">
        <v>310</v>
      </c>
      <c r="D85" s="125"/>
      <c r="E85">
        <f t="shared" si="4"/>
        <v>85</v>
      </c>
      <c r="F85" s="428">
        <v>606</v>
      </c>
      <c r="G85" s="443">
        <v>14066</v>
      </c>
      <c r="H85" s="429" t="s">
        <v>13</v>
      </c>
      <c r="I85" s="430" t="s">
        <v>310</v>
      </c>
      <c r="K85" s="517">
        <f t="shared" si="3"/>
        <v>0</v>
      </c>
      <c r="L85" s="428">
        <v>606</v>
      </c>
      <c r="M85" s="458">
        <v>14066</v>
      </c>
      <c r="N85" s="429" t="s">
        <v>13</v>
      </c>
      <c r="O85" s="439" t="s">
        <v>310</v>
      </c>
    </row>
    <row r="86" spans="1:15" x14ac:dyDescent="0.25">
      <c r="A86" s="443">
        <v>14068</v>
      </c>
      <c r="B86" s="116" t="s">
        <v>13</v>
      </c>
      <c r="C86" s="108" t="s">
        <v>162</v>
      </c>
      <c r="D86" s="125"/>
      <c r="E86">
        <f t="shared" si="4"/>
        <v>86</v>
      </c>
      <c r="F86" s="428">
        <v>272</v>
      </c>
      <c r="G86" s="443">
        <v>14068</v>
      </c>
      <c r="H86" s="429" t="s">
        <v>13</v>
      </c>
      <c r="I86" s="430" t="s">
        <v>162</v>
      </c>
      <c r="K86" s="517">
        <f t="shared" si="3"/>
        <v>0</v>
      </c>
      <c r="L86" s="428">
        <v>272</v>
      </c>
      <c r="M86" s="458">
        <v>14068</v>
      </c>
      <c r="N86" s="429" t="s">
        <v>13</v>
      </c>
      <c r="O86" s="439" t="s">
        <v>162</v>
      </c>
    </row>
    <row r="87" spans="1:15" x14ac:dyDescent="0.25">
      <c r="A87" s="443">
        <v>14077</v>
      </c>
      <c r="B87" s="116" t="s">
        <v>13</v>
      </c>
      <c r="C87" s="108" t="s">
        <v>540</v>
      </c>
      <c r="D87" s="125"/>
      <c r="E87">
        <f t="shared" si="4"/>
        <v>87</v>
      </c>
      <c r="F87" s="428">
        <v>967</v>
      </c>
      <c r="G87" s="443">
        <v>14077</v>
      </c>
      <c r="H87" s="429" t="s">
        <v>13</v>
      </c>
      <c r="I87" s="430" t="s">
        <v>540</v>
      </c>
      <c r="K87" s="517">
        <f t="shared" si="3"/>
        <v>0</v>
      </c>
      <c r="L87" s="428">
        <v>967</v>
      </c>
      <c r="M87" s="458">
        <v>14077</v>
      </c>
      <c r="N87" s="429" t="s">
        <v>13</v>
      </c>
      <c r="O87" s="439" t="s">
        <v>540</v>
      </c>
    </row>
    <row r="88" spans="1:15" x14ac:dyDescent="0.25">
      <c r="A88" s="443">
        <v>14097</v>
      </c>
      <c r="B88" s="116" t="s">
        <v>13</v>
      </c>
      <c r="C88" s="108" t="s">
        <v>440</v>
      </c>
      <c r="D88" s="125"/>
      <c r="E88">
        <f t="shared" si="4"/>
        <v>88</v>
      </c>
      <c r="F88" s="428">
        <v>788</v>
      </c>
      <c r="G88" s="443">
        <v>14097</v>
      </c>
      <c r="H88" s="429" t="s">
        <v>13</v>
      </c>
      <c r="I88" s="430" t="s">
        <v>440</v>
      </c>
      <c r="K88" s="517">
        <f t="shared" si="3"/>
        <v>0</v>
      </c>
      <c r="L88" s="428">
        <v>788</v>
      </c>
      <c r="M88" s="458">
        <v>14097</v>
      </c>
      <c r="N88" s="429" t="s">
        <v>13</v>
      </c>
      <c r="O88" s="439" t="s">
        <v>440</v>
      </c>
    </row>
    <row r="89" spans="1:15" x14ac:dyDescent="0.25">
      <c r="A89" s="443">
        <v>14099</v>
      </c>
      <c r="B89" s="116" t="s">
        <v>13</v>
      </c>
      <c r="C89" s="108" t="s">
        <v>112</v>
      </c>
      <c r="D89" s="125"/>
      <c r="E89">
        <f t="shared" si="4"/>
        <v>89</v>
      </c>
      <c r="F89" s="428">
        <v>194</v>
      </c>
      <c r="G89" s="443">
        <v>14099</v>
      </c>
      <c r="H89" s="429" t="s">
        <v>13</v>
      </c>
      <c r="I89" s="430" t="s">
        <v>112</v>
      </c>
      <c r="K89" s="517">
        <f t="shared" si="3"/>
        <v>0</v>
      </c>
      <c r="L89" s="428">
        <v>194</v>
      </c>
      <c r="M89" s="458">
        <v>14099</v>
      </c>
      <c r="N89" s="429" t="s">
        <v>13</v>
      </c>
      <c r="O89" s="439" t="s">
        <v>112</v>
      </c>
    </row>
    <row r="90" spans="1:15" x14ac:dyDescent="0.25">
      <c r="A90" s="443">
        <v>14104</v>
      </c>
      <c r="B90" s="116" t="s">
        <v>13</v>
      </c>
      <c r="C90" s="108" t="s">
        <v>476</v>
      </c>
      <c r="D90" s="125"/>
      <c r="E90">
        <f t="shared" si="4"/>
        <v>90</v>
      </c>
      <c r="F90" s="428">
        <v>834</v>
      </c>
      <c r="G90" s="443">
        <v>14104</v>
      </c>
      <c r="H90" s="429" t="s">
        <v>13</v>
      </c>
      <c r="I90" s="430" t="s">
        <v>476</v>
      </c>
      <c r="K90" s="517">
        <f t="shared" si="3"/>
        <v>0</v>
      </c>
      <c r="L90" s="428">
        <v>834</v>
      </c>
      <c r="M90" s="458">
        <v>14104</v>
      </c>
      <c r="N90" s="429" t="s">
        <v>13</v>
      </c>
      <c r="O90" s="439" t="s">
        <v>476</v>
      </c>
    </row>
    <row r="91" spans="1:15" x14ac:dyDescent="0.25">
      <c r="A91" s="443">
        <v>14117</v>
      </c>
      <c r="B91" s="116" t="s">
        <v>13</v>
      </c>
      <c r="C91" s="108" t="s">
        <v>616</v>
      </c>
      <c r="D91" s="125"/>
      <c r="E91">
        <f t="shared" si="4"/>
        <v>91</v>
      </c>
      <c r="F91" s="428">
        <v>1109</v>
      </c>
      <c r="G91" s="443">
        <v>14117</v>
      </c>
      <c r="H91" s="429" t="s">
        <v>13</v>
      </c>
      <c r="I91" s="430" t="s">
        <v>616</v>
      </c>
      <c r="K91" s="517">
        <f t="shared" si="3"/>
        <v>0</v>
      </c>
      <c r="L91" s="428">
        <v>1109</v>
      </c>
      <c r="M91" s="458">
        <v>14117</v>
      </c>
      <c r="N91" s="429" t="s">
        <v>13</v>
      </c>
      <c r="O91" s="439" t="s">
        <v>616</v>
      </c>
    </row>
    <row r="92" spans="1:15" x14ac:dyDescent="0.25">
      <c r="A92" s="443">
        <v>14172</v>
      </c>
      <c r="B92" s="116" t="s">
        <v>13</v>
      </c>
      <c r="C92" s="108" t="s">
        <v>372</v>
      </c>
      <c r="D92" s="125"/>
      <c r="E92">
        <f t="shared" si="4"/>
        <v>92</v>
      </c>
      <c r="F92" s="428">
        <v>663</v>
      </c>
      <c r="G92" s="443">
        <v>14172</v>
      </c>
      <c r="H92" s="429" t="s">
        <v>13</v>
      </c>
      <c r="I92" s="430" t="s">
        <v>372</v>
      </c>
      <c r="K92" s="517">
        <f t="shared" si="3"/>
        <v>0</v>
      </c>
      <c r="L92" s="428">
        <v>663</v>
      </c>
      <c r="M92" s="458">
        <v>14172</v>
      </c>
      <c r="N92" s="429" t="s">
        <v>13</v>
      </c>
      <c r="O92" s="439" t="s">
        <v>372</v>
      </c>
    </row>
    <row r="93" spans="1:15" x14ac:dyDescent="0.25">
      <c r="A93" s="443">
        <v>14400</v>
      </c>
      <c r="B93" s="116" t="s">
        <v>13</v>
      </c>
      <c r="C93" s="108" t="s">
        <v>368</v>
      </c>
      <c r="D93" s="125"/>
      <c r="E93">
        <f t="shared" si="4"/>
        <v>93</v>
      </c>
      <c r="F93" s="428">
        <v>660</v>
      </c>
      <c r="G93" s="443">
        <v>14400</v>
      </c>
      <c r="H93" s="429" t="s">
        <v>13</v>
      </c>
      <c r="I93" s="430" t="s">
        <v>368</v>
      </c>
      <c r="K93" s="517">
        <f t="shared" si="3"/>
        <v>0</v>
      </c>
      <c r="L93" s="428">
        <v>660</v>
      </c>
      <c r="M93" s="458">
        <v>14400</v>
      </c>
      <c r="N93" s="429" t="s">
        <v>13</v>
      </c>
      <c r="O93" s="439" t="s">
        <v>368</v>
      </c>
    </row>
    <row r="94" spans="1:15" x14ac:dyDescent="0.25">
      <c r="A94" s="443">
        <v>15201</v>
      </c>
      <c r="B94" s="116" t="s">
        <v>21</v>
      </c>
      <c r="C94" s="108" t="s">
        <v>364</v>
      </c>
      <c r="D94" s="125"/>
      <c r="E94">
        <f t="shared" si="4"/>
        <v>94</v>
      </c>
      <c r="F94" s="428">
        <v>656</v>
      </c>
      <c r="G94" s="443">
        <v>15201</v>
      </c>
      <c r="H94" s="429" t="s">
        <v>21</v>
      </c>
      <c r="I94" s="430" t="s">
        <v>364</v>
      </c>
      <c r="K94" s="517">
        <f t="shared" si="3"/>
        <v>0</v>
      </c>
      <c r="L94" s="428">
        <v>656</v>
      </c>
      <c r="M94" s="458">
        <v>15201</v>
      </c>
      <c r="N94" s="429" t="s">
        <v>21</v>
      </c>
      <c r="O94" s="439" t="s">
        <v>364</v>
      </c>
    </row>
    <row r="95" spans="1:15" x14ac:dyDescent="0.25">
      <c r="A95" s="443">
        <v>15204</v>
      </c>
      <c r="B95" s="116" t="s">
        <v>21</v>
      </c>
      <c r="C95" s="108" t="s">
        <v>116</v>
      </c>
      <c r="D95" s="125"/>
      <c r="E95">
        <f t="shared" si="4"/>
        <v>95</v>
      </c>
      <c r="F95" s="428">
        <v>199</v>
      </c>
      <c r="G95" s="443">
        <v>15204</v>
      </c>
      <c r="H95" s="429" t="s">
        <v>21</v>
      </c>
      <c r="I95" s="430" t="s">
        <v>116</v>
      </c>
      <c r="K95" s="517">
        <f t="shared" si="3"/>
        <v>0</v>
      </c>
      <c r="L95" s="428">
        <v>199</v>
      </c>
      <c r="M95" s="458">
        <v>15204</v>
      </c>
      <c r="N95" s="429" t="s">
        <v>21</v>
      </c>
      <c r="O95" s="439" t="s">
        <v>116</v>
      </c>
    </row>
    <row r="96" spans="1:15" x14ac:dyDescent="0.25">
      <c r="A96" s="443">
        <v>15206</v>
      </c>
      <c r="B96" s="116" t="s">
        <v>21</v>
      </c>
      <c r="C96" s="108" t="s">
        <v>508</v>
      </c>
      <c r="D96" s="125"/>
      <c r="E96">
        <f t="shared" si="4"/>
        <v>96</v>
      </c>
      <c r="F96" s="428">
        <v>903</v>
      </c>
      <c r="G96" s="443">
        <v>15206</v>
      </c>
      <c r="H96" s="429" t="s">
        <v>21</v>
      </c>
      <c r="I96" s="430" t="s">
        <v>508</v>
      </c>
      <c r="K96" s="517">
        <f t="shared" si="3"/>
        <v>0</v>
      </c>
      <c r="L96" s="428">
        <v>903</v>
      </c>
      <c r="M96" s="458">
        <v>15206</v>
      </c>
      <c r="N96" s="429" t="s">
        <v>21</v>
      </c>
      <c r="O96" s="439" t="s">
        <v>508</v>
      </c>
    </row>
    <row r="97" spans="1:15" x14ac:dyDescent="0.25">
      <c r="A97" s="443">
        <v>16020</v>
      </c>
      <c r="B97" s="116" t="s">
        <v>52</v>
      </c>
      <c r="C97" s="108" t="s">
        <v>434</v>
      </c>
      <c r="D97" s="125"/>
      <c r="E97">
        <f t="shared" si="4"/>
        <v>97</v>
      </c>
      <c r="F97" s="428">
        <v>785</v>
      </c>
      <c r="G97" s="443">
        <v>16020</v>
      </c>
      <c r="H97" s="429" t="s">
        <v>52</v>
      </c>
      <c r="I97" s="430" t="s">
        <v>434</v>
      </c>
      <c r="K97" s="517">
        <f t="shared" si="3"/>
        <v>0</v>
      </c>
      <c r="L97" s="428">
        <v>785</v>
      </c>
      <c r="M97" s="458">
        <v>16020</v>
      </c>
      <c r="N97" s="429" t="s">
        <v>52</v>
      </c>
      <c r="O97" s="439" t="s">
        <v>434</v>
      </c>
    </row>
    <row r="98" spans="1:15" x14ac:dyDescent="0.25">
      <c r="A98" s="443">
        <v>16046</v>
      </c>
      <c r="B98" s="116" t="s">
        <v>52</v>
      </c>
      <c r="C98" s="108" t="s">
        <v>58</v>
      </c>
      <c r="D98" s="125"/>
      <c r="E98">
        <f t="shared" si="4"/>
        <v>98</v>
      </c>
      <c r="F98" s="428">
        <v>89</v>
      </c>
      <c r="G98" s="443">
        <v>16046</v>
      </c>
      <c r="H98" s="429" t="s">
        <v>52</v>
      </c>
      <c r="I98" s="430" t="s">
        <v>58</v>
      </c>
      <c r="K98" s="517">
        <f t="shared" si="3"/>
        <v>0</v>
      </c>
      <c r="L98" s="428">
        <v>89</v>
      </c>
      <c r="M98" s="458">
        <v>16046</v>
      </c>
      <c r="N98" s="429" t="s">
        <v>52</v>
      </c>
      <c r="O98" s="439" t="s">
        <v>58</v>
      </c>
    </row>
    <row r="99" spans="1:15" x14ac:dyDescent="0.25">
      <c r="A99" s="443">
        <v>16048</v>
      </c>
      <c r="B99" s="116" t="s">
        <v>52</v>
      </c>
      <c r="C99" s="108" t="s">
        <v>436</v>
      </c>
      <c r="D99" s="125"/>
      <c r="E99">
        <f t="shared" si="4"/>
        <v>99</v>
      </c>
      <c r="F99" s="428">
        <v>786</v>
      </c>
      <c r="G99" s="443">
        <v>16048</v>
      </c>
      <c r="H99" s="429" t="s">
        <v>52</v>
      </c>
      <c r="I99" s="430" t="s">
        <v>436</v>
      </c>
      <c r="K99" s="517">
        <f t="shared" si="3"/>
        <v>0</v>
      </c>
      <c r="L99" s="428">
        <v>786</v>
      </c>
      <c r="M99" s="458">
        <v>16048</v>
      </c>
      <c r="N99" s="429" t="s">
        <v>52</v>
      </c>
      <c r="O99" s="439" t="s">
        <v>436</v>
      </c>
    </row>
    <row r="100" spans="1:15" x14ac:dyDescent="0.25">
      <c r="A100" s="443">
        <v>16049</v>
      </c>
      <c r="B100" s="116" t="s">
        <v>52</v>
      </c>
      <c r="C100" s="108" t="s">
        <v>88</v>
      </c>
      <c r="D100" s="125"/>
      <c r="E100">
        <f t="shared" si="4"/>
        <v>100</v>
      </c>
      <c r="F100" s="428">
        <v>137</v>
      </c>
      <c r="G100" s="443">
        <v>16049</v>
      </c>
      <c r="H100" s="429" t="s">
        <v>52</v>
      </c>
      <c r="I100" s="430" t="s">
        <v>88</v>
      </c>
      <c r="K100" s="517">
        <f t="shared" si="3"/>
        <v>0</v>
      </c>
      <c r="L100" s="428">
        <v>137</v>
      </c>
      <c r="M100" s="458">
        <v>16049</v>
      </c>
      <c r="N100" s="429" t="s">
        <v>52</v>
      </c>
      <c r="O100" s="439" t="s">
        <v>88</v>
      </c>
    </row>
    <row r="101" spans="1:15" x14ac:dyDescent="0.25">
      <c r="A101" s="443">
        <v>16050</v>
      </c>
      <c r="B101" s="116" t="s">
        <v>52</v>
      </c>
      <c r="C101" s="108" t="s">
        <v>422</v>
      </c>
      <c r="D101" s="125"/>
      <c r="E101">
        <f t="shared" si="4"/>
        <v>101</v>
      </c>
      <c r="F101" s="428">
        <v>757</v>
      </c>
      <c r="G101" s="443">
        <v>16050</v>
      </c>
      <c r="H101" s="429" t="s">
        <v>52</v>
      </c>
      <c r="I101" s="430" t="s">
        <v>422</v>
      </c>
      <c r="K101" s="517">
        <f t="shared" si="3"/>
        <v>0</v>
      </c>
      <c r="L101" s="428">
        <v>757</v>
      </c>
      <c r="M101" s="458">
        <v>16050</v>
      </c>
      <c r="N101" s="429" t="s">
        <v>52</v>
      </c>
      <c r="O101" s="439" t="s">
        <v>422</v>
      </c>
    </row>
    <row r="102" spans="1:15" x14ac:dyDescent="0.25">
      <c r="A102" s="443">
        <v>17001</v>
      </c>
      <c r="B102" s="116" t="s">
        <v>29</v>
      </c>
      <c r="C102" s="108" t="s">
        <v>478</v>
      </c>
      <c r="D102" s="125"/>
      <c r="E102">
        <f t="shared" si="4"/>
        <v>102</v>
      </c>
      <c r="F102" s="428">
        <v>844</v>
      </c>
      <c r="G102" s="443">
        <v>17001</v>
      </c>
      <c r="H102" s="429" t="s">
        <v>29</v>
      </c>
      <c r="I102" s="430" t="s">
        <v>478</v>
      </c>
      <c r="K102" s="517">
        <f t="shared" si="3"/>
        <v>0</v>
      </c>
      <c r="L102" s="428">
        <v>844</v>
      </c>
      <c r="M102" s="458">
        <v>17001</v>
      </c>
      <c r="N102" s="429" t="s">
        <v>29</v>
      </c>
      <c r="O102" s="439" t="s">
        <v>478</v>
      </c>
    </row>
    <row r="103" spans="1:15" x14ac:dyDescent="0.25">
      <c r="A103" s="443">
        <v>17210</v>
      </c>
      <c r="B103" s="116" t="s">
        <v>29</v>
      </c>
      <c r="C103" s="108" t="s">
        <v>180</v>
      </c>
      <c r="D103" s="125"/>
      <c r="E103">
        <f t="shared" si="4"/>
        <v>103</v>
      </c>
      <c r="F103" s="428">
        <v>294</v>
      </c>
      <c r="G103" s="443">
        <v>17210</v>
      </c>
      <c r="H103" s="429" t="s">
        <v>29</v>
      </c>
      <c r="I103" s="430" t="s">
        <v>180</v>
      </c>
      <c r="K103" s="517">
        <f t="shared" si="3"/>
        <v>0</v>
      </c>
      <c r="L103" s="428">
        <v>294</v>
      </c>
      <c r="M103" s="458">
        <v>17210</v>
      </c>
      <c r="N103" s="429" t="s">
        <v>29</v>
      </c>
      <c r="O103" s="439" t="s">
        <v>180</v>
      </c>
    </row>
    <row r="104" spans="1:15" x14ac:dyDescent="0.25">
      <c r="A104" s="443">
        <v>17216</v>
      </c>
      <c r="B104" s="116" t="s">
        <v>29</v>
      </c>
      <c r="C104" s="108" t="s">
        <v>168</v>
      </c>
      <c r="D104" s="125"/>
      <c r="E104">
        <f t="shared" si="4"/>
        <v>104</v>
      </c>
      <c r="F104" s="428">
        <v>280</v>
      </c>
      <c r="G104" s="443">
        <v>17216</v>
      </c>
      <c r="H104" s="429" t="s">
        <v>29</v>
      </c>
      <c r="I104" s="430" t="s">
        <v>168</v>
      </c>
      <c r="K104" s="517">
        <f t="shared" si="3"/>
        <v>0</v>
      </c>
      <c r="L104" s="428">
        <v>280</v>
      </c>
      <c r="M104" s="458">
        <v>17216</v>
      </c>
      <c r="N104" s="429" t="s">
        <v>29</v>
      </c>
      <c r="O104" s="439" t="s">
        <v>168</v>
      </c>
    </row>
    <row r="105" spans="1:15" x14ac:dyDescent="0.25">
      <c r="A105" s="443">
        <v>17400</v>
      </c>
      <c r="B105" s="116" t="s">
        <v>29</v>
      </c>
      <c r="C105" s="108" t="s">
        <v>300</v>
      </c>
      <c r="D105" s="125"/>
      <c r="E105">
        <f t="shared" si="4"/>
        <v>105</v>
      </c>
      <c r="F105" s="428">
        <v>585</v>
      </c>
      <c r="G105" s="443">
        <v>17400</v>
      </c>
      <c r="H105" s="429" t="s">
        <v>29</v>
      </c>
      <c r="I105" s="430" t="s">
        <v>300</v>
      </c>
      <c r="K105" s="517">
        <f t="shared" si="3"/>
        <v>0</v>
      </c>
      <c r="L105" s="428">
        <v>585</v>
      </c>
      <c r="M105" s="458">
        <v>17400</v>
      </c>
      <c r="N105" s="429" t="s">
        <v>29</v>
      </c>
      <c r="O105" s="439" t="s">
        <v>300</v>
      </c>
    </row>
    <row r="106" spans="1:15" x14ac:dyDescent="0.25">
      <c r="A106" s="443">
        <v>17401</v>
      </c>
      <c r="B106" s="116" t="s">
        <v>29</v>
      </c>
      <c r="C106" s="108" t="s">
        <v>218</v>
      </c>
      <c r="D106" s="125"/>
      <c r="E106">
        <f t="shared" si="4"/>
        <v>106</v>
      </c>
      <c r="F106" s="428">
        <v>378</v>
      </c>
      <c r="G106" s="443">
        <v>17401</v>
      </c>
      <c r="H106" s="429" t="s">
        <v>29</v>
      </c>
      <c r="I106" s="430" t="s">
        <v>218</v>
      </c>
      <c r="K106" s="517">
        <f t="shared" si="3"/>
        <v>0</v>
      </c>
      <c r="L106" s="428">
        <v>378</v>
      </c>
      <c r="M106" s="458">
        <v>17401</v>
      </c>
      <c r="N106" s="429" t="s">
        <v>29</v>
      </c>
      <c r="O106" s="439" t="s">
        <v>218</v>
      </c>
    </row>
    <row r="107" spans="1:15" x14ac:dyDescent="0.25">
      <c r="A107" s="443">
        <v>17402</v>
      </c>
      <c r="B107" s="116" t="s">
        <v>29</v>
      </c>
      <c r="C107" s="108" t="s">
        <v>574</v>
      </c>
      <c r="D107" s="125"/>
      <c r="E107">
        <f t="shared" si="4"/>
        <v>107</v>
      </c>
      <c r="F107" s="428">
        <v>1032</v>
      </c>
      <c r="G107" s="443">
        <v>17402</v>
      </c>
      <c r="H107" s="429" t="s">
        <v>29</v>
      </c>
      <c r="I107" s="430" t="s">
        <v>574</v>
      </c>
      <c r="K107" s="517">
        <f t="shared" si="3"/>
        <v>0</v>
      </c>
      <c r="L107" s="428">
        <v>1032</v>
      </c>
      <c r="M107" s="458">
        <v>17402</v>
      </c>
      <c r="N107" s="429" t="s">
        <v>29</v>
      </c>
      <c r="O107" s="439" t="s">
        <v>574</v>
      </c>
    </row>
    <row r="108" spans="1:15" x14ac:dyDescent="0.25">
      <c r="A108" s="443">
        <v>17403</v>
      </c>
      <c r="B108" s="116" t="s">
        <v>29</v>
      </c>
      <c r="C108" s="108" t="s">
        <v>450</v>
      </c>
      <c r="D108" s="125"/>
      <c r="E108">
        <f t="shared" si="4"/>
        <v>108</v>
      </c>
      <c r="F108" s="428">
        <v>804</v>
      </c>
      <c r="G108" s="443">
        <v>17403</v>
      </c>
      <c r="H108" s="429" t="s">
        <v>29</v>
      </c>
      <c r="I108" s="430" t="s">
        <v>450</v>
      </c>
      <c r="K108" s="517">
        <f t="shared" si="3"/>
        <v>0</v>
      </c>
      <c r="L108" s="428">
        <v>804</v>
      </c>
      <c r="M108" s="458">
        <v>17403</v>
      </c>
      <c r="N108" s="429" t="s">
        <v>29</v>
      </c>
      <c r="O108" s="439" t="s">
        <v>450</v>
      </c>
    </row>
    <row r="109" spans="1:15" x14ac:dyDescent="0.25">
      <c r="A109" s="443">
        <v>17404</v>
      </c>
      <c r="B109" s="116" t="s">
        <v>29</v>
      </c>
      <c r="C109" s="108" t="s">
        <v>496</v>
      </c>
      <c r="D109" s="125"/>
      <c r="E109">
        <f t="shared" si="4"/>
        <v>109</v>
      </c>
      <c r="F109" s="428">
        <v>878</v>
      </c>
      <c r="G109" s="443">
        <v>17404</v>
      </c>
      <c r="H109" s="429" t="s">
        <v>29</v>
      </c>
      <c r="I109" s="430" t="s">
        <v>496</v>
      </c>
      <c r="K109" s="517">
        <f t="shared" si="3"/>
        <v>0</v>
      </c>
      <c r="L109" s="428">
        <v>878</v>
      </c>
      <c r="M109" s="458">
        <v>17404</v>
      </c>
      <c r="N109" s="429" t="s">
        <v>29</v>
      </c>
      <c r="O109" s="439" t="s">
        <v>496</v>
      </c>
    </row>
    <row r="110" spans="1:15" x14ac:dyDescent="0.25">
      <c r="A110" s="443">
        <v>17405</v>
      </c>
      <c r="B110" s="116" t="s">
        <v>29</v>
      </c>
      <c r="C110" s="108" t="s">
        <v>35</v>
      </c>
      <c r="D110" s="125"/>
      <c r="E110">
        <f t="shared" si="4"/>
        <v>110</v>
      </c>
      <c r="F110" s="428">
        <v>50</v>
      </c>
      <c r="G110" s="443">
        <v>17405</v>
      </c>
      <c r="H110" s="429" t="s">
        <v>29</v>
      </c>
      <c r="I110" s="430" t="s">
        <v>35</v>
      </c>
      <c r="K110" s="517">
        <f t="shared" si="3"/>
        <v>0</v>
      </c>
      <c r="L110" s="428">
        <v>50</v>
      </c>
      <c r="M110" s="458">
        <v>17405</v>
      </c>
      <c r="N110" s="429" t="s">
        <v>29</v>
      </c>
      <c r="O110" s="439" t="s">
        <v>35</v>
      </c>
    </row>
    <row r="111" spans="1:15" x14ac:dyDescent="0.25">
      <c r="A111" s="443">
        <v>17406</v>
      </c>
      <c r="B111" s="116" t="s">
        <v>29</v>
      </c>
      <c r="C111" s="108" t="s">
        <v>562</v>
      </c>
      <c r="D111" s="125"/>
      <c r="E111">
        <f t="shared" si="4"/>
        <v>111</v>
      </c>
      <c r="F111" s="428">
        <v>909</v>
      </c>
      <c r="G111" s="443">
        <v>17406</v>
      </c>
      <c r="H111" s="429" t="s">
        <v>29</v>
      </c>
      <c r="I111" s="430" t="s">
        <v>562</v>
      </c>
      <c r="K111" s="517">
        <f t="shared" si="3"/>
        <v>0</v>
      </c>
      <c r="L111" s="428">
        <v>909</v>
      </c>
      <c r="M111" s="458">
        <v>17406</v>
      </c>
      <c r="N111" s="429" t="s">
        <v>29</v>
      </c>
      <c r="O111" s="439" t="s">
        <v>562</v>
      </c>
    </row>
    <row r="112" spans="1:15" x14ac:dyDescent="0.25">
      <c r="A112" s="443">
        <v>17407</v>
      </c>
      <c r="B112" s="116" t="s">
        <v>29</v>
      </c>
      <c r="C112" s="108" t="s">
        <v>462</v>
      </c>
      <c r="D112" s="125"/>
      <c r="E112">
        <f t="shared" si="4"/>
        <v>112</v>
      </c>
      <c r="F112" s="428">
        <v>816</v>
      </c>
      <c r="G112" s="443">
        <v>17407</v>
      </c>
      <c r="H112" s="429" t="s">
        <v>29</v>
      </c>
      <c r="I112" s="430" t="s">
        <v>462</v>
      </c>
      <c r="K112" s="517">
        <f t="shared" si="3"/>
        <v>0</v>
      </c>
      <c r="L112" s="428">
        <v>816</v>
      </c>
      <c r="M112" s="458">
        <v>17407</v>
      </c>
      <c r="N112" s="429" t="s">
        <v>29</v>
      </c>
      <c r="O112" s="439" t="s">
        <v>462</v>
      </c>
    </row>
    <row r="113" spans="1:15" x14ac:dyDescent="0.25">
      <c r="A113" s="443">
        <v>17408</v>
      </c>
      <c r="B113" s="116" t="s">
        <v>29</v>
      </c>
      <c r="C113" s="108" t="s">
        <v>27</v>
      </c>
      <c r="D113" s="125"/>
      <c r="E113">
        <f t="shared" si="4"/>
        <v>113</v>
      </c>
      <c r="F113" s="428">
        <v>39</v>
      </c>
      <c r="G113" s="443">
        <v>17408</v>
      </c>
      <c r="H113" s="429" t="s">
        <v>29</v>
      </c>
      <c r="I113" s="430" t="s">
        <v>27</v>
      </c>
      <c r="K113" s="517">
        <f t="shared" si="3"/>
        <v>0</v>
      </c>
      <c r="L113" s="428">
        <v>39</v>
      </c>
      <c r="M113" s="458">
        <v>17408</v>
      </c>
      <c r="N113" s="429" t="s">
        <v>29</v>
      </c>
      <c r="O113" s="439" t="s">
        <v>27</v>
      </c>
    </row>
    <row r="114" spans="1:15" x14ac:dyDescent="0.25">
      <c r="A114" s="443">
        <v>17409</v>
      </c>
      <c r="B114" s="116" t="s">
        <v>29</v>
      </c>
      <c r="C114" s="108" t="s">
        <v>542</v>
      </c>
      <c r="D114" s="125"/>
      <c r="E114">
        <f t="shared" si="4"/>
        <v>114</v>
      </c>
      <c r="F114" s="428">
        <v>968</v>
      </c>
      <c r="G114" s="443">
        <v>17409</v>
      </c>
      <c r="H114" s="429" t="s">
        <v>29</v>
      </c>
      <c r="I114" s="430" t="s">
        <v>542</v>
      </c>
      <c r="K114" s="517">
        <f t="shared" si="3"/>
        <v>0</v>
      </c>
      <c r="L114" s="428">
        <v>968</v>
      </c>
      <c r="M114" s="458">
        <v>17409</v>
      </c>
      <c r="N114" s="429" t="s">
        <v>29</v>
      </c>
      <c r="O114" s="439" t="s">
        <v>542</v>
      </c>
    </row>
    <row r="115" spans="1:15" x14ac:dyDescent="0.25">
      <c r="A115" s="443">
        <v>17410</v>
      </c>
      <c r="B115" s="116" t="s">
        <v>29</v>
      </c>
      <c r="C115" s="108" t="s">
        <v>500</v>
      </c>
      <c r="D115" s="125"/>
      <c r="E115">
        <f t="shared" si="4"/>
        <v>115</v>
      </c>
      <c r="F115" s="428">
        <v>902</v>
      </c>
      <c r="G115" s="443">
        <v>17410</v>
      </c>
      <c r="H115" s="429" t="s">
        <v>29</v>
      </c>
      <c r="I115" s="430" t="s">
        <v>500</v>
      </c>
      <c r="K115" s="517">
        <f t="shared" si="3"/>
        <v>0</v>
      </c>
      <c r="L115" s="428">
        <v>902</v>
      </c>
      <c r="M115" s="458">
        <v>17410</v>
      </c>
      <c r="N115" s="429" t="s">
        <v>29</v>
      </c>
      <c r="O115" s="439" t="s">
        <v>500</v>
      </c>
    </row>
    <row r="116" spans="1:15" x14ac:dyDescent="0.25">
      <c r="A116" s="443">
        <v>17411</v>
      </c>
      <c r="B116" s="116" t="s">
        <v>29</v>
      </c>
      <c r="C116" s="108" t="s">
        <v>230</v>
      </c>
      <c r="D116" s="125"/>
      <c r="E116">
        <f t="shared" si="4"/>
        <v>116</v>
      </c>
      <c r="F116" s="428">
        <v>415</v>
      </c>
      <c r="G116" s="443">
        <v>17411</v>
      </c>
      <c r="H116" s="429" t="s">
        <v>29</v>
      </c>
      <c r="I116" s="430" t="s">
        <v>230</v>
      </c>
      <c r="K116" s="517">
        <f t="shared" si="3"/>
        <v>0</v>
      </c>
      <c r="L116" s="428">
        <v>415</v>
      </c>
      <c r="M116" s="458">
        <v>17411</v>
      </c>
      <c r="N116" s="429" t="s">
        <v>29</v>
      </c>
      <c r="O116" s="439" t="s">
        <v>230</v>
      </c>
    </row>
    <row r="117" spans="1:15" x14ac:dyDescent="0.25">
      <c r="A117" s="443">
        <v>17412</v>
      </c>
      <c r="B117" s="116" t="s">
        <v>29</v>
      </c>
      <c r="C117" s="108" t="s">
        <v>492</v>
      </c>
      <c r="D117" s="125"/>
      <c r="E117">
        <f t="shared" si="4"/>
        <v>117</v>
      </c>
      <c r="F117" s="428">
        <v>865</v>
      </c>
      <c r="G117" s="443">
        <v>17412</v>
      </c>
      <c r="H117" s="429" t="s">
        <v>29</v>
      </c>
      <c r="I117" s="430" t="s">
        <v>492</v>
      </c>
      <c r="K117" s="517">
        <f t="shared" si="3"/>
        <v>0</v>
      </c>
      <c r="L117" s="428">
        <v>865</v>
      </c>
      <c r="M117" s="458">
        <v>17412</v>
      </c>
      <c r="N117" s="429" t="s">
        <v>29</v>
      </c>
      <c r="O117" s="439" t="s">
        <v>492</v>
      </c>
    </row>
    <row r="118" spans="1:15" x14ac:dyDescent="0.25">
      <c r="A118" s="443">
        <v>17414</v>
      </c>
      <c r="B118" s="116" t="s">
        <v>29</v>
      </c>
      <c r="C118" s="108" t="s">
        <v>262</v>
      </c>
      <c r="D118" s="125"/>
      <c r="E118">
        <f t="shared" si="4"/>
        <v>118</v>
      </c>
      <c r="F118" s="428">
        <v>518</v>
      </c>
      <c r="G118" s="443">
        <v>17414</v>
      </c>
      <c r="H118" s="429" t="s">
        <v>29</v>
      </c>
      <c r="I118" s="430" t="s">
        <v>262</v>
      </c>
      <c r="K118" s="517">
        <f t="shared" si="3"/>
        <v>0</v>
      </c>
      <c r="L118" s="428">
        <v>518</v>
      </c>
      <c r="M118" s="458">
        <v>17414</v>
      </c>
      <c r="N118" s="429" t="s">
        <v>29</v>
      </c>
      <c r="O118" s="439" t="s">
        <v>262</v>
      </c>
    </row>
    <row r="119" spans="1:15" x14ac:dyDescent="0.25">
      <c r="A119" s="443">
        <v>17415</v>
      </c>
      <c r="B119" s="116" t="s">
        <v>29</v>
      </c>
      <c r="C119" s="108" t="s">
        <v>242</v>
      </c>
      <c r="D119" s="125"/>
      <c r="E119">
        <f t="shared" si="4"/>
        <v>119</v>
      </c>
      <c r="F119" s="428">
        <v>435</v>
      </c>
      <c r="G119" s="443">
        <v>17415</v>
      </c>
      <c r="H119" s="429" t="s">
        <v>29</v>
      </c>
      <c r="I119" s="430" t="s">
        <v>242</v>
      </c>
      <c r="K119" s="517">
        <f t="shared" si="3"/>
        <v>0</v>
      </c>
      <c r="L119" s="428">
        <v>435</v>
      </c>
      <c r="M119" s="458">
        <v>17415</v>
      </c>
      <c r="N119" s="429" t="s">
        <v>29</v>
      </c>
      <c r="O119" s="439" t="s">
        <v>242</v>
      </c>
    </row>
    <row r="120" spans="1:15" x14ac:dyDescent="0.25">
      <c r="A120" s="443">
        <v>17417</v>
      </c>
      <c r="B120" s="116" t="s">
        <v>29</v>
      </c>
      <c r="C120" s="108" t="s">
        <v>360</v>
      </c>
      <c r="D120" s="125"/>
      <c r="E120">
        <f t="shared" si="4"/>
        <v>120</v>
      </c>
      <c r="F120" s="428">
        <v>653</v>
      </c>
      <c r="G120" s="443">
        <v>17417</v>
      </c>
      <c r="H120" s="429" t="s">
        <v>29</v>
      </c>
      <c r="I120" s="430" t="s">
        <v>360</v>
      </c>
      <c r="K120" s="517">
        <f t="shared" si="3"/>
        <v>0</v>
      </c>
      <c r="L120" s="428">
        <v>653</v>
      </c>
      <c r="M120" s="458">
        <v>17417</v>
      </c>
      <c r="N120" s="429" t="s">
        <v>29</v>
      </c>
      <c r="O120" s="439" t="s">
        <v>360</v>
      </c>
    </row>
    <row r="121" spans="1:15" x14ac:dyDescent="0.25">
      <c r="A121" s="443">
        <v>17801</v>
      </c>
      <c r="B121" s="116">
        <v>121</v>
      </c>
      <c r="C121" s="249" t="s">
        <v>428</v>
      </c>
      <c r="D121" s="125"/>
      <c r="E121">
        <f t="shared" si="4"/>
        <v>121</v>
      </c>
      <c r="F121" s="428">
        <v>264</v>
      </c>
      <c r="G121" s="443">
        <v>17801</v>
      </c>
      <c r="H121" s="429">
        <v>121</v>
      </c>
      <c r="I121" s="430" t="s">
        <v>428</v>
      </c>
      <c r="K121" s="517">
        <f t="shared" si="3"/>
        <v>0</v>
      </c>
      <c r="L121" s="428">
        <v>264</v>
      </c>
      <c r="M121" s="458">
        <v>17801</v>
      </c>
      <c r="N121" s="429">
        <v>121</v>
      </c>
      <c r="O121" s="504" t="s">
        <v>428</v>
      </c>
    </row>
    <row r="122" spans="1:15" x14ac:dyDescent="0.25">
      <c r="A122" s="443">
        <v>17902</v>
      </c>
      <c r="B122" s="250" t="s">
        <v>1039</v>
      </c>
      <c r="C122" s="251" t="s">
        <v>1035</v>
      </c>
      <c r="D122" s="125"/>
      <c r="E122">
        <f t="shared" si="4"/>
        <v>122</v>
      </c>
      <c r="F122" s="428">
        <v>2633</v>
      </c>
      <c r="G122" s="443">
        <v>17902</v>
      </c>
      <c r="H122" s="432" t="s">
        <v>1039</v>
      </c>
      <c r="I122" s="433" t="s">
        <v>1083</v>
      </c>
      <c r="K122" s="517">
        <f t="shared" si="3"/>
        <v>0</v>
      </c>
      <c r="L122" s="428">
        <v>2633</v>
      </c>
      <c r="M122" s="458">
        <v>17902</v>
      </c>
      <c r="N122" s="432" t="s">
        <v>1039</v>
      </c>
      <c r="O122" s="457" t="s">
        <v>1035</v>
      </c>
    </row>
    <row r="123" spans="1:15" x14ac:dyDescent="0.25">
      <c r="A123" s="443">
        <v>17908</v>
      </c>
      <c r="B123" s="250" t="s">
        <v>1039</v>
      </c>
      <c r="C123" s="251" t="s">
        <v>1032</v>
      </c>
      <c r="D123" s="125"/>
      <c r="E123">
        <f t="shared" si="4"/>
        <v>123</v>
      </c>
      <c r="F123" s="428">
        <v>2630</v>
      </c>
      <c r="G123" s="443">
        <v>17908</v>
      </c>
      <c r="H123" s="432" t="s">
        <v>1039</v>
      </c>
      <c r="I123" s="434" t="s">
        <v>1032</v>
      </c>
      <c r="K123" s="517">
        <f t="shared" si="3"/>
        <v>0</v>
      </c>
      <c r="L123" s="428">
        <v>2630</v>
      </c>
      <c r="M123" s="458">
        <v>17908</v>
      </c>
      <c r="N123" s="432" t="s">
        <v>1039</v>
      </c>
      <c r="O123" s="457" t="s">
        <v>1032</v>
      </c>
    </row>
    <row r="124" spans="1:15" x14ac:dyDescent="0.25">
      <c r="A124" s="443">
        <v>17911</v>
      </c>
      <c r="B124" s="250" t="s">
        <v>1039</v>
      </c>
      <c r="C124" s="215" t="s">
        <v>1116</v>
      </c>
      <c r="D124" s="125"/>
      <c r="E124">
        <f t="shared" si="4"/>
        <v>124</v>
      </c>
      <c r="F124" s="431">
        <v>3063</v>
      </c>
      <c r="G124" s="443">
        <v>17911</v>
      </c>
      <c r="H124" s="432" t="s">
        <v>1039</v>
      </c>
      <c r="I124" s="435" t="s">
        <v>1116</v>
      </c>
      <c r="K124" s="517">
        <f t="shared" si="3"/>
        <v>0</v>
      </c>
      <c r="L124" s="431">
        <v>3063</v>
      </c>
      <c r="M124" s="458">
        <v>17911</v>
      </c>
      <c r="N124" s="432" t="s">
        <v>1039</v>
      </c>
      <c r="O124" s="507" t="s">
        <v>1116</v>
      </c>
    </row>
    <row r="125" spans="1:15" x14ac:dyDescent="0.25">
      <c r="A125" s="444">
        <v>17917</v>
      </c>
      <c r="B125" s="432" t="s">
        <v>1039</v>
      </c>
      <c r="C125" s="430" t="s">
        <v>1180</v>
      </c>
      <c r="D125" s="125"/>
      <c r="E125">
        <f t="shared" si="4"/>
        <v>125</v>
      </c>
      <c r="F125" s="445">
        <v>4263</v>
      </c>
      <c r="G125" s="444">
        <v>17917</v>
      </c>
      <c r="H125" s="432" t="s">
        <v>1039</v>
      </c>
      <c r="I125" s="430" t="s">
        <v>1180</v>
      </c>
      <c r="K125" s="517">
        <f t="shared" si="3"/>
        <v>0</v>
      </c>
      <c r="L125" s="508">
        <v>4263</v>
      </c>
      <c r="M125" s="458">
        <v>17917</v>
      </c>
      <c r="N125" s="432" t="s">
        <v>1039</v>
      </c>
      <c r="O125" s="454" t="s">
        <v>1180</v>
      </c>
    </row>
    <row r="126" spans="1:15" x14ac:dyDescent="0.25">
      <c r="A126" s="443">
        <v>18100</v>
      </c>
      <c r="B126" s="116" t="s">
        <v>52</v>
      </c>
      <c r="C126" s="108" t="s">
        <v>50</v>
      </c>
      <c r="D126" s="125"/>
      <c r="E126">
        <f t="shared" si="4"/>
        <v>126</v>
      </c>
      <c r="F126" s="428">
        <v>82</v>
      </c>
      <c r="G126" s="443">
        <v>18100</v>
      </c>
      <c r="H126" s="429" t="s">
        <v>52</v>
      </c>
      <c r="I126" s="430" t="s">
        <v>50</v>
      </c>
      <c r="K126" s="517">
        <f t="shared" si="3"/>
        <v>0</v>
      </c>
      <c r="L126" s="428">
        <v>82</v>
      </c>
      <c r="M126" s="458">
        <v>18100</v>
      </c>
      <c r="N126" s="429" t="s">
        <v>52</v>
      </c>
      <c r="O126" s="439" t="s">
        <v>50</v>
      </c>
    </row>
    <row r="127" spans="1:15" x14ac:dyDescent="0.25">
      <c r="A127" s="443">
        <v>18303</v>
      </c>
      <c r="B127" s="116" t="s">
        <v>29</v>
      </c>
      <c r="C127" s="108" t="s">
        <v>30</v>
      </c>
      <c r="D127" s="125"/>
      <c r="E127">
        <f t="shared" si="4"/>
        <v>127</v>
      </c>
      <c r="F127" s="428">
        <v>42</v>
      </c>
      <c r="G127" s="443">
        <v>18303</v>
      </c>
      <c r="H127" s="429" t="s">
        <v>29</v>
      </c>
      <c r="I127" s="430" t="s">
        <v>30</v>
      </c>
      <c r="K127" s="517">
        <f t="shared" si="3"/>
        <v>0</v>
      </c>
      <c r="L127" s="428">
        <v>42</v>
      </c>
      <c r="M127" s="458">
        <v>18303</v>
      </c>
      <c r="N127" s="429" t="s">
        <v>29</v>
      </c>
      <c r="O127" s="439" t="s">
        <v>30</v>
      </c>
    </row>
    <row r="128" spans="1:15" x14ac:dyDescent="0.25">
      <c r="A128" s="443">
        <v>18400</v>
      </c>
      <c r="B128" s="116" t="s">
        <v>52</v>
      </c>
      <c r="C128" s="108" t="s">
        <v>348</v>
      </c>
      <c r="D128" s="125"/>
      <c r="E128">
        <f t="shared" si="4"/>
        <v>128</v>
      </c>
      <c r="F128" s="428">
        <v>649</v>
      </c>
      <c r="G128" s="443">
        <v>18400</v>
      </c>
      <c r="H128" s="429" t="s">
        <v>52</v>
      </c>
      <c r="I128" s="430" t="s">
        <v>348</v>
      </c>
      <c r="K128" s="517">
        <f t="shared" si="3"/>
        <v>0</v>
      </c>
      <c r="L128" s="428">
        <v>649</v>
      </c>
      <c r="M128" s="458">
        <v>18400</v>
      </c>
      <c r="N128" s="429" t="s">
        <v>52</v>
      </c>
      <c r="O128" s="439" t="s">
        <v>348</v>
      </c>
    </row>
    <row r="129" spans="1:15" x14ac:dyDescent="0.25">
      <c r="A129" s="443">
        <v>18401</v>
      </c>
      <c r="B129" s="116" t="s">
        <v>52</v>
      </c>
      <c r="C129" s="108" t="s">
        <v>76</v>
      </c>
      <c r="D129" s="125"/>
      <c r="E129">
        <f t="shared" si="4"/>
        <v>129</v>
      </c>
      <c r="F129" s="428">
        <v>114</v>
      </c>
      <c r="G129" s="443">
        <v>18401</v>
      </c>
      <c r="H129" s="429" t="s">
        <v>52</v>
      </c>
      <c r="I129" s="430" t="s">
        <v>76</v>
      </c>
      <c r="K129" s="517">
        <f t="shared" si="3"/>
        <v>0</v>
      </c>
      <c r="L129" s="428">
        <v>114</v>
      </c>
      <c r="M129" s="458">
        <v>18401</v>
      </c>
      <c r="N129" s="429" t="s">
        <v>52</v>
      </c>
      <c r="O129" s="439" t="s">
        <v>76</v>
      </c>
    </row>
    <row r="130" spans="1:15" x14ac:dyDescent="0.25">
      <c r="A130" s="443">
        <v>18402</v>
      </c>
      <c r="B130" s="116" t="s">
        <v>52</v>
      </c>
      <c r="C130" s="108" t="s">
        <v>506</v>
      </c>
      <c r="D130" s="125"/>
      <c r="E130">
        <f t="shared" si="4"/>
        <v>130</v>
      </c>
      <c r="F130" s="428">
        <v>910</v>
      </c>
      <c r="G130" s="443">
        <v>18402</v>
      </c>
      <c r="H130" s="429" t="s">
        <v>52</v>
      </c>
      <c r="I130" s="430" t="s">
        <v>506</v>
      </c>
      <c r="K130" s="517">
        <f t="shared" si="3"/>
        <v>0</v>
      </c>
      <c r="L130" s="428">
        <v>910</v>
      </c>
      <c r="M130" s="458">
        <v>18402</v>
      </c>
      <c r="N130" s="429" t="s">
        <v>52</v>
      </c>
      <c r="O130" s="439" t="s">
        <v>506</v>
      </c>
    </row>
    <row r="131" spans="1:15" x14ac:dyDescent="0.25">
      <c r="A131" s="443">
        <v>18801</v>
      </c>
      <c r="B131" s="116">
        <v>114</v>
      </c>
      <c r="C131" s="520" t="s">
        <v>380</v>
      </c>
      <c r="D131" s="125"/>
      <c r="E131">
        <f t="shared" si="4"/>
        <v>131</v>
      </c>
      <c r="F131" s="428">
        <v>263</v>
      </c>
      <c r="G131" s="443">
        <v>18801</v>
      </c>
      <c r="H131" s="429">
        <v>114</v>
      </c>
      <c r="I131" s="430" t="s">
        <v>380</v>
      </c>
      <c r="K131" s="517">
        <f t="shared" si="3"/>
        <v>0</v>
      </c>
      <c r="L131" s="428">
        <v>263</v>
      </c>
      <c r="M131" s="458">
        <v>18801</v>
      </c>
      <c r="N131" s="429">
        <v>114</v>
      </c>
      <c r="O131" s="526" t="s">
        <v>380</v>
      </c>
    </row>
    <row r="132" spans="1:15" x14ac:dyDescent="0.25">
      <c r="A132" s="443">
        <v>18901</v>
      </c>
      <c r="B132" s="250" t="s">
        <v>1039</v>
      </c>
      <c r="C132" s="518" t="s">
        <v>1168</v>
      </c>
      <c r="D132" s="125"/>
      <c r="E132">
        <f t="shared" si="4"/>
        <v>132</v>
      </c>
      <c r="F132" s="428">
        <v>4260</v>
      </c>
      <c r="G132" s="443">
        <v>18901</v>
      </c>
      <c r="H132" s="429" t="s">
        <v>1039</v>
      </c>
      <c r="I132" s="436" t="s">
        <v>1175</v>
      </c>
      <c r="K132" s="517">
        <f t="shared" si="3"/>
        <v>0</v>
      </c>
      <c r="L132" s="428">
        <v>4260</v>
      </c>
      <c r="M132" s="458">
        <v>18901</v>
      </c>
      <c r="N132" s="432" t="s">
        <v>1039</v>
      </c>
      <c r="O132" s="525" t="s">
        <v>1168</v>
      </c>
    </row>
    <row r="133" spans="1:15" x14ac:dyDescent="0.25">
      <c r="A133" s="443">
        <v>19007</v>
      </c>
      <c r="B133" s="116" t="s">
        <v>45</v>
      </c>
      <c r="C133" s="108" t="s">
        <v>126</v>
      </c>
      <c r="D133" s="125"/>
      <c r="E133">
        <f t="shared" si="4"/>
        <v>133</v>
      </c>
      <c r="F133" s="428">
        <v>218</v>
      </c>
      <c r="G133" s="443">
        <v>19007</v>
      </c>
      <c r="H133" s="429" t="s">
        <v>45</v>
      </c>
      <c r="I133" s="430" t="s">
        <v>126</v>
      </c>
      <c r="K133" s="517">
        <f t="shared" si="3"/>
        <v>0</v>
      </c>
      <c r="L133" s="428">
        <v>218</v>
      </c>
      <c r="M133" s="458">
        <v>19007</v>
      </c>
      <c r="N133" s="429" t="s">
        <v>45</v>
      </c>
      <c r="O133" s="439" t="s">
        <v>126</v>
      </c>
    </row>
    <row r="134" spans="1:15" x14ac:dyDescent="0.25">
      <c r="A134" s="443">
        <v>19028</v>
      </c>
      <c r="B134" s="116" t="s">
        <v>45</v>
      </c>
      <c r="C134" s="108" t="s">
        <v>146</v>
      </c>
      <c r="D134" s="125"/>
      <c r="E134">
        <f t="shared" si="4"/>
        <v>134</v>
      </c>
      <c r="F134" s="428">
        <v>250</v>
      </c>
      <c r="G134" s="443">
        <v>19028</v>
      </c>
      <c r="H134" s="429" t="s">
        <v>45</v>
      </c>
      <c r="I134" s="430" t="s">
        <v>146</v>
      </c>
      <c r="K134" s="517">
        <f t="shared" si="3"/>
        <v>0</v>
      </c>
      <c r="L134" s="428">
        <v>250</v>
      </c>
      <c r="M134" s="458">
        <v>19028</v>
      </c>
      <c r="N134" s="429" t="s">
        <v>45</v>
      </c>
      <c r="O134" s="439" t="s">
        <v>146</v>
      </c>
    </row>
    <row r="135" spans="1:15" x14ac:dyDescent="0.25">
      <c r="A135" s="443">
        <v>19400</v>
      </c>
      <c r="B135" s="116" t="s">
        <v>45</v>
      </c>
      <c r="C135" s="108" t="s">
        <v>548</v>
      </c>
      <c r="D135" s="125"/>
      <c r="E135">
        <f t="shared" si="4"/>
        <v>135</v>
      </c>
      <c r="F135" s="428">
        <v>975</v>
      </c>
      <c r="G135" s="443">
        <v>19400</v>
      </c>
      <c r="H135" s="429" t="s">
        <v>45</v>
      </c>
      <c r="I135" s="430" t="s">
        <v>548</v>
      </c>
      <c r="K135" s="517">
        <f t="shared" ref="K135:K198" si="5">+L135-F135</f>
        <v>0</v>
      </c>
      <c r="L135" s="428">
        <v>975</v>
      </c>
      <c r="M135" s="458">
        <v>19400</v>
      </c>
      <c r="N135" s="429" t="s">
        <v>45</v>
      </c>
      <c r="O135" s="439" t="s">
        <v>548</v>
      </c>
    </row>
    <row r="136" spans="1:15" x14ac:dyDescent="0.25">
      <c r="A136" s="443">
        <v>19401</v>
      </c>
      <c r="B136" s="116" t="s">
        <v>45</v>
      </c>
      <c r="C136" s="108" t="s">
        <v>160</v>
      </c>
      <c r="D136" s="125"/>
      <c r="E136">
        <f t="shared" ref="E136:E199" si="6">+E135+1</f>
        <v>136</v>
      </c>
      <c r="F136" s="428">
        <v>270</v>
      </c>
      <c r="G136" s="443">
        <v>19401</v>
      </c>
      <c r="H136" s="429" t="s">
        <v>45</v>
      </c>
      <c r="I136" s="430" t="s">
        <v>160</v>
      </c>
      <c r="K136" s="517">
        <f t="shared" si="5"/>
        <v>0</v>
      </c>
      <c r="L136" s="428">
        <v>270</v>
      </c>
      <c r="M136" s="458">
        <v>19401</v>
      </c>
      <c r="N136" s="429" t="s">
        <v>45</v>
      </c>
      <c r="O136" s="439" t="s">
        <v>160</v>
      </c>
    </row>
    <row r="137" spans="1:15" x14ac:dyDescent="0.25">
      <c r="A137" s="443">
        <v>19403</v>
      </c>
      <c r="B137" s="116" t="s">
        <v>45</v>
      </c>
      <c r="C137" s="108" t="s">
        <v>248</v>
      </c>
      <c r="D137" s="125"/>
      <c r="E137">
        <f t="shared" si="6"/>
        <v>137</v>
      </c>
      <c r="F137" s="428">
        <v>501</v>
      </c>
      <c r="G137" s="443">
        <v>19403</v>
      </c>
      <c r="H137" s="429" t="s">
        <v>45</v>
      </c>
      <c r="I137" s="430" t="s">
        <v>248</v>
      </c>
      <c r="K137" s="517">
        <f t="shared" si="5"/>
        <v>0</v>
      </c>
      <c r="L137" s="428">
        <v>501</v>
      </c>
      <c r="M137" s="458">
        <v>19403</v>
      </c>
      <c r="N137" s="429" t="s">
        <v>45</v>
      </c>
      <c r="O137" s="439" t="s">
        <v>248</v>
      </c>
    </row>
    <row r="138" spans="1:15" x14ac:dyDescent="0.25">
      <c r="A138" s="443">
        <v>19404</v>
      </c>
      <c r="B138" s="116" t="s">
        <v>45</v>
      </c>
      <c r="C138" s="108" t="s">
        <v>92</v>
      </c>
      <c r="D138" s="125"/>
      <c r="E138">
        <f t="shared" si="6"/>
        <v>138</v>
      </c>
      <c r="F138" s="428">
        <v>158</v>
      </c>
      <c r="G138" s="443">
        <v>19404</v>
      </c>
      <c r="H138" s="429" t="s">
        <v>45</v>
      </c>
      <c r="I138" s="430" t="s">
        <v>92</v>
      </c>
      <c r="K138" s="517">
        <f t="shared" si="5"/>
        <v>0</v>
      </c>
      <c r="L138" s="428">
        <v>158</v>
      </c>
      <c r="M138" s="458">
        <v>19404</v>
      </c>
      <c r="N138" s="429" t="s">
        <v>45</v>
      </c>
      <c r="O138" s="439" t="s">
        <v>92</v>
      </c>
    </row>
    <row r="139" spans="1:15" x14ac:dyDescent="0.25">
      <c r="A139" s="443">
        <v>20094</v>
      </c>
      <c r="B139" s="116" t="s">
        <v>34</v>
      </c>
      <c r="C139" s="108" t="s">
        <v>618</v>
      </c>
      <c r="D139" s="125"/>
      <c r="E139">
        <f t="shared" si="6"/>
        <v>139</v>
      </c>
      <c r="F139" s="428">
        <v>1110</v>
      </c>
      <c r="G139" s="443">
        <v>20094</v>
      </c>
      <c r="H139" s="429" t="s">
        <v>34</v>
      </c>
      <c r="I139" s="430" t="s">
        <v>618</v>
      </c>
      <c r="K139" s="517">
        <f t="shared" si="5"/>
        <v>0</v>
      </c>
      <c r="L139" s="428">
        <v>1110</v>
      </c>
      <c r="M139" s="458">
        <v>20094</v>
      </c>
      <c r="N139" s="429" t="s">
        <v>34</v>
      </c>
      <c r="O139" s="439" t="s">
        <v>618</v>
      </c>
    </row>
    <row r="140" spans="1:15" x14ac:dyDescent="0.25">
      <c r="A140" s="443">
        <v>20203</v>
      </c>
      <c r="B140" s="116" t="s">
        <v>45</v>
      </c>
      <c r="C140" s="108" t="s">
        <v>43</v>
      </c>
      <c r="D140" s="125"/>
      <c r="E140">
        <f t="shared" si="6"/>
        <v>140</v>
      </c>
      <c r="F140" s="428">
        <v>67</v>
      </c>
      <c r="G140" s="443">
        <v>20203</v>
      </c>
      <c r="H140" s="429" t="s">
        <v>45</v>
      </c>
      <c r="I140" s="430" t="s">
        <v>43</v>
      </c>
      <c r="K140" s="517">
        <f t="shared" si="5"/>
        <v>0</v>
      </c>
      <c r="L140" s="428">
        <v>67</v>
      </c>
      <c r="M140" s="458">
        <v>20203</v>
      </c>
      <c r="N140" s="429" t="s">
        <v>45</v>
      </c>
      <c r="O140" s="439" t="s">
        <v>43</v>
      </c>
    </row>
    <row r="141" spans="1:15" x14ac:dyDescent="0.25">
      <c r="A141" s="443">
        <v>20215</v>
      </c>
      <c r="B141" s="116" t="s">
        <v>34</v>
      </c>
      <c r="C141" s="108" t="s">
        <v>74</v>
      </c>
      <c r="D141" s="125"/>
      <c r="E141">
        <f t="shared" si="6"/>
        <v>141</v>
      </c>
      <c r="F141" s="428">
        <v>113</v>
      </c>
      <c r="G141" s="443">
        <v>20215</v>
      </c>
      <c r="H141" s="429" t="s">
        <v>34</v>
      </c>
      <c r="I141" s="430" t="s">
        <v>74</v>
      </c>
      <c r="K141" s="517">
        <f t="shared" si="5"/>
        <v>0</v>
      </c>
      <c r="L141" s="428">
        <v>113</v>
      </c>
      <c r="M141" s="458">
        <v>20215</v>
      </c>
      <c r="N141" s="429" t="s">
        <v>34</v>
      </c>
      <c r="O141" s="439" t="s">
        <v>74</v>
      </c>
    </row>
    <row r="142" spans="1:15" x14ac:dyDescent="0.25">
      <c r="A142" s="443">
        <v>20400</v>
      </c>
      <c r="B142" s="116" t="s">
        <v>34</v>
      </c>
      <c r="C142" s="108" t="s">
        <v>560</v>
      </c>
      <c r="D142" s="125"/>
      <c r="E142">
        <f t="shared" si="6"/>
        <v>142</v>
      </c>
      <c r="F142" s="428">
        <v>1000</v>
      </c>
      <c r="G142" s="443">
        <v>20400</v>
      </c>
      <c r="H142" s="429" t="s">
        <v>34</v>
      </c>
      <c r="I142" s="430" t="s">
        <v>560</v>
      </c>
      <c r="K142" s="517">
        <f t="shared" si="5"/>
        <v>0</v>
      </c>
      <c r="L142" s="428">
        <v>1000</v>
      </c>
      <c r="M142" s="458">
        <v>20400</v>
      </c>
      <c r="N142" s="429" t="s">
        <v>34</v>
      </c>
      <c r="O142" s="439" t="s">
        <v>560</v>
      </c>
    </row>
    <row r="143" spans="1:15" x14ac:dyDescent="0.25">
      <c r="A143" s="443">
        <v>20401</v>
      </c>
      <c r="B143" s="116" t="s">
        <v>34</v>
      </c>
      <c r="C143" s="108" t="s">
        <v>194</v>
      </c>
      <c r="D143" s="125"/>
      <c r="E143">
        <f t="shared" si="6"/>
        <v>143</v>
      </c>
      <c r="F143" s="428">
        <v>332</v>
      </c>
      <c r="G143" s="443">
        <v>20401</v>
      </c>
      <c r="H143" s="429" t="s">
        <v>34</v>
      </c>
      <c r="I143" s="430" t="s">
        <v>194</v>
      </c>
      <c r="K143" s="517">
        <f t="shared" si="5"/>
        <v>0</v>
      </c>
      <c r="L143" s="428">
        <v>332</v>
      </c>
      <c r="M143" s="458">
        <v>20401</v>
      </c>
      <c r="N143" s="429" t="s">
        <v>34</v>
      </c>
      <c r="O143" s="439" t="s">
        <v>194</v>
      </c>
    </row>
    <row r="144" spans="1:15" x14ac:dyDescent="0.25">
      <c r="A144" s="443">
        <v>20402</v>
      </c>
      <c r="B144" s="116" t="s">
        <v>34</v>
      </c>
      <c r="C144" s="108" t="s">
        <v>250</v>
      </c>
      <c r="D144" s="125"/>
      <c r="E144">
        <f t="shared" si="6"/>
        <v>144</v>
      </c>
      <c r="F144" s="428">
        <v>505</v>
      </c>
      <c r="G144" s="443">
        <v>20402</v>
      </c>
      <c r="H144" s="429" t="s">
        <v>34</v>
      </c>
      <c r="I144" s="430" t="s">
        <v>250</v>
      </c>
      <c r="K144" s="517">
        <f t="shared" si="5"/>
        <v>0</v>
      </c>
      <c r="L144" s="428">
        <v>505</v>
      </c>
      <c r="M144" s="458">
        <v>20402</v>
      </c>
      <c r="N144" s="429" t="s">
        <v>34</v>
      </c>
      <c r="O144" s="439" t="s">
        <v>250</v>
      </c>
    </row>
    <row r="145" spans="1:15" x14ac:dyDescent="0.25">
      <c r="A145" s="443">
        <v>20403</v>
      </c>
      <c r="B145" s="116" t="s">
        <v>34</v>
      </c>
      <c r="C145" s="108" t="s">
        <v>466</v>
      </c>
      <c r="D145" s="125"/>
      <c r="E145">
        <f t="shared" si="6"/>
        <v>145</v>
      </c>
      <c r="F145" s="428">
        <v>819</v>
      </c>
      <c r="G145" s="443">
        <v>20403</v>
      </c>
      <c r="H145" s="429" t="s">
        <v>34</v>
      </c>
      <c r="I145" s="430" t="s">
        <v>466</v>
      </c>
      <c r="K145" s="517">
        <f t="shared" si="5"/>
        <v>0</v>
      </c>
      <c r="L145" s="428">
        <v>819</v>
      </c>
      <c r="M145" s="458">
        <v>20403</v>
      </c>
      <c r="N145" s="429" t="s">
        <v>34</v>
      </c>
      <c r="O145" s="439" t="s">
        <v>466</v>
      </c>
    </row>
    <row r="146" spans="1:15" x14ac:dyDescent="0.25">
      <c r="A146" s="443">
        <v>20404</v>
      </c>
      <c r="B146" s="116" t="s">
        <v>45</v>
      </c>
      <c r="C146" s="108" t="s">
        <v>196</v>
      </c>
      <c r="D146" s="125"/>
      <c r="E146">
        <f t="shared" si="6"/>
        <v>146</v>
      </c>
      <c r="F146" s="428">
        <v>335</v>
      </c>
      <c r="G146" s="443">
        <v>20404</v>
      </c>
      <c r="H146" s="429" t="s">
        <v>45</v>
      </c>
      <c r="I146" s="430" t="s">
        <v>196</v>
      </c>
      <c r="K146" s="517">
        <f t="shared" si="5"/>
        <v>0</v>
      </c>
      <c r="L146" s="428">
        <v>335</v>
      </c>
      <c r="M146" s="458">
        <v>20404</v>
      </c>
      <c r="N146" s="429" t="s">
        <v>45</v>
      </c>
      <c r="O146" s="439" t="s">
        <v>196</v>
      </c>
    </row>
    <row r="147" spans="1:15" x14ac:dyDescent="0.25">
      <c r="A147" s="443">
        <v>20405</v>
      </c>
      <c r="B147" s="116" t="s">
        <v>34</v>
      </c>
      <c r="C147" s="108" t="s">
        <v>606</v>
      </c>
      <c r="D147" s="125"/>
      <c r="E147">
        <f t="shared" si="6"/>
        <v>147</v>
      </c>
      <c r="F147" s="428">
        <v>1093</v>
      </c>
      <c r="G147" s="443">
        <v>20405</v>
      </c>
      <c r="H147" s="429" t="s">
        <v>34</v>
      </c>
      <c r="I147" s="430" t="s">
        <v>606</v>
      </c>
      <c r="K147" s="517">
        <f t="shared" si="5"/>
        <v>0</v>
      </c>
      <c r="L147" s="428">
        <v>1093</v>
      </c>
      <c r="M147" s="458">
        <v>20405</v>
      </c>
      <c r="N147" s="429" t="s">
        <v>34</v>
      </c>
      <c r="O147" s="439" t="s">
        <v>606</v>
      </c>
    </row>
    <row r="148" spans="1:15" x14ac:dyDescent="0.25">
      <c r="A148" s="443">
        <v>20406</v>
      </c>
      <c r="B148" s="116" t="s">
        <v>34</v>
      </c>
      <c r="C148" s="108" t="s">
        <v>278</v>
      </c>
      <c r="D148" s="125"/>
      <c r="E148">
        <f t="shared" si="6"/>
        <v>148</v>
      </c>
      <c r="F148" s="428">
        <v>555</v>
      </c>
      <c r="G148" s="443">
        <v>20406</v>
      </c>
      <c r="H148" s="429" t="s">
        <v>34</v>
      </c>
      <c r="I148" s="430" t="s">
        <v>278</v>
      </c>
      <c r="K148" s="517">
        <f t="shared" si="5"/>
        <v>0</v>
      </c>
      <c r="L148" s="428">
        <v>555</v>
      </c>
      <c r="M148" s="458">
        <v>20406</v>
      </c>
      <c r="N148" s="429" t="s">
        <v>34</v>
      </c>
      <c r="O148" s="439" t="s">
        <v>278</v>
      </c>
    </row>
    <row r="149" spans="1:15" x14ac:dyDescent="0.25">
      <c r="A149" s="443">
        <v>21014</v>
      </c>
      <c r="B149" s="116" t="s">
        <v>13</v>
      </c>
      <c r="C149" s="108" t="s">
        <v>330</v>
      </c>
      <c r="D149" s="125"/>
      <c r="E149">
        <f t="shared" si="6"/>
        <v>149</v>
      </c>
      <c r="F149" s="428">
        <v>632</v>
      </c>
      <c r="G149" s="443">
        <v>21014</v>
      </c>
      <c r="H149" s="429" t="s">
        <v>13</v>
      </c>
      <c r="I149" s="430" t="s">
        <v>330</v>
      </c>
      <c r="K149" s="517">
        <f t="shared" si="5"/>
        <v>0</v>
      </c>
      <c r="L149" s="428">
        <v>632</v>
      </c>
      <c r="M149" s="458">
        <v>21014</v>
      </c>
      <c r="N149" s="429" t="s">
        <v>13</v>
      </c>
      <c r="O149" s="439" t="s">
        <v>330</v>
      </c>
    </row>
    <row r="150" spans="1:15" x14ac:dyDescent="0.25">
      <c r="A150" s="443">
        <v>21036</v>
      </c>
      <c r="B150" s="116" t="s">
        <v>13</v>
      </c>
      <c r="C150" s="108" t="s">
        <v>172</v>
      </c>
      <c r="D150" s="125"/>
      <c r="E150">
        <f t="shared" si="6"/>
        <v>150</v>
      </c>
      <c r="F150" s="428">
        <v>285</v>
      </c>
      <c r="G150" s="443">
        <v>21036</v>
      </c>
      <c r="H150" s="429" t="s">
        <v>13</v>
      </c>
      <c r="I150" s="430" t="s">
        <v>172</v>
      </c>
      <c r="K150" s="517">
        <f t="shared" si="5"/>
        <v>0</v>
      </c>
      <c r="L150" s="428">
        <v>285</v>
      </c>
      <c r="M150" s="458">
        <v>21036</v>
      </c>
      <c r="N150" s="429" t="s">
        <v>13</v>
      </c>
      <c r="O150" s="439" t="s">
        <v>172</v>
      </c>
    </row>
    <row r="151" spans="1:15" x14ac:dyDescent="0.25">
      <c r="A151" s="443">
        <v>21206</v>
      </c>
      <c r="B151" s="116" t="s">
        <v>13</v>
      </c>
      <c r="C151" s="108" t="s">
        <v>316</v>
      </c>
      <c r="D151" s="125"/>
      <c r="E151">
        <f t="shared" si="6"/>
        <v>151</v>
      </c>
      <c r="F151" s="428">
        <v>613</v>
      </c>
      <c r="G151" s="443">
        <v>21206</v>
      </c>
      <c r="H151" s="429" t="s">
        <v>13</v>
      </c>
      <c r="I151" s="430" t="s">
        <v>316</v>
      </c>
      <c r="K151" s="517">
        <f t="shared" si="5"/>
        <v>0</v>
      </c>
      <c r="L151" s="428">
        <v>613</v>
      </c>
      <c r="M151" s="458">
        <v>21206</v>
      </c>
      <c r="N151" s="429" t="s">
        <v>13</v>
      </c>
      <c r="O151" s="439" t="s">
        <v>316</v>
      </c>
    </row>
    <row r="152" spans="1:15" x14ac:dyDescent="0.25">
      <c r="A152" s="443">
        <v>21214</v>
      </c>
      <c r="B152" s="116" t="s">
        <v>13</v>
      </c>
      <c r="C152" s="108" t="s">
        <v>312</v>
      </c>
      <c r="D152" s="125"/>
      <c r="E152">
        <f t="shared" si="6"/>
        <v>152</v>
      </c>
      <c r="F152" s="428">
        <v>608</v>
      </c>
      <c r="G152" s="443">
        <v>21214</v>
      </c>
      <c r="H152" s="429" t="s">
        <v>13</v>
      </c>
      <c r="I152" s="430" t="s">
        <v>312</v>
      </c>
      <c r="K152" s="517">
        <f t="shared" si="5"/>
        <v>0</v>
      </c>
      <c r="L152" s="428">
        <v>608</v>
      </c>
      <c r="M152" s="458">
        <v>21214</v>
      </c>
      <c r="N152" s="429" t="s">
        <v>13</v>
      </c>
      <c r="O152" s="439" t="s">
        <v>312</v>
      </c>
    </row>
    <row r="153" spans="1:15" x14ac:dyDescent="0.25">
      <c r="A153" s="443">
        <v>21226</v>
      </c>
      <c r="B153" s="116" t="s">
        <v>13</v>
      </c>
      <c r="C153" s="108" t="s">
        <v>14</v>
      </c>
      <c r="D153" s="125"/>
      <c r="E153">
        <f t="shared" si="6"/>
        <v>153</v>
      </c>
      <c r="F153" s="428">
        <v>10</v>
      </c>
      <c r="G153" s="443">
        <v>21226</v>
      </c>
      <c r="H153" s="429" t="s">
        <v>13</v>
      </c>
      <c r="I153" s="430" t="s">
        <v>14</v>
      </c>
      <c r="K153" s="517">
        <f t="shared" si="5"/>
        <v>0</v>
      </c>
      <c r="L153" s="428">
        <v>10</v>
      </c>
      <c r="M153" s="458">
        <v>21226</v>
      </c>
      <c r="N153" s="429" t="s">
        <v>13</v>
      </c>
      <c r="O153" s="439" t="s">
        <v>14</v>
      </c>
    </row>
    <row r="154" spans="1:15" x14ac:dyDescent="0.25">
      <c r="A154" s="443">
        <v>21232</v>
      </c>
      <c r="B154" s="116" t="s">
        <v>13</v>
      </c>
      <c r="C154" s="108" t="s">
        <v>614</v>
      </c>
      <c r="D154" s="125"/>
      <c r="E154">
        <f t="shared" si="6"/>
        <v>154</v>
      </c>
      <c r="F154" s="428">
        <v>1106</v>
      </c>
      <c r="G154" s="443">
        <v>21232</v>
      </c>
      <c r="H154" s="429" t="s">
        <v>13</v>
      </c>
      <c r="I154" s="430" t="s">
        <v>614</v>
      </c>
      <c r="K154" s="517">
        <f t="shared" si="5"/>
        <v>0</v>
      </c>
      <c r="L154" s="428">
        <v>1106</v>
      </c>
      <c r="M154" s="458">
        <v>21232</v>
      </c>
      <c r="N154" s="429" t="s">
        <v>13</v>
      </c>
      <c r="O154" s="439" t="s">
        <v>614</v>
      </c>
    </row>
    <row r="155" spans="1:15" x14ac:dyDescent="0.25">
      <c r="A155" s="443">
        <v>21234</v>
      </c>
      <c r="B155" s="116" t="s">
        <v>13</v>
      </c>
      <c r="C155" s="108" t="s">
        <v>48</v>
      </c>
      <c r="D155" s="125"/>
      <c r="E155">
        <f t="shared" si="6"/>
        <v>155</v>
      </c>
      <c r="F155" s="428">
        <v>74</v>
      </c>
      <c r="G155" s="443">
        <v>21234</v>
      </c>
      <c r="H155" s="429" t="s">
        <v>13</v>
      </c>
      <c r="I155" s="430" t="s">
        <v>48</v>
      </c>
      <c r="K155" s="517">
        <f t="shared" si="5"/>
        <v>0</v>
      </c>
      <c r="L155" s="428">
        <v>74</v>
      </c>
      <c r="M155" s="458">
        <v>21234</v>
      </c>
      <c r="N155" s="429" t="s">
        <v>13</v>
      </c>
      <c r="O155" s="439" t="s">
        <v>48</v>
      </c>
    </row>
    <row r="156" spans="1:15" x14ac:dyDescent="0.25">
      <c r="A156" s="443">
        <v>21237</v>
      </c>
      <c r="B156" s="116" t="s">
        <v>13</v>
      </c>
      <c r="C156" s="108" t="s">
        <v>550</v>
      </c>
      <c r="D156" s="125"/>
      <c r="E156">
        <f t="shared" si="6"/>
        <v>156</v>
      </c>
      <c r="F156" s="428">
        <v>988</v>
      </c>
      <c r="G156" s="443">
        <v>21237</v>
      </c>
      <c r="H156" s="429" t="s">
        <v>13</v>
      </c>
      <c r="I156" s="430" t="s">
        <v>550</v>
      </c>
      <c r="K156" s="517">
        <f t="shared" si="5"/>
        <v>0</v>
      </c>
      <c r="L156" s="428">
        <v>988</v>
      </c>
      <c r="M156" s="458">
        <v>21237</v>
      </c>
      <c r="N156" s="429" t="s">
        <v>13</v>
      </c>
      <c r="O156" s="439" t="s">
        <v>550</v>
      </c>
    </row>
    <row r="157" spans="1:15" x14ac:dyDescent="0.25">
      <c r="A157" s="443">
        <v>21300</v>
      </c>
      <c r="B157" s="116" t="s">
        <v>13</v>
      </c>
      <c r="C157" s="108" t="s">
        <v>384</v>
      </c>
      <c r="D157" s="125"/>
      <c r="E157">
        <f t="shared" si="6"/>
        <v>157</v>
      </c>
      <c r="F157" s="428">
        <v>680</v>
      </c>
      <c r="G157" s="443">
        <v>21300</v>
      </c>
      <c r="H157" s="429" t="s">
        <v>13</v>
      </c>
      <c r="I157" s="430" t="s">
        <v>384</v>
      </c>
      <c r="K157" s="517">
        <f t="shared" si="5"/>
        <v>0</v>
      </c>
      <c r="L157" s="428">
        <v>680</v>
      </c>
      <c r="M157" s="458">
        <v>21300</v>
      </c>
      <c r="N157" s="429" t="s">
        <v>13</v>
      </c>
      <c r="O157" s="439" t="s">
        <v>384</v>
      </c>
    </row>
    <row r="158" spans="1:15" x14ac:dyDescent="0.25">
      <c r="A158" s="443">
        <v>21301</v>
      </c>
      <c r="B158" s="116" t="s">
        <v>13</v>
      </c>
      <c r="C158" s="108" t="s">
        <v>412</v>
      </c>
      <c r="D158" s="125"/>
      <c r="E158">
        <f t="shared" si="6"/>
        <v>158</v>
      </c>
      <c r="F158" s="428">
        <v>714</v>
      </c>
      <c r="G158" s="443">
        <v>21301</v>
      </c>
      <c r="H158" s="429" t="s">
        <v>13</v>
      </c>
      <c r="I158" s="430" t="s">
        <v>412</v>
      </c>
      <c r="K158" s="517">
        <f t="shared" si="5"/>
        <v>0</v>
      </c>
      <c r="L158" s="428">
        <v>714</v>
      </c>
      <c r="M158" s="458">
        <v>21301</v>
      </c>
      <c r="N158" s="429" t="s">
        <v>13</v>
      </c>
      <c r="O158" s="439" t="s">
        <v>412</v>
      </c>
    </row>
    <row r="159" spans="1:15" x14ac:dyDescent="0.25">
      <c r="A159" s="443">
        <v>21302</v>
      </c>
      <c r="B159" s="116" t="s">
        <v>13</v>
      </c>
      <c r="C159" s="108" t="s">
        <v>82</v>
      </c>
      <c r="D159" s="125"/>
      <c r="E159">
        <f t="shared" si="6"/>
        <v>159</v>
      </c>
      <c r="F159" s="428">
        <v>122</v>
      </c>
      <c r="G159" s="443">
        <v>21302</v>
      </c>
      <c r="H159" s="429" t="s">
        <v>13</v>
      </c>
      <c r="I159" s="430" t="s">
        <v>82</v>
      </c>
      <c r="K159" s="517">
        <f t="shared" si="5"/>
        <v>0</v>
      </c>
      <c r="L159" s="428">
        <v>122</v>
      </c>
      <c r="M159" s="458">
        <v>21302</v>
      </c>
      <c r="N159" s="429" t="s">
        <v>13</v>
      </c>
      <c r="O159" s="439" t="s">
        <v>82</v>
      </c>
    </row>
    <row r="160" spans="1:15" x14ac:dyDescent="0.25">
      <c r="A160" s="443">
        <v>21303</v>
      </c>
      <c r="B160" s="116" t="s">
        <v>13</v>
      </c>
      <c r="C160" s="108" t="s">
        <v>602</v>
      </c>
      <c r="D160" s="125"/>
      <c r="E160">
        <f t="shared" si="6"/>
        <v>160</v>
      </c>
      <c r="F160" s="428">
        <v>1091</v>
      </c>
      <c r="G160" s="443">
        <v>21303</v>
      </c>
      <c r="H160" s="429" t="s">
        <v>13</v>
      </c>
      <c r="I160" s="430" t="s">
        <v>602</v>
      </c>
      <c r="K160" s="517">
        <f t="shared" si="5"/>
        <v>0</v>
      </c>
      <c r="L160" s="428">
        <v>1091</v>
      </c>
      <c r="M160" s="458">
        <v>21303</v>
      </c>
      <c r="N160" s="429" t="s">
        <v>13</v>
      </c>
      <c r="O160" s="439" t="s">
        <v>602</v>
      </c>
    </row>
    <row r="161" spans="1:15" x14ac:dyDescent="0.25">
      <c r="A161" s="443">
        <v>21401</v>
      </c>
      <c r="B161" s="116" t="s">
        <v>13</v>
      </c>
      <c r="C161" s="108" t="s">
        <v>80</v>
      </c>
      <c r="D161" s="125"/>
      <c r="E161">
        <f t="shared" si="6"/>
        <v>161</v>
      </c>
      <c r="F161" s="428">
        <v>119</v>
      </c>
      <c r="G161" s="443">
        <v>21401</v>
      </c>
      <c r="H161" s="429" t="s">
        <v>13</v>
      </c>
      <c r="I161" s="430" t="s">
        <v>80</v>
      </c>
      <c r="K161" s="517">
        <f t="shared" si="5"/>
        <v>0</v>
      </c>
      <c r="L161" s="428">
        <v>119</v>
      </c>
      <c r="M161" s="458">
        <v>21401</v>
      </c>
      <c r="N161" s="429" t="s">
        <v>13</v>
      </c>
      <c r="O161" s="439" t="s">
        <v>80</v>
      </c>
    </row>
    <row r="162" spans="1:15" x14ac:dyDescent="0.25">
      <c r="A162" s="443">
        <v>22008</v>
      </c>
      <c r="B162" s="116" t="s">
        <v>18</v>
      </c>
      <c r="C162" s="108" t="s">
        <v>514</v>
      </c>
      <c r="D162" s="125"/>
      <c r="E162">
        <f t="shared" si="6"/>
        <v>162</v>
      </c>
      <c r="F162" s="428">
        <v>928</v>
      </c>
      <c r="G162" s="443">
        <v>22008</v>
      </c>
      <c r="H162" s="429" t="s">
        <v>18</v>
      </c>
      <c r="I162" s="430" t="s">
        <v>514</v>
      </c>
      <c r="K162" s="517">
        <f t="shared" si="5"/>
        <v>0</v>
      </c>
      <c r="L162" s="428">
        <v>928</v>
      </c>
      <c r="M162" s="458">
        <v>22008</v>
      </c>
      <c r="N162" s="429" t="s">
        <v>18</v>
      </c>
      <c r="O162" s="439" t="s">
        <v>514</v>
      </c>
    </row>
    <row r="163" spans="1:15" x14ac:dyDescent="0.25">
      <c r="A163" s="443">
        <v>22009</v>
      </c>
      <c r="B163" s="116" t="s">
        <v>18</v>
      </c>
      <c r="C163" s="108" t="s">
        <v>448</v>
      </c>
      <c r="D163" s="125"/>
      <c r="E163">
        <f t="shared" si="6"/>
        <v>163</v>
      </c>
      <c r="F163" s="428">
        <v>798</v>
      </c>
      <c r="G163" s="443">
        <v>22009</v>
      </c>
      <c r="H163" s="429" t="s">
        <v>18</v>
      </c>
      <c r="I163" s="430" t="s">
        <v>448</v>
      </c>
      <c r="K163" s="517">
        <f t="shared" si="5"/>
        <v>0</v>
      </c>
      <c r="L163" s="428">
        <v>798</v>
      </c>
      <c r="M163" s="458">
        <v>22009</v>
      </c>
      <c r="N163" s="429" t="s">
        <v>18</v>
      </c>
      <c r="O163" s="439" t="s">
        <v>448</v>
      </c>
    </row>
    <row r="164" spans="1:15" x14ac:dyDescent="0.25">
      <c r="A164" s="443">
        <v>22017</v>
      </c>
      <c r="B164" s="116" t="s">
        <v>18</v>
      </c>
      <c r="C164" s="108" t="s">
        <v>16</v>
      </c>
      <c r="D164" s="125"/>
      <c r="E164">
        <f t="shared" si="6"/>
        <v>164</v>
      </c>
      <c r="F164" s="428">
        <v>17</v>
      </c>
      <c r="G164" s="443">
        <v>22017</v>
      </c>
      <c r="H164" s="429" t="s">
        <v>18</v>
      </c>
      <c r="I164" s="430" t="s">
        <v>16</v>
      </c>
      <c r="K164" s="517">
        <f t="shared" si="5"/>
        <v>0</v>
      </c>
      <c r="L164" s="428">
        <v>17</v>
      </c>
      <c r="M164" s="458">
        <v>22017</v>
      </c>
      <c r="N164" s="429" t="s">
        <v>18</v>
      </c>
      <c r="O164" s="439" t="s">
        <v>16</v>
      </c>
    </row>
    <row r="165" spans="1:15" x14ac:dyDescent="0.25">
      <c r="A165" s="443">
        <v>22073</v>
      </c>
      <c r="B165" s="116" t="s">
        <v>18</v>
      </c>
      <c r="C165" s="108" t="s">
        <v>120</v>
      </c>
      <c r="D165" s="125"/>
      <c r="E165">
        <f t="shared" si="6"/>
        <v>165</v>
      </c>
      <c r="F165" s="428">
        <v>211</v>
      </c>
      <c r="G165" s="443">
        <v>22073</v>
      </c>
      <c r="H165" s="429" t="s">
        <v>18</v>
      </c>
      <c r="I165" s="430" t="s">
        <v>120</v>
      </c>
      <c r="K165" s="517">
        <f t="shared" si="5"/>
        <v>0</v>
      </c>
      <c r="L165" s="428">
        <v>211</v>
      </c>
      <c r="M165" s="458">
        <v>22073</v>
      </c>
      <c r="N165" s="429" t="s">
        <v>18</v>
      </c>
      <c r="O165" s="439" t="s">
        <v>120</v>
      </c>
    </row>
    <row r="166" spans="1:15" x14ac:dyDescent="0.25">
      <c r="A166" s="443">
        <v>22105</v>
      </c>
      <c r="B166" s="116" t="s">
        <v>18</v>
      </c>
      <c r="C166" s="108" t="s">
        <v>374</v>
      </c>
      <c r="D166" s="125"/>
      <c r="E166">
        <f t="shared" si="6"/>
        <v>166</v>
      </c>
      <c r="F166" s="428">
        <v>664</v>
      </c>
      <c r="G166" s="443">
        <v>22105</v>
      </c>
      <c r="H166" s="429" t="s">
        <v>18</v>
      </c>
      <c r="I166" s="430" t="s">
        <v>374</v>
      </c>
      <c r="K166" s="517">
        <f t="shared" si="5"/>
        <v>0</v>
      </c>
      <c r="L166" s="428">
        <v>664</v>
      </c>
      <c r="M166" s="458">
        <v>22105</v>
      </c>
      <c r="N166" s="429" t="s">
        <v>18</v>
      </c>
      <c r="O166" s="439" t="s">
        <v>374</v>
      </c>
    </row>
    <row r="167" spans="1:15" x14ac:dyDescent="0.25">
      <c r="A167" s="443">
        <v>22200</v>
      </c>
      <c r="B167" s="116" t="s">
        <v>18</v>
      </c>
      <c r="C167" s="108" t="s">
        <v>608</v>
      </c>
      <c r="D167" s="125"/>
      <c r="E167">
        <f t="shared" si="6"/>
        <v>167</v>
      </c>
      <c r="F167" s="428">
        <v>1099</v>
      </c>
      <c r="G167" s="443">
        <v>22200</v>
      </c>
      <c r="H167" s="429" t="s">
        <v>18</v>
      </c>
      <c r="I167" s="430" t="s">
        <v>608</v>
      </c>
      <c r="K167" s="517">
        <f t="shared" si="5"/>
        <v>0</v>
      </c>
      <c r="L167" s="428">
        <v>1099</v>
      </c>
      <c r="M167" s="458">
        <v>22200</v>
      </c>
      <c r="N167" s="429" t="s">
        <v>18</v>
      </c>
      <c r="O167" s="439" t="s">
        <v>608</v>
      </c>
    </row>
    <row r="168" spans="1:15" x14ac:dyDescent="0.25">
      <c r="A168" s="443">
        <v>22204</v>
      </c>
      <c r="B168" s="116" t="s">
        <v>18</v>
      </c>
      <c r="C168" s="108" t="s">
        <v>214</v>
      </c>
      <c r="D168" s="125"/>
      <c r="E168">
        <f t="shared" si="6"/>
        <v>168</v>
      </c>
      <c r="F168" s="428">
        <v>369</v>
      </c>
      <c r="G168" s="443">
        <v>22204</v>
      </c>
      <c r="H168" s="429" t="s">
        <v>18</v>
      </c>
      <c r="I168" s="430" t="s">
        <v>214</v>
      </c>
      <c r="K168" s="517">
        <f t="shared" si="5"/>
        <v>0</v>
      </c>
      <c r="L168" s="428">
        <v>369</v>
      </c>
      <c r="M168" s="458">
        <v>22204</v>
      </c>
      <c r="N168" s="429" t="s">
        <v>18</v>
      </c>
      <c r="O168" s="439" t="s">
        <v>214</v>
      </c>
    </row>
    <row r="169" spans="1:15" x14ac:dyDescent="0.25">
      <c r="A169" s="443">
        <v>22207</v>
      </c>
      <c r="B169" s="116" t="s">
        <v>18</v>
      </c>
      <c r="C169" s="108" t="s">
        <v>130</v>
      </c>
      <c r="D169" s="125"/>
      <c r="E169">
        <f t="shared" si="6"/>
        <v>169</v>
      </c>
      <c r="F169" s="428">
        <v>223</v>
      </c>
      <c r="G169" s="443">
        <v>22207</v>
      </c>
      <c r="H169" s="429" t="s">
        <v>18</v>
      </c>
      <c r="I169" s="430" t="s">
        <v>130</v>
      </c>
      <c r="K169" s="517">
        <f t="shared" si="5"/>
        <v>0</v>
      </c>
      <c r="L169" s="428">
        <v>223</v>
      </c>
      <c r="M169" s="458">
        <v>22207</v>
      </c>
      <c r="N169" s="429" t="s">
        <v>18</v>
      </c>
      <c r="O169" s="439" t="s">
        <v>130</v>
      </c>
    </row>
    <row r="170" spans="1:15" x14ac:dyDescent="0.25">
      <c r="A170" s="443">
        <v>23042</v>
      </c>
      <c r="B170" s="116" t="s">
        <v>13</v>
      </c>
      <c r="C170" s="108" t="s">
        <v>510</v>
      </c>
      <c r="D170" s="125"/>
      <c r="E170">
        <f t="shared" si="6"/>
        <v>170</v>
      </c>
      <c r="F170" s="428">
        <v>911</v>
      </c>
      <c r="G170" s="443">
        <v>23042</v>
      </c>
      <c r="H170" s="429" t="s">
        <v>13</v>
      </c>
      <c r="I170" s="430" t="s">
        <v>510</v>
      </c>
      <c r="K170" s="517">
        <f t="shared" si="5"/>
        <v>0</v>
      </c>
      <c r="L170" s="428">
        <v>911</v>
      </c>
      <c r="M170" s="458">
        <v>23042</v>
      </c>
      <c r="N170" s="429" t="s">
        <v>13</v>
      </c>
      <c r="O170" s="439" t="s">
        <v>510</v>
      </c>
    </row>
    <row r="171" spans="1:15" x14ac:dyDescent="0.25">
      <c r="A171" s="443">
        <v>23054</v>
      </c>
      <c r="B171" s="116" t="s">
        <v>13</v>
      </c>
      <c r="C171" s="108" t="s">
        <v>206</v>
      </c>
      <c r="D171" s="125"/>
      <c r="E171">
        <f t="shared" si="6"/>
        <v>171</v>
      </c>
      <c r="F171" s="428">
        <v>356</v>
      </c>
      <c r="G171" s="443">
        <v>23054</v>
      </c>
      <c r="H171" s="429" t="s">
        <v>13</v>
      </c>
      <c r="I171" s="430" t="s">
        <v>206</v>
      </c>
      <c r="K171" s="517">
        <f t="shared" si="5"/>
        <v>0</v>
      </c>
      <c r="L171" s="428">
        <v>356</v>
      </c>
      <c r="M171" s="458">
        <v>23054</v>
      </c>
      <c r="N171" s="429" t="s">
        <v>13</v>
      </c>
      <c r="O171" s="439" t="s">
        <v>206</v>
      </c>
    </row>
    <row r="172" spans="1:15" x14ac:dyDescent="0.25">
      <c r="A172" s="443">
        <v>23309</v>
      </c>
      <c r="B172" s="116" t="s">
        <v>13</v>
      </c>
      <c r="C172" s="108" t="s">
        <v>490</v>
      </c>
      <c r="D172" s="125"/>
      <c r="E172">
        <f t="shared" si="6"/>
        <v>172</v>
      </c>
      <c r="F172" s="428">
        <v>863</v>
      </c>
      <c r="G172" s="443">
        <v>23309</v>
      </c>
      <c r="H172" s="429" t="s">
        <v>13</v>
      </c>
      <c r="I172" s="430" t="s">
        <v>490</v>
      </c>
      <c r="K172" s="517">
        <f t="shared" si="5"/>
        <v>0</v>
      </c>
      <c r="L172" s="428">
        <v>863</v>
      </c>
      <c r="M172" s="458">
        <v>23309</v>
      </c>
      <c r="N172" s="429" t="s">
        <v>13</v>
      </c>
      <c r="O172" s="439" t="s">
        <v>490</v>
      </c>
    </row>
    <row r="173" spans="1:15" x14ac:dyDescent="0.25">
      <c r="A173" s="443">
        <v>23311</v>
      </c>
      <c r="B173" s="116" t="s">
        <v>13</v>
      </c>
      <c r="C173" s="108" t="s">
        <v>288</v>
      </c>
      <c r="D173" s="125"/>
      <c r="E173">
        <f t="shared" si="6"/>
        <v>173</v>
      </c>
      <c r="F173" s="428">
        <v>567</v>
      </c>
      <c r="G173" s="443">
        <v>23311</v>
      </c>
      <c r="H173" s="429" t="s">
        <v>13</v>
      </c>
      <c r="I173" s="430" t="s">
        <v>288</v>
      </c>
      <c r="K173" s="517">
        <f t="shared" si="5"/>
        <v>0</v>
      </c>
      <c r="L173" s="428">
        <v>567</v>
      </c>
      <c r="M173" s="458">
        <v>23311</v>
      </c>
      <c r="N173" s="429" t="s">
        <v>13</v>
      </c>
      <c r="O173" s="439" t="s">
        <v>288</v>
      </c>
    </row>
    <row r="174" spans="1:15" x14ac:dyDescent="0.25">
      <c r="A174" s="443">
        <v>23402</v>
      </c>
      <c r="B174" s="116" t="s">
        <v>13</v>
      </c>
      <c r="C174" s="108" t="s">
        <v>416</v>
      </c>
      <c r="D174" s="125"/>
      <c r="E174">
        <f t="shared" si="6"/>
        <v>174</v>
      </c>
      <c r="F174" s="428">
        <v>747</v>
      </c>
      <c r="G174" s="443">
        <v>23402</v>
      </c>
      <c r="H174" s="429" t="s">
        <v>13</v>
      </c>
      <c r="I174" s="430" t="s">
        <v>416</v>
      </c>
      <c r="K174" s="517">
        <f t="shared" si="5"/>
        <v>0</v>
      </c>
      <c r="L174" s="428">
        <v>747</v>
      </c>
      <c r="M174" s="458">
        <v>23402</v>
      </c>
      <c r="N174" s="429" t="s">
        <v>13</v>
      </c>
      <c r="O174" s="439" t="s">
        <v>416</v>
      </c>
    </row>
    <row r="175" spans="1:15" x14ac:dyDescent="0.25">
      <c r="A175" s="443">
        <v>23403</v>
      </c>
      <c r="B175" s="116" t="s">
        <v>52</v>
      </c>
      <c r="C175" s="108" t="s">
        <v>350</v>
      </c>
      <c r="D175" s="125"/>
      <c r="E175">
        <f t="shared" si="6"/>
        <v>175</v>
      </c>
      <c r="F175" s="428">
        <v>650</v>
      </c>
      <c r="G175" s="443">
        <v>23403</v>
      </c>
      <c r="H175" s="429" t="s">
        <v>52</v>
      </c>
      <c r="I175" s="430" t="s">
        <v>350</v>
      </c>
      <c r="K175" s="517">
        <f t="shared" si="5"/>
        <v>0</v>
      </c>
      <c r="L175" s="428">
        <v>650</v>
      </c>
      <c r="M175" s="458">
        <v>23403</v>
      </c>
      <c r="N175" s="429" t="s">
        <v>52</v>
      </c>
      <c r="O175" s="439" t="s">
        <v>350</v>
      </c>
    </row>
    <row r="176" spans="1:15" x14ac:dyDescent="0.25">
      <c r="A176" s="443">
        <v>23404</v>
      </c>
      <c r="B176" s="116" t="s">
        <v>13</v>
      </c>
      <c r="C176" s="108" t="s">
        <v>222</v>
      </c>
      <c r="D176" s="125"/>
      <c r="E176">
        <f t="shared" si="6"/>
        <v>176</v>
      </c>
      <c r="F176" s="428">
        <v>382</v>
      </c>
      <c r="G176" s="443">
        <v>23404</v>
      </c>
      <c r="H176" s="429" t="s">
        <v>13</v>
      </c>
      <c r="I176" s="430" t="s">
        <v>222</v>
      </c>
      <c r="K176" s="517">
        <f t="shared" si="5"/>
        <v>0</v>
      </c>
      <c r="L176" s="428">
        <v>382</v>
      </c>
      <c r="M176" s="458">
        <v>23404</v>
      </c>
      <c r="N176" s="429" t="s">
        <v>13</v>
      </c>
      <c r="O176" s="439" t="s">
        <v>222</v>
      </c>
    </row>
    <row r="177" spans="1:15" x14ac:dyDescent="0.25">
      <c r="A177" s="443">
        <v>24014</v>
      </c>
      <c r="B177" s="116" t="s">
        <v>55</v>
      </c>
      <c r="C177" s="108" t="s">
        <v>334</v>
      </c>
      <c r="D177" s="125"/>
      <c r="E177">
        <f t="shared" si="6"/>
        <v>177</v>
      </c>
      <c r="F177" s="428">
        <v>637</v>
      </c>
      <c r="G177" s="443">
        <v>24014</v>
      </c>
      <c r="H177" s="429" t="s">
        <v>55</v>
      </c>
      <c r="I177" s="430" t="s">
        <v>334</v>
      </c>
      <c r="K177" s="517">
        <f t="shared" si="5"/>
        <v>0</v>
      </c>
      <c r="L177" s="428">
        <v>637</v>
      </c>
      <c r="M177" s="458">
        <v>24014</v>
      </c>
      <c r="N177" s="429" t="s">
        <v>55</v>
      </c>
      <c r="O177" s="439" t="s">
        <v>334</v>
      </c>
    </row>
    <row r="178" spans="1:15" x14ac:dyDescent="0.25">
      <c r="A178" s="443">
        <v>24019</v>
      </c>
      <c r="B178" s="116" t="s">
        <v>55</v>
      </c>
      <c r="C178" s="108" t="s">
        <v>382</v>
      </c>
      <c r="D178" s="125"/>
      <c r="E178">
        <f t="shared" si="6"/>
        <v>178</v>
      </c>
      <c r="F178" s="428">
        <v>679</v>
      </c>
      <c r="G178" s="443">
        <v>24019</v>
      </c>
      <c r="H178" s="429" t="s">
        <v>55</v>
      </c>
      <c r="I178" s="430" t="s">
        <v>382</v>
      </c>
      <c r="K178" s="517">
        <f t="shared" si="5"/>
        <v>0</v>
      </c>
      <c r="L178" s="428">
        <v>679</v>
      </c>
      <c r="M178" s="458">
        <v>24019</v>
      </c>
      <c r="N178" s="429" t="s">
        <v>55</v>
      </c>
      <c r="O178" s="439" t="s">
        <v>382</v>
      </c>
    </row>
    <row r="179" spans="1:15" x14ac:dyDescent="0.25">
      <c r="A179" s="443">
        <v>24105</v>
      </c>
      <c r="B179" s="116" t="s">
        <v>55</v>
      </c>
      <c r="C179" s="108" t="s">
        <v>376</v>
      </c>
      <c r="D179" s="125"/>
      <c r="E179">
        <f t="shared" si="6"/>
        <v>179</v>
      </c>
      <c r="F179" s="428">
        <v>670</v>
      </c>
      <c r="G179" s="443">
        <v>24105</v>
      </c>
      <c r="H179" s="429" t="s">
        <v>55</v>
      </c>
      <c r="I179" s="430" t="s">
        <v>376</v>
      </c>
      <c r="K179" s="517">
        <f t="shared" si="5"/>
        <v>0</v>
      </c>
      <c r="L179" s="428">
        <v>670</v>
      </c>
      <c r="M179" s="458">
        <v>24105</v>
      </c>
      <c r="N179" s="429" t="s">
        <v>55</v>
      </c>
      <c r="O179" s="439" t="s">
        <v>376</v>
      </c>
    </row>
    <row r="180" spans="1:15" x14ac:dyDescent="0.25">
      <c r="A180" s="443">
        <v>24111</v>
      </c>
      <c r="B180" s="116" t="s">
        <v>55</v>
      </c>
      <c r="C180" s="108" t="s">
        <v>53</v>
      </c>
      <c r="D180" s="125"/>
      <c r="E180">
        <f t="shared" si="6"/>
        <v>180</v>
      </c>
      <c r="F180" s="428">
        <v>84</v>
      </c>
      <c r="G180" s="443">
        <v>24111</v>
      </c>
      <c r="H180" s="429" t="s">
        <v>55</v>
      </c>
      <c r="I180" s="430" t="s">
        <v>53</v>
      </c>
      <c r="K180" s="517">
        <f t="shared" si="5"/>
        <v>0</v>
      </c>
      <c r="L180" s="428">
        <v>84</v>
      </c>
      <c r="M180" s="458">
        <v>24111</v>
      </c>
      <c r="N180" s="429" t="s">
        <v>55</v>
      </c>
      <c r="O180" s="439" t="s">
        <v>53</v>
      </c>
    </row>
    <row r="181" spans="1:15" x14ac:dyDescent="0.25">
      <c r="A181" s="443">
        <v>24122</v>
      </c>
      <c r="B181" s="116" t="s">
        <v>55</v>
      </c>
      <c r="C181" s="108" t="s">
        <v>408</v>
      </c>
      <c r="D181" s="125"/>
      <c r="E181">
        <f t="shared" si="6"/>
        <v>181</v>
      </c>
      <c r="F181" s="428">
        <v>710</v>
      </c>
      <c r="G181" s="443">
        <v>24122</v>
      </c>
      <c r="H181" s="429" t="s">
        <v>55</v>
      </c>
      <c r="I181" s="430" t="s">
        <v>408</v>
      </c>
      <c r="K181" s="517">
        <f t="shared" si="5"/>
        <v>0</v>
      </c>
      <c r="L181" s="428">
        <v>710</v>
      </c>
      <c r="M181" s="458">
        <v>24122</v>
      </c>
      <c r="N181" s="429" t="s">
        <v>55</v>
      </c>
      <c r="O181" s="439" t="s">
        <v>408</v>
      </c>
    </row>
    <row r="182" spans="1:15" x14ac:dyDescent="0.25">
      <c r="A182" s="443">
        <v>24350</v>
      </c>
      <c r="B182" s="116" t="s">
        <v>55</v>
      </c>
      <c r="C182" s="108" t="s">
        <v>304</v>
      </c>
      <c r="D182" s="125"/>
      <c r="E182">
        <f t="shared" si="6"/>
        <v>182</v>
      </c>
      <c r="F182" s="428">
        <v>588</v>
      </c>
      <c r="G182" s="443">
        <v>24350</v>
      </c>
      <c r="H182" s="429" t="s">
        <v>55</v>
      </c>
      <c r="I182" s="430" t="s">
        <v>304</v>
      </c>
      <c r="K182" s="517">
        <f t="shared" si="5"/>
        <v>0</v>
      </c>
      <c r="L182" s="428">
        <v>588</v>
      </c>
      <c r="M182" s="458">
        <v>24350</v>
      </c>
      <c r="N182" s="429" t="s">
        <v>55</v>
      </c>
      <c r="O182" s="439" t="s">
        <v>304</v>
      </c>
    </row>
    <row r="183" spans="1:15" x14ac:dyDescent="0.25">
      <c r="A183" s="443">
        <v>24404</v>
      </c>
      <c r="B183" s="116" t="s">
        <v>55</v>
      </c>
      <c r="C183" s="108" t="s">
        <v>552</v>
      </c>
      <c r="D183" s="125"/>
      <c r="E183">
        <f t="shared" si="6"/>
        <v>183</v>
      </c>
      <c r="F183" s="428">
        <v>989</v>
      </c>
      <c r="G183" s="443">
        <v>24404</v>
      </c>
      <c r="H183" s="429" t="s">
        <v>55</v>
      </c>
      <c r="I183" s="430" t="s">
        <v>552</v>
      </c>
      <c r="K183" s="517">
        <f t="shared" si="5"/>
        <v>0</v>
      </c>
      <c r="L183" s="428">
        <v>989</v>
      </c>
      <c r="M183" s="458">
        <v>24404</v>
      </c>
      <c r="N183" s="429" t="s">
        <v>55</v>
      </c>
      <c r="O183" s="439" t="s">
        <v>552</v>
      </c>
    </row>
    <row r="184" spans="1:15" x14ac:dyDescent="0.25">
      <c r="A184" s="443">
        <v>24410</v>
      </c>
      <c r="B184" s="116" t="s">
        <v>55</v>
      </c>
      <c r="C184" s="108" t="s">
        <v>396</v>
      </c>
      <c r="D184" s="125"/>
      <c r="E184">
        <f t="shared" si="6"/>
        <v>184</v>
      </c>
      <c r="F184" s="428">
        <v>687</v>
      </c>
      <c r="G184" s="443">
        <v>24410</v>
      </c>
      <c r="H184" s="429" t="s">
        <v>55</v>
      </c>
      <c r="I184" s="430" t="s">
        <v>396</v>
      </c>
      <c r="K184" s="517">
        <f t="shared" si="5"/>
        <v>0</v>
      </c>
      <c r="L184" s="428">
        <v>687</v>
      </c>
      <c r="M184" s="458">
        <v>24410</v>
      </c>
      <c r="N184" s="429" t="s">
        <v>55</v>
      </c>
      <c r="O184" s="439" t="s">
        <v>396</v>
      </c>
    </row>
    <row r="185" spans="1:15" x14ac:dyDescent="0.25">
      <c r="A185" s="443">
        <v>25101</v>
      </c>
      <c r="B185" s="116" t="s">
        <v>34</v>
      </c>
      <c r="C185" s="108" t="s">
        <v>370</v>
      </c>
      <c r="D185" s="125"/>
      <c r="E185">
        <f t="shared" si="6"/>
        <v>185</v>
      </c>
      <c r="F185" s="428">
        <v>661</v>
      </c>
      <c r="G185" s="443">
        <v>25101</v>
      </c>
      <c r="H185" s="429" t="s">
        <v>34</v>
      </c>
      <c r="I185" s="430" t="s">
        <v>370</v>
      </c>
      <c r="K185" s="517">
        <f t="shared" si="5"/>
        <v>0</v>
      </c>
      <c r="L185" s="428">
        <v>661</v>
      </c>
      <c r="M185" s="458">
        <v>25101</v>
      </c>
      <c r="N185" s="429" t="s">
        <v>34</v>
      </c>
      <c r="O185" s="439" t="s">
        <v>370</v>
      </c>
    </row>
    <row r="186" spans="1:15" x14ac:dyDescent="0.25">
      <c r="A186" s="443">
        <v>25116</v>
      </c>
      <c r="B186" s="116" t="s">
        <v>13</v>
      </c>
      <c r="C186" s="108" t="s">
        <v>446</v>
      </c>
      <c r="D186" s="125"/>
      <c r="E186">
        <f t="shared" si="6"/>
        <v>186</v>
      </c>
      <c r="F186" s="428">
        <v>797</v>
      </c>
      <c r="G186" s="443">
        <v>25116</v>
      </c>
      <c r="H186" s="429" t="s">
        <v>13</v>
      </c>
      <c r="I186" s="430" t="s">
        <v>446</v>
      </c>
      <c r="K186" s="517">
        <f t="shared" si="5"/>
        <v>0</v>
      </c>
      <c r="L186" s="428">
        <v>797</v>
      </c>
      <c r="M186" s="458">
        <v>25116</v>
      </c>
      <c r="N186" s="429" t="s">
        <v>13</v>
      </c>
      <c r="O186" s="439" t="s">
        <v>446</v>
      </c>
    </row>
    <row r="187" spans="1:15" x14ac:dyDescent="0.25">
      <c r="A187" s="443">
        <v>25118</v>
      </c>
      <c r="B187" s="116" t="s">
        <v>13</v>
      </c>
      <c r="C187" s="108" t="s">
        <v>504</v>
      </c>
      <c r="D187" s="125"/>
      <c r="E187">
        <f t="shared" si="6"/>
        <v>187</v>
      </c>
      <c r="F187" s="428">
        <v>908</v>
      </c>
      <c r="G187" s="443">
        <v>25118</v>
      </c>
      <c r="H187" s="429" t="s">
        <v>13</v>
      </c>
      <c r="I187" s="430" t="s">
        <v>504</v>
      </c>
      <c r="K187" s="517">
        <f t="shared" si="5"/>
        <v>0</v>
      </c>
      <c r="L187" s="428">
        <v>908</v>
      </c>
      <c r="M187" s="458">
        <v>25118</v>
      </c>
      <c r="N187" s="429" t="s">
        <v>13</v>
      </c>
      <c r="O187" s="439" t="s">
        <v>504</v>
      </c>
    </row>
    <row r="188" spans="1:15" x14ac:dyDescent="0.25">
      <c r="A188" s="443">
        <v>25155</v>
      </c>
      <c r="B188" s="116" t="s">
        <v>34</v>
      </c>
      <c r="C188" s="108" t="s">
        <v>332</v>
      </c>
      <c r="D188" s="125"/>
      <c r="E188">
        <f t="shared" si="6"/>
        <v>188</v>
      </c>
      <c r="F188" s="428">
        <v>634</v>
      </c>
      <c r="G188" s="443">
        <v>25155</v>
      </c>
      <c r="H188" s="429" t="s">
        <v>34</v>
      </c>
      <c r="I188" s="430" t="s">
        <v>332</v>
      </c>
      <c r="K188" s="517">
        <f t="shared" si="5"/>
        <v>0</v>
      </c>
      <c r="L188" s="428">
        <v>634</v>
      </c>
      <c r="M188" s="458">
        <v>25155</v>
      </c>
      <c r="N188" s="429" t="s">
        <v>34</v>
      </c>
      <c r="O188" s="439" t="s">
        <v>332</v>
      </c>
    </row>
    <row r="189" spans="1:15" x14ac:dyDescent="0.25">
      <c r="A189" s="443">
        <v>25160</v>
      </c>
      <c r="B189" s="116" t="s">
        <v>13</v>
      </c>
      <c r="C189" s="108" t="s">
        <v>610</v>
      </c>
      <c r="D189" s="125"/>
      <c r="E189">
        <f t="shared" si="6"/>
        <v>189</v>
      </c>
      <c r="F189" s="428">
        <v>1102</v>
      </c>
      <c r="G189" s="443">
        <v>25160</v>
      </c>
      <c r="H189" s="429" t="s">
        <v>13</v>
      </c>
      <c r="I189" s="430" t="s">
        <v>610</v>
      </c>
      <c r="K189" s="517">
        <f t="shared" si="5"/>
        <v>0</v>
      </c>
      <c r="L189" s="428">
        <v>1102</v>
      </c>
      <c r="M189" s="458">
        <v>25160</v>
      </c>
      <c r="N189" s="429" t="s">
        <v>13</v>
      </c>
      <c r="O189" s="439" t="s">
        <v>610</v>
      </c>
    </row>
    <row r="190" spans="1:15" x14ac:dyDescent="0.25">
      <c r="A190" s="443">
        <v>25200</v>
      </c>
      <c r="B190" s="116" t="s">
        <v>13</v>
      </c>
      <c r="C190" s="108" t="s">
        <v>352</v>
      </c>
      <c r="D190" s="125"/>
      <c r="E190">
        <f t="shared" si="6"/>
        <v>190</v>
      </c>
      <c r="F190" s="428">
        <v>641</v>
      </c>
      <c r="G190" s="443">
        <v>25200</v>
      </c>
      <c r="H190" s="429" t="s">
        <v>13</v>
      </c>
      <c r="I190" s="430" t="s">
        <v>352</v>
      </c>
      <c r="K190" s="517">
        <f t="shared" si="5"/>
        <v>0</v>
      </c>
      <c r="L190" s="428">
        <v>641</v>
      </c>
      <c r="M190" s="458">
        <v>25200</v>
      </c>
      <c r="N190" s="429" t="s">
        <v>13</v>
      </c>
      <c r="O190" s="439" t="s">
        <v>352</v>
      </c>
    </row>
    <row r="191" spans="1:15" x14ac:dyDescent="0.25">
      <c r="A191" s="443">
        <v>26056</v>
      </c>
      <c r="B191" s="116" t="s">
        <v>18</v>
      </c>
      <c r="C191" s="108" t="s">
        <v>336</v>
      </c>
      <c r="D191" s="125"/>
      <c r="E191">
        <f t="shared" si="6"/>
        <v>191</v>
      </c>
      <c r="F191" s="428">
        <v>639</v>
      </c>
      <c r="G191" s="443">
        <v>26056</v>
      </c>
      <c r="H191" s="429" t="s">
        <v>18</v>
      </c>
      <c r="I191" s="430" t="s">
        <v>336</v>
      </c>
      <c r="K191" s="517">
        <f t="shared" si="5"/>
        <v>0</v>
      </c>
      <c r="L191" s="428">
        <v>639</v>
      </c>
      <c r="M191" s="458">
        <v>26056</v>
      </c>
      <c r="N191" s="429" t="s">
        <v>18</v>
      </c>
      <c r="O191" s="439" t="s">
        <v>336</v>
      </c>
    </row>
    <row r="192" spans="1:15" x14ac:dyDescent="0.25">
      <c r="A192" s="443">
        <v>26059</v>
      </c>
      <c r="B192" s="116" t="s">
        <v>18</v>
      </c>
      <c r="C192" s="108" t="s">
        <v>124</v>
      </c>
      <c r="D192" s="125"/>
      <c r="E192">
        <f t="shared" si="6"/>
        <v>192</v>
      </c>
      <c r="F192" s="428">
        <v>215</v>
      </c>
      <c r="G192" s="443">
        <v>26059</v>
      </c>
      <c r="H192" s="429" t="s">
        <v>18</v>
      </c>
      <c r="I192" s="430" t="s">
        <v>124</v>
      </c>
      <c r="K192" s="517">
        <f t="shared" si="5"/>
        <v>0</v>
      </c>
      <c r="L192" s="428">
        <v>215</v>
      </c>
      <c r="M192" s="458">
        <v>26059</v>
      </c>
      <c r="N192" s="429" t="s">
        <v>18</v>
      </c>
      <c r="O192" s="439" t="s">
        <v>124</v>
      </c>
    </row>
    <row r="193" spans="1:15" x14ac:dyDescent="0.25">
      <c r="A193" s="443">
        <v>26070</v>
      </c>
      <c r="B193" s="116" t="s">
        <v>18</v>
      </c>
      <c r="C193" s="108" t="s">
        <v>484</v>
      </c>
      <c r="D193" s="125"/>
      <c r="E193">
        <f t="shared" si="6"/>
        <v>193</v>
      </c>
      <c r="F193" s="428">
        <v>851</v>
      </c>
      <c r="G193" s="443">
        <v>26070</v>
      </c>
      <c r="H193" s="429" t="s">
        <v>18</v>
      </c>
      <c r="I193" s="430" t="s">
        <v>484</v>
      </c>
      <c r="K193" s="517">
        <f t="shared" si="5"/>
        <v>0</v>
      </c>
      <c r="L193" s="428">
        <v>851</v>
      </c>
      <c r="M193" s="458">
        <v>26070</v>
      </c>
      <c r="N193" s="429" t="s">
        <v>18</v>
      </c>
      <c r="O193" s="439" t="s">
        <v>484</v>
      </c>
    </row>
    <row r="194" spans="1:15" x14ac:dyDescent="0.25">
      <c r="A194" s="443">
        <v>27001</v>
      </c>
      <c r="B194" s="116" t="s">
        <v>29</v>
      </c>
      <c r="C194" s="108" t="s">
        <v>524</v>
      </c>
      <c r="D194" s="125"/>
      <c r="E194">
        <f t="shared" si="6"/>
        <v>194</v>
      </c>
      <c r="F194" s="428">
        <v>943</v>
      </c>
      <c r="G194" s="443">
        <v>27001</v>
      </c>
      <c r="H194" s="429" t="s">
        <v>29</v>
      </c>
      <c r="I194" s="430" t="s">
        <v>524</v>
      </c>
      <c r="K194" s="517">
        <f t="shared" si="5"/>
        <v>0</v>
      </c>
      <c r="L194" s="428">
        <v>943</v>
      </c>
      <c r="M194" s="458">
        <v>27001</v>
      </c>
      <c r="N194" s="429" t="s">
        <v>29</v>
      </c>
      <c r="O194" s="439" t="s">
        <v>524</v>
      </c>
    </row>
    <row r="195" spans="1:15" x14ac:dyDescent="0.25">
      <c r="A195" s="443">
        <v>27003</v>
      </c>
      <c r="B195" s="116" t="s">
        <v>29</v>
      </c>
      <c r="C195" s="108" t="s">
        <v>432</v>
      </c>
      <c r="D195" s="125"/>
      <c r="E195">
        <f t="shared" si="6"/>
        <v>195</v>
      </c>
      <c r="F195" s="428">
        <v>784</v>
      </c>
      <c r="G195" s="443">
        <v>27003</v>
      </c>
      <c r="H195" s="429" t="s">
        <v>29</v>
      </c>
      <c r="I195" s="430" t="s">
        <v>432</v>
      </c>
      <c r="K195" s="517">
        <f t="shared" si="5"/>
        <v>0</v>
      </c>
      <c r="L195" s="428">
        <v>784</v>
      </c>
      <c r="M195" s="458">
        <v>27003</v>
      </c>
      <c r="N195" s="429" t="s">
        <v>29</v>
      </c>
      <c r="O195" s="439" t="s">
        <v>432</v>
      </c>
    </row>
    <row r="196" spans="1:15" x14ac:dyDescent="0.25">
      <c r="A196" s="443">
        <v>27010</v>
      </c>
      <c r="B196" s="116" t="s">
        <v>29</v>
      </c>
      <c r="C196" s="108" t="s">
        <v>538</v>
      </c>
      <c r="D196" s="125"/>
      <c r="E196">
        <f t="shared" si="6"/>
        <v>196</v>
      </c>
      <c r="F196" s="428">
        <v>966</v>
      </c>
      <c r="G196" s="443">
        <v>27010</v>
      </c>
      <c r="H196" s="429" t="s">
        <v>29</v>
      </c>
      <c r="I196" s="430" t="s">
        <v>538</v>
      </c>
      <c r="K196" s="517">
        <f t="shared" si="5"/>
        <v>0</v>
      </c>
      <c r="L196" s="428">
        <v>966</v>
      </c>
      <c r="M196" s="458">
        <v>27010</v>
      </c>
      <c r="N196" s="429" t="s">
        <v>29</v>
      </c>
      <c r="O196" s="439" t="s">
        <v>538</v>
      </c>
    </row>
    <row r="197" spans="1:15" x14ac:dyDescent="0.25">
      <c r="A197" s="443">
        <v>27019</v>
      </c>
      <c r="B197" s="116" t="s">
        <v>29</v>
      </c>
      <c r="C197" s="108" t="s">
        <v>66</v>
      </c>
      <c r="D197" s="125"/>
      <c r="E197">
        <f t="shared" si="6"/>
        <v>197</v>
      </c>
      <c r="F197" s="428">
        <v>99</v>
      </c>
      <c r="G197" s="443">
        <v>27019</v>
      </c>
      <c r="H197" s="429" t="s">
        <v>29</v>
      </c>
      <c r="I197" s="430" t="s">
        <v>66</v>
      </c>
      <c r="K197" s="517">
        <f t="shared" si="5"/>
        <v>0</v>
      </c>
      <c r="L197" s="428">
        <v>99</v>
      </c>
      <c r="M197" s="458">
        <v>27019</v>
      </c>
      <c r="N197" s="429" t="s">
        <v>29</v>
      </c>
      <c r="O197" s="439" t="s">
        <v>66</v>
      </c>
    </row>
    <row r="198" spans="1:15" x14ac:dyDescent="0.25">
      <c r="A198" s="443">
        <v>27083</v>
      </c>
      <c r="B198" s="116" t="s">
        <v>29</v>
      </c>
      <c r="C198" s="108" t="s">
        <v>568</v>
      </c>
      <c r="D198" s="125"/>
      <c r="E198">
        <f t="shared" si="6"/>
        <v>198</v>
      </c>
      <c r="F198" s="428">
        <v>1020</v>
      </c>
      <c r="G198" s="443">
        <v>27083</v>
      </c>
      <c r="H198" s="429" t="s">
        <v>29</v>
      </c>
      <c r="I198" s="430" t="s">
        <v>568</v>
      </c>
      <c r="K198" s="517">
        <f t="shared" si="5"/>
        <v>0</v>
      </c>
      <c r="L198" s="428">
        <v>1020</v>
      </c>
      <c r="M198" s="458">
        <v>27083</v>
      </c>
      <c r="N198" s="429" t="s">
        <v>29</v>
      </c>
      <c r="O198" s="439" t="s">
        <v>568</v>
      </c>
    </row>
    <row r="199" spans="1:15" x14ac:dyDescent="0.25">
      <c r="A199" s="443">
        <v>27320</v>
      </c>
      <c r="B199" s="116" t="s">
        <v>29</v>
      </c>
      <c r="C199" s="108" t="s">
        <v>534</v>
      </c>
      <c r="D199" s="125"/>
      <c r="E199">
        <f t="shared" si="6"/>
        <v>199</v>
      </c>
      <c r="F199" s="428">
        <v>955</v>
      </c>
      <c r="G199" s="443">
        <v>27320</v>
      </c>
      <c r="H199" s="429" t="s">
        <v>29</v>
      </c>
      <c r="I199" s="430" t="s">
        <v>1106</v>
      </c>
      <c r="K199" s="517">
        <f t="shared" ref="K199:K262" si="7">+L199-F199</f>
        <v>0</v>
      </c>
      <c r="L199" s="428">
        <v>955</v>
      </c>
      <c r="M199" s="458">
        <v>27320</v>
      </c>
      <c r="N199" s="429" t="s">
        <v>29</v>
      </c>
      <c r="O199" s="439" t="s">
        <v>534</v>
      </c>
    </row>
    <row r="200" spans="1:15" x14ac:dyDescent="0.25">
      <c r="A200" s="443">
        <v>27343</v>
      </c>
      <c r="B200" s="116" t="s">
        <v>29</v>
      </c>
      <c r="C200" s="108" t="s">
        <v>136</v>
      </c>
      <c r="D200" s="125"/>
      <c r="E200">
        <f t="shared" ref="E200:E263" si="8">+E199+1</f>
        <v>200</v>
      </c>
      <c r="F200" s="428">
        <v>231</v>
      </c>
      <c r="G200" s="443">
        <v>27343</v>
      </c>
      <c r="H200" s="429" t="s">
        <v>29</v>
      </c>
      <c r="I200" s="430" t="s">
        <v>136</v>
      </c>
      <c r="K200" s="517">
        <f t="shared" si="7"/>
        <v>0</v>
      </c>
      <c r="L200" s="428">
        <v>231</v>
      </c>
      <c r="M200" s="458">
        <v>27343</v>
      </c>
      <c r="N200" s="429" t="s">
        <v>29</v>
      </c>
      <c r="O200" s="439" t="s">
        <v>136</v>
      </c>
    </row>
    <row r="201" spans="1:15" x14ac:dyDescent="0.25">
      <c r="A201" s="443">
        <v>27344</v>
      </c>
      <c r="B201" s="116" t="s">
        <v>29</v>
      </c>
      <c r="C201" s="108" t="s">
        <v>398</v>
      </c>
      <c r="D201" s="125"/>
      <c r="E201">
        <f t="shared" si="8"/>
        <v>201</v>
      </c>
      <c r="F201" s="428">
        <v>691</v>
      </c>
      <c r="G201" s="443">
        <v>27344</v>
      </c>
      <c r="H201" s="429" t="s">
        <v>29</v>
      </c>
      <c r="I201" s="430" t="s">
        <v>398</v>
      </c>
      <c r="K201" s="517">
        <f t="shared" si="7"/>
        <v>0</v>
      </c>
      <c r="L201" s="428">
        <v>691</v>
      </c>
      <c r="M201" s="458">
        <v>27344</v>
      </c>
      <c r="N201" s="429" t="s">
        <v>29</v>
      </c>
      <c r="O201" s="439" t="s">
        <v>398</v>
      </c>
    </row>
    <row r="202" spans="1:15" x14ac:dyDescent="0.25">
      <c r="A202" s="443">
        <v>27400</v>
      </c>
      <c r="B202" s="116" t="s">
        <v>29</v>
      </c>
      <c r="C202" s="108" t="s">
        <v>94</v>
      </c>
      <c r="D202" s="125"/>
      <c r="E202">
        <f t="shared" si="8"/>
        <v>202</v>
      </c>
      <c r="F202" s="428">
        <v>161</v>
      </c>
      <c r="G202" s="443">
        <v>27400</v>
      </c>
      <c r="H202" s="429" t="s">
        <v>29</v>
      </c>
      <c r="I202" s="430" t="s">
        <v>94</v>
      </c>
      <c r="K202" s="517">
        <f t="shared" si="7"/>
        <v>0</v>
      </c>
      <c r="L202" s="428">
        <v>161</v>
      </c>
      <c r="M202" s="458">
        <v>27400</v>
      </c>
      <c r="N202" s="429" t="s">
        <v>29</v>
      </c>
      <c r="O202" s="439" t="s">
        <v>94</v>
      </c>
    </row>
    <row r="203" spans="1:15" x14ac:dyDescent="0.25">
      <c r="A203" s="443">
        <v>27401</v>
      </c>
      <c r="B203" s="116" t="s">
        <v>29</v>
      </c>
      <c r="C203" s="108" t="s">
        <v>414</v>
      </c>
      <c r="D203" s="125"/>
      <c r="E203">
        <f t="shared" si="8"/>
        <v>203</v>
      </c>
      <c r="F203" s="428">
        <v>718</v>
      </c>
      <c r="G203" s="443">
        <v>27401</v>
      </c>
      <c r="H203" s="429" t="s">
        <v>29</v>
      </c>
      <c r="I203" s="430" t="s">
        <v>414</v>
      </c>
      <c r="K203" s="517">
        <f t="shared" si="7"/>
        <v>0</v>
      </c>
      <c r="L203" s="428">
        <v>718</v>
      </c>
      <c r="M203" s="458">
        <v>27401</v>
      </c>
      <c r="N203" s="429" t="s">
        <v>29</v>
      </c>
      <c r="O203" s="439" t="s">
        <v>414</v>
      </c>
    </row>
    <row r="204" spans="1:15" x14ac:dyDescent="0.25">
      <c r="A204" s="443">
        <v>27402</v>
      </c>
      <c r="B204" s="116" t="s">
        <v>29</v>
      </c>
      <c r="C204" s="108" t="s">
        <v>188</v>
      </c>
      <c r="D204" s="125"/>
      <c r="E204">
        <f t="shared" si="8"/>
        <v>204</v>
      </c>
      <c r="F204" s="428">
        <v>319</v>
      </c>
      <c r="G204" s="443">
        <v>27402</v>
      </c>
      <c r="H204" s="429" t="s">
        <v>29</v>
      </c>
      <c r="I204" s="430" t="s">
        <v>188</v>
      </c>
      <c r="K204" s="517">
        <f t="shared" si="7"/>
        <v>0</v>
      </c>
      <c r="L204" s="428">
        <v>319</v>
      </c>
      <c r="M204" s="458">
        <v>27402</v>
      </c>
      <c r="N204" s="429" t="s">
        <v>29</v>
      </c>
      <c r="O204" s="439" t="s">
        <v>188</v>
      </c>
    </row>
    <row r="205" spans="1:15" x14ac:dyDescent="0.25">
      <c r="A205" s="443">
        <v>27403</v>
      </c>
      <c r="B205" s="116" t="s">
        <v>29</v>
      </c>
      <c r="C205" s="108" t="s">
        <v>41</v>
      </c>
      <c r="D205" s="125"/>
      <c r="E205">
        <f t="shared" si="8"/>
        <v>205</v>
      </c>
      <c r="F205" s="428">
        <v>66</v>
      </c>
      <c r="G205" s="443">
        <v>27403</v>
      </c>
      <c r="H205" s="429" t="s">
        <v>29</v>
      </c>
      <c r="I205" s="430" t="s">
        <v>41</v>
      </c>
      <c r="K205" s="517">
        <f t="shared" si="7"/>
        <v>0</v>
      </c>
      <c r="L205" s="428">
        <v>66</v>
      </c>
      <c r="M205" s="458">
        <v>27403</v>
      </c>
      <c r="N205" s="429" t="s">
        <v>29</v>
      </c>
      <c r="O205" s="439" t="s">
        <v>41</v>
      </c>
    </row>
    <row r="206" spans="1:15" x14ac:dyDescent="0.25">
      <c r="A206" s="443">
        <v>27404</v>
      </c>
      <c r="B206" s="116" t="s">
        <v>29</v>
      </c>
      <c r="C206" s="108" t="s">
        <v>148</v>
      </c>
      <c r="D206" s="125"/>
      <c r="E206">
        <f t="shared" si="8"/>
        <v>206</v>
      </c>
      <c r="F206" s="428">
        <v>251</v>
      </c>
      <c r="G206" s="443">
        <v>27404</v>
      </c>
      <c r="H206" s="429" t="s">
        <v>29</v>
      </c>
      <c r="I206" s="430" t="s">
        <v>148</v>
      </c>
      <c r="K206" s="517">
        <f t="shared" si="7"/>
        <v>0</v>
      </c>
      <c r="L206" s="428">
        <v>251</v>
      </c>
      <c r="M206" s="458">
        <v>27404</v>
      </c>
      <c r="N206" s="429" t="s">
        <v>29</v>
      </c>
      <c r="O206" s="439" t="s">
        <v>148</v>
      </c>
    </row>
    <row r="207" spans="1:15" x14ac:dyDescent="0.25">
      <c r="A207" s="443">
        <v>27416</v>
      </c>
      <c r="B207" s="116" t="s">
        <v>29</v>
      </c>
      <c r="C207" s="108" t="s">
        <v>604</v>
      </c>
      <c r="D207" s="125"/>
      <c r="E207">
        <f t="shared" si="8"/>
        <v>207</v>
      </c>
      <c r="F207" s="428">
        <v>1092</v>
      </c>
      <c r="G207" s="443">
        <v>27416</v>
      </c>
      <c r="H207" s="429" t="s">
        <v>29</v>
      </c>
      <c r="I207" s="430" t="s">
        <v>604</v>
      </c>
      <c r="K207" s="517">
        <f t="shared" si="7"/>
        <v>0</v>
      </c>
      <c r="L207" s="428">
        <v>1092</v>
      </c>
      <c r="M207" s="458">
        <v>27416</v>
      </c>
      <c r="N207" s="429" t="s">
        <v>29</v>
      </c>
      <c r="O207" s="439" t="s">
        <v>604</v>
      </c>
    </row>
    <row r="208" spans="1:15" x14ac:dyDescent="0.25">
      <c r="A208" s="443">
        <v>27417</v>
      </c>
      <c r="B208" s="116" t="s">
        <v>29</v>
      </c>
      <c r="C208" s="108" t="s">
        <v>184</v>
      </c>
      <c r="D208" s="125"/>
      <c r="E208">
        <f t="shared" si="8"/>
        <v>208</v>
      </c>
      <c r="F208" s="428">
        <v>303</v>
      </c>
      <c r="G208" s="443">
        <v>27417</v>
      </c>
      <c r="H208" s="429" t="s">
        <v>29</v>
      </c>
      <c r="I208" s="430" t="s">
        <v>184</v>
      </c>
      <c r="K208" s="517">
        <f t="shared" si="7"/>
        <v>0</v>
      </c>
      <c r="L208" s="428">
        <v>303</v>
      </c>
      <c r="M208" s="458">
        <v>27417</v>
      </c>
      <c r="N208" s="429" t="s">
        <v>29</v>
      </c>
      <c r="O208" s="439" t="s">
        <v>184</v>
      </c>
    </row>
    <row r="209" spans="1:15" x14ac:dyDescent="0.25">
      <c r="A209" s="446">
        <v>27901</v>
      </c>
      <c r="B209" s="250" t="s">
        <v>1039</v>
      </c>
      <c r="C209" s="234" t="s">
        <v>1135</v>
      </c>
      <c r="D209" s="125"/>
      <c r="E209">
        <f t="shared" si="8"/>
        <v>209</v>
      </c>
      <c r="F209" s="431">
        <v>4174</v>
      </c>
      <c r="G209" s="446">
        <v>27901</v>
      </c>
      <c r="H209" s="437" t="s">
        <v>1039</v>
      </c>
      <c r="I209" s="438" t="s">
        <v>1150</v>
      </c>
      <c r="K209" s="517">
        <f t="shared" si="7"/>
        <v>0</v>
      </c>
      <c r="L209" s="431">
        <v>4174</v>
      </c>
      <c r="M209" s="458">
        <v>27901</v>
      </c>
      <c r="N209" s="432" t="s">
        <v>1039</v>
      </c>
      <c r="O209" s="509" t="s">
        <v>1135</v>
      </c>
    </row>
    <row r="210" spans="1:15" x14ac:dyDescent="0.25">
      <c r="A210" s="443">
        <v>27904</v>
      </c>
      <c r="B210" s="250" t="s">
        <v>1039</v>
      </c>
      <c r="C210" s="251" t="s">
        <v>1031</v>
      </c>
      <c r="D210" s="125"/>
      <c r="E210">
        <f t="shared" si="8"/>
        <v>210</v>
      </c>
      <c r="F210" s="428">
        <v>2631</v>
      </c>
      <c r="G210" s="443">
        <v>27904</v>
      </c>
      <c r="H210" s="432" t="s">
        <v>1039</v>
      </c>
      <c r="I210" s="433" t="s">
        <v>1085</v>
      </c>
      <c r="K210" s="517">
        <f t="shared" si="7"/>
        <v>0</v>
      </c>
      <c r="L210" s="428">
        <v>2631</v>
      </c>
      <c r="M210" s="458">
        <v>27904</v>
      </c>
      <c r="N210" s="432" t="s">
        <v>1039</v>
      </c>
      <c r="O210" s="457" t="s">
        <v>1031</v>
      </c>
    </row>
    <row r="211" spans="1:15" x14ac:dyDescent="0.25">
      <c r="A211" s="443">
        <v>28010</v>
      </c>
      <c r="B211" s="116" t="s">
        <v>21</v>
      </c>
      <c r="C211" s="108" t="s">
        <v>488</v>
      </c>
      <c r="D211" s="125"/>
      <c r="E211">
        <f t="shared" si="8"/>
        <v>211</v>
      </c>
      <c r="F211" s="428">
        <v>860</v>
      </c>
      <c r="G211" s="443">
        <v>28010</v>
      </c>
      <c r="H211" s="429" t="s">
        <v>21</v>
      </c>
      <c r="I211" s="430" t="s">
        <v>488</v>
      </c>
      <c r="K211" s="517">
        <f t="shared" si="7"/>
        <v>0</v>
      </c>
      <c r="L211" s="428">
        <v>860</v>
      </c>
      <c r="M211" s="458">
        <v>28010</v>
      </c>
      <c r="N211" s="429" t="s">
        <v>21</v>
      </c>
      <c r="O211" s="439" t="s">
        <v>488</v>
      </c>
    </row>
    <row r="212" spans="1:15" x14ac:dyDescent="0.25">
      <c r="A212" s="443">
        <v>28137</v>
      </c>
      <c r="B212" s="116" t="s">
        <v>21</v>
      </c>
      <c r="C212" s="108" t="s">
        <v>388</v>
      </c>
      <c r="D212" s="125"/>
      <c r="E212">
        <f t="shared" si="8"/>
        <v>212</v>
      </c>
      <c r="F212" s="428">
        <v>682</v>
      </c>
      <c r="G212" s="443">
        <v>28137</v>
      </c>
      <c r="H212" s="429" t="s">
        <v>21</v>
      </c>
      <c r="I212" s="430" t="s">
        <v>388</v>
      </c>
      <c r="K212" s="517">
        <f t="shared" si="7"/>
        <v>0</v>
      </c>
      <c r="L212" s="428">
        <v>682</v>
      </c>
      <c r="M212" s="458">
        <v>28137</v>
      </c>
      <c r="N212" s="429" t="s">
        <v>21</v>
      </c>
      <c r="O212" s="439" t="s">
        <v>388</v>
      </c>
    </row>
    <row r="213" spans="1:15" x14ac:dyDescent="0.25">
      <c r="A213" s="443">
        <v>28144</v>
      </c>
      <c r="B213" s="116" t="s">
        <v>21</v>
      </c>
      <c r="C213" s="108" t="s">
        <v>276</v>
      </c>
      <c r="D213" s="125"/>
      <c r="E213">
        <f t="shared" si="8"/>
        <v>213</v>
      </c>
      <c r="F213" s="428">
        <v>552</v>
      </c>
      <c r="G213" s="443">
        <v>28144</v>
      </c>
      <c r="H213" s="429" t="s">
        <v>21</v>
      </c>
      <c r="I213" s="430" t="s">
        <v>276</v>
      </c>
      <c r="K213" s="517">
        <f t="shared" si="7"/>
        <v>0</v>
      </c>
      <c r="L213" s="428">
        <v>552</v>
      </c>
      <c r="M213" s="458">
        <v>28144</v>
      </c>
      <c r="N213" s="429" t="s">
        <v>21</v>
      </c>
      <c r="O213" s="439" t="s">
        <v>276</v>
      </c>
    </row>
    <row r="214" spans="1:15" x14ac:dyDescent="0.25">
      <c r="A214" s="443">
        <v>28149</v>
      </c>
      <c r="B214" s="116" t="s">
        <v>21</v>
      </c>
      <c r="C214" s="108" t="s">
        <v>474</v>
      </c>
      <c r="D214" s="125"/>
      <c r="E214">
        <f t="shared" si="8"/>
        <v>214</v>
      </c>
      <c r="F214" s="428">
        <v>833</v>
      </c>
      <c r="G214" s="443">
        <v>28149</v>
      </c>
      <c r="H214" s="429" t="s">
        <v>21</v>
      </c>
      <c r="I214" s="430" t="s">
        <v>474</v>
      </c>
      <c r="K214" s="517">
        <f t="shared" si="7"/>
        <v>0</v>
      </c>
      <c r="L214" s="428">
        <v>833</v>
      </c>
      <c r="M214" s="458">
        <v>28149</v>
      </c>
      <c r="N214" s="429" t="s">
        <v>21</v>
      </c>
      <c r="O214" s="439" t="s">
        <v>474</v>
      </c>
    </row>
    <row r="215" spans="1:15" x14ac:dyDescent="0.25">
      <c r="A215" s="443">
        <v>29011</v>
      </c>
      <c r="B215" s="116" t="s">
        <v>21</v>
      </c>
      <c r="C215" s="108" t="s">
        <v>108</v>
      </c>
      <c r="D215" s="125"/>
      <c r="E215">
        <f t="shared" si="8"/>
        <v>215</v>
      </c>
      <c r="F215" s="428">
        <v>181</v>
      </c>
      <c r="G215" s="443">
        <v>29011</v>
      </c>
      <c r="H215" s="429" t="s">
        <v>21</v>
      </c>
      <c r="I215" s="430" t="s">
        <v>108</v>
      </c>
      <c r="K215" s="517">
        <f t="shared" si="7"/>
        <v>0</v>
      </c>
      <c r="L215" s="428">
        <v>181</v>
      </c>
      <c r="M215" s="458">
        <v>29011</v>
      </c>
      <c r="N215" s="429" t="s">
        <v>21</v>
      </c>
      <c r="O215" s="439" t="s">
        <v>108</v>
      </c>
    </row>
    <row r="216" spans="1:15" x14ac:dyDescent="0.25">
      <c r="A216" s="443">
        <v>29100</v>
      </c>
      <c r="B216" s="116" t="s">
        <v>21</v>
      </c>
      <c r="C216" s="108" t="s">
        <v>60</v>
      </c>
      <c r="D216" s="125"/>
      <c r="E216">
        <f t="shared" si="8"/>
        <v>216</v>
      </c>
      <c r="F216" s="428">
        <v>94</v>
      </c>
      <c r="G216" s="443">
        <v>29100</v>
      </c>
      <c r="H216" s="429" t="s">
        <v>21</v>
      </c>
      <c r="I216" s="430" t="s">
        <v>60</v>
      </c>
      <c r="K216" s="517">
        <f t="shared" si="7"/>
        <v>0</v>
      </c>
      <c r="L216" s="428">
        <v>94</v>
      </c>
      <c r="M216" s="458">
        <v>29100</v>
      </c>
      <c r="N216" s="429" t="s">
        <v>21</v>
      </c>
      <c r="O216" s="439" t="s">
        <v>60</v>
      </c>
    </row>
    <row r="217" spans="1:15" x14ac:dyDescent="0.25">
      <c r="A217" s="443">
        <v>29101</v>
      </c>
      <c r="B217" s="116" t="s">
        <v>21</v>
      </c>
      <c r="C217" s="108" t="s">
        <v>480</v>
      </c>
      <c r="D217" s="125"/>
      <c r="E217">
        <f t="shared" si="8"/>
        <v>217</v>
      </c>
      <c r="F217" s="428">
        <v>848</v>
      </c>
      <c r="G217" s="443">
        <v>29101</v>
      </c>
      <c r="H217" s="429" t="s">
        <v>21</v>
      </c>
      <c r="I217" s="430" t="s">
        <v>480</v>
      </c>
      <c r="K217" s="517">
        <f t="shared" si="7"/>
        <v>0</v>
      </c>
      <c r="L217" s="428">
        <v>848</v>
      </c>
      <c r="M217" s="458">
        <v>29101</v>
      </c>
      <c r="N217" s="429" t="s">
        <v>21</v>
      </c>
      <c r="O217" s="439" t="s">
        <v>480</v>
      </c>
    </row>
    <row r="218" spans="1:15" x14ac:dyDescent="0.25">
      <c r="A218" s="443">
        <v>29103</v>
      </c>
      <c r="B218" s="116" t="s">
        <v>21</v>
      </c>
      <c r="C218" s="108" t="s">
        <v>19</v>
      </c>
      <c r="D218" s="125"/>
      <c r="E218">
        <f t="shared" si="8"/>
        <v>218</v>
      </c>
      <c r="F218" s="428">
        <v>20</v>
      </c>
      <c r="G218" s="443">
        <v>29103</v>
      </c>
      <c r="H218" s="429" t="s">
        <v>21</v>
      </c>
      <c r="I218" s="430" t="s">
        <v>19</v>
      </c>
      <c r="K218" s="517">
        <f t="shared" si="7"/>
        <v>0</v>
      </c>
      <c r="L218" s="428">
        <v>20</v>
      </c>
      <c r="M218" s="458">
        <v>29103</v>
      </c>
      <c r="N218" s="429" t="s">
        <v>21</v>
      </c>
      <c r="O218" s="439" t="s">
        <v>19</v>
      </c>
    </row>
    <row r="219" spans="1:15" x14ac:dyDescent="0.25">
      <c r="A219" s="443">
        <v>29311</v>
      </c>
      <c r="B219" s="116" t="s">
        <v>21</v>
      </c>
      <c r="C219" s="108" t="s">
        <v>254</v>
      </c>
      <c r="D219" s="125"/>
      <c r="E219">
        <f t="shared" si="8"/>
        <v>219</v>
      </c>
      <c r="F219" s="428">
        <v>508</v>
      </c>
      <c r="G219" s="443">
        <v>29311</v>
      </c>
      <c r="H219" s="429" t="s">
        <v>21</v>
      </c>
      <c r="I219" s="430" t="s">
        <v>254</v>
      </c>
      <c r="K219" s="517">
        <f t="shared" si="7"/>
        <v>0</v>
      </c>
      <c r="L219" s="428">
        <v>508</v>
      </c>
      <c r="M219" s="458">
        <v>29311</v>
      </c>
      <c r="N219" s="429" t="s">
        <v>21</v>
      </c>
      <c r="O219" s="439" t="s">
        <v>254</v>
      </c>
    </row>
    <row r="220" spans="1:15" x14ac:dyDescent="0.25">
      <c r="A220" s="443">
        <v>29317</v>
      </c>
      <c r="B220" s="116" t="s">
        <v>21</v>
      </c>
      <c r="C220" s="108" t="s">
        <v>110</v>
      </c>
      <c r="D220" s="125"/>
      <c r="E220">
        <f t="shared" si="8"/>
        <v>220</v>
      </c>
      <c r="F220" s="428">
        <v>189</v>
      </c>
      <c r="G220" s="443">
        <v>29317</v>
      </c>
      <c r="H220" s="429" t="s">
        <v>21</v>
      </c>
      <c r="I220" s="430" t="s">
        <v>110</v>
      </c>
      <c r="K220" s="517">
        <f t="shared" si="7"/>
        <v>0</v>
      </c>
      <c r="L220" s="428">
        <v>189</v>
      </c>
      <c r="M220" s="458">
        <v>29317</v>
      </c>
      <c r="N220" s="429" t="s">
        <v>21</v>
      </c>
      <c r="O220" s="439" t="s">
        <v>110</v>
      </c>
    </row>
    <row r="221" spans="1:15" x14ac:dyDescent="0.25">
      <c r="A221" s="443">
        <v>29320</v>
      </c>
      <c r="B221" s="116" t="s">
        <v>21</v>
      </c>
      <c r="C221" s="108" t="s">
        <v>324</v>
      </c>
      <c r="D221" s="125"/>
      <c r="E221">
        <f t="shared" si="8"/>
        <v>221</v>
      </c>
      <c r="F221" s="428">
        <v>618</v>
      </c>
      <c r="G221" s="443">
        <v>29320</v>
      </c>
      <c r="H221" s="429" t="s">
        <v>21</v>
      </c>
      <c r="I221" s="430" t="s">
        <v>324</v>
      </c>
      <c r="K221" s="517">
        <f t="shared" si="7"/>
        <v>0</v>
      </c>
      <c r="L221" s="428">
        <v>618</v>
      </c>
      <c r="M221" s="458">
        <v>29320</v>
      </c>
      <c r="N221" s="429" t="s">
        <v>21</v>
      </c>
      <c r="O221" s="439" t="s">
        <v>324</v>
      </c>
    </row>
    <row r="222" spans="1:15" x14ac:dyDescent="0.25">
      <c r="A222" s="443">
        <v>29801</v>
      </c>
      <c r="B222" s="116" t="s">
        <v>21</v>
      </c>
      <c r="C222" s="534" t="s">
        <v>362</v>
      </c>
      <c r="D222" s="125"/>
      <c r="E222">
        <f t="shared" si="8"/>
        <v>222</v>
      </c>
      <c r="F222" s="428">
        <v>267</v>
      </c>
      <c r="G222" s="443">
        <v>29801</v>
      </c>
      <c r="H222" s="429" t="s">
        <v>21</v>
      </c>
      <c r="I222" s="529" t="s">
        <v>362</v>
      </c>
      <c r="K222" s="517">
        <f t="shared" si="7"/>
        <v>0</v>
      </c>
      <c r="L222" s="428">
        <v>267</v>
      </c>
      <c r="M222" s="458">
        <v>29801</v>
      </c>
      <c r="N222" s="429" t="s">
        <v>21</v>
      </c>
      <c r="O222" s="535" t="s">
        <v>362</v>
      </c>
    </row>
    <row r="223" spans="1:15" x14ac:dyDescent="0.25">
      <c r="A223" s="443">
        <v>30002</v>
      </c>
      <c r="B223" s="116" t="s">
        <v>34</v>
      </c>
      <c r="C223" s="108" t="s">
        <v>494</v>
      </c>
      <c r="D223" s="125"/>
      <c r="E223">
        <f t="shared" si="8"/>
        <v>223</v>
      </c>
      <c r="F223" s="428">
        <v>877</v>
      </c>
      <c r="G223" s="443">
        <v>30002</v>
      </c>
      <c r="H223" s="429" t="s">
        <v>34</v>
      </c>
      <c r="I223" s="430" t="s">
        <v>494</v>
      </c>
      <c r="K223" s="517">
        <f t="shared" si="7"/>
        <v>0</v>
      </c>
      <c r="L223" s="428">
        <v>877</v>
      </c>
      <c r="M223" s="458">
        <v>30002</v>
      </c>
      <c r="N223" s="429" t="s">
        <v>34</v>
      </c>
      <c r="O223" s="439" t="s">
        <v>494</v>
      </c>
    </row>
    <row r="224" spans="1:15" x14ac:dyDescent="0.25">
      <c r="A224" s="443">
        <v>30029</v>
      </c>
      <c r="B224" s="116" t="s">
        <v>34</v>
      </c>
      <c r="C224" s="108" t="s">
        <v>322</v>
      </c>
      <c r="D224" s="125"/>
      <c r="E224">
        <f t="shared" si="8"/>
        <v>224</v>
      </c>
      <c r="F224" s="428">
        <v>616</v>
      </c>
      <c r="G224" s="443">
        <v>30029</v>
      </c>
      <c r="H224" s="429" t="s">
        <v>34</v>
      </c>
      <c r="I224" s="430" t="s">
        <v>322</v>
      </c>
      <c r="K224" s="517">
        <f t="shared" si="7"/>
        <v>0</v>
      </c>
      <c r="L224" s="428">
        <v>616</v>
      </c>
      <c r="M224" s="458">
        <v>30029</v>
      </c>
      <c r="N224" s="429" t="s">
        <v>34</v>
      </c>
      <c r="O224" s="439" t="s">
        <v>322</v>
      </c>
    </row>
    <row r="225" spans="1:15" x14ac:dyDescent="0.25">
      <c r="A225" s="443">
        <v>30031</v>
      </c>
      <c r="B225" s="116" t="s">
        <v>34</v>
      </c>
      <c r="C225" s="108" t="s">
        <v>306</v>
      </c>
      <c r="D225" s="125"/>
      <c r="E225">
        <f t="shared" si="8"/>
        <v>225</v>
      </c>
      <c r="F225" s="428">
        <v>595</v>
      </c>
      <c r="G225" s="443">
        <v>30031</v>
      </c>
      <c r="H225" s="429" t="s">
        <v>34</v>
      </c>
      <c r="I225" s="430" t="s">
        <v>306</v>
      </c>
      <c r="K225" s="517">
        <f t="shared" si="7"/>
        <v>0</v>
      </c>
      <c r="L225" s="428">
        <v>595</v>
      </c>
      <c r="M225" s="458">
        <v>30031</v>
      </c>
      <c r="N225" s="429" t="s">
        <v>34</v>
      </c>
      <c r="O225" s="439" t="s">
        <v>306</v>
      </c>
    </row>
    <row r="226" spans="1:15" x14ac:dyDescent="0.25">
      <c r="A226" s="443">
        <v>30303</v>
      </c>
      <c r="B226" s="116" t="s">
        <v>34</v>
      </c>
      <c r="C226" s="108" t="s">
        <v>528</v>
      </c>
      <c r="D226" s="125"/>
      <c r="E226">
        <f t="shared" si="8"/>
        <v>226</v>
      </c>
      <c r="F226" s="428">
        <v>949</v>
      </c>
      <c r="G226" s="443">
        <v>30303</v>
      </c>
      <c r="H226" s="429" t="s">
        <v>34</v>
      </c>
      <c r="I226" s="430" t="s">
        <v>528</v>
      </c>
      <c r="K226" s="517">
        <f t="shared" si="7"/>
        <v>0</v>
      </c>
      <c r="L226" s="428">
        <v>949</v>
      </c>
      <c r="M226" s="458">
        <v>30303</v>
      </c>
      <c r="N226" s="429" t="s">
        <v>34</v>
      </c>
      <c r="O226" s="439" t="s">
        <v>528</v>
      </c>
    </row>
    <row r="227" spans="1:15" x14ac:dyDescent="0.25">
      <c r="A227" s="443">
        <v>31002</v>
      </c>
      <c r="B227" s="116" t="s">
        <v>21</v>
      </c>
      <c r="C227" s="108" t="s">
        <v>174</v>
      </c>
      <c r="D227" s="125"/>
      <c r="E227">
        <f t="shared" si="8"/>
        <v>227</v>
      </c>
      <c r="F227" s="428">
        <v>290</v>
      </c>
      <c r="G227" s="443">
        <v>31002</v>
      </c>
      <c r="H227" s="429" t="s">
        <v>21</v>
      </c>
      <c r="I227" s="430" t="s">
        <v>174</v>
      </c>
      <c r="K227" s="517">
        <f t="shared" si="7"/>
        <v>0</v>
      </c>
      <c r="L227" s="428">
        <v>290</v>
      </c>
      <c r="M227" s="458">
        <v>31002</v>
      </c>
      <c r="N227" s="429" t="s">
        <v>21</v>
      </c>
      <c r="O227" s="439" t="s">
        <v>174</v>
      </c>
    </row>
    <row r="228" spans="1:15" x14ac:dyDescent="0.25">
      <c r="A228" s="443">
        <v>31004</v>
      </c>
      <c r="B228" s="116" t="s">
        <v>21</v>
      </c>
      <c r="C228" s="108" t="s">
        <v>260</v>
      </c>
      <c r="D228" s="125"/>
      <c r="E228">
        <f t="shared" si="8"/>
        <v>228</v>
      </c>
      <c r="F228" s="428">
        <v>517</v>
      </c>
      <c r="G228" s="443">
        <v>31004</v>
      </c>
      <c r="H228" s="429" t="s">
        <v>21</v>
      </c>
      <c r="I228" s="430" t="s">
        <v>260</v>
      </c>
      <c r="K228" s="517">
        <f t="shared" si="7"/>
        <v>0</v>
      </c>
      <c r="L228" s="428">
        <v>517</v>
      </c>
      <c r="M228" s="458">
        <v>31004</v>
      </c>
      <c r="N228" s="429" t="s">
        <v>21</v>
      </c>
      <c r="O228" s="439" t="s">
        <v>260</v>
      </c>
    </row>
    <row r="229" spans="1:15" x14ac:dyDescent="0.25">
      <c r="A229" s="443">
        <v>31006</v>
      </c>
      <c r="B229" s="116" t="s">
        <v>21</v>
      </c>
      <c r="C229" s="108" t="s">
        <v>326</v>
      </c>
      <c r="D229" s="125"/>
      <c r="E229">
        <f t="shared" si="8"/>
        <v>229</v>
      </c>
      <c r="F229" s="428">
        <v>623</v>
      </c>
      <c r="G229" s="443">
        <v>31006</v>
      </c>
      <c r="H229" s="429" t="s">
        <v>21</v>
      </c>
      <c r="I229" s="430" t="s">
        <v>326</v>
      </c>
      <c r="K229" s="517">
        <f t="shared" si="7"/>
        <v>0</v>
      </c>
      <c r="L229" s="428">
        <v>623</v>
      </c>
      <c r="M229" s="458">
        <v>31006</v>
      </c>
      <c r="N229" s="429" t="s">
        <v>21</v>
      </c>
      <c r="O229" s="439" t="s">
        <v>326</v>
      </c>
    </row>
    <row r="230" spans="1:15" x14ac:dyDescent="0.25">
      <c r="A230" s="443">
        <v>31015</v>
      </c>
      <c r="B230" s="116" t="s">
        <v>21</v>
      </c>
      <c r="C230" s="108" t="s">
        <v>150</v>
      </c>
      <c r="D230" s="125"/>
      <c r="E230">
        <f t="shared" si="8"/>
        <v>230</v>
      </c>
      <c r="F230" s="428">
        <v>258</v>
      </c>
      <c r="G230" s="443">
        <v>31015</v>
      </c>
      <c r="H230" s="429" t="s">
        <v>21</v>
      </c>
      <c r="I230" s="430" t="s">
        <v>150</v>
      </c>
      <c r="K230" s="517">
        <f t="shared" si="7"/>
        <v>0</v>
      </c>
      <c r="L230" s="428">
        <v>258</v>
      </c>
      <c r="M230" s="458">
        <v>31015</v>
      </c>
      <c r="N230" s="429" t="s">
        <v>21</v>
      </c>
      <c r="O230" s="439" t="s">
        <v>150</v>
      </c>
    </row>
    <row r="231" spans="1:15" x14ac:dyDescent="0.25">
      <c r="A231" s="443">
        <v>31016</v>
      </c>
      <c r="B231" s="116" t="s">
        <v>21</v>
      </c>
      <c r="C231" s="108" t="s">
        <v>22</v>
      </c>
      <c r="D231" s="125"/>
      <c r="E231">
        <f t="shared" si="8"/>
        <v>231</v>
      </c>
      <c r="F231" s="428">
        <v>26</v>
      </c>
      <c r="G231" s="443">
        <v>31016</v>
      </c>
      <c r="H231" s="429" t="s">
        <v>21</v>
      </c>
      <c r="I231" s="430" t="s">
        <v>22</v>
      </c>
      <c r="K231" s="517">
        <f t="shared" si="7"/>
        <v>0</v>
      </c>
      <c r="L231" s="428">
        <v>26</v>
      </c>
      <c r="M231" s="458">
        <v>31016</v>
      </c>
      <c r="N231" s="429" t="s">
        <v>21</v>
      </c>
      <c r="O231" s="439" t="s">
        <v>22</v>
      </c>
    </row>
    <row r="232" spans="1:15" x14ac:dyDescent="0.25">
      <c r="A232" s="443">
        <v>31025</v>
      </c>
      <c r="B232" s="116" t="s">
        <v>21</v>
      </c>
      <c r="C232" s="108" t="s">
        <v>292</v>
      </c>
      <c r="D232" s="125"/>
      <c r="E232">
        <f t="shared" si="8"/>
        <v>232</v>
      </c>
      <c r="F232" s="428">
        <v>570</v>
      </c>
      <c r="G232" s="443">
        <v>31025</v>
      </c>
      <c r="H232" s="429" t="s">
        <v>21</v>
      </c>
      <c r="I232" s="430" t="s">
        <v>292</v>
      </c>
      <c r="K232" s="517">
        <f t="shared" si="7"/>
        <v>0</v>
      </c>
      <c r="L232" s="428">
        <v>570</v>
      </c>
      <c r="M232" s="458">
        <v>31025</v>
      </c>
      <c r="N232" s="429" t="s">
        <v>21</v>
      </c>
      <c r="O232" s="439" t="s">
        <v>292</v>
      </c>
    </row>
    <row r="233" spans="1:15" x14ac:dyDescent="0.25">
      <c r="A233" s="443">
        <v>31063</v>
      </c>
      <c r="B233" s="116" t="s">
        <v>21</v>
      </c>
      <c r="C233" s="108" t="s">
        <v>228</v>
      </c>
      <c r="D233" s="125"/>
      <c r="E233">
        <f t="shared" si="8"/>
        <v>233</v>
      </c>
      <c r="F233" s="428">
        <v>397</v>
      </c>
      <c r="G233" s="443">
        <v>31063</v>
      </c>
      <c r="H233" s="429" t="s">
        <v>21</v>
      </c>
      <c r="I233" s="430" t="s">
        <v>228</v>
      </c>
      <c r="K233" s="517">
        <f t="shared" si="7"/>
        <v>0</v>
      </c>
      <c r="L233" s="428">
        <v>397</v>
      </c>
      <c r="M233" s="458">
        <v>31063</v>
      </c>
      <c r="N233" s="429" t="s">
        <v>21</v>
      </c>
      <c r="O233" s="439" t="s">
        <v>228</v>
      </c>
    </row>
    <row r="234" spans="1:15" x14ac:dyDescent="0.25">
      <c r="A234" s="443">
        <v>31103</v>
      </c>
      <c r="B234" s="116" t="s">
        <v>21</v>
      </c>
      <c r="C234" s="108" t="s">
        <v>308</v>
      </c>
      <c r="D234" s="125"/>
      <c r="E234">
        <f t="shared" si="8"/>
        <v>234</v>
      </c>
      <c r="F234" s="428">
        <v>604</v>
      </c>
      <c r="G234" s="443">
        <v>31103</v>
      </c>
      <c r="H234" s="429" t="s">
        <v>21</v>
      </c>
      <c r="I234" s="430" t="s">
        <v>308</v>
      </c>
      <c r="K234" s="517">
        <f t="shared" si="7"/>
        <v>0</v>
      </c>
      <c r="L234" s="428">
        <v>604</v>
      </c>
      <c r="M234" s="458">
        <v>31103</v>
      </c>
      <c r="N234" s="429" t="s">
        <v>21</v>
      </c>
      <c r="O234" s="439" t="s">
        <v>308</v>
      </c>
    </row>
    <row r="235" spans="1:15" x14ac:dyDescent="0.25">
      <c r="A235" s="443">
        <v>31201</v>
      </c>
      <c r="B235" s="116" t="s">
        <v>21</v>
      </c>
      <c r="C235" s="108" t="s">
        <v>498</v>
      </c>
      <c r="D235" s="125"/>
      <c r="E235">
        <f t="shared" si="8"/>
        <v>235</v>
      </c>
      <c r="F235" s="428">
        <v>898</v>
      </c>
      <c r="G235" s="443">
        <v>31201</v>
      </c>
      <c r="H235" s="429" t="s">
        <v>21</v>
      </c>
      <c r="I235" s="430" t="s">
        <v>498</v>
      </c>
      <c r="K235" s="517">
        <f t="shared" si="7"/>
        <v>0</v>
      </c>
      <c r="L235" s="428">
        <v>898</v>
      </c>
      <c r="M235" s="458">
        <v>31201</v>
      </c>
      <c r="N235" s="429" t="s">
        <v>21</v>
      </c>
      <c r="O235" s="439" t="s">
        <v>498</v>
      </c>
    </row>
    <row r="236" spans="1:15" x14ac:dyDescent="0.25">
      <c r="A236" s="443">
        <v>31306</v>
      </c>
      <c r="B236" s="116" t="s">
        <v>21</v>
      </c>
      <c r="C236" s="108" t="s">
        <v>264</v>
      </c>
      <c r="D236" s="125"/>
      <c r="E236">
        <f t="shared" si="8"/>
        <v>236</v>
      </c>
      <c r="F236" s="428">
        <v>521</v>
      </c>
      <c r="G236" s="443">
        <v>31306</v>
      </c>
      <c r="H236" s="429" t="s">
        <v>21</v>
      </c>
      <c r="I236" s="430" t="s">
        <v>264</v>
      </c>
      <c r="K236" s="517">
        <f t="shared" si="7"/>
        <v>0</v>
      </c>
      <c r="L236" s="428">
        <v>521</v>
      </c>
      <c r="M236" s="458">
        <v>31306</v>
      </c>
      <c r="N236" s="429" t="s">
        <v>21</v>
      </c>
      <c r="O236" s="439" t="s">
        <v>264</v>
      </c>
    </row>
    <row r="237" spans="1:15" x14ac:dyDescent="0.25">
      <c r="A237" s="443">
        <v>31311</v>
      </c>
      <c r="B237" s="116" t="s">
        <v>21</v>
      </c>
      <c r="C237" s="108" t="s">
        <v>530</v>
      </c>
      <c r="D237" s="125"/>
      <c r="E237">
        <f t="shared" si="8"/>
        <v>237</v>
      </c>
      <c r="F237" s="428">
        <v>950</v>
      </c>
      <c r="G237" s="443">
        <v>31311</v>
      </c>
      <c r="H237" s="429" t="s">
        <v>21</v>
      </c>
      <c r="I237" s="430" t="s">
        <v>530</v>
      </c>
      <c r="K237" s="517">
        <f t="shared" si="7"/>
        <v>0</v>
      </c>
      <c r="L237" s="428">
        <v>950</v>
      </c>
      <c r="M237" s="458">
        <v>31311</v>
      </c>
      <c r="N237" s="429" t="s">
        <v>21</v>
      </c>
      <c r="O237" s="439" t="s">
        <v>530</v>
      </c>
    </row>
    <row r="238" spans="1:15" x14ac:dyDescent="0.25">
      <c r="A238" s="443">
        <v>31330</v>
      </c>
      <c r="B238" s="116" t="s">
        <v>21</v>
      </c>
      <c r="C238" s="108" t="s">
        <v>128</v>
      </c>
      <c r="D238" s="125"/>
      <c r="E238">
        <f t="shared" si="8"/>
        <v>238</v>
      </c>
      <c r="F238" s="428">
        <v>219</v>
      </c>
      <c r="G238" s="443">
        <v>31330</v>
      </c>
      <c r="H238" s="429" t="s">
        <v>21</v>
      </c>
      <c r="I238" s="430" t="s">
        <v>128</v>
      </c>
      <c r="K238" s="517">
        <f t="shared" si="7"/>
        <v>0</v>
      </c>
      <c r="L238" s="428">
        <v>219</v>
      </c>
      <c r="M238" s="458">
        <v>31330</v>
      </c>
      <c r="N238" s="429" t="s">
        <v>21</v>
      </c>
      <c r="O238" s="439" t="s">
        <v>128</v>
      </c>
    </row>
    <row r="239" spans="1:15" x14ac:dyDescent="0.25">
      <c r="A239" s="443">
        <v>31332</v>
      </c>
      <c r="B239" s="116" t="s">
        <v>21</v>
      </c>
      <c r="C239" s="108" t="s">
        <v>204</v>
      </c>
      <c r="D239" s="125"/>
      <c r="E239">
        <f t="shared" si="8"/>
        <v>239</v>
      </c>
      <c r="F239" s="428">
        <v>344</v>
      </c>
      <c r="G239" s="443">
        <v>31332</v>
      </c>
      <c r="H239" s="429" t="s">
        <v>21</v>
      </c>
      <c r="I239" s="430" t="s">
        <v>204</v>
      </c>
      <c r="K239" s="517">
        <f t="shared" si="7"/>
        <v>0</v>
      </c>
      <c r="L239" s="428">
        <v>344</v>
      </c>
      <c r="M239" s="458">
        <v>31332</v>
      </c>
      <c r="N239" s="429" t="s">
        <v>21</v>
      </c>
      <c r="O239" s="439" t="s">
        <v>204</v>
      </c>
    </row>
    <row r="240" spans="1:15" x14ac:dyDescent="0.25">
      <c r="A240" s="443">
        <v>31401</v>
      </c>
      <c r="B240" s="116" t="s">
        <v>21</v>
      </c>
      <c r="C240" s="108" t="s">
        <v>516</v>
      </c>
      <c r="D240" s="125"/>
      <c r="E240">
        <f t="shared" si="8"/>
        <v>240</v>
      </c>
      <c r="F240" s="428">
        <v>931</v>
      </c>
      <c r="G240" s="443">
        <v>31401</v>
      </c>
      <c r="H240" s="429" t="s">
        <v>21</v>
      </c>
      <c r="I240" s="430" t="s">
        <v>516</v>
      </c>
      <c r="K240" s="517">
        <f t="shared" si="7"/>
        <v>0</v>
      </c>
      <c r="L240" s="428">
        <v>931</v>
      </c>
      <c r="M240" s="458">
        <v>31401</v>
      </c>
      <c r="N240" s="429" t="s">
        <v>21</v>
      </c>
      <c r="O240" s="439" t="s">
        <v>516</v>
      </c>
    </row>
    <row r="241" spans="1:15" x14ac:dyDescent="0.25">
      <c r="A241" s="443">
        <v>31801</v>
      </c>
      <c r="B241" s="250" t="s">
        <v>1039</v>
      </c>
      <c r="C241" s="349" t="s">
        <v>1036</v>
      </c>
      <c r="D241" s="125"/>
      <c r="E241">
        <f t="shared" si="8"/>
        <v>241</v>
      </c>
      <c r="F241" s="428">
        <v>1597</v>
      </c>
      <c r="G241" s="443">
        <v>31801</v>
      </c>
      <c r="H241" s="432" t="s">
        <v>1039</v>
      </c>
      <c r="I241" s="440" t="s">
        <v>1036</v>
      </c>
      <c r="K241" s="517">
        <f t="shared" si="7"/>
        <v>0</v>
      </c>
      <c r="L241" s="428">
        <v>1597</v>
      </c>
      <c r="M241" s="458">
        <v>31801</v>
      </c>
      <c r="N241" s="432" t="s">
        <v>1039</v>
      </c>
      <c r="O241" s="510" t="s">
        <v>1036</v>
      </c>
    </row>
    <row r="242" spans="1:15" x14ac:dyDescent="0.25">
      <c r="A242" s="443">
        <v>32081</v>
      </c>
      <c r="B242" s="116" t="s">
        <v>18</v>
      </c>
      <c r="C242" s="108" t="s">
        <v>512</v>
      </c>
      <c r="D242" s="125"/>
      <c r="E242">
        <f t="shared" si="8"/>
        <v>242</v>
      </c>
      <c r="F242" s="428">
        <v>926</v>
      </c>
      <c r="G242" s="443">
        <v>32081</v>
      </c>
      <c r="H242" s="429" t="s">
        <v>18</v>
      </c>
      <c r="I242" s="430" t="s">
        <v>512</v>
      </c>
      <c r="K242" s="517">
        <f t="shared" si="7"/>
        <v>0</v>
      </c>
      <c r="L242" s="428">
        <v>926</v>
      </c>
      <c r="M242" s="458">
        <v>32081</v>
      </c>
      <c r="N242" s="429" t="s">
        <v>18</v>
      </c>
      <c r="O242" s="439" t="s">
        <v>512</v>
      </c>
    </row>
    <row r="243" spans="1:15" x14ac:dyDescent="0.25">
      <c r="A243" s="443">
        <v>32123</v>
      </c>
      <c r="B243" s="116" t="s">
        <v>18</v>
      </c>
      <c r="C243" s="108" t="s">
        <v>390</v>
      </c>
      <c r="D243" s="125"/>
      <c r="E243">
        <f t="shared" si="8"/>
        <v>243</v>
      </c>
      <c r="F243" s="428">
        <v>684</v>
      </c>
      <c r="G243" s="443">
        <v>32123</v>
      </c>
      <c r="H243" s="429" t="s">
        <v>18</v>
      </c>
      <c r="I243" s="430" t="s">
        <v>390</v>
      </c>
      <c r="K243" s="517">
        <f t="shared" si="7"/>
        <v>0</v>
      </c>
      <c r="L243" s="428">
        <v>684</v>
      </c>
      <c r="M243" s="458">
        <v>32123</v>
      </c>
      <c r="N243" s="429" t="s">
        <v>18</v>
      </c>
      <c r="O243" s="439" t="s">
        <v>390</v>
      </c>
    </row>
    <row r="244" spans="1:15" x14ac:dyDescent="0.25">
      <c r="A244" s="443">
        <v>32312</v>
      </c>
      <c r="B244" s="116" t="s">
        <v>18</v>
      </c>
      <c r="C244" s="108" t="s">
        <v>208</v>
      </c>
      <c r="D244" s="125"/>
      <c r="E244">
        <f t="shared" si="8"/>
        <v>244</v>
      </c>
      <c r="F244" s="428">
        <v>363</v>
      </c>
      <c r="G244" s="443">
        <v>32312</v>
      </c>
      <c r="H244" s="429" t="s">
        <v>18</v>
      </c>
      <c r="I244" s="430" t="s">
        <v>208</v>
      </c>
      <c r="K244" s="517">
        <f t="shared" si="7"/>
        <v>0</v>
      </c>
      <c r="L244" s="428">
        <v>363</v>
      </c>
      <c r="M244" s="458">
        <v>32312</v>
      </c>
      <c r="N244" s="429" t="s">
        <v>18</v>
      </c>
      <c r="O244" s="439" t="s">
        <v>208</v>
      </c>
    </row>
    <row r="245" spans="1:15" x14ac:dyDescent="0.25">
      <c r="A245" s="443">
        <v>32325</v>
      </c>
      <c r="B245" s="116" t="s">
        <v>18</v>
      </c>
      <c r="C245" s="108" t="s">
        <v>338</v>
      </c>
      <c r="D245" s="125"/>
      <c r="E245">
        <f t="shared" si="8"/>
        <v>245</v>
      </c>
      <c r="F245" s="428">
        <v>640</v>
      </c>
      <c r="G245" s="443">
        <v>32325</v>
      </c>
      <c r="H245" s="429" t="s">
        <v>18</v>
      </c>
      <c r="I245" s="430" t="s">
        <v>338</v>
      </c>
      <c r="K245" s="517">
        <f t="shared" si="7"/>
        <v>0</v>
      </c>
      <c r="L245" s="428">
        <v>640</v>
      </c>
      <c r="M245" s="458">
        <v>32325</v>
      </c>
      <c r="N245" s="429" t="s">
        <v>18</v>
      </c>
      <c r="O245" s="439" t="s">
        <v>338</v>
      </c>
    </row>
    <row r="246" spans="1:15" x14ac:dyDescent="0.25">
      <c r="A246" s="443">
        <v>32326</v>
      </c>
      <c r="B246" s="116" t="s">
        <v>18</v>
      </c>
      <c r="C246" s="108" t="s">
        <v>298</v>
      </c>
      <c r="D246" s="125"/>
      <c r="E246">
        <f t="shared" si="8"/>
        <v>246</v>
      </c>
      <c r="F246" s="428">
        <v>582</v>
      </c>
      <c r="G246" s="443">
        <v>32326</v>
      </c>
      <c r="H246" s="429" t="s">
        <v>18</v>
      </c>
      <c r="I246" s="430" t="s">
        <v>298</v>
      </c>
      <c r="K246" s="517">
        <f t="shared" si="7"/>
        <v>0</v>
      </c>
      <c r="L246" s="428">
        <v>582</v>
      </c>
      <c r="M246" s="458">
        <v>32326</v>
      </c>
      <c r="N246" s="429" t="s">
        <v>18</v>
      </c>
      <c r="O246" s="439" t="s">
        <v>298</v>
      </c>
    </row>
    <row r="247" spans="1:15" x14ac:dyDescent="0.25">
      <c r="A247" s="443">
        <v>32354</v>
      </c>
      <c r="B247" s="116" t="s">
        <v>18</v>
      </c>
      <c r="C247" s="108" t="s">
        <v>296</v>
      </c>
      <c r="D247" s="125"/>
      <c r="E247">
        <f t="shared" si="8"/>
        <v>247</v>
      </c>
      <c r="F247" s="428">
        <v>580</v>
      </c>
      <c r="G247" s="443">
        <v>32354</v>
      </c>
      <c r="H247" s="429" t="s">
        <v>18</v>
      </c>
      <c r="I247" s="430" t="s">
        <v>296</v>
      </c>
      <c r="K247" s="517">
        <f t="shared" si="7"/>
        <v>0</v>
      </c>
      <c r="L247" s="428">
        <v>580</v>
      </c>
      <c r="M247" s="458">
        <v>32354</v>
      </c>
      <c r="N247" s="429" t="s">
        <v>18</v>
      </c>
      <c r="O247" s="439" t="s">
        <v>296</v>
      </c>
    </row>
    <row r="248" spans="1:15" x14ac:dyDescent="0.25">
      <c r="A248" s="443">
        <v>32356</v>
      </c>
      <c r="B248" s="116" t="s">
        <v>18</v>
      </c>
      <c r="C248" s="108" t="s">
        <v>78</v>
      </c>
      <c r="D248" s="125"/>
      <c r="E248">
        <f t="shared" si="8"/>
        <v>248</v>
      </c>
      <c r="F248" s="428">
        <v>115</v>
      </c>
      <c r="G248" s="443">
        <v>32356</v>
      </c>
      <c r="H248" s="429" t="s">
        <v>18</v>
      </c>
      <c r="I248" s="430" t="s">
        <v>78</v>
      </c>
      <c r="K248" s="517">
        <f t="shared" si="7"/>
        <v>0</v>
      </c>
      <c r="L248" s="428">
        <v>115</v>
      </c>
      <c r="M248" s="458">
        <v>32356</v>
      </c>
      <c r="N248" s="429" t="s">
        <v>18</v>
      </c>
      <c r="O248" s="439" t="s">
        <v>78</v>
      </c>
    </row>
    <row r="249" spans="1:15" x14ac:dyDescent="0.25">
      <c r="A249" s="443">
        <v>32358</v>
      </c>
      <c r="B249" s="116" t="s">
        <v>18</v>
      </c>
      <c r="C249" s="108" t="s">
        <v>190</v>
      </c>
      <c r="D249" s="125"/>
      <c r="E249">
        <f t="shared" si="8"/>
        <v>249</v>
      </c>
      <c r="F249" s="428">
        <v>320</v>
      </c>
      <c r="G249" s="443">
        <v>32358</v>
      </c>
      <c r="H249" s="429" t="s">
        <v>18</v>
      </c>
      <c r="I249" s="430" t="s">
        <v>190</v>
      </c>
      <c r="K249" s="517">
        <f t="shared" si="7"/>
        <v>0</v>
      </c>
      <c r="L249" s="428">
        <v>320</v>
      </c>
      <c r="M249" s="458">
        <v>32358</v>
      </c>
      <c r="N249" s="429" t="s">
        <v>18</v>
      </c>
      <c r="O249" s="439" t="s">
        <v>190</v>
      </c>
    </row>
    <row r="250" spans="1:15" x14ac:dyDescent="0.25">
      <c r="A250" s="443">
        <v>32360</v>
      </c>
      <c r="B250" s="116" t="s">
        <v>18</v>
      </c>
      <c r="C250" s="108" t="s">
        <v>84</v>
      </c>
      <c r="D250" s="125"/>
      <c r="E250">
        <f t="shared" si="8"/>
        <v>250</v>
      </c>
      <c r="F250" s="428">
        <v>133</v>
      </c>
      <c r="G250" s="443">
        <v>32360</v>
      </c>
      <c r="H250" s="429" t="s">
        <v>18</v>
      </c>
      <c r="I250" s="430" t="s">
        <v>84</v>
      </c>
      <c r="K250" s="517">
        <f t="shared" si="7"/>
        <v>0</v>
      </c>
      <c r="L250" s="428">
        <v>133</v>
      </c>
      <c r="M250" s="458">
        <v>32360</v>
      </c>
      <c r="N250" s="429" t="s">
        <v>18</v>
      </c>
      <c r="O250" s="439" t="s">
        <v>84</v>
      </c>
    </row>
    <row r="251" spans="1:15" x14ac:dyDescent="0.25">
      <c r="A251" s="443">
        <v>32361</v>
      </c>
      <c r="B251" s="116" t="s">
        <v>18</v>
      </c>
      <c r="C251" s="108" t="s">
        <v>142</v>
      </c>
      <c r="D251" s="125"/>
      <c r="E251">
        <f t="shared" si="8"/>
        <v>251</v>
      </c>
      <c r="F251" s="428">
        <v>243</v>
      </c>
      <c r="G251" s="443">
        <v>32361</v>
      </c>
      <c r="H251" s="429" t="s">
        <v>18</v>
      </c>
      <c r="I251" s="430" t="s">
        <v>142</v>
      </c>
      <c r="K251" s="517">
        <f t="shared" si="7"/>
        <v>0</v>
      </c>
      <c r="L251" s="428">
        <v>243</v>
      </c>
      <c r="M251" s="458">
        <v>32361</v>
      </c>
      <c r="N251" s="429" t="s">
        <v>18</v>
      </c>
      <c r="O251" s="439" t="s">
        <v>142</v>
      </c>
    </row>
    <row r="252" spans="1:15" x14ac:dyDescent="0.25">
      <c r="A252" s="443">
        <v>32362</v>
      </c>
      <c r="B252" s="116" t="s">
        <v>18</v>
      </c>
      <c r="C252" s="108" t="s">
        <v>268</v>
      </c>
      <c r="D252" s="125"/>
      <c r="E252">
        <f t="shared" si="8"/>
        <v>252</v>
      </c>
      <c r="F252" s="428">
        <v>536</v>
      </c>
      <c r="G252" s="443">
        <v>32362</v>
      </c>
      <c r="H252" s="429" t="s">
        <v>18</v>
      </c>
      <c r="I252" s="430" t="s">
        <v>268</v>
      </c>
      <c r="K252" s="517">
        <f t="shared" si="7"/>
        <v>0</v>
      </c>
      <c r="L252" s="428">
        <v>536</v>
      </c>
      <c r="M252" s="458">
        <v>32362</v>
      </c>
      <c r="N252" s="429" t="s">
        <v>18</v>
      </c>
      <c r="O252" s="439" t="s">
        <v>268</v>
      </c>
    </row>
    <row r="253" spans="1:15" x14ac:dyDescent="0.25">
      <c r="A253" s="443">
        <v>32363</v>
      </c>
      <c r="B253" s="116" t="s">
        <v>18</v>
      </c>
      <c r="C253" s="108" t="s">
        <v>600</v>
      </c>
      <c r="D253" s="125"/>
      <c r="E253">
        <f t="shared" si="8"/>
        <v>253</v>
      </c>
      <c r="F253" s="428">
        <v>1077</v>
      </c>
      <c r="G253" s="443">
        <v>32363</v>
      </c>
      <c r="H253" s="429" t="s">
        <v>18</v>
      </c>
      <c r="I253" s="430" t="s">
        <v>600</v>
      </c>
      <c r="K253" s="517">
        <f t="shared" si="7"/>
        <v>0</v>
      </c>
      <c r="L253" s="428">
        <v>1077</v>
      </c>
      <c r="M253" s="458">
        <v>32363</v>
      </c>
      <c r="N253" s="429" t="s">
        <v>18</v>
      </c>
      <c r="O253" s="439" t="s">
        <v>600</v>
      </c>
    </row>
    <row r="254" spans="1:15" x14ac:dyDescent="0.25">
      <c r="A254" s="443">
        <v>32414</v>
      </c>
      <c r="B254" s="116" t="s">
        <v>18</v>
      </c>
      <c r="C254" s="108" t="s">
        <v>134</v>
      </c>
      <c r="D254" s="125"/>
      <c r="E254">
        <f t="shared" si="8"/>
        <v>254</v>
      </c>
      <c r="F254" s="428">
        <v>227</v>
      </c>
      <c r="G254" s="443">
        <v>32414</v>
      </c>
      <c r="H254" s="429" t="s">
        <v>18</v>
      </c>
      <c r="I254" s="430" t="s">
        <v>134</v>
      </c>
      <c r="K254" s="517">
        <f t="shared" si="7"/>
        <v>0</v>
      </c>
      <c r="L254" s="428">
        <v>227</v>
      </c>
      <c r="M254" s="458">
        <v>32414</v>
      </c>
      <c r="N254" s="429" t="s">
        <v>18</v>
      </c>
      <c r="O254" s="439" t="s">
        <v>134</v>
      </c>
    </row>
    <row r="255" spans="1:15" x14ac:dyDescent="0.25">
      <c r="A255" s="443">
        <v>32416</v>
      </c>
      <c r="B255" s="116" t="s">
        <v>18</v>
      </c>
      <c r="C255" s="108" t="s">
        <v>460</v>
      </c>
      <c r="D255" s="125"/>
      <c r="E255">
        <f t="shared" si="8"/>
        <v>255</v>
      </c>
      <c r="F255" s="428">
        <v>815</v>
      </c>
      <c r="G255" s="443">
        <v>32416</v>
      </c>
      <c r="H255" s="429" t="s">
        <v>18</v>
      </c>
      <c r="I255" s="430" t="s">
        <v>460</v>
      </c>
      <c r="K255" s="517">
        <f t="shared" si="7"/>
        <v>0</v>
      </c>
      <c r="L255" s="428">
        <v>815</v>
      </c>
      <c r="M255" s="458">
        <v>32416</v>
      </c>
      <c r="N255" s="429" t="s">
        <v>18</v>
      </c>
      <c r="O255" s="439" t="s">
        <v>460</v>
      </c>
    </row>
    <row r="256" spans="1:15" x14ac:dyDescent="0.25">
      <c r="A256" s="443">
        <v>32801</v>
      </c>
      <c r="B256" s="116" t="s">
        <v>18</v>
      </c>
      <c r="C256" s="249" t="s">
        <v>356</v>
      </c>
      <c r="D256" s="125"/>
      <c r="E256">
        <f t="shared" si="8"/>
        <v>256</v>
      </c>
      <c r="F256" s="428">
        <v>259</v>
      </c>
      <c r="G256" s="443">
        <v>32801</v>
      </c>
      <c r="H256" s="429" t="s">
        <v>18</v>
      </c>
      <c r="I256" s="430" t="s">
        <v>356</v>
      </c>
      <c r="K256" s="517">
        <f t="shared" si="7"/>
        <v>0</v>
      </c>
      <c r="L256" s="428">
        <v>259</v>
      </c>
      <c r="M256" s="458">
        <v>32801</v>
      </c>
      <c r="N256" s="429" t="s">
        <v>18</v>
      </c>
      <c r="O256" s="504" t="s">
        <v>356</v>
      </c>
    </row>
    <row r="257" spans="1:15" x14ac:dyDescent="0.25">
      <c r="A257" s="443">
        <v>32901</v>
      </c>
      <c r="B257" s="250" t="s">
        <v>1039</v>
      </c>
      <c r="C257" s="519" t="s">
        <v>1034</v>
      </c>
      <c r="D257" s="125"/>
      <c r="E257">
        <f t="shared" si="8"/>
        <v>257</v>
      </c>
      <c r="F257" s="428">
        <v>2632</v>
      </c>
      <c r="G257" s="443">
        <v>32901</v>
      </c>
      <c r="H257" s="432" t="s">
        <v>1039</v>
      </c>
      <c r="I257" s="434" t="s">
        <v>1034</v>
      </c>
      <c r="K257" s="517">
        <f t="shared" si="7"/>
        <v>0</v>
      </c>
      <c r="L257" s="428">
        <v>2632</v>
      </c>
      <c r="M257" s="458">
        <v>32901</v>
      </c>
      <c r="N257" s="432" t="s">
        <v>1039</v>
      </c>
      <c r="O257" s="524" t="s">
        <v>1034</v>
      </c>
    </row>
    <row r="258" spans="1:15" x14ac:dyDescent="0.25">
      <c r="A258" s="443">
        <v>32903</v>
      </c>
      <c r="B258" s="250" t="s">
        <v>1039</v>
      </c>
      <c r="C258" s="518" t="s">
        <v>1170</v>
      </c>
      <c r="D258" s="125"/>
      <c r="E258">
        <f t="shared" si="8"/>
        <v>258</v>
      </c>
      <c r="F258" s="428">
        <v>4258</v>
      </c>
      <c r="G258" s="443">
        <v>32903</v>
      </c>
      <c r="H258" s="429" t="s">
        <v>1039</v>
      </c>
      <c r="I258" s="436" t="s">
        <v>1170</v>
      </c>
      <c r="K258" s="517">
        <f t="shared" si="7"/>
        <v>0</v>
      </c>
      <c r="L258" s="428">
        <v>4258</v>
      </c>
      <c r="M258" s="511">
        <v>32903</v>
      </c>
      <c r="N258" s="432" t="s">
        <v>1039</v>
      </c>
      <c r="O258" s="523" t="s">
        <v>1170</v>
      </c>
    </row>
    <row r="259" spans="1:15" x14ac:dyDescent="0.25">
      <c r="A259" s="443">
        <v>32907</v>
      </c>
      <c r="B259" s="250" t="s">
        <v>1039</v>
      </c>
      <c r="C259" s="252" t="s">
        <v>1037</v>
      </c>
      <c r="D259" s="125"/>
      <c r="E259">
        <f t="shared" si="8"/>
        <v>259</v>
      </c>
      <c r="F259" s="431">
        <v>2635</v>
      </c>
      <c r="G259" s="443">
        <v>32907</v>
      </c>
      <c r="H259" s="432" t="s">
        <v>1039</v>
      </c>
      <c r="I259" s="439" t="s">
        <v>1037</v>
      </c>
      <c r="K259" s="517">
        <f t="shared" si="7"/>
        <v>0</v>
      </c>
      <c r="L259" s="431">
        <v>2635</v>
      </c>
      <c r="M259" s="458">
        <v>32907</v>
      </c>
      <c r="N259" s="432" t="s">
        <v>1039</v>
      </c>
      <c r="O259" s="512" t="s">
        <v>1037</v>
      </c>
    </row>
    <row r="260" spans="1:15" x14ac:dyDescent="0.25">
      <c r="A260" s="443">
        <v>33030</v>
      </c>
      <c r="B260" s="116" t="s">
        <v>18</v>
      </c>
      <c r="C260" s="108" t="s">
        <v>386</v>
      </c>
      <c r="D260" s="125"/>
      <c r="E260">
        <f t="shared" si="8"/>
        <v>260</v>
      </c>
      <c r="F260" s="428">
        <v>681</v>
      </c>
      <c r="G260" s="443">
        <v>33030</v>
      </c>
      <c r="H260" s="429" t="s">
        <v>18</v>
      </c>
      <c r="I260" s="430" t="s">
        <v>386</v>
      </c>
      <c r="K260" s="517">
        <f t="shared" si="7"/>
        <v>0</v>
      </c>
      <c r="L260" s="428">
        <v>681</v>
      </c>
      <c r="M260" s="458">
        <v>33030</v>
      </c>
      <c r="N260" s="429" t="s">
        <v>18</v>
      </c>
      <c r="O260" s="439" t="s">
        <v>386</v>
      </c>
    </row>
    <row r="261" spans="1:15" x14ac:dyDescent="0.25">
      <c r="A261" s="443">
        <v>33036</v>
      </c>
      <c r="B261" s="116" t="s">
        <v>18</v>
      </c>
      <c r="C261" s="108" t="s">
        <v>86</v>
      </c>
      <c r="D261" s="125"/>
      <c r="E261">
        <f t="shared" si="8"/>
        <v>261</v>
      </c>
      <c r="F261" s="428">
        <v>135</v>
      </c>
      <c r="G261" s="443">
        <v>33036</v>
      </c>
      <c r="H261" s="429" t="s">
        <v>18</v>
      </c>
      <c r="I261" s="430" t="s">
        <v>86</v>
      </c>
      <c r="K261" s="517">
        <f t="shared" si="7"/>
        <v>0</v>
      </c>
      <c r="L261" s="428">
        <v>135</v>
      </c>
      <c r="M261" s="458">
        <v>33036</v>
      </c>
      <c r="N261" s="429" t="s">
        <v>18</v>
      </c>
      <c r="O261" s="439" t="s">
        <v>86</v>
      </c>
    </row>
    <row r="262" spans="1:15" x14ac:dyDescent="0.25">
      <c r="A262" s="443">
        <v>33049</v>
      </c>
      <c r="B262" s="116" t="s">
        <v>18</v>
      </c>
      <c r="C262" s="108" t="s">
        <v>594</v>
      </c>
      <c r="D262" s="125"/>
      <c r="E262">
        <f t="shared" si="8"/>
        <v>262</v>
      </c>
      <c r="F262" s="428">
        <v>1069</v>
      </c>
      <c r="G262" s="443">
        <v>33049</v>
      </c>
      <c r="H262" s="429" t="s">
        <v>18</v>
      </c>
      <c r="I262" s="430" t="s">
        <v>594</v>
      </c>
      <c r="K262" s="517">
        <f t="shared" si="7"/>
        <v>0</v>
      </c>
      <c r="L262" s="428">
        <v>1069</v>
      </c>
      <c r="M262" s="458">
        <v>33049</v>
      </c>
      <c r="N262" s="429" t="s">
        <v>18</v>
      </c>
      <c r="O262" s="439" t="s">
        <v>594</v>
      </c>
    </row>
    <row r="263" spans="1:15" x14ac:dyDescent="0.25">
      <c r="A263" s="443">
        <v>33070</v>
      </c>
      <c r="B263" s="116" t="s">
        <v>18</v>
      </c>
      <c r="C263" s="108" t="s">
        <v>570</v>
      </c>
      <c r="D263" s="125"/>
      <c r="E263">
        <f t="shared" si="8"/>
        <v>263</v>
      </c>
      <c r="F263" s="428">
        <v>1026</v>
      </c>
      <c r="G263" s="443">
        <v>33070</v>
      </c>
      <c r="H263" s="429" t="s">
        <v>18</v>
      </c>
      <c r="I263" s="430" t="s">
        <v>570</v>
      </c>
      <c r="K263" s="517">
        <f t="shared" ref="K263:K326" si="9">+L263-F263</f>
        <v>0</v>
      </c>
      <c r="L263" s="428">
        <v>1026</v>
      </c>
      <c r="M263" s="458">
        <v>33070</v>
      </c>
      <c r="N263" s="429" t="s">
        <v>18</v>
      </c>
      <c r="O263" s="439" t="s">
        <v>570</v>
      </c>
    </row>
    <row r="264" spans="1:15" x14ac:dyDescent="0.25">
      <c r="A264" s="443">
        <v>33115</v>
      </c>
      <c r="B264" s="116" t="s">
        <v>18</v>
      </c>
      <c r="C264" s="108" t="s">
        <v>106</v>
      </c>
      <c r="D264" s="125"/>
      <c r="E264">
        <f t="shared" ref="E264:E327" si="10">+E263+1</f>
        <v>264</v>
      </c>
      <c r="F264" s="428">
        <v>175</v>
      </c>
      <c r="G264" s="443">
        <v>33115</v>
      </c>
      <c r="H264" s="429" t="s">
        <v>18</v>
      </c>
      <c r="I264" s="430" t="s">
        <v>106</v>
      </c>
      <c r="K264" s="517">
        <f t="shared" si="9"/>
        <v>0</v>
      </c>
      <c r="L264" s="428">
        <v>175</v>
      </c>
      <c r="M264" s="458">
        <v>33115</v>
      </c>
      <c r="N264" s="429" t="s">
        <v>18</v>
      </c>
      <c r="O264" s="439" t="s">
        <v>106</v>
      </c>
    </row>
    <row r="265" spans="1:15" x14ac:dyDescent="0.25">
      <c r="A265" s="443">
        <v>33183</v>
      </c>
      <c r="B265" s="116" t="s">
        <v>18</v>
      </c>
      <c r="C265" s="108" t="s">
        <v>274</v>
      </c>
      <c r="D265" s="125"/>
      <c r="E265">
        <f t="shared" si="10"/>
        <v>265</v>
      </c>
      <c r="F265" s="428">
        <v>551</v>
      </c>
      <c r="G265" s="443">
        <v>33183</v>
      </c>
      <c r="H265" s="429" t="s">
        <v>18</v>
      </c>
      <c r="I265" s="430" t="s">
        <v>274</v>
      </c>
      <c r="K265" s="517">
        <f t="shared" si="9"/>
        <v>0</v>
      </c>
      <c r="L265" s="428">
        <v>551</v>
      </c>
      <c r="M265" s="458">
        <v>33183</v>
      </c>
      <c r="N265" s="429" t="s">
        <v>18</v>
      </c>
      <c r="O265" s="439" t="s">
        <v>274</v>
      </c>
    </row>
    <row r="266" spans="1:15" x14ac:dyDescent="0.25">
      <c r="A266" s="443">
        <v>33202</v>
      </c>
      <c r="B266" s="116" t="s">
        <v>18</v>
      </c>
      <c r="C266" s="108" t="s">
        <v>532</v>
      </c>
      <c r="D266" s="125"/>
      <c r="E266">
        <f t="shared" si="10"/>
        <v>266</v>
      </c>
      <c r="F266" s="428">
        <v>953</v>
      </c>
      <c r="G266" s="443">
        <v>33202</v>
      </c>
      <c r="H266" s="429" t="s">
        <v>18</v>
      </c>
      <c r="I266" s="430" t="s">
        <v>532</v>
      </c>
      <c r="K266" s="517">
        <f t="shared" si="9"/>
        <v>0</v>
      </c>
      <c r="L266" s="428">
        <v>953</v>
      </c>
      <c r="M266" s="458">
        <v>33202</v>
      </c>
      <c r="N266" s="429" t="s">
        <v>18</v>
      </c>
      <c r="O266" s="439" t="s">
        <v>532</v>
      </c>
    </row>
    <row r="267" spans="1:15" x14ac:dyDescent="0.25">
      <c r="A267" s="443">
        <v>33205</v>
      </c>
      <c r="B267" s="116" t="s">
        <v>18</v>
      </c>
      <c r="C267" s="108" t="s">
        <v>178</v>
      </c>
      <c r="D267" s="125"/>
      <c r="E267">
        <f t="shared" si="10"/>
        <v>267</v>
      </c>
      <c r="F267" s="428">
        <v>292</v>
      </c>
      <c r="G267" s="443">
        <v>33205</v>
      </c>
      <c r="H267" s="429" t="s">
        <v>18</v>
      </c>
      <c r="I267" s="430" t="s">
        <v>178</v>
      </c>
      <c r="K267" s="517">
        <f t="shared" si="9"/>
        <v>0</v>
      </c>
      <c r="L267" s="428">
        <v>292</v>
      </c>
      <c r="M267" s="458">
        <v>33205</v>
      </c>
      <c r="N267" s="429" t="s">
        <v>18</v>
      </c>
      <c r="O267" s="439" t="s">
        <v>178</v>
      </c>
    </row>
    <row r="268" spans="1:15" x14ac:dyDescent="0.25">
      <c r="A268" s="443">
        <v>33206</v>
      </c>
      <c r="B268" s="116" t="s">
        <v>18</v>
      </c>
      <c r="C268" s="108" t="s">
        <v>102</v>
      </c>
      <c r="D268" s="125"/>
      <c r="E268">
        <f t="shared" si="10"/>
        <v>268</v>
      </c>
      <c r="F268" s="428">
        <v>172</v>
      </c>
      <c r="G268" s="443">
        <v>33206</v>
      </c>
      <c r="H268" s="429" t="s">
        <v>18</v>
      </c>
      <c r="I268" s="430" t="s">
        <v>102</v>
      </c>
      <c r="K268" s="517">
        <f t="shared" si="9"/>
        <v>0</v>
      </c>
      <c r="L268" s="428">
        <v>172</v>
      </c>
      <c r="M268" s="458">
        <v>33206</v>
      </c>
      <c r="N268" s="429" t="s">
        <v>18</v>
      </c>
      <c r="O268" s="439" t="s">
        <v>102</v>
      </c>
    </row>
    <row r="269" spans="1:15" x14ac:dyDescent="0.25">
      <c r="A269" s="443">
        <v>33207</v>
      </c>
      <c r="B269" s="116" t="s">
        <v>18</v>
      </c>
      <c r="C269" s="108" t="s">
        <v>290</v>
      </c>
      <c r="D269" s="125"/>
      <c r="E269">
        <f t="shared" si="10"/>
        <v>269</v>
      </c>
      <c r="F269" s="428">
        <v>568</v>
      </c>
      <c r="G269" s="443">
        <v>33207</v>
      </c>
      <c r="H269" s="429" t="s">
        <v>18</v>
      </c>
      <c r="I269" s="430" t="s">
        <v>290</v>
      </c>
      <c r="K269" s="517">
        <f t="shared" si="9"/>
        <v>0</v>
      </c>
      <c r="L269" s="428">
        <v>568</v>
      </c>
      <c r="M269" s="458">
        <v>33207</v>
      </c>
      <c r="N269" s="429" t="s">
        <v>18</v>
      </c>
      <c r="O269" s="439" t="s">
        <v>290</v>
      </c>
    </row>
    <row r="270" spans="1:15" x14ac:dyDescent="0.25">
      <c r="A270" s="443">
        <v>33211</v>
      </c>
      <c r="B270" s="116" t="s">
        <v>18</v>
      </c>
      <c r="C270" s="108" t="s">
        <v>358</v>
      </c>
      <c r="D270" s="125"/>
      <c r="E270">
        <f t="shared" si="10"/>
        <v>270</v>
      </c>
      <c r="F270" s="428">
        <v>652</v>
      </c>
      <c r="G270" s="443">
        <v>33211</v>
      </c>
      <c r="H270" s="429" t="s">
        <v>18</v>
      </c>
      <c r="I270" s="430" t="s">
        <v>358</v>
      </c>
      <c r="K270" s="517">
        <f t="shared" si="9"/>
        <v>0</v>
      </c>
      <c r="L270" s="428">
        <v>652</v>
      </c>
      <c r="M270" s="458">
        <v>33211</v>
      </c>
      <c r="N270" s="429" t="s">
        <v>18</v>
      </c>
      <c r="O270" s="439" t="s">
        <v>358</v>
      </c>
    </row>
    <row r="271" spans="1:15" x14ac:dyDescent="0.25">
      <c r="A271" s="443">
        <v>33212</v>
      </c>
      <c r="B271" s="116" t="s">
        <v>18</v>
      </c>
      <c r="C271" s="108" t="s">
        <v>244</v>
      </c>
      <c r="D271" s="125"/>
      <c r="E271">
        <f t="shared" si="10"/>
        <v>271</v>
      </c>
      <c r="F271" s="428">
        <v>437</v>
      </c>
      <c r="G271" s="443">
        <v>33212</v>
      </c>
      <c r="H271" s="429" t="s">
        <v>18</v>
      </c>
      <c r="I271" s="430" t="s">
        <v>244</v>
      </c>
      <c r="K271" s="517">
        <f t="shared" si="9"/>
        <v>0</v>
      </c>
      <c r="L271" s="428">
        <v>437</v>
      </c>
      <c r="M271" s="458">
        <v>33212</v>
      </c>
      <c r="N271" s="429" t="s">
        <v>18</v>
      </c>
      <c r="O271" s="439" t="s">
        <v>244</v>
      </c>
    </row>
    <row r="272" spans="1:15" x14ac:dyDescent="0.25">
      <c r="A272" s="443">
        <v>34002</v>
      </c>
      <c r="B272" s="116" t="s">
        <v>13</v>
      </c>
      <c r="C272" s="108" t="s">
        <v>624</v>
      </c>
      <c r="D272" s="125"/>
      <c r="E272">
        <f t="shared" si="10"/>
        <v>272</v>
      </c>
      <c r="F272" s="428">
        <v>1134</v>
      </c>
      <c r="G272" s="443">
        <v>34002</v>
      </c>
      <c r="H272" s="429" t="s">
        <v>13</v>
      </c>
      <c r="I272" s="430" t="s">
        <v>624</v>
      </c>
      <c r="K272" s="517">
        <f t="shared" si="9"/>
        <v>0</v>
      </c>
      <c r="L272" s="428">
        <v>1134</v>
      </c>
      <c r="M272" s="458">
        <v>34002</v>
      </c>
      <c r="N272" s="429" t="s">
        <v>13</v>
      </c>
      <c r="O272" s="439" t="s">
        <v>624</v>
      </c>
    </row>
    <row r="273" spans="1:15" x14ac:dyDescent="0.25">
      <c r="A273" s="443">
        <v>34003</v>
      </c>
      <c r="B273" s="116" t="s">
        <v>13</v>
      </c>
      <c r="C273" s="108" t="s">
        <v>354</v>
      </c>
      <c r="D273" s="125"/>
      <c r="E273">
        <f t="shared" si="10"/>
        <v>273</v>
      </c>
      <c r="F273" s="428">
        <v>651</v>
      </c>
      <c r="G273" s="443">
        <v>34003</v>
      </c>
      <c r="H273" s="429" t="s">
        <v>13</v>
      </c>
      <c r="I273" s="430" t="s">
        <v>354</v>
      </c>
      <c r="K273" s="517">
        <f t="shared" si="9"/>
        <v>0</v>
      </c>
      <c r="L273" s="428">
        <v>651</v>
      </c>
      <c r="M273" s="458">
        <v>34003</v>
      </c>
      <c r="N273" s="429" t="s">
        <v>13</v>
      </c>
      <c r="O273" s="439" t="s">
        <v>354</v>
      </c>
    </row>
    <row r="274" spans="1:15" x14ac:dyDescent="0.25">
      <c r="A274" s="443">
        <v>34033</v>
      </c>
      <c r="B274" s="116" t="s">
        <v>13</v>
      </c>
      <c r="C274" s="108" t="s">
        <v>564</v>
      </c>
      <c r="D274" s="125"/>
      <c r="E274">
        <f t="shared" si="10"/>
        <v>274</v>
      </c>
      <c r="F274" s="428">
        <v>1003</v>
      </c>
      <c r="G274" s="443">
        <v>34033</v>
      </c>
      <c r="H274" s="429" t="s">
        <v>13</v>
      </c>
      <c r="I274" s="430" t="s">
        <v>564</v>
      </c>
      <c r="K274" s="517">
        <f t="shared" si="9"/>
        <v>0</v>
      </c>
      <c r="L274" s="428">
        <v>1003</v>
      </c>
      <c r="M274" s="458">
        <v>34033</v>
      </c>
      <c r="N274" s="429" t="s">
        <v>13</v>
      </c>
      <c r="O274" s="439" t="s">
        <v>564</v>
      </c>
    </row>
    <row r="275" spans="1:15" x14ac:dyDescent="0.25">
      <c r="A275" s="443">
        <v>34111</v>
      </c>
      <c r="B275" s="116" t="s">
        <v>13</v>
      </c>
      <c r="C275" s="108" t="s">
        <v>378</v>
      </c>
      <c r="D275" s="125"/>
      <c r="E275">
        <f t="shared" si="10"/>
        <v>275</v>
      </c>
      <c r="F275" s="428">
        <v>673</v>
      </c>
      <c r="G275" s="443">
        <v>34111</v>
      </c>
      <c r="H275" s="429" t="s">
        <v>13</v>
      </c>
      <c r="I275" s="430" t="s">
        <v>378</v>
      </c>
      <c r="K275" s="517">
        <f t="shared" si="9"/>
        <v>0</v>
      </c>
      <c r="L275" s="428">
        <v>673</v>
      </c>
      <c r="M275" s="458">
        <v>34111</v>
      </c>
      <c r="N275" s="429" t="s">
        <v>13</v>
      </c>
      <c r="O275" s="439" t="s">
        <v>378</v>
      </c>
    </row>
    <row r="276" spans="1:15" x14ac:dyDescent="0.25">
      <c r="A276" s="443">
        <v>34307</v>
      </c>
      <c r="B276" s="116" t="s">
        <v>13</v>
      </c>
      <c r="C276" s="108" t="s">
        <v>444</v>
      </c>
      <c r="D276" s="125"/>
      <c r="E276">
        <f t="shared" si="10"/>
        <v>276</v>
      </c>
      <c r="F276" s="428">
        <v>793</v>
      </c>
      <c r="G276" s="443">
        <v>34307</v>
      </c>
      <c r="H276" s="429" t="s">
        <v>13</v>
      </c>
      <c r="I276" s="430" t="s">
        <v>444</v>
      </c>
      <c r="K276" s="517">
        <f t="shared" si="9"/>
        <v>0</v>
      </c>
      <c r="L276" s="428">
        <v>793</v>
      </c>
      <c r="M276" s="458">
        <v>34307</v>
      </c>
      <c r="N276" s="429" t="s">
        <v>13</v>
      </c>
      <c r="O276" s="439" t="s">
        <v>444</v>
      </c>
    </row>
    <row r="277" spans="1:15" x14ac:dyDescent="0.25">
      <c r="A277" s="443">
        <v>34324</v>
      </c>
      <c r="B277" s="116" t="s">
        <v>13</v>
      </c>
      <c r="C277" s="108" t="s">
        <v>212</v>
      </c>
      <c r="D277" s="125"/>
      <c r="E277">
        <f t="shared" si="10"/>
        <v>277</v>
      </c>
      <c r="F277" s="428">
        <v>368</v>
      </c>
      <c r="G277" s="443">
        <v>34324</v>
      </c>
      <c r="H277" s="429" t="s">
        <v>13</v>
      </c>
      <c r="I277" s="430" t="s">
        <v>212</v>
      </c>
      <c r="K277" s="517">
        <f t="shared" si="9"/>
        <v>0</v>
      </c>
      <c r="L277" s="428">
        <v>368</v>
      </c>
      <c r="M277" s="458">
        <v>34324</v>
      </c>
      <c r="N277" s="429" t="s">
        <v>13</v>
      </c>
      <c r="O277" s="439" t="s">
        <v>212</v>
      </c>
    </row>
    <row r="278" spans="1:15" x14ac:dyDescent="0.25">
      <c r="A278" s="443">
        <v>34401</v>
      </c>
      <c r="B278" s="116" t="s">
        <v>13</v>
      </c>
      <c r="C278" s="108" t="s">
        <v>464</v>
      </c>
      <c r="D278" s="125"/>
      <c r="E278">
        <f t="shared" si="10"/>
        <v>278</v>
      </c>
      <c r="F278" s="428">
        <v>817</v>
      </c>
      <c r="G278" s="443">
        <v>34401</v>
      </c>
      <c r="H278" s="429" t="s">
        <v>13</v>
      </c>
      <c r="I278" s="430" t="s">
        <v>464</v>
      </c>
      <c r="K278" s="517">
        <f t="shared" si="9"/>
        <v>0</v>
      </c>
      <c r="L278" s="428">
        <v>817</v>
      </c>
      <c r="M278" s="458">
        <v>34401</v>
      </c>
      <c r="N278" s="429" t="s">
        <v>13</v>
      </c>
      <c r="O278" s="439" t="s">
        <v>464</v>
      </c>
    </row>
    <row r="279" spans="1:15" x14ac:dyDescent="0.25">
      <c r="A279" s="443">
        <v>34402</v>
      </c>
      <c r="B279" s="116" t="s">
        <v>13</v>
      </c>
      <c r="C279" s="108" t="s">
        <v>546</v>
      </c>
      <c r="D279" s="125"/>
      <c r="E279">
        <f t="shared" si="10"/>
        <v>279</v>
      </c>
      <c r="F279" s="428">
        <v>972</v>
      </c>
      <c r="G279" s="443">
        <v>34402</v>
      </c>
      <c r="H279" s="429" t="s">
        <v>13</v>
      </c>
      <c r="I279" s="430" t="s">
        <v>546</v>
      </c>
      <c r="K279" s="517">
        <f t="shared" si="9"/>
        <v>0</v>
      </c>
      <c r="L279" s="428">
        <v>972</v>
      </c>
      <c r="M279" s="458">
        <v>34402</v>
      </c>
      <c r="N279" s="429" t="s">
        <v>13</v>
      </c>
      <c r="O279" s="439" t="s">
        <v>546</v>
      </c>
    </row>
    <row r="280" spans="1:15" x14ac:dyDescent="0.25">
      <c r="A280" s="443">
        <v>34801</v>
      </c>
      <c r="B280" s="116">
        <v>113</v>
      </c>
      <c r="C280" s="249" t="s">
        <v>156</v>
      </c>
      <c r="D280" s="125"/>
      <c r="E280">
        <f t="shared" si="10"/>
        <v>280</v>
      </c>
      <c r="F280" s="428">
        <v>262</v>
      </c>
      <c r="G280" s="443">
        <v>34801</v>
      </c>
      <c r="H280" s="429">
        <v>113</v>
      </c>
      <c r="I280" s="430" t="s">
        <v>156</v>
      </c>
      <c r="K280" s="517">
        <f t="shared" si="9"/>
        <v>0</v>
      </c>
      <c r="L280" s="428">
        <v>262</v>
      </c>
      <c r="M280" s="458">
        <v>34801</v>
      </c>
      <c r="N280" s="429">
        <v>113</v>
      </c>
      <c r="O280" s="504" t="s">
        <v>156</v>
      </c>
    </row>
    <row r="281" spans="1:15" x14ac:dyDescent="0.25">
      <c r="A281" s="443">
        <v>35200</v>
      </c>
      <c r="B281" s="116" t="s">
        <v>34</v>
      </c>
      <c r="C281" s="108" t="s">
        <v>576</v>
      </c>
      <c r="D281" s="125"/>
      <c r="E281">
        <f t="shared" si="10"/>
        <v>281</v>
      </c>
      <c r="F281" s="428">
        <v>1043</v>
      </c>
      <c r="G281" s="443">
        <v>35200</v>
      </c>
      <c r="H281" s="429" t="s">
        <v>34</v>
      </c>
      <c r="I281" s="430" t="s">
        <v>576</v>
      </c>
      <c r="K281" s="517">
        <f t="shared" si="9"/>
        <v>0</v>
      </c>
      <c r="L281" s="428">
        <v>1043</v>
      </c>
      <c r="M281" s="458">
        <v>35200</v>
      </c>
      <c r="N281" s="429" t="s">
        <v>34</v>
      </c>
      <c r="O281" s="439" t="s">
        <v>576</v>
      </c>
    </row>
    <row r="282" spans="1:15" x14ac:dyDescent="0.25">
      <c r="A282" s="443">
        <v>36101</v>
      </c>
      <c r="B282" s="116" t="s">
        <v>26</v>
      </c>
      <c r="C282" s="108" t="s">
        <v>138</v>
      </c>
      <c r="D282" s="125"/>
      <c r="E282">
        <f t="shared" si="10"/>
        <v>282</v>
      </c>
      <c r="F282" s="428">
        <v>232</v>
      </c>
      <c r="G282" s="443">
        <v>36101</v>
      </c>
      <c r="H282" s="429" t="s">
        <v>26</v>
      </c>
      <c r="I282" s="430" t="s">
        <v>138</v>
      </c>
      <c r="K282" s="517">
        <f t="shared" si="9"/>
        <v>0</v>
      </c>
      <c r="L282" s="428">
        <v>232</v>
      </c>
      <c r="M282" s="458">
        <v>36101</v>
      </c>
      <c r="N282" s="429" t="s">
        <v>26</v>
      </c>
      <c r="O282" s="439" t="s">
        <v>138</v>
      </c>
    </row>
    <row r="283" spans="1:15" x14ac:dyDescent="0.25">
      <c r="A283" s="443">
        <v>36140</v>
      </c>
      <c r="B283" s="116" t="s">
        <v>26</v>
      </c>
      <c r="C283" s="108" t="s">
        <v>582</v>
      </c>
      <c r="D283" s="125"/>
      <c r="E283">
        <f t="shared" si="10"/>
        <v>283</v>
      </c>
      <c r="F283" s="428">
        <v>1056</v>
      </c>
      <c r="G283" s="443">
        <v>36140</v>
      </c>
      <c r="H283" s="429" t="s">
        <v>26</v>
      </c>
      <c r="I283" s="430" t="s">
        <v>582</v>
      </c>
      <c r="K283" s="517">
        <f t="shared" si="9"/>
        <v>0</v>
      </c>
      <c r="L283" s="428">
        <v>1056</v>
      </c>
      <c r="M283" s="458">
        <v>36140</v>
      </c>
      <c r="N283" s="429" t="s">
        <v>26</v>
      </c>
      <c r="O283" s="439" t="s">
        <v>582</v>
      </c>
    </row>
    <row r="284" spans="1:15" x14ac:dyDescent="0.25">
      <c r="A284" s="443">
        <v>36250</v>
      </c>
      <c r="B284" s="116" t="s">
        <v>26</v>
      </c>
      <c r="C284" s="108" t="s">
        <v>98</v>
      </c>
      <c r="D284" s="125"/>
      <c r="E284">
        <f t="shared" si="10"/>
        <v>284</v>
      </c>
      <c r="F284" s="428">
        <v>167</v>
      </c>
      <c r="G284" s="443">
        <v>36250</v>
      </c>
      <c r="H284" s="429" t="s">
        <v>26</v>
      </c>
      <c r="I284" s="430" t="s">
        <v>98</v>
      </c>
      <c r="K284" s="517">
        <f t="shared" si="9"/>
        <v>0</v>
      </c>
      <c r="L284" s="428">
        <v>167</v>
      </c>
      <c r="M284" s="458">
        <v>36250</v>
      </c>
      <c r="N284" s="429" t="s">
        <v>26</v>
      </c>
      <c r="O284" s="439" t="s">
        <v>98</v>
      </c>
    </row>
    <row r="285" spans="1:15" x14ac:dyDescent="0.25">
      <c r="A285" s="443">
        <v>36300</v>
      </c>
      <c r="B285" s="116" t="s">
        <v>26</v>
      </c>
      <c r="C285" s="108" t="s">
        <v>556</v>
      </c>
      <c r="D285" s="125"/>
      <c r="E285">
        <f t="shared" si="10"/>
        <v>285</v>
      </c>
      <c r="F285" s="428">
        <v>993</v>
      </c>
      <c r="G285" s="443">
        <v>36300</v>
      </c>
      <c r="H285" s="429" t="s">
        <v>26</v>
      </c>
      <c r="I285" s="430" t="s">
        <v>556</v>
      </c>
      <c r="K285" s="517">
        <f t="shared" si="9"/>
        <v>0</v>
      </c>
      <c r="L285" s="428">
        <v>993</v>
      </c>
      <c r="M285" s="458">
        <v>36300</v>
      </c>
      <c r="N285" s="429" t="s">
        <v>26</v>
      </c>
      <c r="O285" s="439" t="s">
        <v>556</v>
      </c>
    </row>
    <row r="286" spans="1:15" x14ac:dyDescent="0.25">
      <c r="A286" s="443">
        <v>36400</v>
      </c>
      <c r="B286" s="116" t="s">
        <v>26</v>
      </c>
      <c r="C286" s="108" t="s">
        <v>104</v>
      </c>
      <c r="D286" s="125"/>
      <c r="E286">
        <f t="shared" si="10"/>
        <v>286</v>
      </c>
      <c r="F286" s="428">
        <v>173</v>
      </c>
      <c r="G286" s="443">
        <v>36400</v>
      </c>
      <c r="H286" s="429" t="s">
        <v>26</v>
      </c>
      <c r="I286" s="430" t="s">
        <v>104</v>
      </c>
      <c r="K286" s="517">
        <f t="shared" si="9"/>
        <v>0</v>
      </c>
      <c r="L286" s="428">
        <v>173</v>
      </c>
      <c r="M286" s="458">
        <v>36400</v>
      </c>
      <c r="N286" s="429" t="s">
        <v>26</v>
      </c>
      <c r="O286" s="439" t="s">
        <v>104</v>
      </c>
    </row>
    <row r="287" spans="1:15" x14ac:dyDescent="0.25">
      <c r="A287" s="443">
        <v>36401</v>
      </c>
      <c r="B287" s="116" t="s">
        <v>26</v>
      </c>
      <c r="C287" s="108" t="s">
        <v>580</v>
      </c>
      <c r="D287" s="125"/>
      <c r="E287">
        <f t="shared" si="10"/>
        <v>287</v>
      </c>
      <c r="F287" s="428">
        <v>1046</v>
      </c>
      <c r="G287" s="443">
        <v>36401</v>
      </c>
      <c r="H287" s="429" t="s">
        <v>26</v>
      </c>
      <c r="I287" s="430" t="s">
        <v>580</v>
      </c>
      <c r="K287" s="517">
        <f t="shared" si="9"/>
        <v>0</v>
      </c>
      <c r="L287" s="428">
        <v>1046</v>
      </c>
      <c r="M287" s="458">
        <v>36401</v>
      </c>
      <c r="N287" s="429" t="s">
        <v>26</v>
      </c>
      <c r="O287" s="439" t="s">
        <v>580</v>
      </c>
    </row>
    <row r="288" spans="1:15" x14ac:dyDescent="0.25">
      <c r="A288" s="443">
        <v>36402</v>
      </c>
      <c r="B288" s="116" t="s">
        <v>26</v>
      </c>
      <c r="C288" s="108" t="s">
        <v>424</v>
      </c>
      <c r="D288" s="125"/>
      <c r="E288">
        <f t="shared" si="10"/>
        <v>288</v>
      </c>
      <c r="F288" s="428">
        <v>761</v>
      </c>
      <c r="G288" s="443">
        <v>36402</v>
      </c>
      <c r="H288" s="429" t="s">
        <v>26</v>
      </c>
      <c r="I288" s="430" t="s">
        <v>424</v>
      </c>
      <c r="K288" s="517">
        <f t="shared" si="9"/>
        <v>0</v>
      </c>
      <c r="L288" s="428">
        <v>761</v>
      </c>
      <c r="M288" s="458">
        <v>36402</v>
      </c>
      <c r="N288" s="429" t="s">
        <v>26</v>
      </c>
      <c r="O288" s="439" t="s">
        <v>424</v>
      </c>
    </row>
    <row r="289" spans="1:15" x14ac:dyDescent="0.25">
      <c r="A289" s="443">
        <v>37501</v>
      </c>
      <c r="B289" s="116" t="s">
        <v>21</v>
      </c>
      <c r="C289" s="108" t="s">
        <v>37</v>
      </c>
      <c r="D289" s="125"/>
      <c r="E289">
        <f t="shared" si="10"/>
        <v>289</v>
      </c>
      <c r="F289" s="428">
        <v>54</v>
      </c>
      <c r="G289" s="443">
        <v>37501</v>
      </c>
      <c r="H289" s="429" t="s">
        <v>21</v>
      </c>
      <c r="I289" s="430" t="s">
        <v>37</v>
      </c>
      <c r="K289" s="517">
        <f t="shared" si="9"/>
        <v>0</v>
      </c>
      <c r="L289" s="428">
        <v>54</v>
      </c>
      <c r="M289" s="458">
        <v>37501</v>
      </c>
      <c r="N289" s="429" t="s">
        <v>21</v>
      </c>
      <c r="O289" s="439" t="s">
        <v>37</v>
      </c>
    </row>
    <row r="290" spans="1:15" x14ac:dyDescent="0.25">
      <c r="A290" s="443">
        <v>37502</v>
      </c>
      <c r="B290" s="116" t="s">
        <v>21</v>
      </c>
      <c r="C290" s="108" t="s">
        <v>182</v>
      </c>
      <c r="D290" s="125"/>
      <c r="E290">
        <f t="shared" si="10"/>
        <v>290</v>
      </c>
      <c r="F290" s="428">
        <v>297</v>
      </c>
      <c r="G290" s="443">
        <v>37502</v>
      </c>
      <c r="H290" s="429" t="s">
        <v>21</v>
      </c>
      <c r="I290" s="430" t="s">
        <v>182</v>
      </c>
      <c r="K290" s="517">
        <f t="shared" si="9"/>
        <v>0</v>
      </c>
      <c r="L290" s="428">
        <v>297</v>
      </c>
      <c r="M290" s="458">
        <v>37502</v>
      </c>
      <c r="N290" s="429" t="s">
        <v>21</v>
      </c>
      <c r="O290" s="439" t="s">
        <v>182</v>
      </c>
    </row>
    <row r="291" spans="1:15" x14ac:dyDescent="0.25">
      <c r="A291" s="443">
        <v>37503</v>
      </c>
      <c r="B291" s="116" t="s">
        <v>21</v>
      </c>
      <c r="C291" s="108" t="s">
        <v>46</v>
      </c>
      <c r="D291" s="125"/>
      <c r="E291">
        <f t="shared" si="10"/>
        <v>291</v>
      </c>
      <c r="F291" s="428">
        <v>72</v>
      </c>
      <c r="G291" s="443">
        <v>37503</v>
      </c>
      <c r="H291" s="429" t="s">
        <v>21</v>
      </c>
      <c r="I291" s="430" t="s">
        <v>46</v>
      </c>
      <c r="K291" s="517">
        <f t="shared" si="9"/>
        <v>0</v>
      </c>
      <c r="L291" s="428">
        <v>72</v>
      </c>
      <c r="M291" s="458">
        <v>37503</v>
      </c>
      <c r="N291" s="429" t="s">
        <v>21</v>
      </c>
      <c r="O291" s="439" t="s">
        <v>46</v>
      </c>
    </row>
    <row r="292" spans="1:15" x14ac:dyDescent="0.25">
      <c r="A292" s="443">
        <v>37504</v>
      </c>
      <c r="B292" s="116" t="s">
        <v>21</v>
      </c>
      <c r="C292" s="108" t="s">
        <v>280</v>
      </c>
      <c r="D292" s="125"/>
      <c r="E292">
        <f t="shared" si="10"/>
        <v>292</v>
      </c>
      <c r="F292" s="428">
        <v>557</v>
      </c>
      <c r="G292" s="443">
        <v>37504</v>
      </c>
      <c r="H292" s="429" t="s">
        <v>21</v>
      </c>
      <c r="I292" s="430" t="s">
        <v>280</v>
      </c>
      <c r="K292" s="517">
        <f t="shared" si="9"/>
        <v>0</v>
      </c>
      <c r="L292" s="428">
        <v>557</v>
      </c>
      <c r="M292" s="458">
        <v>37504</v>
      </c>
      <c r="N292" s="429" t="s">
        <v>21</v>
      </c>
      <c r="O292" s="439" t="s">
        <v>280</v>
      </c>
    </row>
    <row r="293" spans="1:15" x14ac:dyDescent="0.25">
      <c r="A293" s="443">
        <v>37505</v>
      </c>
      <c r="B293" s="116" t="s">
        <v>21</v>
      </c>
      <c r="C293" s="108" t="s">
        <v>302</v>
      </c>
      <c r="D293" s="125"/>
      <c r="E293">
        <f t="shared" si="10"/>
        <v>293</v>
      </c>
      <c r="F293" s="428">
        <v>586</v>
      </c>
      <c r="G293" s="443">
        <v>37505</v>
      </c>
      <c r="H293" s="429" t="s">
        <v>21</v>
      </c>
      <c r="I293" s="430" t="s">
        <v>302</v>
      </c>
      <c r="K293" s="517">
        <f t="shared" si="9"/>
        <v>0</v>
      </c>
      <c r="L293" s="428">
        <v>586</v>
      </c>
      <c r="M293" s="458">
        <v>37505</v>
      </c>
      <c r="N293" s="429" t="s">
        <v>21</v>
      </c>
      <c r="O293" s="439" t="s">
        <v>302</v>
      </c>
    </row>
    <row r="294" spans="1:15" x14ac:dyDescent="0.25">
      <c r="A294" s="443">
        <v>37506</v>
      </c>
      <c r="B294" s="116" t="s">
        <v>21</v>
      </c>
      <c r="C294" s="108" t="s">
        <v>340</v>
      </c>
      <c r="D294" s="125"/>
      <c r="E294">
        <f t="shared" si="10"/>
        <v>294</v>
      </c>
      <c r="F294" s="428">
        <v>643</v>
      </c>
      <c r="G294" s="443">
        <v>37506</v>
      </c>
      <c r="H294" s="429" t="s">
        <v>21</v>
      </c>
      <c r="I294" s="430" t="s">
        <v>340</v>
      </c>
      <c r="K294" s="517">
        <f t="shared" si="9"/>
        <v>0</v>
      </c>
      <c r="L294" s="428">
        <v>643</v>
      </c>
      <c r="M294" s="458">
        <v>37506</v>
      </c>
      <c r="N294" s="429" t="s">
        <v>21</v>
      </c>
      <c r="O294" s="439" t="s">
        <v>340</v>
      </c>
    </row>
    <row r="295" spans="1:15" x14ac:dyDescent="0.25">
      <c r="A295" s="443">
        <v>37507</v>
      </c>
      <c r="B295" s="116" t="s">
        <v>21</v>
      </c>
      <c r="C295" s="108" t="s">
        <v>320</v>
      </c>
      <c r="D295" s="125"/>
      <c r="E295">
        <f t="shared" si="10"/>
        <v>295</v>
      </c>
      <c r="F295" s="428">
        <v>615</v>
      </c>
      <c r="G295" s="443">
        <v>37507</v>
      </c>
      <c r="H295" s="429" t="s">
        <v>21</v>
      </c>
      <c r="I295" s="430" t="s">
        <v>320</v>
      </c>
      <c r="K295" s="517">
        <f t="shared" si="9"/>
        <v>0</v>
      </c>
      <c r="L295" s="428">
        <v>615</v>
      </c>
      <c r="M295" s="458">
        <v>37507</v>
      </c>
      <c r="N295" s="429" t="s">
        <v>21</v>
      </c>
      <c r="O295" s="439" t="s">
        <v>320</v>
      </c>
    </row>
    <row r="296" spans="1:15" x14ac:dyDescent="0.25">
      <c r="A296" s="444">
        <v>37902</v>
      </c>
      <c r="B296" s="432" t="s">
        <v>1039</v>
      </c>
      <c r="C296" s="430" t="s">
        <v>1182</v>
      </c>
      <c r="D296" s="125"/>
      <c r="E296">
        <f t="shared" si="10"/>
        <v>296</v>
      </c>
      <c r="F296" s="445">
        <v>4276</v>
      </c>
      <c r="G296" s="444">
        <v>37902</v>
      </c>
      <c r="H296" s="432" t="s">
        <v>1039</v>
      </c>
      <c r="I296" s="430" t="s">
        <v>1182</v>
      </c>
      <c r="K296" s="517">
        <f t="shared" si="9"/>
        <v>0</v>
      </c>
      <c r="L296" s="508">
        <v>4276</v>
      </c>
      <c r="M296" s="458">
        <v>37902</v>
      </c>
      <c r="N296" s="432" t="s">
        <v>1039</v>
      </c>
      <c r="O296" s="454" t="s">
        <v>1182</v>
      </c>
    </row>
    <row r="297" spans="1:15" x14ac:dyDescent="0.25">
      <c r="A297" s="443">
        <v>38126</v>
      </c>
      <c r="B297" s="116" t="s">
        <v>18</v>
      </c>
      <c r="C297" s="108" t="s">
        <v>256</v>
      </c>
      <c r="D297" s="125"/>
      <c r="E297">
        <f t="shared" si="10"/>
        <v>297</v>
      </c>
      <c r="F297" s="428">
        <v>512</v>
      </c>
      <c r="G297" s="443">
        <v>38126</v>
      </c>
      <c r="H297" s="429" t="s">
        <v>18</v>
      </c>
      <c r="I297" s="430" t="s">
        <v>256</v>
      </c>
      <c r="K297" s="517">
        <f t="shared" si="9"/>
        <v>0</v>
      </c>
      <c r="L297" s="428">
        <v>512</v>
      </c>
      <c r="M297" s="458">
        <v>38126</v>
      </c>
      <c r="N297" s="429" t="s">
        <v>18</v>
      </c>
      <c r="O297" s="439" t="s">
        <v>256</v>
      </c>
    </row>
    <row r="298" spans="1:15" x14ac:dyDescent="0.25">
      <c r="A298" s="443">
        <v>38264</v>
      </c>
      <c r="B298" s="116" t="s">
        <v>18</v>
      </c>
      <c r="C298" s="108" t="s">
        <v>266</v>
      </c>
      <c r="D298" s="125"/>
      <c r="E298">
        <f t="shared" si="10"/>
        <v>298</v>
      </c>
      <c r="F298" s="428">
        <v>523</v>
      </c>
      <c r="G298" s="443">
        <v>38264</v>
      </c>
      <c r="H298" s="429" t="s">
        <v>18</v>
      </c>
      <c r="I298" s="430" t="s">
        <v>266</v>
      </c>
      <c r="K298" s="517">
        <f t="shared" si="9"/>
        <v>0</v>
      </c>
      <c r="L298" s="428">
        <v>523</v>
      </c>
      <c r="M298" s="458">
        <v>38264</v>
      </c>
      <c r="N298" s="429" t="s">
        <v>18</v>
      </c>
      <c r="O298" s="439" t="s">
        <v>266</v>
      </c>
    </row>
    <row r="299" spans="1:15" x14ac:dyDescent="0.25">
      <c r="A299" s="443">
        <v>38265</v>
      </c>
      <c r="B299" s="116" t="s">
        <v>18</v>
      </c>
      <c r="C299" s="108" t="s">
        <v>544</v>
      </c>
      <c r="D299" s="125"/>
      <c r="E299">
        <f t="shared" si="10"/>
        <v>299</v>
      </c>
      <c r="F299" s="428">
        <v>971</v>
      </c>
      <c r="G299" s="443">
        <v>38265</v>
      </c>
      <c r="H299" s="429" t="s">
        <v>18</v>
      </c>
      <c r="I299" s="430" t="s">
        <v>544</v>
      </c>
      <c r="K299" s="517">
        <f t="shared" si="9"/>
        <v>0</v>
      </c>
      <c r="L299" s="428">
        <v>971</v>
      </c>
      <c r="M299" s="458">
        <v>38265</v>
      </c>
      <c r="N299" s="429" t="s">
        <v>18</v>
      </c>
      <c r="O299" s="439" t="s">
        <v>544</v>
      </c>
    </row>
    <row r="300" spans="1:15" x14ac:dyDescent="0.25">
      <c r="A300" s="443">
        <v>38267</v>
      </c>
      <c r="B300" s="116" t="s">
        <v>18</v>
      </c>
      <c r="C300" s="108" t="s">
        <v>430</v>
      </c>
      <c r="D300" s="125"/>
      <c r="E300">
        <f t="shared" si="10"/>
        <v>300</v>
      </c>
      <c r="F300" s="428">
        <v>781</v>
      </c>
      <c r="G300" s="443">
        <v>38267</v>
      </c>
      <c r="H300" s="429" t="s">
        <v>18</v>
      </c>
      <c r="I300" s="430" t="s">
        <v>430</v>
      </c>
      <c r="K300" s="517">
        <f t="shared" si="9"/>
        <v>0</v>
      </c>
      <c r="L300" s="428">
        <v>781</v>
      </c>
      <c r="M300" s="458">
        <v>38267</v>
      </c>
      <c r="N300" s="429" t="s">
        <v>18</v>
      </c>
      <c r="O300" s="439" t="s">
        <v>430</v>
      </c>
    </row>
    <row r="301" spans="1:15" x14ac:dyDescent="0.25">
      <c r="A301" s="443">
        <v>38300</v>
      </c>
      <c r="B301" s="116" t="s">
        <v>18</v>
      </c>
      <c r="C301" s="108" t="s">
        <v>96</v>
      </c>
      <c r="D301" s="125"/>
      <c r="E301">
        <f t="shared" si="10"/>
        <v>301</v>
      </c>
      <c r="F301" s="428">
        <v>165</v>
      </c>
      <c r="G301" s="443">
        <v>38300</v>
      </c>
      <c r="H301" s="429" t="s">
        <v>18</v>
      </c>
      <c r="I301" s="430" t="s">
        <v>96</v>
      </c>
      <c r="K301" s="517">
        <f t="shared" si="9"/>
        <v>0</v>
      </c>
      <c r="L301" s="428">
        <v>165</v>
      </c>
      <c r="M301" s="458">
        <v>38300</v>
      </c>
      <c r="N301" s="429" t="s">
        <v>18</v>
      </c>
      <c r="O301" s="439" t="s">
        <v>96</v>
      </c>
    </row>
    <row r="302" spans="1:15" x14ac:dyDescent="0.25">
      <c r="A302" s="443">
        <v>38301</v>
      </c>
      <c r="B302" s="116" t="s">
        <v>18</v>
      </c>
      <c r="C302" s="108" t="s">
        <v>404</v>
      </c>
      <c r="D302" s="125"/>
      <c r="E302">
        <f t="shared" si="10"/>
        <v>302</v>
      </c>
      <c r="F302" s="428">
        <v>703</v>
      </c>
      <c r="G302" s="443">
        <v>38301</v>
      </c>
      <c r="H302" s="429" t="s">
        <v>18</v>
      </c>
      <c r="I302" s="430" t="s">
        <v>404</v>
      </c>
      <c r="K302" s="517">
        <f t="shared" si="9"/>
        <v>0</v>
      </c>
      <c r="L302" s="428">
        <v>703</v>
      </c>
      <c r="M302" s="458">
        <v>38301</v>
      </c>
      <c r="N302" s="429" t="s">
        <v>18</v>
      </c>
      <c r="O302" s="439" t="s">
        <v>404</v>
      </c>
    </row>
    <row r="303" spans="1:15" x14ac:dyDescent="0.25">
      <c r="A303" s="443">
        <v>38302</v>
      </c>
      <c r="B303" s="116" t="s">
        <v>18</v>
      </c>
      <c r="C303" s="108" t="s">
        <v>192</v>
      </c>
      <c r="D303" s="125"/>
      <c r="E303">
        <f t="shared" si="10"/>
        <v>303</v>
      </c>
      <c r="F303" s="428">
        <v>328</v>
      </c>
      <c r="G303" s="443">
        <v>38302</v>
      </c>
      <c r="H303" s="429" t="s">
        <v>18</v>
      </c>
      <c r="I303" s="430" t="s">
        <v>192</v>
      </c>
      <c r="K303" s="517">
        <f t="shared" si="9"/>
        <v>0</v>
      </c>
      <c r="L303" s="428">
        <v>328</v>
      </c>
      <c r="M303" s="458">
        <v>38302</v>
      </c>
      <c r="N303" s="429" t="s">
        <v>18</v>
      </c>
      <c r="O303" s="439" t="s">
        <v>192</v>
      </c>
    </row>
    <row r="304" spans="1:15" x14ac:dyDescent="0.25">
      <c r="A304" s="443">
        <v>38304</v>
      </c>
      <c r="B304" s="116" t="s">
        <v>18</v>
      </c>
      <c r="C304" s="108" t="s">
        <v>526</v>
      </c>
      <c r="D304" s="125"/>
      <c r="E304">
        <f t="shared" si="10"/>
        <v>304</v>
      </c>
      <c r="F304" s="428">
        <v>945</v>
      </c>
      <c r="G304" s="443">
        <v>38304</v>
      </c>
      <c r="H304" s="429" t="s">
        <v>18</v>
      </c>
      <c r="I304" s="430" t="s">
        <v>526</v>
      </c>
      <c r="K304" s="517">
        <f t="shared" si="9"/>
        <v>0</v>
      </c>
      <c r="L304" s="428">
        <v>945</v>
      </c>
      <c r="M304" s="458">
        <v>38304</v>
      </c>
      <c r="N304" s="429" t="s">
        <v>18</v>
      </c>
      <c r="O304" s="439" t="s">
        <v>526</v>
      </c>
    </row>
    <row r="305" spans="1:15" x14ac:dyDescent="0.25">
      <c r="A305" s="443">
        <v>38306</v>
      </c>
      <c r="B305" s="116" t="s">
        <v>18</v>
      </c>
      <c r="C305" s="108" t="s">
        <v>100</v>
      </c>
      <c r="D305" s="125"/>
      <c r="E305">
        <f t="shared" si="10"/>
        <v>305</v>
      </c>
      <c r="F305" s="428">
        <v>168</v>
      </c>
      <c r="G305" s="443">
        <v>38306</v>
      </c>
      <c r="H305" s="429" t="s">
        <v>18</v>
      </c>
      <c r="I305" s="430" t="s">
        <v>100</v>
      </c>
      <c r="K305" s="517">
        <f t="shared" si="9"/>
        <v>0</v>
      </c>
      <c r="L305" s="428">
        <v>168</v>
      </c>
      <c r="M305" s="458">
        <v>38306</v>
      </c>
      <c r="N305" s="429" t="s">
        <v>18</v>
      </c>
      <c r="O305" s="439" t="s">
        <v>100</v>
      </c>
    </row>
    <row r="306" spans="1:15" x14ac:dyDescent="0.25">
      <c r="A306" s="443">
        <v>38308</v>
      </c>
      <c r="B306" s="116" t="s">
        <v>18</v>
      </c>
      <c r="C306" s="108" t="s">
        <v>164</v>
      </c>
      <c r="D306" s="125"/>
      <c r="E306">
        <f t="shared" si="10"/>
        <v>306</v>
      </c>
      <c r="F306" s="428">
        <v>274</v>
      </c>
      <c r="G306" s="443">
        <v>38308</v>
      </c>
      <c r="H306" s="429" t="s">
        <v>18</v>
      </c>
      <c r="I306" s="430" t="s">
        <v>164</v>
      </c>
      <c r="K306" s="517">
        <f t="shared" si="9"/>
        <v>0</v>
      </c>
      <c r="L306" s="428">
        <v>274</v>
      </c>
      <c r="M306" s="458">
        <v>38308</v>
      </c>
      <c r="N306" s="429" t="s">
        <v>18</v>
      </c>
      <c r="O306" s="439" t="s">
        <v>164</v>
      </c>
    </row>
    <row r="307" spans="1:15" x14ac:dyDescent="0.25">
      <c r="A307" s="443">
        <v>38320</v>
      </c>
      <c r="B307" s="116" t="s">
        <v>18</v>
      </c>
      <c r="C307" s="108" t="s">
        <v>468</v>
      </c>
      <c r="D307" s="125"/>
      <c r="E307">
        <f t="shared" si="10"/>
        <v>307</v>
      </c>
      <c r="F307" s="428">
        <v>820</v>
      </c>
      <c r="G307" s="443">
        <v>38320</v>
      </c>
      <c r="H307" s="429" t="s">
        <v>18</v>
      </c>
      <c r="I307" s="430" t="s">
        <v>468</v>
      </c>
      <c r="K307" s="517">
        <f t="shared" si="9"/>
        <v>0</v>
      </c>
      <c r="L307" s="428">
        <v>820</v>
      </c>
      <c r="M307" s="458">
        <v>38320</v>
      </c>
      <c r="N307" s="429" t="s">
        <v>18</v>
      </c>
      <c r="O307" s="439" t="s">
        <v>468</v>
      </c>
    </row>
    <row r="308" spans="1:15" x14ac:dyDescent="0.25">
      <c r="A308" s="443">
        <v>38322</v>
      </c>
      <c r="B308" s="116" t="s">
        <v>18</v>
      </c>
      <c r="C308" s="108" t="s">
        <v>472</v>
      </c>
      <c r="D308" s="125"/>
      <c r="E308">
        <f t="shared" si="10"/>
        <v>308</v>
      </c>
      <c r="F308" s="428">
        <v>929</v>
      </c>
      <c r="G308" s="443">
        <v>38322</v>
      </c>
      <c r="H308" s="429" t="s">
        <v>18</v>
      </c>
      <c r="I308" s="430" t="s">
        <v>472</v>
      </c>
      <c r="K308" s="517">
        <f t="shared" si="9"/>
        <v>0</v>
      </c>
      <c r="L308" s="428">
        <v>929</v>
      </c>
      <c r="M308" s="458">
        <v>38322</v>
      </c>
      <c r="N308" s="429" t="s">
        <v>18</v>
      </c>
      <c r="O308" s="439" t="s">
        <v>472</v>
      </c>
    </row>
    <row r="309" spans="1:15" x14ac:dyDescent="0.25">
      <c r="A309" s="443">
        <v>38324</v>
      </c>
      <c r="B309" s="116" t="s">
        <v>18</v>
      </c>
      <c r="C309" s="108" t="s">
        <v>366</v>
      </c>
      <c r="D309" s="125"/>
      <c r="E309">
        <f t="shared" si="10"/>
        <v>309</v>
      </c>
      <c r="F309" s="428">
        <v>658</v>
      </c>
      <c r="G309" s="443">
        <v>38324</v>
      </c>
      <c r="H309" s="429" t="s">
        <v>18</v>
      </c>
      <c r="I309" s="430" t="s">
        <v>366</v>
      </c>
      <c r="K309" s="517">
        <f t="shared" si="9"/>
        <v>0</v>
      </c>
      <c r="L309" s="428">
        <v>658</v>
      </c>
      <c r="M309" s="458">
        <v>38324</v>
      </c>
      <c r="N309" s="429" t="s">
        <v>18</v>
      </c>
      <c r="O309" s="439" t="s">
        <v>366</v>
      </c>
    </row>
    <row r="310" spans="1:15" x14ac:dyDescent="0.25">
      <c r="A310" s="444">
        <v>38901</v>
      </c>
      <c r="B310" s="432" t="s">
        <v>1039</v>
      </c>
      <c r="C310" s="430" t="s">
        <v>1184</v>
      </c>
      <c r="D310" s="125"/>
      <c r="E310">
        <f t="shared" si="10"/>
        <v>310</v>
      </c>
      <c r="F310" s="247">
        <v>4280</v>
      </c>
      <c r="G310" s="444">
        <v>38901</v>
      </c>
      <c r="H310" s="432" t="s">
        <v>1039</v>
      </c>
      <c r="I310" s="430" t="s">
        <v>1184</v>
      </c>
      <c r="K310" s="517">
        <f t="shared" si="9"/>
        <v>0</v>
      </c>
      <c r="L310" s="505">
        <v>4280</v>
      </c>
      <c r="M310" s="458">
        <v>38901</v>
      </c>
      <c r="N310" s="432" t="s">
        <v>1039</v>
      </c>
      <c r="O310" s="454" t="s">
        <v>1184</v>
      </c>
    </row>
    <row r="311" spans="1:15" x14ac:dyDescent="0.25">
      <c r="A311" s="443">
        <v>39002</v>
      </c>
      <c r="B311" s="116" t="s">
        <v>45</v>
      </c>
      <c r="C311" s="108" t="s">
        <v>566</v>
      </c>
      <c r="D311" s="125"/>
      <c r="E311">
        <f t="shared" si="10"/>
        <v>311</v>
      </c>
      <c r="F311" s="428">
        <v>1007</v>
      </c>
      <c r="G311" s="443">
        <v>39002</v>
      </c>
      <c r="H311" s="429" t="s">
        <v>45</v>
      </c>
      <c r="I311" s="430" t="s">
        <v>566</v>
      </c>
      <c r="K311" s="517">
        <f t="shared" si="9"/>
        <v>0</v>
      </c>
      <c r="L311" s="428">
        <v>1007</v>
      </c>
      <c r="M311" s="458">
        <v>39002</v>
      </c>
      <c r="N311" s="429" t="s">
        <v>45</v>
      </c>
      <c r="O311" s="439" t="s">
        <v>566</v>
      </c>
    </row>
    <row r="312" spans="1:15" x14ac:dyDescent="0.25">
      <c r="A312" s="443">
        <v>39003</v>
      </c>
      <c r="B312" s="116" t="s">
        <v>45</v>
      </c>
      <c r="C312" s="108" t="s">
        <v>328</v>
      </c>
      <c r="D312" s="125"/>
      <c r="E312">
        <f t="shared" si="10"/>
        <v>312</v>
      </c>
      <c r="F312" s="428">
        <v>630</v>
      </c>
      <c r="G312" s="443">
        <v>39003</v>
      </c>
      <c r="H312" s="429" t="s">
        <v>45</v>
      </c>
      <c r="I312" s="430" t="s">
        <v>328</v>
      </c>
      <c r="K312" s="517">
        <f t="shared" si="9"/>
        <v>0</v>
      </c>
      <c r="L312" s="428">
        <v>630</v>
      </c>
      <c r="M312" s="458">
        <v>39003</v>
      </c>
      <c r="N312" s="429" t="s">
        <v>45</v>
      </c>
      <c r="O312" s="439" t="s">
        <v>328</v>
      </c>
    </row>
    <row r="313" spans="1:15" x14ac:dyDescent="0.25">
      <c r="A313" s="443">
        <v>39007</v>
      </c>
      <c r="B313" s="116" t="s">
        <v>45</v>
      </c>
      <c r="C313" s="108" t="s">
        <v>622</v>
      </c>
      <c r="D313" s="125"/>
      <c r="E313">
        <f t="shared" si="10"/>
        <v>313</v>
      </c>
      <c r="F313" s="428">
        <v>1128</v>
      </c>
      <c r="G313" s="443">
        <v>39007</v>
      </c>
      <c r="H313" s="429" t="s">
        <v>45</v>
      </c>
      <c r="I313" s="430" t="s">
        <v>622</v>
      </c>
      <c r="K313" s="517">
        <f t="shared" si="9"/>
        <v>0</v>
      </c>
      <c r="L313" s="428">
        <v>1128</v>
      </c>
      <c r="M313" s="458">
        <v>39007</v>
      </c>
      <c r="N313" s="429" t="s">
        <v>45</v>
      </c>
      <c r="O313" s="439" t="s">
        <v>622</v>
      </c>
    </row>
    <row r="314" spans="1:15" x14ac:dyDescent="0.25">
      <c r="A314" s="443">
        <v>39090</v>
      </c>
      <c r="B314" s="116" t="s">
        <v>45</v>
      </c>
      <c r="C314" s="108" t="s">
        <v>140</v>
      </c>
      <c r="D314" s="125"/>
      <c r="E314">
        <f t="shared" si="10"/>
        <v>314</v>
      </c>
      <c r="F314" s="428">
        <v>621</v>
      </c>
      <c r="G314" s="443">
        <v>39090</v>
      </c>
      <c r="H314" s="429" t="s">
        <v>45</v>
      </c>
      <c r="I314" s="430" t="s">
        <v>140</v>
      </c>
      <c r="K314" s="517">
        <f t="shared" si="9"/>
        <v>0</v>
      </c>
      <c r="L314" s="428">
        <v>621</v>
      </c>
      <c r="M314" s="458">
        <v>39090</v>
      </c>
      <c r="N314" s="429" t="s">
        <v>45</v>
      </c>
      <c r="O314" s="439" t="s">
        <v>140</v>
      </c>
    </row>
    <row r="315" spans="1:15" x14ac:dyDescent="0.25">
      <c r="A315" s="443">
        <v>39119</v>
      </c>
      <c r="B315" s="116" t="s">
        <v>45</v>
      </c>
      <c r="C315" s="108" t="s">
        <v>482</v>
      </c>
      <c r="D315" s="125"/>
      <c r="E315">
        <f t="shared" si="10"/>
        <v>315</v>
      </c>
      <c r="F315" s="428">
        <v>850</v>
      </c>
      <c r="G315" s="443">
        <v>39119</v>
      </c>
      <c r="H315" s="429" t="s">
        <v>45</v>
      </c>
      <c r="I315" s="430" t="s">
        <v>482</v>
      </c>
      <c r="K315" s="517">
        <f t="shared" si="9"/>
        <v>0</v>
      </c>
      <c r="L315" s="428">
        <v>850</v>
      </c>
      <c r="M315" s="458">
        <v>39119</v>
      </c>
      <c r="N315" s="429" t="s">
        <v>45</v>
      </c>
      <c r="O315" s="439" t="s">
        <v>482</v>
      </c>
    </row>
    <row r="316" spans="1:15" x14ac:dyDescent="0.25">
      <c r="A316" s="443">
        <v>39120</v>
      </c>
      <c r="B316" s="116" t="s">
        <v>45</v>
      </c>
      <c r="C316" s="108" t="s">
        <v>282</v>
      </c>
      <c r="D316" s="125"/>
      <c r="E316">
        <f t="shared" si="10"/>
        <v>316</v>
      </c>
      <c r="F316" s="428">
        <v>560</v>
      </c>
      <c r="G316" s="443">
        <v>39120</v>
      </c>
      <c r="H316" s="429" t="s">
        <v>45</v>
      </c>
      <c r="I316" s="430" t="s">
        <v>282</v>
      </c>
      <c r="K316" s="517">
        <f t="shared" si="9"/>
        <v>0</v>
      </c>
      <c r="L316" s="428">
        <v>560</v>
      </c>
      <c r="M316" s="458">
        <v>39120</v>
      </c>
      <c r="N316" s="429" t="s">
        <v>45</v>
      </c>
      <c r="O316" s="439" t="s">
        <v>282</v>
      </c>
    </row>
    <row r="317" spans="1:15" x14ac:dyDescent="0.25">
      <c r="A317" s="443">
        <v>39200</v>
      </c>
      <c r="B317" s="116" t="s">
        <v>45</v>
      </c>
      <c r="C317" s="108" t="s">
        <v>200</v>
      </c>
      <c r="D317" s="125"/>
      <c r="E317">
        <f t="shared" si="10"/>
        <v>317</v>
      </c>
      <c r="F317" s="428">
        <v>341</v>
      </c>
      <c r="G317" s="443">
        <v>39200</v>
      </c>
      <c r="H317" s="429" t="s">
        <v>45</v>
      </c>
      <c r="I317" s="430" t="s">
        <v>200</v>
      </c>
      <c r="K317" s="517">
        <f t="shared" si="9"/>
        <v>0</v>
      </c>
      <c r="L317" s="428">
        <v>341</v>
      </c>
      <c r="M317" s="458">
        <v>39200</v>
      </c>
      <c r="N317" s="429" t="s">
        <v>45</v>
      </c>
      <c r="O317" s="439" t="s">
        <v>200</v>
      </c>
    </row>
    <row r="318" spans="1:15" x14ac:dyDescent="0.25">
      <c r="A318" s="443">
        <v>39201</v>
      </c>
      <c r="B318" s="116" t="s">
        <v>45</v>
      </c>
      <c r="C318" s="108" t="s">
        <v>536</v>
      </c>
      <c r="D318" s="125"/>
      <c r="E318">
        <f t="shared" si="10"/>
        <v>318</v>
      </c>
      <c r="F318" s="428">
        <v>958</v>
      </c>
      <c r="G318" s="443">
        <v>39201</v>
      </c>
      <c r="H318" s="429" t="s">
        <v>45</v>
      </c>
      <c r="I318" s="430" t="s">
        <v>536</v>
      </c>
      <c r="K318" s="517">
        <f t="shared" si="9"/>
        <v>0</v>
      </c>
      <c r="L318" s="428">
        <v>958</v>
      </c>
      <c r="M318" s="458">
        <v>39201</v>
      </c>
      <c r="N318" s="429" t="s">
        <v>45</v>
      </c>
      <c r="O318" s="439" t="s">
        <v>536</v>
      </c>
    </row>
    <row r="319" spans="1:15" x14ac:dyDescent="0.25">
      <c r="A319" s="443">
        <v>39202</v>
      </c>
      <c r="B319" s="116" t="s">
        <v>45</v>
      </c>
      <c r="C319" s="108" t="s">
        <v>554</v>
      </c>
      <c r="D319" s="125"/>
      <c r="E319">
        <f t="shared" si="10"/>
        <v>319</v>
      </c>
      <c r="F319" s="428">
        <v>992</v>
      </c>
      <c r="G319" s="443">
        <v>39202</v>
      </c>
      <c r="H319" s="429" t="s">
        <v>45</v>
      </c>
      <c r="I319" s="430" t="s">
        <v>554</v>
      </c>
      <c r="K319" s="517">
        <f t="shared" si="9"/>
        <v>0</v>
      </c>
      <c r="L319" s="428">
        <v>992</v>
      </c>
      <c r="M319" s="458">
        <v>39202</v>
      </c>
      <c r="N319" s="429" t="s">
        <v>45</v>
      </c>
      <c r="O319" s="439" t="s">
        <v>554</v>
      </c>
    </row>
    <row r="320" spans="1:15" x14ac:dyDescent="0.25">
      <c r="A320" s="443">
        <v>39203</v>
      </c>
      <c r="B320" s="116" t="s">
        <v>45</v>
      </c>
      <c r="C320" s="108" t="s">
        <v>216</v>
      </c>
      <c r="D320" s="125"/>
      <c r="E320">
        <f t="shared" si="10"/>
        <v>320</v>
      </c>
      <c r="F320" s="428">
        <v>376</v>
      </c>
      <c r="G320" s="443">
        <v>39203</v>
      </c>
      <c r="H320" s="429" t="s">
        <v>45</v>
      </c>
      <c r="I320" s="430" t="s">
        <v>216</v>
      </c>
      <c r="K320" s="517">
        <f t="shared" si="9"/>
        <v>0</v>
      </c>
      <c r="L320" s="428">
        <v>376</v>
      </c>
      <c r="M320" s="458">
        <v>39203</v>
      </c>
      <c r="N320" s="429" t="s">
        <v>45</v>
      </c>
      <c r="O320" s="439" t="s">
        <v>216</v>
      </c>
    </row>
    <row r="321" spans="1:15" x14ac:dyDescent="0.25">
      <c r="A321" s="443">
        <v>39204</v>
      </c>
      <c r="B321" s="116" t="s">
        <v>45</v>
      </c>
      <c r="C321" s="108" t="s">
        <v>202</v>
      </c>
      <c r="D321" s="125"/>
      <c r="E321">
        <f t="shared" si="10"/>
        <v>321</v>
      </c>
      <c r="F321" s="428">
        <v>342</v>
      </c>
      <c r="G321" s="443">
        <v>39204</v>
      </c>
      <c r="H321" s="429" t="s">
        <v>45</v>
      </c>
      <c r="I321" s="430" t="s">
        <v>202</v>
      </c>
      <c r="K321" s="517">
        <f t="shared" si="9"/>
        <v>0</v>
      </c>
      <c r="L321" s="428">
        <v>342</v>
      </c>
      <c r="M321" s="458">
        <v>39204</v>
      </c>
      <c r="N321" s="429" t="s">
        <v>45</v>
      </c>
      <c r="O321" s="439" t="s">
        <v>202</v>
      </c>
    </row>
    <row r="322" spans="1:15" x14ac:dyDescent="0.25">
      <c r="A322" s="443">
        <v>39205</v>
      </c>
      <c r="B322" s="116" t="s">
        <v>45</v>
      </c>
      <c r="C322" s="108" t="s">
        <v>626</v>
      </c>
      <c r="D322" s="125"/>
      <c r="E322">
        <f t="shared" si="10"/>
        <v>322</v>
      </c>
      <c r="F322" s="428">
        <v>1137</v>
      </c>
      <c r="G322" s="443">
        <v>39205</v>
      </c>
      <c r="H322" s="429" t="s">
        <v>45</v>
      </c>
      <c r="I322" s="430" t="s">
        <v>626</v>
      </c>
      <c r="K322" s="517">
        <f t="shared" si="9"/>
        <v>0</v>
      </c>
      <c r="L322" s="428">
        <v>1137</v>
      </c>
      <c r="M322" s="458">
        <v>39205</v>
      </c>
      <c r="N322" s="429" t="s">
        <v>45</v>
      </c>
      <c r="O322" s="439" t="s">
        <v>626</v>
      </c>
    </row>
    <row r="323" spans="1:15" x14ac:dyDescent="0.25">
      <c r="A323" s="443">
        <v>39207</v>
      </c>
      <c r="B323" s="116" t="s">
        <v>45</v>
      </c>
      <c r="C323" s="108" t="s">
        <v>584</v>
      </c>
      <c r="D323" s="125"/>
      <c r="E323">
        <f t="shared" si="10"/>
        <v>323</v>
      </c>
      <c r="F323" s="428">
        <v>1058</v>
      </c>
      <c r="G323" s="443">
        <v>39207</v>
      </c>
      <c r="H323" s="429" t="s">
        <v>45</v>
      </c>
      <c r="I323" s="430" t="s">
        <v>584</v>
      </c>
      <c r="K323" s="517">
        <f t="shared" si="9"/>
        <v>0</v>
      </c>
      <c r="L323" s="428">
        <v>1058</v>
      </c>
      <c r="M323" s="458">
        <v>39207</v>
      </c>
      <c r="N323" s="429" t="s">
        <v>45</v>
      </c>
      <c r="O323" s="439" t="s">
        <v>584</v>
      </c>
    </row>
    <row r="324" spans="1:15" x14ac:dyDescent="0.25">
      <c r="A324" s="443">
        <v>39208</v>
      </c>
      <c r="B324" s="116" t="s">
        <v>45</v>
      </c>
      <c r="C324" s="108" t="s">
        <v>598</v>
      </c>
      <c r="D324" s="125"/>
      <c r="E324">
        <f t="shared" si="10"/>
        <v>324</v>
      </c>
      <c r="F324" s="428">
        <v>1076</v>
      </c>
      <c r="G324" s="443">
        <v>39208</v>
      </c>
      <c r="H324" s="429" t="s">
        <v>45</v>
      </c>
      <c r="I324" s="430" t="s">
        <v>598</v>
      </c>
      <c r="K324" s="517">
        <f t="shared" si="9"/>
        <v>0</v>
      </c>
      <c r="L324" s="428">
        <v>1076</v>
      </c>
      <c r="M324" s="458">
        <v>39208</v>
      </c>
      <c r="N324" s="429" t="s">
        <v>45</v>
      </c>
      <c r="O324" s="439" t="s">
        <v>598</v>
      </c>
    </row>
    <row r="325" spans="1:15" x14ac:dyDescent="0.25">
      <c r="A325" s="443">
        <v>39209</v>
      </c>
      <c r="B325" s="116" t="s">
        <v>45</v>
      </c>
      <c r="C325" s="108" t="s">
        <v>318</v>
      </c>
      <c r="D325" s="125"/>
      <c r="E325">
        <f t="shared" si="10"/>
        <v>325</v>
      </c>
      <c r="F325" s="428">
        <v>614</v>
      </c>
      <c r="G325" s="443">
        <v>39209</v>
      </c>
      <c r="H325" s="429" t="s">
        <v>45</v>
      </c>
      <c r="I325" s="430" t="s">
        <v>318</v>
      </c>
      <c r="K325" s="517">
        <f t="shared" si="9"/>
        <v>0</v>
      </c>
      <c r="L325" s="428">
        <v>614</v>
      </c>
      <c r="M325" s="458">
        <v>39209</v>
      </c>
      <c r="N325" s="429" t="s">
        <v>45</v>
      </c>
      <c r="O325" s="439" t="s">
        <v>318</v>
      </c>
    </row>
    <row r="326" spans="1:15" x14ac:dyDescent="0.25">
      <c r="A326" s="443">
        <v>39801</v>
      </c>
      <c r="B326" s="116" t="s">
        <v>45</v>
      </c>
      <c r="C326" s="249" t="s">
        <v>152</v>
      </c>
      <c r="D326" s="125"/>
      <c r="E326">
        <f t="shared" si="10"/>
        <v>326</v>
      </c>
      <c r="F326" s="428">
        <v>260</v>
      </c>
      <c r="G326" s="443">
        <v>39801</v>
      </c>
      <c r="H326" s="429" t="s">
        <v>45</v>
      </c>
      <c r="I326" s="430" t="s">
        <v>152</v>
      </c>
      <c r="K326" s="517">
        <f t="shared" si="9"/>
        <v>0</v>
      </c>
      <c r="L326" s="428">
        <v>260</v>
      </c>
      <c r="M326" s="458">
        <v>39801</v>
      </c>
      <c r="N326" s="429" t="s">
        <v>45</v>
      </c>
      <c r="O326" s="504" t="s">
        <v>152</v>
      </c>
    </row>
    <row r="327" spans="1:15" x14ac:dyDescent="0.25">
      <c r="A327" s="444">
        <v>99999</v>
      </c>
      <c r="B327" s="432" t="s">
        <v>1039</v>
      </c>
      <c r="C327" s="442" t="s">
        <v>1186</v>
      </c>
      <c r="D327" s="125"/>
      <c r="E327">
        <f t="shared" si="10"/>
        <v>327</v>
      </c>
      <c r="F327" s="475">
        <v>4279</v>
      </c>
      <c r="G327" s="444">
        <v>99999</v>
      </c>
      <c r="H327" s="432" t="s">
        <v>1039</v>
      </c>
      <c r="I327" s="521" t="s">
        <v>1186</v>
      </c>
      <c r="K327" s="517">
        <f t="shared" ref="K327:K390" si="11">+L327-F327</f>
        <v>0</v>
      </c>
      <c r="L327" s="522">
        <v>4279</v>
      </c>
      <c r="M327" s="441">
        <v>99999</v>
      </c>
      <c r="N327" s="432" t="s">
        <v>1039</v>
      </c>
      <c r="O327" s="495" t="s">
        <v>1186</v>
      </c>
    </row>
    <row r="328" spans="1:15" x14ac:dyDescent="0.25">
      <c r="A328" s="19"/>
    </row>
    <row r="329" spans="1:15" x14ac:dyDescent="0.25">
      <c r="A329" s="19"/>
      <c r="D329" s="216"/>
    </row>
    <row r="367" spans="6:9" x14ac:dyDescent="0.25">
      <c r="F367" s="428"/>
      <c r="G367" s="443">
        <v>17906</v>
      </c>
      <c r="H367" s="432" t="s">
        <v>1039</v>
      </c>
      <c r="I367" s="433" t="s">
        <v>1084</v>
      </c>
    </row>
    <row r="368" spans="6:9" x14ac:dyDescent="0.25">
      <c r="F368" s="428"/>
      <c r="G368" s="443">
        <v>27909</v>
      </c>
      <c r="H368" s="432" t="s">
        <v>1039</v>
      </c>
      <c r="I368" s="434" t="s">
        <v>1033</v>
      </c>
    </row>
  </sheetData>
  <autoFilter ref="A1:B325" xr:uid="{00000000-0009-0000-0000-000004000000}"/>
  <sortState xmlns:xlrd2="http://schemas.microsoft.com/office/spreadsheetml/2017/richdata2" ref="L7:O327">
    <sortCondition ref="M7:M32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4"/>
  <sheetViews>
    <sheetView workbookViewId="0">
      <pane ySplit="3" topLeftCell="A301" activePane="bottomLeft" state="frozen"/>
      <selection pane="bottomLeft" activeCell="C328" sqref="C328"/>
    </sheetView>
  </sheetViews>
  <sheetFormatPr defaultRowHeight="15" x14ac:dyDescent="0.25"/>
  <cols>
    <col min="1" max="2" width="10.28515625" customWidth="1"/>
    <col min="3" max="3" width="48" bestFit="1" customWidth="1"/>
    <col min="4" max="4" width="11.140625" customWidth="1"/>
    <col min="5" max="5" width="6" bestFit="1" customWidth="1"/>
    <col min="9" max="9" width="4.7109375" bestFit="1" customWidth="1"/>
    <col min="10" max="10" width="48" bestFit="1" customWidth="1"/>
  </cols>
  <sheetData>
    <row r="1" spans="1:5" x14ac:dyDescent="0.25">
      <c r="A1" s="452" t="s">
        <v>1191</v>
      </c>
      <c r="B1" s="453"/>
      <c r="C1" s="453"/>
      <c r="D1" s="453"/>
    </row>
    <row r="2" spans="1:5" ht="15.75" thickBot="1" x14ac:dyDescent="0.3"/>
    <row r="3" spans="1:5" ht="18" thickBot="1" x14ac:dyDescent="0.3">
      <c r="A3" s="243" t="s">
        <v>7</v>
      </c>
      <c r="B3" s="246" t="s">
        <v>8</v>
      </c>
      <c r="C3" s="244" t="s">
        <v>6</v>
      </c>
      <c r="D3" s="245" t="s">
        <v>1038</v>
      </c>
    </row>
    <row r="4" spans="1:5" x14ac:dyDescent="0.25">
      <c r="A4" s="254" t="s">
        <v>591</v>
      </c>
      <c r="B4" s="188" t="s">
        <v>18</v>
      </c>
      <c r="C4" s="36" t="s">
        <v>590</v>
      </c>
      <c r="D4" s="255">
        <v>1064</v>
      </c>
      <c r="E4">
        <v>1</v>
      </c>
    </row>
    <row r="5" spans="1:5" x14ac:dyDescent="0.25">
      <c r="A5" s="247" t="s">
        <v>40</v>
      </c>
      <c r="B5" s="116" t="s">
        <v>18</v>
      </c>
      <c r="C5" s="108" t="s">
        <v>39</v>
      </c>
      <c r="D5" s="248">
        <v>57</v>
      </c>
      <c r="E5">
        <f>+E4+1</f>
        <v>2</v>
      </c>
    </row>
    <row r="6" spans="1:5" x14ac:dyDescent="0.25">
      <c r="A6" s="247" t="s">
        <v>401</v>
      </c>
      <c r="B6" s="116" t="s">
        <v>26</v>
      </c>
      <c r="C6" s="108" t="s">
        <v>400</v>
      </c>
      <c r="D6" s="248">
        <v>695</v>
      </c>
      <c r="E6">
        <f t="shared" ref="E6:E69" si="0">+E5+1</f>
        <v>3</v>
      </c>
    </row>
    <row r="7" spans="1:5" x14ac:dyDescent="0.25">
      <c r="A7" s="247" t="s">
        <v>271</v>
      </c>
      <c r="B7" s="116" t="s">
        <v>18</v>
      </c>
      <c r="C7" s="108" t="s">
        <v>270</v>
      </c>
      <c r="D7" s="248">
        <v>543</v>
      </c>
      <c r="E7">
        <f t="shared" si="0"/>
        <v>4</v>
      </c>
    </row>
    <row r="8" spans="1:5" x14ac:dyDescent="0.25">
      <c r="A8" s="247" t="s">
        <v>459</v>
      </c>
      <c r="B8" s="116" t="s">
        <v>18</v>
      </c>
      <c r="C8" s="108" t="s">
        <v>458</v>
      </c>
      <c r="D8" s="248">
        <v>814</v>
      </c>
      <c r="E8">
        <f t="shared" si="0"/>
        <v>5</v>
      </c>
    </row>
    <row r="9" spans="1:5" x14ac:dyDescent="0.25">
      <c r="A9" s="247" t="s">
        <v>91</v>
      </c>
      <c r="B9" s="116" t="s">
        <v>26</v>
      </c>
      <c r="C9" s="108" t="s">
        <v>90</v>
      </c>
      <c r="D9" s="248">
        <v>156</v>
      </c>
      <c r="E9">
        <f t="shared" si="0"/>
        <v>6</v>
      </c>
    </row>
    <row r="10" spans="1:5" x14ac:dyDescent="0.25">
      <c r="A10" s="247" t="s">
        <v>25</v>
      </c>
      <c r="B10" s="116" t="s">
        <v>26</v>
      </c>
      <c r="C10" s="108" t="s">
        <v>24</v>
      </c>
      <c r="D10" s="248">
        <v>29</v>
      </c>
      <c r="E10">
        <f t="shared" si="0"/>
        <v>7</v>
      </c>
    </row>
    <row r="11" spans="1:5" x14ac:dyDescent="0.25">
      <c r="A11" s="247" t="s">
        <v>241</v>
      </c>
      <c r="B11" s="116" t="s">
        <v>26</v>
      </c>
      <c r="C11" s="108" t="s">
        <v>240</v>
      </c>
      <c r="D11" s="248">
        <v>433</v>
      </c>
      <c r="E11">
        <f t="shared" si="0"/>
        <v>8</v>
      </c>
    </row>
    <row r="12" spans="1:5" x14ac:dyDescent="0.25">
      <c r="A12" s="247" t="s">
        <v>411</v>
      </c>
      <c r="B12" s="116" t="s">
        <v>26</v>
      </c>
      <c r="C12" s="108" t="s">
        <v>410</v>
      </c>
      <c r="D12" s="248">
        <v>712</v>
      </c>
      <c r="E12">
        <f t="shared" si="0"/>
        <v>9</v>
      </c>
    </row>
    <row r="13" spans="1:5" x14ac:dyDescent="0.25">
      <c r="A13" s="247" t="s">
        <v>247</v>
      </c>
      <c r="B13" s="116" t="s">
        <v>26</v>
      </c>
      <c r="C13" s="108" t="s">
        <v>246</v>
      </c>
      <c r="D13" s="248">
        <v>483</v>
      </c>
      <c r="E13">
        <f t="shared" si="0"/>
        <v>10</v>
      </c>
    </row>
    <row r="14" spans="1:5" x14ac:dyDescent="0.25">
      <c r="A14" s="247" t="s">
        <v>187</v>
      </c>
      <c r="B14" s="116" t="s">
        <v>26</v>
      </c>
      <c r="C14" s="108" t="s">
        <v>186</v>
      </c>
      <c r="D14" s="248">
        <v>305</v>
      </c>
      <c r="E14">
        <f t="shared" si="0"/>
        <v>11</v>
      </c>
    </row>
    <row r="15" spans="1:5" x14ac:dyDescent="0.25">
      <c r="A15" s="247" t="s">
        <v>427</v>
      </c>
      <c r="B15" s="116" t="s">
        <v>26</v>
      </c>
      <c r="C15" s="108" t="s">
        <v>426</v>
      </c>
      <c r="D15" s="248">
        <v>767</v>
      </c>
      <c r="E15">
        <f t="shared" si="0"/>
        <v>12</v>
      </c>
    </row>
    <row r="16" spans="1:5" x14ac:dyDescent="0.25">
      <c r="A16" s="247" t="s">
        <v>455</v>
      </c>
      <c r="B16" s="116" t="s">
        <v>26</v>
      </c>
      <c r="C16" s="108" t="s">
        <v>454</v>
      </c>
      <c r="D16" s="248">
        <v>810</v>
      </c>
      <c r="E16">
        <f t="shared" si="0"/>
        <v>13</v>
      </c>
    </row>
    <row r="17" spans="1:5" x14ac:dyDescent="0.25">
      <c r="A17" s="247" t="s">
        <v>287</v>
      </c>
      <c r="B17" s="116" t="s">
        <v>55</v>
      </c>
      <c r="C17" s="108" t="s">
        <v>286</v>
      </c>
      <c r="D17" s="248">
        <v>564</v>
      </c>
      <c r="E17">
        <f t="shared" si="0"/>
        <v>14</v>
      </c>
    </row>
    <row r="18" spans="1:5" x14ac:dyDescent="0.25">
      <c r="A18" s="247" t="s">
        <v>523</v>
      </c>
      <c r="B18" s="116" t="s">
        <v>55</v>
      </c>
      <c r="C18" s="108" t="s">
        <v>522</v>
      </c>
      <c r="D18" s="248">
        <v>1412</v>
      </c>
      <c r="E18">
        <f t="shared" si="0"/>
        <v>15</v>
      </c>
    </row>
    <row r="19" spans="1:5" x14ac:dyDescent="0.25">
      <c r="A19" s="247" t="s">
        <v>167</v>
      </c>
      <c r="B19" s="116" t="s">
        <v>55</v>
      </c>
      <c r="C19" s="108" t="s">
        <v>166</v>
      </c>
      <c r="D19" s="248">
        <v>278</v>
      </c>
      <c r="E19">
        <f t="shared" si="0"/>
        <v>16</v>
      </c>
    </row>
    <row r="20" spans="1:5" x14ac:dyDescent="0.25">
      <c r="A20" s="247" t="s">
        <v>259</v>
      </c>
      <c r="B20" s="116" t="s">
        <v>55</v>
      </c>
      <c r="C20" s="108" t="s">
        <v>258</v>
      </c>
      <c r="D20" s="248">
        <v>514</v>
      </c>
      <c r="E20">
        <f t="shared" si="0"/>
        <v>17</v>
      </c>
    </row>
    <row r="21" spans="1:5" x14ac:dyDescent="0.25">
      <c r="A21" s="247" t="s">
        <v>71</v>
      </c>
      <c r="B21" s="116" t="s">
        <v>55</v>
      </c>
      <c r="C21" s="108" t="s">
        <v>70</v>
      </c>
      <c r="D21" s="248">
        <v>106</v>
      </c>
      <c r="E21">
        <f t="shared" si="0"/>
        <v>18</v>
      </c>
    </row>
    <row r="22" spans="1:5" x14ac:dyDescent="0.25">
      <c r="A22" s="247" t="s">
        <v>69</v>
      </c>
      <c r="B22" s="116" t="s">
        <v>55</v>
      </c>
      <c r="C22" s="108" t="s">
        <v>68</v>
      </c>
      <c r="D22" s="248">
        <v>103</v>
      </c>
      <c r="E22">
        <f t="shared" si="0"/>
        <v>19</v>
      </c>
    </row>
    <row r="23" spans="1:5" x14ac:dyDescent="0.25">
      <c r="A23" s="247" t="s">
        <v>597</v>
      </c>
      <c r="B23" s="116" t="s">
        <v>55</v>
      </c>
      <c r="C23" s="108" t="s">
        <v>596</v>
      </c>
      <c r="D23" s="248">
        <v>1073</v>
      </c>
      <c r="E23">
        <f t="shared" si="0"/>
        <v>20</v>
      </c>
    </row>
    <row r="24" spans="1:5" x14ac:dyDescent="0.25">
      <c r="A24" s="247" t="s">
        <v>345</v>
      </c>
      <c r="B24" s="116">
        <v>171</v>
      </c>
      <c r="C24" s="249" t="s">
        <v>344</v>
      </c>
      <c r="D24" s="248">
        <v>266</v>
      </c>
      <c r="E24">
        <f t="shared" si="0"/>
        <v>21</v>
      </c>
    </row>
    <row r="25" spans="1:5" x14ac:dyDescent="0.25">
      <c r="A25" s="458" t="s">
        <v>1177</v>
      </c>
      <c r="B25" s="432" t="s">
        <v>1039</v>
      </c>
      <c r="C25" s="454" t="s">
        <v>1196</v>
      </c>
      <c r="D25" s="493">
        <v>4281</v>
      </c>
      <c r="E25">
        <f t="shared" si="0"/>
        <v>22</v>
      </c>
    </row>
    <row r="26" spans="1:5" x14ac:dyDescent="0.25">
      <c r="A26" s="247" t="s">
        <v>421</v>
      </c>
      <c r="B26" s="116" t="s">
        <v>52</v>
      </c>
      <c r="C26" s="108" t="s">
        <v>420</v>
      </c>
      <c r="D26" s="248">
        <v>753</v>
      </c>
      <c r="E26">
        <f t="shared" si="0"/>
        <v>23</v>
      </c>
    </row>
    <row r="27" spans="1:5" x14ac:dyDescent="0.25">
      <c r="A27" s="247" t="s">
        <v>119</v>
      </c>
      <c r="B27" s="116" t="s">
        <v>52</v>
      </c>
      <c r="C27" s="108" t="s">
        <v>118</v>
      </c>
      <c r="D27" s="248">
        <v>210</v>
      </c>
      <c r="E27">
        <f t="shared" si="0"/>
        <v>24</v>
      </c>
    </row>
    <row r="28" spans="1:5" x14ac:dyDescent="0.25">
      <c r="A28" s="247" t="s">
        <v>487</v>
      </c>
      <c r="B28" s="116" t="s">
        <v>52</v>
      </c>
      <c r="C28" s="108" t="s">
        <v>486</v>
      </c>
      <c r="D28" s="248">
        <v>857</v>
      </c>
      <c r="E28">
        <f t="shared" si="0"/>
        <v>25</v>
      </c>
    </row>
    <row r="29" spans="1:5" x14ac:dyDescent="0.25">
      <c r="A29" s="247" t="s">
        <v>65</v>
      </c>
      <c r="B29" s="116" t="s">
        <v>52</v>
      </c>
      <c r="C29" s="108" t="s">
        <v>64</v>
      </c>
      <c r="D29" s="248">
        <v>98</v>
      </c>
      <c r="E29">
        <f t="shared" si="0"/>
        <v>26</v>
      </c>
    </row>
    <row r="30" spans="1:5" x14ac:dyDescent="0.25">
      <c r="A30" s="247" t="s">
        <v>439</v>
      </c>
      <c r="B30" s="116" t="s">
        <v>52</v>
      </c>
      <c r="C30" s="108" t="s">
        <v>438</v>
      </c>
      <c r="D30" s="248">
        <v>787</v>
      </c>
      <c r="E30">
        <f t="shared" si="0"/>
        <v>27</v>
      </c>
    </row>
    <row r="31" spans="1:5" x14ac:dyDescent="0.25">
      <c r="A31" s="247" t="s">
        <v>1114</v>
      </c>
      <c r="B31" s="250" t="s">
        <v>1039</v>
      </c>
      <c r="C31" s="235" t="s">
        <v>1081</v>
      </c>
      <c r="D31" s="253">
        <v>2901</v>
      </c>
      <c r="E31">
        <f t="shared" si="0"/>
        <v>28</v>
      </c>
    </row>
    <row r="32" spans="1:5" x14ac:dyDescent="0.25">
      <c r="A32" s="247" t="s">
        <v>573</v>
      </c>
      <c r="B32" s="116" t="s">
        <v>34</v>
      </c>
      <c r="C32" s="108" t="s">
        <v>572</v>
      </c>
      <c r="D32" s="248">
        <v>1031</v>
      </c>
      <c r="E32">
        <f t="shared" si="0"/>
        <v>29</v>
      </c>
    </row>
    <row r="33" spans="1:5" x14ac:dyDescent="0.25">
      <c r="A33" s="247" t="s">
        <v>221</v>
      </c>
      <c r="B33" s="116" t="s">
        <v>34</v>
      </c>
      <c r="C33" s="108" t="s">
        <v>220</v>
      </c>
      <c r="D33" s="248">
        <v>381</v>
      </c>
      <c r="E33">
        <f t="shared" si="0"/>
        <v>30</v>
      </c>
    </row>
    <row r="34" spans="1:5" x14ac:dyDescent="0.25">
      <c r="A34" s="247" t="s">
        <v>253</v>
      </c>
      <c r="B34" s="116" t="s">
        <v>34</v>
      </c>
      <c r="C34" s="108" t="s">
        <v>252</v>
      </c>
      <c r="D34" s="248">
        <v>506</v>
      </c>
      <c r="E34">
        <f t="shared" si="0"/>
        <v>31</v>
      </c>
    </row>
    <row r="35" spans="1:5" x14ac:dyDescent="0.25">
      <c r="A35" s="247" t="s">
        <v>211</v>
      </c>
      <c r="B35" s="116" t="s">
        <v>34</v>
      </c>
      <c r="C35" s="108" t="s">
        <v>210</v>
      </c>
      <c r="D35" s="248">
        <v>366</v>
      </c>
      <c r="E35">
        <f t="shared" si="0"/>
        <v>32</v>
      </c>
    </row>
    <row r="36" spans="1:5" x14ac:dyDescent="0.25">
      <c r="A36" s="247" t="s">
        <v>589</v>
      </c>
      <c r="B36" s="116" t="s">
        <v>34</v>
      </c>
      <c r="C36" s="108" t="s">
        <v>588</v>
      </c>
      <c r="D36" s="248">
        <v>1063</v>
      </c>
      <c r="E36">
        <f t="shared" si="0"/>
        <v>33</v>
      </c>
    </row>
    <row r="37" spans="1:5" x14ac:dyDescent="0.25">
      <c r="A37" s="247" t="s">
        <v>177</v>
      </c>
      <c r="B37" s="116" t="s">
        <v>34</v>
      </c>
      <c r="C37" s="108" t="s">
        <v>176</v>
      </c>
      <c r="D37" s="248">
        <v>291</v>
      </c>
      <c r="E37">
        <f t="shared" si="0"/>
        <v>34</v>
      </c>
    </row>
    <row r="38" spans="1:5" x14ac:dyDescent="0.25">
      <c r="A38" s="247" t="s">
        <v>63</v>
      </c>
      <c r="B38" s="116" t="s">
        <v>34</v>
      </c>
      <c r="C38" s="108" t="s">
        <v>62</v>
      </c>
      <c r="D38" s="248">
        <v>96</v>
      </c>
      <c r="E38">
        <f t="shared" si="0"/>
        <v>35</v>
      </c>
    </row>
    <row r="39" spans="1:5" x14ac:dyDescent="0.25">
      <c r="A39" s="247" t="s">
        <v>33</v>
      </c>
      <c r="B39" s="116" t="s">
        <v>34</v>
      </c>
      <c r="C39" s="108" t="s">
        <v>32</v>
      </c>
      <c r="D39" s="248">
        <v>45</v>
      </c>
      <c r="E39">
        <f t="shared" si="0"/>
        <v>36</v>
      </c>
    </row>
    <row r="40" spans="1:5" x14ac:dyDescent="0.25">
      <c r="A40" s="247" t="s">
        <v>457</v>
      </c>
      <c r="B40" s="116" t="s">
        <v>34</v>
      </c>
      <c r="C40" s="108" t="s">
        <v>456</v>
      </c>
      <c r="D40" s="248">
        <v>812</v>
      </c>
      <c r="E40">
        <f t="shared" si="0"/>
        <v>37</v>
      </c>
    </row>
    <row r="41" spans="1:5" x14ac:dyDescent="0.25">
      <c r="A41" s="247" t="s">
        <v>155</v>
      </c>
      <c r="B41" s="116" t="s">
        <v>34</v>
      </c>
      <c r="C41" s="249" t="s">
        <v>154</v>
      </c>
      <c r="D41" s="248">
        <v>261</v>
      </c>
      <c r="E41">
        <f t="shared" si="0"/>
        <v>38</v>
      </c>
    </row>
    <row r="42" spans="1:5" x14ac:dyDescent="0.25">
      <c r="A42" s="513">
        <v>6901</v>
      </c>
      <c r="B42" s="432" t="s">
        <v>1039</v>
      </c>
      <c r="C42" s="454" t="s">
        <v>1206</v>
      </c>
      <c r="D42" s="527">
        <v>4309</v>
      </c>
      <c r="E42">
        <f t="shared" si="0"/>
        <v>39</v>
      </c>
    </row>
    <row r="43" spans="1:5" x14ac:dyDescent="0.25">
      <c r="A43" s="247" t="s">
        <v>133</v>
      </c>
      <c r="B43" s="116" t="s">
        <v>26</v>
      </c>
      <c r="C43" s="108" t="s">
        <v>132</v>
      </c>
      <c r="D43" s="248">
        <v>225</v>
      </c>
      <c r="E43">
        <f t="shared" si="0"/>
        <v>40</v>
      </c>
    </row>
    <row r="44" spans="1:5" x14ac:dyDescent="0.25">
      <c r="A44" s="247" t="s">
        <v>521</v>
      </c>
      <c r="B44" s="116" t="s">
        <v>26</v>
      </c>
      <c r="C44" s="108" t="s">
        <v>520</v>
      </c>
      <c r="D44" s="248">
        <v>933</v>
      </c>
      <c r="E44">
        <f t="shared" si="0"/>
        <v>41</v>
      </c>
    </row>
    <row r="45" spans="1:5" x14ac:dyDescent="0.25">
      <c r="A45" s="247" t="s">
        <v>273</v>
      </c>
      <c r="B45" s="116" t="s">
        <v>34</v>
      </c>
      <c r="C45" s="108" t="s">
        <v>272</v>
      </c>
      <c r="D45" s="248">
        <v>550</v>
      </c>
      <c r="E45">
        <f t="shared" si="0"/>
        <v>42</v>
      </c>
    </row>
    <row r="46" spans="1:5" x14ac:dyDescent="0.25">
      <c r="A46" s="247" t="s">
        <v>559</v>
      </c>
      <c r="B46" s="116" t="s">
        <v>34</v>
      </c>
      <c r="C46" s="108" t="s">
        <v>558</v>
      </c>
      <c r="D46" s="248">
        <v>994</v>
      </c>
      <c r="E46">
        <f t="shared" si="0"/>
        <v>43</v>
      </c>
    </row>
    <row r="47" spans="1:5" x14ac:dyDescent="0.25">
      <c r="A47" s="247" t="s">
        <v>73</v>
      </c>
      <c r="B47" s="116" t="s">
        <v>34</v>
      </c>
      <c r="C47" s="108" t="s">
        <v>72</v>
      </c>
      <c r="D47" s="248">
        <v>108</v>
      </c>
      <c r="E47">
        <f t="shared" si="0"/>
        <v>44</v>
      </c>
    </row>
    <row r="48" spans="1:5" x14ac:dyDescent="0.25">
      <c r="A48" s="247" t="s">
        <v>235</v>
      </c>
      <c r="B48" s="116" t="s">
        <v>34</v>
      </c>
      <c r="C48" s="108" t="s">
        <v>234</v>
      </c>
      <c r="D48" s="248">
        <v>424</v>
      </c>
      <c r="E48">
        <f t="shared" si="0"/>
        <v>45</v>
      </c>
    </row>
    <row r="49" spans="1:5" x14ac:dyDescent="0.25">
      <c r="A49" s="247" t="s">
        <v>621</v>
      </c>
      <c r="B49" s="116" t="s">
        <v>34</v>
      </c>
      <c r="C49" s="108" t="s">
        <v>620</v>
      </c>
      <c r="D49" s="248">
        <v>1113</v>
      </c>
      <c r="E49">
        <f t="shared" si="0"/>
        <v>46</v>
      </c>
    </row>
    <row r="50" spans="1:5" x14ac:dyDescent="0.25">
      <c r="A50" s="247" t="s">
        <v>239</v>
      </c>
      <c r="B50" s="116" t="s">
        <v>34</v>
      </c>
      <c r="C50" s="108" t="s">
        <v>238</v>
      </c>
      <c r="D50" s="248">
        <v>428</v>
      </c>
      <c r="E50">
        <f t="shared" si="0"/>
        <v>47</v>
      </c>
    </row>
    <row r="51" spans="1:5" x14ac:dyDescent="0.25">
      <c r="A51" s="247" t="s">
        <v>395</v>
      </c>
      <c r="B51" s="116" t="s">
        <v>55</v>
      </c>
      <c r="C51" s="108" t="s">
        <v>394</v>
      </c>
      <c r="D51" s="248">
        <v>686</v>
      </c>
      <c r="E51">
        <f t="shared" si="0"/>
        <v>48</v>
      </c>
    </row>
    <row r="52" spans="1:5" x14ac:dyDescent="0.25">
      <c r="A52" s="247" t="s">
        <v>57</v>
      </c>
      <c r="B52" s="116" t="s">
        <v>55</v>
      </c>
      <c r="C52" s="108" t="s">
        <v>56</v>
      </c>
      <c r="D52" s="248">
        <v>87</v>
      </c>
      <c r="E52">
        <f t="shared" si="0"/>
        <v>49</v>
      </c>
    </row>
    <row r="53" spans="1:5" x14ac:dyDescent="0.25">
      <c r="A53" s="247" t="s">
        <v>403</v>
      </c>
      <c r="B53" s="116" t="s">
        <v>55</v>
      </c>
      <c r="C53" s="108" t="s">
        <v>402</v>
      </c>
      <c r="D53" s="248">
        <v>701</v>
      </c>
      <c r="E53">
        <f t="shared" si="0"/>
        <v>50</v>
      </c>
    </row>
    <row r="54" spans="1:5" x14ac:dyDescent="0.25">
      <c r="A54" s="247" t="s">
        <v>145</v>
      </c>
      <c r="B54" s="116" t="s">
        <v>55</v>
      </c>
      <c r="C54" s="108" t="s">
        <v>144</v>
      </c>
      <c r="D54" s="248">
        <v>249</v>
      </c>
      <c r="E54">
        <f t="shared" si="0"/>
        <v>51</v>
      </c>
    </row>
    <row r="55" spans="1:5" x14ac:dyDescent="0.25">
      <c r="A55" s="247" t="s">
        <v>285</v>
      </c>
      <c r="B55" s="116" t="s">
        <v>55</v>
      </c>
      <c r="C55" s="108" t="s">
        <v>284</v>
      </c>
      <c r="D55" s="248">
        <v>562</v>
      </c>
      <c r="E55">
        <f t="shared" si="0"/>
        <v>52</v>
      </c>
    </row>
    <row r="56" spans="1:5" x14ac:dyDescent="0.25">
      <c r="A56" s="247" t="s">
        <v>593</v>
      </c>
      <c r="B56" s="116" t="s">
        <v>55</v>
      </c>
      <c r="C56" s="108" t="s">
        <v>592</v>
      </c>
      <c r="D56" s="248">
        <v>1067</v>
      </c>
      <c r="E56">
        <f t="shared" si="0"/>
        <v>53</v>
      </c>
    </row>
    <row r="57" spans="1:5" x14ac:dyDescent="0.25">
      <c r="A57" s="247" t="s">
        <v>237</v>
      </c>
      <c r="B57" s="116" t="s">
        <v>18</v>
      </c>
      <c r="C57" s="108" t="s">
        <v>236</v>
      </c>
      <c r="D57" s="248">
        <v>425</v>
      </c>
      <c r="E57">
        <f t="shared" si="0"/>
        <v>54</v>
      </c>
    </row>
    <row r="58" spans="1:5" x14ac:dyDescent="0.25">
      <c r="A58" s="247" t="s">
        <v>123</v>
      </c>
      <c r="B58" s="116" t="s">
        <v>18</v>
      </c>
      <c r="C58" s="108" t="s">
        <v>122</v>
      </c>
      <c r="D58" s="248">
        <v>214</v>
      </c>
      <c r="E58">
        <f t="shared" si="0"/>
        <v>55</v>
      </c>
    </row>
    <row r="59" spans="1:5" x14ac:dyDescent="0.25">
      <c r="A59" s="247" t="s">
        <v>393</v>
      </c>
      <c r="B59" s="116" t="s">
        <v>18</v>
      </c>
      <c r="C59" s="108" t="s">
        <v>392</v>
      </c>
      <c r="D59" s="248">
        <v>685</v>
      </c>
      <c r="E59">
        <f t="shared" si="0"/>
        <v>56</v>
      </c>
    </row>
    <row r="60" spans="1:5" x14ac:dyDescent="0.25">
      <c r="A60" s="247" t="s">
        <v>227</v>
      </c>
      <c r="B60" s="116" t="s">
        <v>18</v>
      </c>
      <c r="C60" s="108" t="s">
        <v>226</v>
      </c>
      <c r="D60" s="248">
        <v>396</v>
      </c>
      <c r="E60">
        <f t="shared" si="0"/>
        <v>57</v>
      </c>
    </row>
    <row r="61" spans="1:5" x14ac:dyDescent="0.25">
      <c r="A61" s="247" t="s">
        <v>453</v>
      </c>
      <c r="B61" s="116" t="s">
        <v>18</v>
      </c>
      <c r="C61" s="108" t="s">
        <v>452</v>
      </c>
      <c r="D61" s="248">
        <v>805</v>
      </c>
      <c r="E61">
        <f t="shared" si="0"/>
        <v>58</v>
      </c>
    </row>
    <row r="62" spans="1:5" x14ac:dyDescent="0.25">
      <c r="A62" s="247" t="s">
        <v>407</v>
      </c>
      <c r="B62" s="116" t="s">
        <v>26</v>
      </c>
      <c r="C62" s="108" t="s">
        <v>406</v>
      </c>
      <c r="D62" s="248">
        <v>709</v>
      </c>
      <c r="E62">
        <f t="shared" si="0"/>
        <v>59</v>
      </c>
    </row>
    <row r="63" spans="1:5" x14ac:dyDescent="0.25">
      <c r="A63" s="247" t="s">
        <v>347</v>
      </c>
      <c r="B63" s="116" t="s">
        <v>26</v>
      </c>
      <c r="C63" s="108" t="s">
        <v>346</v>
      </c>
      <c r="D63" s="248">
        <v>648</v>
      </c>
      <c r="E63">
        <f t="shared" si="0"/>
        <v>60</v>
      </c>
    </row>
    <row r="64" spans="1:5" x14ac:dyDescent="0.25">
      <c r="A64" s="247" t="s">
        <v>519</v>
      </c>
      <c r="B64" s="116" t="s">
        <v>26</v>
      </c>
      <c r="C64" s="108" t="s">
        <v>518</v>
      </c>
      <c r="D64" s="248">
        <v>932</v>
      </c>
      <c r="E64">
        <f t="shared" si="0"/>
        <v>61</v>
      </c>
    </row>
    <row r="65" spans="1:5" x14ac:dyDescent="0.25">
      <c r="A65" s="247" t="s">
        <v>233</v>
      </c>
      <c r="B65" s="116" t="s">
        <v>26</v>
      </c>
      <c r="C65" s="108" t="s">
        <v>232</v>
      </c>
      <c r="D65" s="248">
        <v>421</v>
      </c>
      <c r="E65">
        <f t="shared" si="0"/>
        <v>62</v>
      </c>
    </row>
    <row r="66" spans="1:5" x14ac:dyDescent="0.25">
      <c r="A66" s="247" t="s">
        <v>159</v>
      </c>
      <c r="B66" s="116">
        <v>123</v>
      </c>
      <c r="C66" s="249" t="s">
        <v>158</v>
      </c>
      <c r="D66" s="248">
        <v>265</v>
      </c>
      <c r="E66">
        <f t="shared" si="0"/>
        <v>63</v>
      </c>
    </row>
    <row r="67" spans="1:5" x14ac:dyDescent="0.25">
      <c r="A67" s="247" t="s">
        <v>419</v>
      </c>
      <c r="B67" s="116" t="s">
        <v>26</v>
      </c>
      <c r="C67" s="108" t="s">
        <v>418</v>
      </c>
      <c r="D67" s="248">
        <v>750</v>
      </c>
      <c r="E67">
        <f t="shared" si="0"/>
        <v>64</v>
      </c>
    </row>
    <row r="68" spans="1:5" x14ac:dyDescent="0.25">
      <c r="A68" s="247" t="s">
        <v>579</v>
      </c>
      <c r="B68" s="116" t="s">
        <v>45</v>
      </c>
      <c r="C68" s="108" t="s">
        <v>578</v>
      </c>
      <c r="D68" s="248">
        <v>1044</v>
      </c>
      <c r="E68">
        <f t="shared" si="0"/>
        <v>65</v>
      </c>
    </row>
    <row r="69" spans="1:5" x14ac:dyDescent="0.25">
      <c r="A69" s="247" t="s">
        <v>443</v>
      </c>
      <c r="B69" s="116" t="s">
        <v>55</v>
      </c>
      <c r="C69" s="108" t="s">
        <v>442</v>
      </c>
      <c r="D69" s="248">
        <v>790</v>
      </c>
      <c r="E69">
        <f t="shared" si="0"/>
        <v>66</v>
      </c>
    </row>
    <row r="70" spans="1:5" x14ac:dyDescent="0.25">
      <c r="A70" s="247" t="s">
        <v>587</v>
      </c>
      <c r="B70" s="116" t="s">
        <v>55</v>
      </c>
      <c r="C70" s="108" t="s">
        <v>586</v>
      </c>
      <c r="D70" s="248">
        <v>1059</v>
      </c>
      <c r="E70">
        <f t="shared" ref="E70:E133" si="1">+E69+1</f>
        <v>67</v>
      </c>
    </row>
    <row r="71" spans="1:5" x14ac:dyDescent="0.25">
      <c r="A71" s="247" t="s">
        <v>115</v>
      </c>
      <c r="B71" s="116" t="s">
        <v>55</v>
      </c>
      <c r="C71" s="108" t="s">
        <v>114</v>
      </c>
      <c r="D71" s="248">
        <v>197</v>
      </c>
      <c r="E71">
        <f t="shared" si="1"/>
        <v>68</v>
      </c>
    </row>
    <row r="72" spans="1:5" x14ac:dyDescent="0.25">
      <c r="A72" s="247" t="s">
        <v>503</v>
      </c>
      <c r="B72" s="116" t="s">
        <v>55</v>
      </c>
      <c r="C72" s="108" t="s">
        <v>502</v>
      </c>
      <c r="D72" s="248">
        <v>905</v>
      </c>
      <c r="E72">
        <f t="shared" si="1"/>
        <v>69</v>
      </c>
    </row>
    <row r="73" spans="1:5" x14ac:dyDescent="0.25">
      <c r="A73" s="247" t="s">
        <v>471</v>
      </c>
      <c r="B73" s="116" t="s">
        <v>45</v>
      </c>
      <c r="C73" s="108" t="s">
        <v>470</v>
      </c>
      <c r="D73" s="248">
        <v>825</v>
      </c>
      <c r="E73">
        <f t="shared" si="1"/>
        <v>70</v>
      </c>
    </row>
    <row r="74" spans="1:5" x14ac:dyDescent="0.25">
      <c r="A74" s="247" t="s">
        <v>315</v>
      </c>
      <c r="B74" s="116" t="s">
        <v>55</v>
      </c>
      <c r="C74" s="108" t="s">
        <v>314</v>
      </c>
      <c r="D74" s="248">
        <v>611</v>
      </c>
      <c r="E74">
        <f t="shared" si="1"/>
        <v>71</v>
      </c>
    </row>
    <row r="75" spans="1:5" x14ac:dyDescent="0.25">
      <c r="A75" s="247" t="s">
        <v>171</v>
      </c>
      <c r="B75" s="116" t="s">
        <v>55</v>
      </c>
      <c r="C75" s="108" t="s">
        <v>170</v>
      </c>
      <c r="D75" s="248">
        <v>284</v>
      </c>
      <c r="E75">
        <f t="shared" si="1"/>
        <v>72</v>
      </c>
    </row>
    <row r="76" spans="1:5" x14ac:dyDescent="0.25">
      <c r="A76" s="247" t="s">
        <v>613</v>
      </c>
      <c r="B76" s="116" t="s">
        <v>55</v>
      </c>
      <c r="C76" s="108" t="s">
        <v>612</v>
      </c>
      <c r="D76" s="248">
        <v>1104</v>
      </c>
      <c r="E76">
        <f t="shared" si="1"/>
        <v>73</v>
      </c>
    </row>
    <row r="77" spans="1:5" x14ac:dyDescent="0.25">
      <c r="A77" s="247" t="s">
        <v>199</v>
      </c>
      <c r="B77" s="116" t="s">
        <v>55</v>
      </c>
      <c r="C77" s="108" t="s">
        <v>198</v>
      </c>
      <c r="D77" s="248">
        <v>339</v>
      </c>
      <c r="E77">
        <f t="shared" si="1"/>
        <v>74</v>
      </c>
    </row>
    <row r="78" spans="1:5" x14ac:dyDescent="0.25">
      <c r="A78" s="247" t="s">
        <v>12</v>
      </c>
      <c r="B78" s="116" t="s">
        <v>13</v>
      </c>
      <c r="C78" s="108" t="s">
        <v>11</v>
      </c>
      <c r="D78" s="248">
        <v>2</v>
      </c>
      <c r="E78">
        <f t="shared" si="1"/>
        <v>75</v>
      </c>
    </row>
    <row r="79" spans="1:5" x14ac:dyDescent="0.25">
      <c r="A79" s="247" t="s">
        <v>225</v>
      </c>
      <c r="B79" s="116" t="s">
        <v>13</v>
      </c>
      <c r="C79" s="108" t="s">
        <v>224</v>
      </c>
      <c r="D79" s="248">
        <v>385</v>
      </c>
      <c r="E79">
        <f t="shared" si="1"/>
        <v>76</v>
      </c>
    </row>
    <row r="80" spans="1:5" x14ac:dyDescent="0.25">
      <c r="A80" s="247" t="s">
        <v>343</v>
      </c>
      <c r="B80" s="116" t="s">
        <v>13</v>
      </c>
      <c r="C80" s="108" t="s">
        <v>342</v>
      </c>
      <c r="D80" s="248">
        <v>645</v>
      </c>
      <c r="E80">
        <f t="shared" si="1"/>
        <v>77</v>
      </c>
    </row>
    <row r="81" spans="1:5" x14ac:dyDescent="0.25">
      <c r="A81" s="247" t="s">
        <v>295</v>
      </c>
      <c r="B81" s="116" t="s">
        <v>13</v>
      </c>
      <c r="C81" s="108" t="s">
        <v>294</v>
      </c>
      <c r="D81" s="248">
        <v>577</v>
      </c>
      <c r="E81">
        <f t="shared" si="1"/>
        <v>78</v>
      </c>
    </row>
    <row r="82" spans="1:5" x14ac:dyDescent="0.25">
      <c r="A82" s="247" t="s">
        <v>311</v>
      </c>
      <c r="B82" s="116" t="s">
        <v>13</v>
      </c>
      <c r="C82" s="108" t="s">
        <v>310</v>
      </c>
      <c r="D82" s="248">
        <v>606</v>
      </c>
      <c r="E82">
        <f t="shared" si="1"/>
        <v>79</v>
      </c>
    </row>
    <row r="83" spans="1:5" x14ac:dyDescent="0.25">
      <c r="A83" s="247" t="s">
        <v>163</v>
      </c>
      <c r="B83" s="116" t="s">
        <v>13</v>
      </c>
      <c r="C83" s="108" t="s">
        <v>162</v>
      </c>
      <c r="D83" s="248">
        <v>272</v>
      </c>
      <c r="E83">
        <f t="shared" si="1"/>
        <v>80</v>
      </c>
    </row>
    <row r="84" spans="1:5" x14ac:dyDescent="0.25">
      <c r="A84" s="247" t="s">
        <v>541</v>
      </c>
      <c r="B84" s="116" t="s">
        <v>13</v>
      </c>
      <c r="C84" s="108" t="s">
        <v>540</v>
      </c>
      <c r="D84" s="248">
        <v>967</v>
      </c>
      <c r="E84">
        <f t="shared" si="1"/>
        <v>81</v>
      </c>
    </row>
    <row r="85" spans="1:5" x14ac:dyDescent="0.25">
      <c r="A85" s="247" t="s">
        <v>441</v>
      </c>
      <c r="B85" s="116" t="s">
        <v>13</v>
      </c>
      <c r="C85" s="108" t="s">
        <v>440</v>
      </c>
      <c r="D85" s="248">
        <v>788</v>
      </c>
      <c r="E85">
        <f t="shared" si="1"/>
        <v>82</v>
      </c>
    </row>
    <row r="86" spans="1:5" x14ac:dyDescent="0.25">
      <c r="A86" s="247" t="s">
        <v>113</v>
      </c>
      <c r="B86" s="116" t="s">
        <v>13</v>
      </c>
      <c r="C86" s="108" t="s">
        <v>112</v>
      </c>
      <c r="D86" s="248">
        <v>194</v>
      </c>
      <c r="E86">
        <f t="shared" si="1"/>
        <v>83</v>
      </c>
    </row>
    <row r="87" spans="1:5" x14ac:dyDescent="0.25">
      <c r="A87" s="247" t="s">
        <v>477</v>
      </c>
      <c r="B87" s="116" t="s">
        <v>13</v>
      </c>
      <c r="C87" s="108" t="s">
        <v>476</v>
      </c>
      <c r="D87" s="248">
        <v>834</v>
      </c>
      <c r="E87">
        <f t="shared" si="1"/>
        <v>84</v>
      </c>
    </row>
    <row r="88" spans="1:5" x14ac:dyDescent="0.25">
      <c r="A88" s="247" t="s">
        <v>617</v>
      </c>
      <c r="B88" s="116" t="s">
        <v>13</v>
      </c>
      <c r="C88" s="108" t="s">
        <v>616</v>
      </c>
      <c r="D88" s="248">
        <v>1109</v>
      </c>
      <c r="E88">
        <f t="shared" si="1"/>
        <v>85</v>
      </c>
    </row>
    <row r="89" spans="1:5" x14ac:dyDescent="0.25">
      <c r="A89" s="247" t="s">
        <v>373</v>
      </c>
      <c r="B89" s="116" t="s">
        <v>13</v>
      </c>
      <c r="C89" s="108" t="s">
        <v>372</v>
      </c>
      <c r="D89" s="248">
        <v>663</v>
      </c>
      <c r="E89">
        <f t="shared" si="1"/>
        <v>86</v>
      </c>
    </row>
    <row r="90" spans="1:5" x14ac:dyDescent="0.25">
      <c r="A90" s="247" t="s">
        <v>369</v>
      </c>
      <c r="B90" s="116" t="s">
        <v>13</v>
      </c>
      <c r="C90" s="108" t="s">
        <v>368</v>
      </c>
      <c r="D90" s="248">
        <v>660</v>
      </c>
      <c r="E90">
        <f t="shared" si="1"/>
        <v>87</v>
      </c>
    </row>
    <row r="91" spans="1:5" x14ac:dyDescent="0.25">
      <c r="A91" s="247" t="s">
        <v>365</v>
      </c>
      <c r="B91" s="116" t="s">
        <v>21</v>
      </c>
      <c r="C91" s="108" t="s">
        <v>364</v>
      </c>
      <c r="D91" s="248">
        <v>656</v>
      </c>
      <c r="E91">
        <f t="shared" si="1"/>
        <v>88</v>
      </c>
    </row>
    <row r="92" spans="1:5" x14ac:dyDescent="0.25">
      <c r="A92" s="247" t="s">
        <v>117</v>
      </c>
      <c r="B92" s="116" t="s">
        <v>21</v>
      </c>
      <c r="C92" s="108" t="s">
        <v>116</v>
      </c>
      <c r="D92" s="248">
        <v>199</v>
      </c>
      <c r="E92">
        <f t="shared" si="1"/>
        <v>89</v>
      </c>
    </row>
    <row r="93" spans="1:5" x14ac:dyDescent="0.25">
      <c r="A93" s="247" t="s">
        <v>509</v>
      </c>
      <c r="B93" s="116" t="s">
        <v>21</v>
      </c>
      <c r="C93" s="108" t="s">
        <v>508</v>
      </c>
      <c r="D93" s="248">
        <v>903</v>
      </c>
      <c r="E93">
        <f t="shared" si="1"/>
        <v>90</v>
      </c>
    </row>
    <row r="94" spans="1:5" x14ac:dyDescent="0.25">
      <c r="A94" s="247" t="s">
        <v>435</v>
      </c>
      <c r="B94" s="116" t="s">
        <v>52</v>
      </c>
      <c r="C94" s="108" t="s">
        <v>434</v>
      </c>
      <c r="D94" s="248">
        <v>785</v>
      </c>
      <c r="E94">
        <f t="shared" si="1"/>
        <v>91</v>
      </c>
    </row>
    <row r="95" spans="1:5" x14ac:dyDescent="0.25">
      <c r="A95" s="247" t="s">
        <v>59</v>
      </c>
      <c r="B95" s="116" t="s">
        <v>52</v>
      </c>
      <c r="C95" s="108" t="s">
        <v>58</v>
      </c>
      <c r="D95" s="248">
        <v>89</v>
      </c>
      <c r="E95">
        <f t="shared" si="1"/>
        <v>92</v>
      </c>
    </row>
    <row r="96" spans="1:5" x14ac:dyDescent="0.25">
      <c r="A96" s="247" t="s">
        <v>437</v>
      </c>
      <c r="B96" s="116" t="s">
        <v>52</v>
      </c>
      <c r="C96" s="108" t="s">
        <v>436</v>
      </c>
      <c r="D96" s="248">
        <v>786</v>
      </c>
      <c r="E96">
        <f t="shared" si="1"/>
        <v>93</v>
      </c>
    </row>
    <row r="97" spans="1:5" x14ac:dyDescent="0.25">
      <c r="A97" s="247" t="s">
        <v>89</v>
      </c>
      <c r="B97" s="116" t="s">
        <v>52</v>
      </c>
      <c r="C97" s="108" t="s">
        <v>88</v>
      </c>
      <c r="D97" s="248">
        <v>137</v>
      </c>
      <c r="E97">
        <f t="shared" si="1"/>
        <v>94</v>
      </c>
    </row>
    <row r="98" spans="1:5" x14ac:dyDescent="0.25">
      <c r="A98" s="247" t="s">
        <v>423</v>
      </c>
      <c r="B98" s="116" t="s">
        <v>52</v>
      </c>
      <c r="C98" s="108" t="s">
        <v>422</v>
      </c>
      <c r="D98" s="248">
        <v>757</v>
      </c>
      <c r="E98">
        <f t="shared" si="1"/>
        <v>95</v>
      </c>
    </row>
    <row r="99" spans="1:5" x14ac:dyDescent="0.25">
      <c r="A99" s="247" t="s">
        <v>479</v>
      </c>
      <c r="B99" s="116" t="s">
        <v>29</v>
      </c>
      <c r="C99" s="108" t="s">
        <v>478</v>
      </c>
      <c r="D99" s="248">
        <v>844</v>
      </c>
      <c r="E99">
        <f t="shared" si="1"/>
        <v>96</v>
      </c>
    </row>
    <row r="100" spans="1:5" x14ac:dyDescent="0.25">
      <c r="A100" s="247" t="s">
        <v>181</v>
      </c>
      <c r="B100" s="116" t="s">
        <v>29</v>
      </c>
      <c r="C100" s="108" t="s">
        <v>180</v>
      </c>
      <c r="D100" s="248">
        <v>294</v>
      </c>
      <c r="E100">
        <f t="shared" si="1"/>
        <v>97</v>
      </c>
    </row>
    <row r="101" spans="1:5" x14ac:dyDescent="0.25">
      <c r="A101" s="247" t="s">
        <v>169</v>
      </c>
      <c r="B101" s="116" t="s">
        <v>29</v>
      </c>
      <c r="C101" s="108" t="s">
        <v>168</v>
      </c>
      <c r="D101" s="248">
        <v>280</v>
      </c>
      <c r="E101">
        <f t="shared" si="1"/>
        <v>98</v>
      </c>
    </row>
    <row r="102" spans="1:5" x14ac:dyDescent="0.25">
      <c r="A102" s="247" t="s">
        <v>301</v>
      </c>
      <c r="B102" s="116" t="s">
        <v>29</v>
      </c>
      <c r="C102" s="108" t="s">
        <v>300</v>
      </c>
      <c r="D102" s="248">
        <v>585</v>
      </c>
      <c r="E102">
        <f t="shared" si="1"/>
        <v>99</v>
      </c>
    </row>
    <row r="103" spans="1:5" x14ac:dyDescent="0.25">
      <c r="A103" s="247" t="s">
        <v>219</v>
      </c>
      <c r="B103" s="116" t="s">
        <v>29</v>
      </c>
      <c r="C103" s="108" t="s">
        <v>218</v>
      </c>
      <c r="D103" s="248">
        <v>378</v>
      </c>
      <c r="E103">
        <f t="shared" si="1"/>
        <v>100</v>
      </c>
    </row>
    <row r="104" spans="1:5" x14ac:dyDescent="0.25">
      <c r="A104" s="247" t="s">
        <v>575</v>
      </c>
      <c r="B104" s="116" t="s">
        <v>29</v>
      </c>
      <c r="C104" s="108" t="s">
        <v>574</v>
      </c>
      <c r="D104" s="248">
        <v>1032</v>
      </c>
      <c r="E104">
        <f t="shared" si="1"/>
        <v>101</v>
      </c>
    </row>
    <row r="105" spans="1:5" x14ac:dyDescent="0.25">
      <c r="A105" s="247" t="s">
        <v>451</v>
      </c>
      <c r="B105" s="116" t="s">
        <v>29</v>
      </c>
      <c r="C105" s="108" t="s">
        <v>450</v>
      </c>
      <c r="D105" s="248">
        <v>804</v>
      </c>
      <c r="E105">
        <f t="shared" si="1"/>
        <v>102</v>
      </c>
    </row>
    <row r="106" spans="1:5" x14ac:dyDescent="0.25">
      <c r="A106" s="247" t="s">
        <v>497</v>
      </c>
      <c r="B106" s="116" t="s">
        <v>29</v>
      </c>
      <c r="C106" s="108" t="s">
        <v>496</v>
      </c>
      <c r="D106" s="248">
        <v>878</v>
      </c>
      <c r="E106">
        <f t="shared" si="1"/>
        <v>103</v>
      </c>
    </row>
    <row r="107" spans="1:5" x14ac:dyDescent="0.25">
      <c r="A107" s="247" t="s">
        <v>36</v>
      </c>
      <c r="B107" s="116" t="s">
        <v>29</v>
      </c>
      <c r="C107" s="108" t="s">
        <v>35</v>
      </c>
      <c r="D107" s="248">
        <v>50</v>
      </c>
      <c r="E107">
        <f t="shared" si="1"/>
        <v>104</v>
      </c>
    </row>
    <row r="108" spans="1:5" x14ac:dyDescent="0.25">
      <c r="A108" s="247" t="s">
        <v>563</v>
      </c>
      <c r="B108" s="116" t="s">
        <v>29</v>
      </c>
      <c r="C108" s="108" t="s">
        <v>562</v>
      </c>
      <c r="D108" s="248">
        <v>909</v>
      </c>
      <c r="E108">
        <f t="shared" si="1"/>
        <v>105</v>
      </c>
    </row>
    <row r="109" spans="1:5" x14ac:dyDescent="0.25">
      <c r="A109" s="247" t="s">
        <v>463</v>
      </c>
      <c r="B109" s="116" t="s">
        <v>29</v>
      </c>
      <c r="C109" s="108" t="s">
        <v>462</v>
      </c>
      <c r="D109" s="248">
        <v>816</v>
      </c>
      <c r="E109">
        <f t="shared" si="1"/>
        <v>106</v>
      </c>
    </row>
    <row r="110" spans="1:5" x14ac:dyDescent="0.25">
      <c r="A110" s="247" t="s">
        <v>28</v>
      </c>
      <c r="B110" s="116" t="s">
        <v>29</v>
      </c>
      <c r="C110" s="108" t="s">
        <v>27</v>
      </c>
      <c r="D110" s="248">
        <v>39</v>
      </c>
      <c r="E110">
        <f t="shared" si="1"/>
        <v>107</v>
      </c>
    </row>
    <row r="111" spans="1:5" x14ac:dyDescent="0.25">
      <c r="A111" s="247" t="s">
        <v>543</v>
      </c>
      <c r="B111" s="116" t="s">
        <v>29</v>
      </c>
      <c r="C111" s="108" t="s">
        <v>542</v>
      </c>
      <c r="D111" s="248">
        <v>968</v>
      </c>
      <c r="E111">
        <f t="shared" si="1"/>
        <v>108</v>
      </c>
    </row>
    <row r="112" spans="1:5" x14ac:dyDescent="0.25">
      <c r="A112" s="247" t="s">
        <v>501</v>
      </c>
      <c r="B112" s="116" t="s">
        <v>29</v>
      </c>
      <c r="C112" s="108" t="s">
        <v>500</v>
      </c>
      <c r="D112" s="248">
        <v>902</v>
      </c>
      <c r="E112">
        <f t="shared" si="1"/>
        <v>109</v>
      </c>
    </row>
    <row r="113" spans="1:5" x14ac:dyDescent="0.25">
      <c r="A113" s="247" t="s">
        <v>231</v>
      </c>
      <c r="B113" s="116" t="s">
        <v>29</v>
      </c>
      <c r="C113" s="108" t="s">
        <v>230</v>
      </c>
      <c r="D113" s="248">
        <v>415</v>
      </c>
      <c r="E113">
        <f t="shared" si="1"/>
        <v>110</v>
      </c>
    </row>
    <row r="114" spans="1:5" x14ac:dyDescent="0.25">
      <c r="A114" s="247" t="s">
        <v>493</v>
      </c>
      <c r="B114" s="116" t="s">
        <v>29</v>
      </c>
      <c r="C114" s="108" t="s">
        <v>492</v>
      </c>
      <c r="D114" s="248">
        <v>865</v>
      </c>
      <c r="E114">
        <f t="shared" si="1"/>
        <v>111</v>
      </c>
    </row>
    <row r="115" spans="1:5" x14ac:dyDescent="0.25">
      <c r="A115" s="247" t="s">
        <v>263</v>
      </c>
      <c r="B115" s="116" t="s">
        <v>29</v>
      </c>
      <c r="C115" s="108" t="s">
        <v>262</v>
      </c>
      <c r="D115" s="248">
        <v>518</v>
      </c>
      <c r="E115">
        <f t="shared" si="1"/>
        <v>112</v>
      </c>
    </row>
    <row r="116" spans="1:5" x14ac:dyDescent="0.25">
      <c r="A116" s="247" t="s">
        <v>243</v>
      </c>
      <c r="B116" s="116" t="s">
        <v>29</v>
      </c>
      <c r="C116" s="108" t="s">
        <v>242</v>
      </c>
      <c r="D116" s="248">
        <v>435</v>
      </c>
      <c r="E116">
        <f t="shared" si="1"/>
        <v>113</v>
      </c>
    </row>
    <row r="117" spans="1:5" x14ac:dyDescent="0.25">
      <c r="A117" s="247" t="s">
        <v>361</v>
      </c>
      <c r="B117" s="116" t="s">
        <v>29</v>
      </c>
      <c r="C117" s="108" t="s">
        <v>360</v>
      </c>
      <c r="D117" s="248">
        <v>653</v>
      </c>
      <c r="E117">
        <f t="shared" si="1"/>
        <v>114</v>
      </c>
    </row>
    <row r="118" spans="1:5" x14ac:dyDescent="0.25">
      <c r="A118" s="247" t="s">
        <v>429</v>
      </c>
      <c r="B118" s="116">
        <v>121</v>
      </c>
      <c r="C118" s="249" t="s">
        <v>428</v>
      </c>
      <c r="D118" s="248">
        <v>264</v>
      </c>
      <c r="E118">
        <f t="shared" si="1"/>
        <v>115</v>
      </c>
    </row>
    <row r="119" spans="1:5" x14ac:dyDescent="0.25">
      <c r="A119" s="247" t="s">
        <v>1062</v>
      </c>
      <c r="B119" s="250" t="s">
        <v>1039</v>
      </c>
      <c r="C119" s="251" t="s">
        <v>1035</v>
      </c>
      <c r="D119" s="248">
        <v>2633</v>
      </c>
      <c r="E119">
        <f t="shared" si="1"/>
        <v>116</v>
      </c>
    </row>
    <row r="120" spans="1:5" x14ac:dyDescent="0.25">
      <c r="A120" s="247" t="s">
        <v>1059</v>
      </c>
      <c r="B120" s="250" t="s">
        <v>1039</v>
      </c>
      <c r="C120" s="251" t="s">
        <v>1032</v>
      </c>
      <c r="D120" s="248">
        <v>2630</v>
      </c>
      <c r="E120">
        <f t="shared" si="1"/>
        <v>117</v>
      </c>
    </row>
    <row r="121" spans="1:5" x14ac:dyDescent="0.25">
      <c r="A121" s="247" t="s">
        <v>1115</v>
      </c>
      <c r="B121" s="250" t="s">
        <v>1039</v>
      </c>
      <c r="C121" s="215" t="s">
        <v>1116</v>
      </c>
      <c r="D121" s="253">
        <v>3063</v>
      </c>
      <c r="E121">
        <f t="shared" si="1"/>
        <v>118</v>
      </c>
    </row>
    <row r="122" spans="1:5" x14ac:dyDescent="0.25">
      <c r="A122" s="458" t="s">
        <v>1179</v>
      </c>
      <c r="B122" s="432" t="s">
        <v>1039</v>
      </c>
      <c r="C122" s="454" t="s">
        <v>1180</v>
      </c>
      <c r="D122" s="494">
        <v>4263</v>
      </c>
      <c r="E122">
        <f t="shared" si="1"/>
        <v>119</v>
      </c>
    </row>
    <row r="123" spans="1:5" x14ac:dyDescent="0.25">
      <c r="A123" s="247" t="s">
        <v>51</v>
      </c>
      <c r="B123" s="116" t="s">
        <v>52</v>
      </c>
      <c r="C123" s="108" t="s">
        <v>50</v>
      </c>
      <c r="D123" s="248">
        <v>82</v>
      </c>
      <c r="E123">
        <f t="shared" si="1"/>
        <v>120</v>
      </c>
    </row>
    <row r="124" spans="1:5" x14ac:dyDescent="0.25">
      <c r="A124" s="247" t="s">
        <v>31</v>
      </c>
      <c r="B124" s="116" t="s">
        <v>29</v>
      </c>
      <c r="C124" s="108" t="s">
        <v>30</v>
      </c>
      <c r="D124" s="248">
        <v>42</v>
      </c>
      <c r="E124">
        <f t="shared" si="1"/>
        <v>121</v>
      </c>
    </row>
    <row r="125" spans="1:5" x14ac:dyDescent="0.25">
      <c r="A125" s="247" t="s">
        <v>349</v>
      </c>
      <c r="B125" s="116" t="s">
        <v>52</v>
      </c>
      <c r="C125" s="108" t="s">
        <v>348</v>
      </c>
      <c r="D125" s="248">
        <v>649</v>
      </c>
      <c r="E125">
        <f t="shared" si="1"/>
        <v>122</v>
      </c>
    </row>
    <row r="126" spans="1:5" x14ac:dyDescent="0.25">
      <c r="A126" s="247" t="s">
        <v>77</v>
      </c>
      <c r="B126" s="116" t="s">
        <v>52</v>
      </c>
      <c r="C126" s="108" t="s">
        <v>76</v>
      </c>
      <c r="D126" s="248">
        <v>114</v>
      </c>
      <c r="E126">
        <f t="shared" si="1"/>
        <v>123</v>
      </c>
    </row>
    <row r="127" spans="1:5" x14ac:dyDescent="0.25">
      <c r="A127" s="247" t="s">
        <v>507</v>
      </c>
      <c r="B127" s="116" t="s">
        <v>52</v>
      </c>
      <c r="C127" s="108" t="s">
        <v>506</v>
      </c>
      <c r="D127" s="248">
        <v>910</v>
      </c>
      <c r="E127">
        <f t="shared" si="1"/>
        <v>124</v>
      </c>
    </row>
    <row r="128" spans="1:5" x14ac:dyDescent="0.25">
      <c r="A128" s="247" t="s">
        <v>381</v>
      </c>
      <c r="B128" s="116">
        <v>114</v>
      </c>
      <c r="C128" s="249" t="s">
        <v>380</v>
      </c>
      <c r="D128" s="248">
        <v>263</v>
      </c>
      <c r="E128">
        <f t="shared" si="1"/>
        <v>125</v>
      </c>
    </row>
    <row r="129" spans="1:5" x14ac:dyDescent="0.25">
      <c r="A129" s="247" t="s">
        <v>1167</v>
      </c>
      <c r="B129" s="250" t="s">
        <v>1039</v>
      </c>
      <c r="C129" s="455" t="s">
        <v>1168</v>
      </c>
      <c r="D129" s="248">
        <v>4260</v>
      </c>
      <c r="E129">
        <f t="shared" si="1"/>
        <v>126</v>
      </c>
    </row>
    <row r="130" spans="1:5" x14ac:dyDescent="0.25">
      <c r="A130" s="247" t="s">
        <v>127</v>
      </c>
      <c r="B130" s="116" t="s">
        <v>45</v>
      </c>
      <c r="C130" s="108" t="s">
        <v>126</v>
      </c>
      <c r="D130" s="248">
        <v>218</v>
      </c>
      <c r="E130">
        <f t="shared" si="1"/>
        <v>127</v>
      </c>
    </row>
    <row r="131" spans="1:5" x14ac:dyDescent="0.25">
      <c r="A131" s="247" t="s">
        <v>147</v>
      </c>
      <c r="B131" s="116" t="s">
        <v>45</v>
      </c>
      <c r="C131" s="108" t="s">
        <v>146</v>
      </c>
      <c r="D131" s="248">
        <v>250</v>
      </c>
      <c r="E131">
        <f t="shared" si="1"/>
        <v>128</v>
      </c>
    </row>
    <row r="132" spans="1:5" x14ac:dyDescent="0.25">
      <c r="A132" s="247" t="s">
        <v>549</v>
      </c>
      <c r="B132" s="116" t="s">
        <v>45</v>
      </c>
      <c r="C132" s="108" t="s">
        <v>548</v>
      </c>
      <c r="D132" s="248">
        <v>975</v>
      </c>
      <c r="E132">
        <f t="shared" si="1"/>
        <v>129</v>
      </c>
    </row>
    <row r="133" spans="1:5" x14ac:dyDescent="0.25">
      <c r="A133" s="247" t="s">
        <v>161</v>
      </c>
      <c r="B133" s="116" t="s">
        <v>45</v>
      </c>
      <c r="C133" s="108" t="s">
        <v>160</v>
      </c>
      <c r="D133" s="248">
        <v>270</v>
      </c>
      <c r="E133">
        <f t="shared" si="1"/>
        <v>130</v>
      </c>
    </row>
    <row r="134" spans="1:5" x14ac:dyDescent="0.25">
      <c r="A134" s="247" t="s">
        <v>249</v>
      </c>
      <c r="B134" s="116" t="s">
        <v>45</v>
      </c>
      <c r="C134" s="108" t="s">
        <v>248</v>
      </c>
      <c r="D134" s="248">
        <v>501</v>
      </c>
      <c r="E134">
        <f t="shared" ref="E134:E197" si="2">+E133+1</f>
        <v>131</v>
      </c>
    </row>
    <row r="135" spans="1:5" x14ac:dyDescent="0.25">
      <c r="A135" s="247" t="s">
        <v>93</v>
      </c>
      <c r="B135" s="116" t="s">
        <v>45</v>
      </c>
      <c r="C135" s="108" t="s">
        <v>92</v>
      </c>
      <c r="D135" s="248">
        <v>158</v>
      </c>
      <c r="E135">
        <f t="shared" si="2"/>
        <v>132</v>
      </c>
    </row>
    <row r="136" spans="1:5" x14ac:dyDescent="0.25">
      <c r="A136" s="247" t="s">
        <v>619</v>
      </c>
      <c r="B136" s="116" t="s">
        <v>34</v>
      </c>
      <c r="C136" s="108" t="s">
        <v>618</v>
      </c>
      <c r="D136" s="248">
        <v>1110</v>
      </c>
      <c r="E136">
        <f t="shared" si="2"/>
        <v>133</v>
      </c>
    </row>
    <row r="137" spans="1:5" x14ac:dyDescent="0.25">
      <c r="A137" s="247" t="s">
        <v>44</v>
      </c>
      <c r="B137" s="116" t="s">
        <v>45</v>
      </c>
      <c r="C137" s="108" t="s">
        <v>43</v>
      </c>
      <c r="D137" s="248">
        <v>67</v>
      </c>
      <c r="E137">
        <f t="shared" si="2"/>
        <v>134</v>
      </c>
    </row>
    <row r="138" spans="1:5" x14ac:dyDescent="0.25">
      <c r="A138" s="247" t="s">
        <v>75</v>
      </c>
      <c r="B138" s="116" t="s">
        <v>34</v>
      </c>
      <c r="C138" s="108" t="s">
        <v>74</v>
      </c>
      <c r="D138" s="248">
        <v>113</v>
      </c>
      <c r="E138">
        <f t="shared" si="2"/>
        <v>135</v>
      </c>
    </row>
    <row r="139" spans="1:5" x14ac:dyDescent="0.25">
      <c r="A139" s="247" t="s">
        <v>561</v>
      </c>
      <c r="B139" s="116" t="s">
        <v>34</v>
      </c>
      <c r="C139" s="108" t="s">
        <v>560</v>
      </c>
      <c r="D139" s="248">
        <v>1000</v>
      </c>
      <c r="E139">
        <f t="shared" si="2"/>
        <v>136</v>
      </c>
    </row>
    <row r="140" spans="1:5" x14ac:dyDescent="0.25">
      <c r="A140" s="247" t="s">
        <v>195</v>
      </c>
      <c r="B140" s="116" t="s">
        <v>34</v>
      </c>
      <c r="C140" s="108" t="s">
        <v>194</v>
      </c>
      <c r="D140" s="248">
        <v>332</v>
      </c>
      <c r="E140">
        <f t="shared" si="2"/>
        <v>137</v>
      </c>
    </row>
    <row r="141" spans="1:5" x14ac:dyDescent="0.25">
      <c r="A141" s="247" t="s">
        <v>251</v>
      </c>
      <c r="B141" s="116" t="s">
        <v>34</v>
      </c>
      <c r="C141" s="108" t="s">
        <v>250</v>
      </c>
      <c r="D141" s="248">
        <v>505</v>
      </c>
      <c r="E141">
        <f t="shared" si="2"/>
        <v>138</v>
      </c>
    </row>
    <row r="142" spans="1:5" x14ac:dyDescent="0.25">
      <c r="A142" s="247" t="s">
        <v>467</v>
      </c>
      <c r="B142" s="116" t="s">
        <v>34</v>
      </c>
      <c r="C142" s="108" t="s">
        <v>466</v>
      </c>
      <c r="D142" s="248">
        <v>819</v>
      </c>
      <c r="E142">
        <f t="shared" si="2"/>
        <v>139</v>
      </c>
    </row>
    <row r="143" spans="1:5" x14ac:dyDescent="0.25">
      <c r="A143" s="247" t="s">
        <v>197</v>
      </c>
      <c r="B143" s="116" t="s">
        <v>45</v>
      </c>
      <c r="C143" s="108" t="s">
        <v>196</v>
      </c>
      <c r="D143" s="248">
        <v>335</v>
      </c>
      <c r="E143">
        <f t="shared" si="2"/>
        <v>140</v>
      </c>
    </row>
    <row r="144" spans="1:5" x14ac:dyDescent="0.25">
      <c r="A144" s="247" t="s">
        <v>607</v>
      </c>
      <c r="B144" s="116" t="s">
        <v>34</v>
      </c>
      <c r="C144" s="108" t="s">
        <v>606</v>
      </c>
      <c r="D144" s="248">
        <v>1093</v>
      </c>
      <c r="E144">
        <f t="shared" si="2"/>
        <v>141</v>
      </c>
    </row>
    <row r="145" spans="1:5" x14ac:dyDescent="0.25">
      <c r="A145" s="247" t="s">
        <v>279</v>
      </c>
      <c r="B145" s="116" t="s">
        <v>34</v>
      </c>
      <c r="C145" s="108" t="s">
        <v>278</v>
      </c>
      <c r="D145" s="248">
        <v>555</v>
      </c>
      <c r="E145">
        <f t="shared" si="2"/>
        <v>142</v>
      </c>
    </row>
    <row r="146" spans="1:5" x14ac:dyDescent="0.25">
      <c r="A146" s="247" t="s">
        <v>331</v>
      </c>
      <c r="B146" s="116" t="s">
        <v>13</v>
      </c>
      <c r="C146" s="108" t="s">
        <v>330</v>
      </c>
      <c r="D146" s="248">
        <v>632</v>
      </c>
      <c r="E146">
        <f t="shared" si="2"/>
        <v>143</v>
      </c>
    </row>
    <row r="147" spans="1:5" x14ac:dyDescent="0.25">
      <c r="A147" s="247" t="s">
        <v>173</v>
      </c>
      <c r="B147" s="116" t="s">
        <v>13</v>
      </c>
      <c r="C147" s="108" t="s">
        <v>172</v>
      </c>
      <c r="D147" s="248">
        <v>285</v>
      </c>
      <c r="E147">
        <f t="shared" si="2"/>
        <v>144</v>
      </c>
    </row>
    <row r="148" spans="1:5" x14ac:dyDescent="0.25">
      <c r="A148" s="247" t="s">
        <v>317</v>
      </c>
      <c r="B148" s="116" t="s">
        <v>13</v>
      </c>
      <c r="C148" s="108" t="s">
        <v>316</v>
      </c>
      <c r="D148" s="248">
        <v>613</v>
      </c>
      <c r="E148">
        <f t="shared" si="2"/>
        <v>145</v>
      </c>
    </row>
    <row r="149" spans="1:5" x14ac:dyDescent="0.25">
      <c r="A149" s="247" t="s">
        <v>313</v>
      </c>
      <c r="B149" s="116" t="s">
        <v>13</v>
      </c>
      <c r="C149" s="108" t="s">
        <v>312</v>
      </c>
      <c r="D149" s="248">
        <v>608</v>
      </c>
      <c r="E149">
        <f t="shared" si="2"/>
        <v>146</v>
      </c>
    </row>
    <row r="150" spans="1:5" x14ac:dyDescent="0.25">
      <c r="A150" s="247" t="s">
        <v>15</v>
      </c>
      <c r="B150" s="116" t="s">
        <v>13</v>
      </c>
      <c r="C150" s="108" t="s">
        <v>14</v>
      </c>
      <c r="D150" s="248">
        <v>10</v>
      </c>
      <c r="E150">
        <f t="shared" si="2"/>
        <v>147</v>
      </c>
    </row>
    <row r="151" spans="1:5" x14ac:dyDescent="0.25">
      <c r="A151" s="247" t="s">
        <v>615</v>
      </c>
      <c r="B151" s="116" t="s">
        <v>13</v>
      </c>
      <c r="C151" s="108" t="s">
        <v>614</v>
      </c>
      <c r="D151" s="248">
        <v>1106</v>
      </c>
      <c r="E151">
        <f t="shared" si="2"/>
        <v>148</v>
      </c>
    </row>
    <row r="152" spans="1:5" x14ac:dyDescent="0.25">
      <c r="A152" s="247" t="s">
        <v>49</v>
      </c>
      <c r="B152" s="116" t="s">
        <v>13</v>
      </c>
      <c r="C152" s="108" t="s">
        <v>48</v>
      </c>
      <c r="D152" s="248">
        <v>74</v>
      </c>
      <c r="E152">
        <f t="shared" si="2"/>
        <v>149</v>
      </c>
    </row>
    <row r="153" spans="1:5" x14ac:dyDescent="0.25">
      <c r="A153" s="247" t="s">
        <v>551</v>
      </c>
      <c r="B153" s="116" t="s">
        <v>13</v>
      </c>
      <c r="C153" s="108" t="s">
        <v>550</v>
      </c>
      <c r="D153" s="248">
        <v>988</v>
      </c>
      <c r="E153">
        <f t="shared" si="2"/>
        <v>150</v>
      </c>
    </row>
    <row r="154" spans="1:5" x14ac:dyDescent="0.25">
      <c r="A154" s="247" t="s">
        <v>385</v>
      </c>
      <c r="B154" s="116" t="s">
        <v>13</v>
      </c>
      <c r="C154" s="108" t="s">
        <v>384</v>
      </c>
      <c r="D154" s="248">
        <v>680</v>
      </c>
      <c r="E154">
        <f t="shared" si="2"/>
        <v>151</v>
      </c>
    </row>
    <row r="155" spans="1:5" x14ac:dyDescent="0.25">
      <c r="A155" s="247" t="s">
        <v>413</v>
      </c>
      <c r="B155" s="116" t="s">
        <v>13</v>
      </c>
      <c r="C155" s="108" t="s">
        <v>412</v>
      </c>
      <c r="D155" s="248">
        <v>714</v>
      </c>
      <c r="E155">
        <f t="shared" si="2"/>
        <v>152</v>
      </c>
    </row>
    <row r="156" spans="1:5" x14ac:dyDescent="0.25">
      <c r="A156" s="247" t="s">
        <v>83</v>
      </c>
      <c r="B156" s="116" t="s">
        <v>13</v>
      </c>
      <c r="C156" s="108" t="s">
        <v>82</v>
      </c>
      <c r="D156" s="248">
        <v>122</v>
      </c>
      <c r="E156">
        <f t="shared" si="2"/>
        <v>153</v>
      </c>
    </row>
    <row r="157" spans="1:5" x14ac:dyDescent="0.25">
      <c r="A157" s="247" t="s">
        <v>603</v>
      </c>
      <c r="B157" s="116" t="s">
        <v>13</v>
      </c>
      <c r="C157" s="108" t="s">
        <v>602</v>
      </c>
      <c r="D157" s="248">
        <v>1091</v>
      </c>
      <c r="E157">
        <f t="shared" si="2"/>
        <v>154</v>
      </c>
    </row>
    <row r="158" spans="1:5" x14ac:dyDescent="0.25">
      <c r="A158" s="247" t="s">
        <v>81</v>
      </c>
      <c r="B158" s="116" t="s">
        <v>13</v>
      </c>
      <c r="C158" s="108" t="s">
        <v>80</v>
      </c>
      <c r="D158" s="248">
        <v>119</v>
      </c>
      <c r="E158">
        <f t="shared" si="2"/>
        <v>155</v>
      </c>
    </row>
    <row r="159" spans="1:5" x14ac:dyDescent="0.25">
      <c r="A159" s="247" t="s">
        <v>515</v>
      </c>
      <c r="B159" s="116" t="s">
        <v>18</v>
      </c>
      <c r="C159" s="108" t="s">
        <v>514</v>
      </c>
      <c r="D159" s="248">
        <v>928</v>
      </c>
      <c r="E159">
        <f t="shared" si="2"/>
        <v>156</v>
      </c>
    </row>
    <row r="160" spans="1:5" x14ac:dyDescent="0.25">
      <c r="A160" s="247" t="s">
        <v>449</v>
      </c>
      <c r="B160" s="116" t="s">
        <v>18</v>
      </c>
      <c r="C160" s="108" t="s">
        <v>448</v>
      </c>
      <c r="D160" s="248">
        <v>798</v>
      </c>
      <c r="E160">
        <f t="shared" si="2"/>
        <v>157</v>
      </c>
    </row>
    <row r="161" spans="1:5" x14ac:dyDescent="0.25">
      <c r="A161" s="247" t="s">
        <v>17</v>
      </c>
      <c r="B161" s="116" t="s">
        <v>18</v>
      </c>
      <c r="C161" s="108" t="s">
        <v>16</v>
      </c>
      <c r="D161" s="248">
        <v>17</v>
      </c>
      <c r="E161">
        <f t="shared" si="2"/>
        <v>158</v>
      </c>
    </row>
    <row r="162" spans="1:5" x14ac:dyDescent="0.25">
      <c r="A162" s="247" t="s">
        <v>121</v>
      </c>
      <c r="B162" s="116" t="s">
        <v>18</v>
      </c>
      <c r="C162" s="108" t="s">
        <v>120</v>
      </c>
      <c r="D162" s="248">
        <v>211</v>
      </c>
      <c r="E162">
        <f t="shared" si="2"/>
        <v>159</v>
      </c>
    </row>
    <row r="163" spans="1:5" x14ac:dyDescent="0.25">
      <c r="A163" s="247" t="s">
        <v>375</v>
      </c>
      <c r="B163" s="116" t="s">
        <v>18</v>
      </c>
      <c r="C163" s="108" t="s">
        <v>374</v>
      </c>
      <c r="D163" s="248">
        <v>664</v>
      </c>
      <c r="E163">
        <f t="shared" si="2"/>
        <v>160</v>
      </c>
    </row>
    <row r="164" spans="1:5" x14ac:dyDescent="0.25">
      <c r="A164" s="247" t="s">
        <v>609</v>
      </c>
      <c r="B164" s="116" t="s">
        <v>18</v>
      </c>
      <c r="C164" s="108" t="s">
        <v>608</v>
      </c>
      <c r="D164" s="248">
        <v>1099</v>
      </c>
      <c r="E164">
        <f t="shared" si="2"/>
        <v>161</v>
      </c>
    </row>
    <row r="165" spans="1:5" x14ac:dyDescent="0.25">
      <c r="A165" s="247" t="s">
        <v>215</v>
      </c>
      <c r="B165" s="116" t="s">
        <v>18</v>
      </c>
      <c r="C165" s="108" t="s">
        <v>214</v>
      </c>
      <c r="D165" s="248">
        <v>369</v>
      </c>
      <c r="E165">
        <f t="shared" si="2"/>
        <v>162</v>
      </c>
    </row>
    <row r="166" spans="1:5" x14ac:dyDescent="0.25">
      <c r="A166" s="247" t="s">
        <v>131</v>
      </c>
      <c r="B166" s="116" t="s">
        <v>18</v>
      </c>
      <c r="C166" s="108" t="s">
        <v>130</v>
      </c>
      <c r="D166" s="248">
        <v>223</v>
      </c>
      <c r="E166">
        <f t="shared" si="2"/>
        <v>163</v>
      </c>
    </row>
    <row r="167" spans="1:5" x14ac:dyDescent="0.25">
      <c r="A167" s="247" t="s">
        <v>511</v>
      </c>
      <c r="B167" s="116" t="s">
        <v>13</v>
      </c>
      <c r="C167" s="108" t="s">
        <v>510</v>
      </c>
      <c r="D167" s="248">
        <v>911</v>
      </c>
      <c r="E167">
        <f t="shared" si="2"/>
        <v>164</v>
      </c>
    </row>
    <row r="168" spans="1:5" x14ac:dyDescent="0.25">
      <c r="A168" s="247" t="s">
        <v>207</v>
      </c>
      <c r="B168" s="116" t="s">
        <v>13</v>
      </c>
      <c r="C168" s="108" t="s">
        <v>206</v>
      </c>
      <c r="D168" s="248">
        <v>356</v>
      </c>
      <c r="E168">
        <f t="shared" si="2"/>
        <v>165</v>
      </c>
    </row>
    <row r="169" spans="1:5" x14ac:dyDescent="0.25">
      <c r="A169" s="247" t="s">
        <v>491</v>
      </c>
      <c r="B169" s="116" t="s">
        <v>13</v>
      </c>
      <c r="C169" s="108" t="s">
        <v>490</v>
      </c>
      <c r="D169" s="248">
        <v>863</v>
      </c>
      <c r="E169">
        <f t="shared" si="2"/>
        <v>166</v>
      </c>
    </row>
    <row r="170" spans="1:5" x14ac:dyDescent="0.25">
      <c r="A170" s="247" t="s">
        <v>289</v>
      </c>
      <c r="B170" s="116" t="s">
        <v>13</v>
      </c>
      <c r="C170" s="108" t="s">
        <v>288</v>
      </c>
      <c r="D170" s="248">
        <v>567</v>
      </c>
      <c r="E170">
        <f t="shared" si="2"/>
        <v>167</v>
      </c>
    </row>
    <row r="171" spans="1:5" x14ac:dyDescent="0.25">
      <c r="A171" s="247" t="s">
        <v>417</v>
      </c>
      <c r="B171" s="116" t="s">
        <v>13</v>
      </c>
      <c r="C171" s="108" t="s">
        <v>416</v>
      </c>
      <c r="D171" s="248">
        <v>747</v>
      </c>
      <c r="E171">
        <f t="shared" si="2"/>
        <v>168</v>
      </c>
    </row>
    <row r="172" spans="1:5" x14ac:dyDescent="0.25">
      <c r="A172" s="247" t="s">
        <v>351</v>
      </c>
      <c r="B172" s="116" t="s">
        <v>52</v>
      </c>
      <c r="C172" s="108" t="s">
        <v>350</v>
      </c>
      <c r="D172" s="248">
        <v>650</v>
      </c>
      <c r="E172">
        <f t="shared" si="2"/>
        <v>169</v>
      </c>
    </row>
    <row r="173" spans="1:5" x14ac:dyDescent="0.25">
      <c r="A173" s="247" t="s">
        <v>223</v>
      </c>
      <c r="B173" s="116" t="s">
        <v>13</v>
      </c>
      <c r="C173" s="108" t="s">
        <v>222</v>
      </c>
      <c r="D173" s="248">
        <v>382</v>
      </c>
      <c r="E173">
        <f t="shared" si="2"/>
        <v>170</v>
      </c>
    </row>
    <row r="174" spans="1:5" x14ac:dyDescent="0.25">
      <c r="A174" s="247" t="s">
        <v>335</v>
      </c>
      <c r="B174" s="116" t="s">
        <v>55</v>
      </c>
      <c r="C174" s="108" t="s">
        <v>334</v>
      </c>
      <c r="D174" s="248">
        <v>637</v>
      </c>
      <c r="E174">
        <f t="shared" si="2"/>
        <v>171</v>
      </c>
    </row>
    <row r="175" spans="1:5" x14ac:dyDescent="0.25">
      <c r="A175" s="247" t="s">
        <v>383</v>
      </c>
      <c r="B175" s="116" t="s">
        <v>55</v>
      </c>
      <c r="C175" s="108" t="s">
        <v>382</v>
      </c>
      <c r="D175" s="248">
        <v>679</v>
      </c>
      <c r="E175">
        <f t="shared" si="2"/>
        <v>172</v>
      </c>
    </row>
    <row r="176" spans="1:5" x14ac:dyDescent="0.25">
      <c r="A176" s="247" t="s">
        <v>377</v>
      </c>
      <c r="B176" s="116" t="s">
        <v>55</v>
      </c>
      <c r="C176" s="108" t="s">
        <v>376</v>
      </c>
      <c r="D176" s="248">
        <v>670</v>
      </c>
      <c r="E176">
        <f t="shared" si="2"/>
        <v>173</v>
      </c>
    </row>
    <row r="177" spans="1:5" x14ac:dyDescent="0.25">
      <c r="A177" s="247" t="s">
        <v>54</v>
      </c>
      <c r="B177" s="116" t="s">
        <v>55</v>
      </c>
      <c r="C177" s="108" t="s">
        <v>53</v>
      </c>
      <c r="D177" s="248">
        <v>84</v>
      </c>
      <c r="E177">
        <f t="shared" si="2"/>
        <v>174</v>
      </c>
    </row>
    <row r="178" spans="1:5" x14ac:dyDescent="0.25">
      <c r="A178" s="247" t="s">
        <v>409</v>
      </c>
      <c r="B178" s="116" t="s">
        <v>55</v>
      </c>
      <c r="C178" s="108" t="s">
        <v>408</v>
      </c>
      <c r="D178" s="248">
        <v>710</v>
      </c>
      <c r="E178">
        <f t="shared" si="2"/>
        <v>175</v>
      </c>
    </row>
    <row r="179" spans="1:5" x14ac:dyDescent="0.25">
      <c r="A179" s="247" t="s">
        <v>305</v>
      </c>
      <c r="B179" s="116" t="s">
        <v>55</v>
      </c>
      <c r="C179" s="108" t="s">
        <v>304</v>
      </c>
      <c r="D179" s="248">
        <v>588</v>
      </c>
      <c r="E179">
        <f t="shared" si="2"/>
        <v>176</v>
      </c>
    </row>
    <row r="180" spans="1:5" x14ac:dyDescent="0.25">
      <c r="A180" s="247" t="s">
        <v>553</v>
      </c>
      <c r="B180" s="116" t="s">
        <v>55</v>
      </c>
      <c r="C180" s="108" t="s">
        <v>552</v>
      </c>
      <c r="D180" s="248">
        <v>989</v>
      </c>
      <c r="E180">
        <f t="shared" si="2"/>
        <v>177</v>
      </c>
    </row>
    <row r="181" spans="1:5" x14ac:dyDescent="0.25">
      <c r="A181" s="247" t="s">
        <v>397</v>
      </c>
      <c r="B181" s="116" t="s">
        <v>55</v>
      </c>
      <c r="C181" s="108" t="s">
        <v>396</v>
      </c>
      <c r="D181" s="248">
        <v>687</v>
      </c>
      <c r="E181">
        <f t="shared" si="2"/>
        <v>178</v>
      </c>
    </row>
    <row r="182" spans="1:5" x14ac:dyDescent="0.25">
      <c r="A182" s="247" t="s">
        <v>371</v>
      </c>
      <c r="B182" s="116" t="s">
        <v>34</v>
      </c>
      <c r="C182" s="108" t="s">
        <v>370</v>
      </c>
      <c r="D182" s="248">
        <v>661</v>
      </c>
      <c r="E182">
        <f t="shared" si="2"/>
        <v>179</v>
      </c>
    </row>
    <row r="183" spans="1:5" x14ac:dyDescent="0.25">
      <c r="A183" s="247" t="s">
        <v>447</v>
      </c>
      <c r="B183" s="116" t="s">
        <v>13</v>
      </c>
      <c r="C183" s="108" t="s">
        <v>446</v>
      </c>
      <c r="D183" s="248">
        <v>797</v>
      </c>
      <c r="E183">
        <f t="shared" si="2"/>
        <v>180</v>
      </c>
    </row>
    <row r="184" spans="1:5" x14ac:dyDescent="0.25">
      <c r="A184" s="247" t="s">
        <v>505</v>
      </c>
      <c r="B184" s="116" t="s">
        <v>13</v>
      </c>
      <c r="C184" s="108" t="s">
        <v>504</v>
      </c>
      <c r="D184" s="248">
        <v>908</v>
      </c>
      <c r="E184">
        <f t="shared" si="2"/>
        <v>181</v>
      </c>
    </row>
    <row r="185" spans="1:5" x14ac:dyDescent="0.25">
      <c r="A185" s="247" t="s">
        <v>333</v>
      </c>
      <c r="B185" s="116" t="s">
        <v>34</v>
      </c>
      <c r="C185" s="108" t="s">
        <v>332</v>
      </c>
      <c r="D185" s="248">
        <v>634</v>
      </c>
      <c r="E185">
        <f t="shared" si="2"/>
        <v>182</v>
      </c>
    </row>
    <row r="186" spans="1:5" x14ac:dyDescent="0.25">
      <c r="A186" s="247" t="s">
        <v>611</v>
      </c>
      <c r="B186" s="116" t="s">
        <v>13</v>
      </c>
      <c r="C186" s="108" t="s">
        <v>610</v>
      </c>
      <c r="D186" s="248">
        <v>1102</v>
      </c>
      <c r="E186">
        <f t="shared" si="2"/>
        <v>183</v>
      </c>
    </row>
    <row r="187" spans="1:5" x14ac:dyDescent="0.25">
      <c r="A187" s="247" t="s">
        <v>353</v>
      </c>
      <c r="B187" s="116" t="s">
        <v>13</v>
      </c>
      <c r="C187" s="108" t="s">
        <v>352</v>
      </c>
      <c r="D187" s="248">
        <v>641</v>
      </c>
      <c r="E187">
        <f t="shared" si="2"/>
        <v>184</v>
      </c>
    </row>
    <row r="188" spans="1:5" x14ac:dyDescent="0.25">
      <c r="A188" s="247" t="s">
        <v>337</v>
      </c>
      <c r="B188" s="116" t="s">
        <v>18</v>
      </c>
      <c r="C188" s="108" t="s">
        <v>336</v>
      </c>
      <c r="D188" s="248">
        <v>639</v>
      </c>
      <c r="E188">
        <f t="shared" si="2"/>
        <v>185</v>
      </c>
    </row>
    <row r="189" spans="1:5" x14ac:dyDescent="0.25">
      <c r="A189" s="247" t="s">
        <v>125</v>
      </c>
      <c r="B189" s="116" t="s">
        <v>18</v>
      </c>
      <c r="C189" s="108" t="s">
        <v>124</v>
      </c>
      <c r="D189" s="248">
        <v>215</v>
      </c>
      <c r="E189">
        <f t="shared" si="2"/>
        <v>186</v>
      </c>
    </row>
    <row r="190" spans="1:5" x14ac:dyDescent="0.25">
      <c r="A190" s="247" t="s">
        <v>485</v>
      </c>
      <c r="B190" s="116" t="s">
        <v>18</v>
      </c>
      <c r="C190" s="108" t="s">
        <v>484</v>
      </c>
      <c r="D190" s="248">
        <v>851</v>
      </c>
      <c r="E190">
        <f t="shared" si="2"/>
        <v>187</v>
      </c>
    </row>
    <row r="191" spans="1:5" x14ac:dyDescent="0.25">
      <c r="A191" s="247" t="s">
        <v>525</v>
      </c>
      <c r="B191" s="116" t="s">
        <v>29</v>
      </c>
      <c r="C191" s="108" t="s">
        <v>524</v>
      </c>
      <c r="D191" s="248">
        <v>943</v>
      </c>
      <c r="E191">
        <f t="shared" si="2"/>
        <v>188</v>
      </c>
    </row>
    <row r="192" spans="1:5" x14ac:dyDescent="0.25">
      <c r="A192" s="247" t="s">
        <v>433</v>
      </c>
      <c r="B192" s="116" t="s">
        <v>29</v>
      </c>
      <c r="C192" s="108" t="s">
        <v>432</v>
      </c>
      <c r="D192" s="248">
        <v>784</v>
      </c>
      <c r="E192">
        <f t="shared" si="2"/>
        <v>189</v>
      </c>
    </row>
    <row r="193" spans="1:5" x14ac:dyDescent="0.25">
      <c r="A193" s="247" t="s">
        <v>539</v>
      </c>
      <c r="B193" s="116" t="s">
        <v>29</v>
      </c>
      <c r="C193" s="108" t="s">
        <v>538</v>
      </c>
      <c r="D193" s="248">
        <v>966</v>
      </c>
      <c r="E193">
        <f t="shared" si="2"/>
        <v>190</v>
      </c>
    </row>
    <row r="194" spans="1:5" x14ac:dyDescent="0.25">
      <c r="A194" s="247" t="s">
        <v>67</v>
      </c>
      <c r="B194" s="116" t="s">
        <v>29</v>
      </c>
      <c r="C194" s="108" t="s">
        <v>66</v>
      </c>
      <c r="D194" s="248">
        <v>99</v>
      </c>
      <c r="E194">
        <f t="shared" si="2"/>
        <v>191</v>
      </c>
    </row>
    <row r="195" spans="1:5" x14ac:dyDescent="0.25">
      <c r="A195" s="247" t="s">
        <v>569</v>
      </c>
      <c r="B195" s="116" t="s">
        <v>29</v>
      </c>
      <c r="C195" s="108" t="s">
        <v>568</v>
      </c>
      <c r="D195" s="248">
        <v>1020</v>
      </c>
      <c r="E195">
        <f t="shared" si="2"/>
        <v>192</v>
      </c>
    </row>
    <row r="196" spans="1:5" x14ac:dyDescent="0.25">
      <c r="A196" s="247" t="s">
        <v>535</v>
      </c>
      <c r="B196" s="116" t="s">
        <v>29</v>
      </c>
      <c r="C196" s="108" t="s">
        <v>534</v>
      </c>
      <c r="D196" s="248">
        <v>955</v>
      </c>
      <c r="E196">
        <f t="shared" si="2"/>
        <v>193</v>
      </c>
    </row>
    <row r="197" spans="1:5" x14ac:dyDescent="0.25">
      <c r="A197" s="247" t="s">
        <v>137</v>
      </c>
      <c r="B197" s="116" t="s">
        <v>29</v>
      </c>
      <c r="C197" s="108" t="s">
        <v>136</v>
      </c>
      <c r="D197" s="248">
        <v>231</v>
      </c>
      <c r="E197">
        <f t="shared" si="2"/>
        <v>194</v>
      </c>
    </row>
    <row r="198" spans="1:5" x14ac:dyDescent="0.25">
      <c r="A198" s="247" t="s">
        <v>399</v>
      </c>
      <c r="B198" s="116" t="s">
        <v>29</v>
      </c>
      <c r="C198" s="108" t="s">
        <v>398</v>
      </c>
      <c r="D198" s="248">
        <v>691</v>
      </c>
      <c r="E198">
        <f t="shared" ref="E198:E261" si="3">+E197+1</f>
        <v>195</v>
      </c>
    </row>
    <row r="199" spans="1:5" x14ac:dyDescent="0.25">
      <c r="A199" s="247" t="s">
        <v>95</v>
      </c>
      <c r="B199" s="116" t="s">
        <v>29</v>
      </c>
      <c r="C199" s="108" t="s">
        <v>94</v>
      </c>
      <c r="D199" s="248">
        <v>161</v>
      </c>
      <c r="E199">
        <f t="shared" si="3"/>
        <v>196</v>
      </c>
    </row>
    <row r="200" spans="1:5" x14ac:dyDescent="0.25">
      <c r="A200" s="247" t="s">
        <v>415</v>
      </c>
      <c r="B200" s="116" t="s">
        <v>29</v>
      </c>
      <c r="C200" s="108" t="s">
        <v>414</v>
      </c>
      <c r="D200" s="248">
        <v>718</v>
      </c>
      <c r="E200">
        <f t="shared" si="3"/>
        <v>197</v>
      </c>
    </row>
    <row r="201" spans="1:5" x14ac:dyDescent="0.25">
      <c r="A201" s="247" t="s">
        <v>189</v>
      </c>
      <c r="B201" s="116" t="s">
        <v>29</v>
      </c>
      <c r="C201" s="108" t="s">
        <v>188</v>
      </c>
      <c r="D201" s="248">
        <v>319</v>
      </c>
      <c r="E201">
        <f t="shared" si="3"/>
        <v>198</v>
      </c>
    </row>
    <row r="202" spans="1:5" x14ac:dyDescent="0.25">
      <c r="A202" s="247" t="s">
        <v>42</v>
      </c>
      <c r="B202" s="116" t="s">
        <v>29</v>
      </c>
      <c r="C202" s="108" t="s">
        <v>41</v>
      </c>
      <c r="D202" s="248">
        <v>66</v>
      </c>
      <c r="E202">
        <f t="shared" si="3"/>
        <v>199</v>
      </c>
    </row>
    <row r="203" spans="1:5" x14ac:dyDescent="0.25">
      <c r="A203" s="247" t="s">
        <v>149</v>
      </c>
      <c r="B203" s="116" t="s">
        <v>29</v>
      </c>
      <c r="C203" s="108" t="s">
        <v>148</v>
      </c>
      <c r="D203" s="248">
        <v>251</v>
      </c>
      <c r="E203">
        <f t="shared" si="3"/>
        <v>200</v>
      </c>
    </row>
    <row r="204" spans="1:5" x14ac:dyDescent="0.25">
      <c r="A204" s="247" t="s">
        <v>605</v>
      </c>
      <c r="B204" s="116" t="s">
        <v>29</v>
      </c>
      <c r="C204" s="108" t="s">
        <v>604</v>
      </c>
      <c r="D204" s="248">
        <v>1092</v>
      </c>
      <c r="E204">
        <f t="shared" si="3"/>
        <v>201</v>
      </c>
    </row>
    <row r="205" spans="1:5" x14ac:dyDescent="0.25">
      <c r="A205" s="247" t="s">
        <v>185</v>
      </c>
      <c r="B205" s="116" t="s">
        <v>29</v>
      </c>
      <c r="C205" s="108" t="s">
        <v>184</v>
      </c>
      <c r="D205" s="248">
        <v>303</v>
      </c>
      <c r="E205">
        <f t="shared" si="3"/>
        <v>202</v>
      </c>
    </row>
    <row r="206" spans="1:5" x14ac:dyDescent="0.25">
      <c r="A206" s="247" t="s">
        <v>1134</v>
      </c>
      <c r="B206" s="250" t="s">
        <v>1039</v>
      </c>
      <c r="C206" s="234" t="s">
        <v>1135</v>
      </c>
      <c r="D206" s="253">
        <v>4174</v>
      </c>
      <c r="E206">
        <f t="shared" si="3"/>
        <v>203</v>
      </c>
    </row>
    <row r="207" spans="1:5" x14ac:dyDescent="0.25">
      <c r="A207" s="247" t="s">
        <v>1060</v>
      </c>
      <c r="B207" s="250" t="s">
        <v>1039</v>
      </c>
      <c r="C207" s="251" t="s">
        <v>1031</v>
      </c>
      <c r="D207" s="248">
        <v>2631</v>
      </c>
      <c r="E207">
        <f t="shared" si="3"/>
        <v>204</v>
      </c>
    </row>
    <row r="208" spans="1:5" x14ac:dyDescent="0.25">
      <c r="A208" s="247" t="s">
        <v>489</v>
      </c>
      <c r="B208" s="116" t="s">
        <v>21</v>
      </c>
      <c r="C208" s="108" t="s">
        <v>488</v>
      </c>
      <c r="D208" s="248">
        <v>860</v>
      </c>
      <c r="E208">
        <f t="shared" si="3"/>
        <v>205</v>
      </c>
    </row>
    <row r="209" spans="1:5" x14ac:dyDescent="0.25">
      <c r="A209" s="247" t="s">
        <v>389</v>
      </c>
      <c r="B209" s="116" t="s">
        <v>21</v>
      </c>
      <c r="C209" s="108" t="s">
        <v>388</v>
      </c>
      <c r="D209" s="248">
        <v>682</v>
      </c>
      <c r="E209">
        <f t="shared" si="3"/>
        <v>206</v>
      </c>
    </row>
    <row r="210" spans="1:5" x14ac:dyDescent="0.25">
      <c r="A210" s="247" t="s">
        <v>277</v>
      </c>
      <c r="B210" s="116" t="s">
        <v>21</v>
      </c>
      <c r="C210" s="108" t="s">
        <v>276</v>
      </c>
      <c r="D210" s="248">
        <v>552</v>
      </c>
      <c r="E210">
        <f t="shared" si="3"/>
        <v>207</v>
      </c>
    </row>
    <row r="211" spans="1:5" x14ac:dyDescent="0.25">
      <c r="A211" s="247" t="s">
        <v>475</v>
      </c>
      <c r="B211" s="116" t="s">
        <v>21</v>
      </c>
      <c r="C211" s="108" t="s">
        <v>474</v>
      </c>
      <c r="D211" s="248">
        <v>833</v>
      </c>
      <c r="E211">
        <f t="shared" si="3"/>
        <v>208</v>
      </c>
    </row>
    <row r="212" spans="1:5" x14ac:dyDescent="0.25">
      <c r="A212" s="247" t="s">
        <v>109</v>
      </c>
      <c r="B212" s="116" t="s">
        <v>21</v>
      </c>
      <c r="C212" s="108" t="s">
        <v>108</v>
      </c>
      <c r="D212" s="248">
        <v>181</v>
      </c>
      <c r="E212">
        <f t="shared" si="3"/>
        <v>209</v>
      </c>
    </row>
    <row r="213" spans="1:5" x14ac:dyDescent="0.25">
      <c r="A213" s="247" t="s">
        <v>61</v>
      </c>
      <c r="B213" s="116" t="s">
        <v>21</v>
      </c>
      <c r="C213" s="108" t="s">
        <v>60</v>
      </c>
      <c r="D213" s="248">
        <v>94</v>
      </c>
      <c r="E213">
        <f t="shared" si="3"/>
        <v>210</v>
      </c>
    </row>
    <row r="214" spans="1:5" x14ac:dyDescent="0.25">
      <c r="A214" s="247" t="s">
        <v>481</v>
      </c>
      <c r="B214" s="116" t="s">
        <v>21</v>
      </c>
      <c r="C214" s="108" t="s">
        <v>480</v>
      </c>
      <c r="D214" s="248">
        <v>848</v>
      </c>
      <c r="E214">
        <f t="shared" si="3"/>
        <v>211</v>
      </c>
    </row>
    <row r="215" spans="1:5" x14ac:dyDescent="0.25">
      <c r="A215" s="247" t="s">
        <v>20</v>
      </c>
      <c r="B215" s="116" t="s">
        <v>21</v>
      </c>
      <c r="C215" s="108" t="s">
        <v>19</v>
      </c>
      <c r="D215" s="248">
        <v>20</v>
      </c>
      <c r="E215">
        <f t="shared" si="3"/>
        <v>212</v>
      </c>
    </row>
    <row r="216" spans="1:5" x14ac:dyDescent="0.25">
      <c r="A216" s="247" t="s">
        <v>255</v>
      </c>
      <c r="B216" s="116" t="s">
        <v>21</v>
      </c>
      <c r="C216" s="108" t="s">
        <v>254</v>
      </c>
      <c r="D216" s="248">
        <v>508</v>
      </c>
      <c r="E216">
        <f t="shared" si="3"/>
        <v>213</v>
      </c>
    </row>
    <row r="217" spans="1:5" x14ac:dyDescent="0.25">
      <c r="A217" s="247" t="s">
        <v>111</v>
      </c>
      <c r="B217" s="116" t="s">
        <v>21</v>
      </c>
      <c r="C217" s="108" t="s">
        <v>110</v>
      </c>
      <c r="D217" s="248">
        <v>189</v>
      </c>
      <c r="E217">
        <f t="shared" si="3"/>
        <v>214</v>
      </c>
    </row>
    <row r="218" spans="1:5" x14ac:dyDescent="0.25">
      <c r="A218" s="247" t="s">
        <v>325</v>
      </c>
      <c r="B218" s="116" t="s">
        <v>21</v>
      </c>
      <c r="C218" s="108" t="s">
        <v>324</v>
      </c>
      <c r="D218" s="248">
        <v>618</v>
      </c>
      <c r="E218">
        <f t="shared" si="3"/>
        <v>215</v>
      </c>
    </row>
    <row r="219" spans="1:5" x14ac:dyDescent="0.25">
      <c r="A219" s="247" t="s">
        <v>363</v>
      </c>
      <c r="B219" s="116" t="s">
        <v>21</v>
      </c>
      <c r="C219" s="249" t="s">
        <v>362</v>
      </c>
      <c r="D219" s="248">
        <v>267</v>
      </c>
      <c r="E219">
        <f t="shared" si="3"/>
        <v>216</v>
      </c>
    </row>
    <row r="220" spans="1:5" x14ac:dyDescent="0.25">
      <c r="A220" s="247" t="s">
        <v>495</v>
      </c>
      <c r="B220" s="116" t="s">
        <v>34</v>
      </c>
      <c r="C220" s="108" t="s">
        <v>494</v>
      </c>
      <c r="D220" s="248">
        <v>877</v>
      </c>
      <c r="E220">
        <f t="shared" si="3"/>
        <v>217</v>
      </c>
    </row>
    <row r="221" spans="1:5" x14ac:dyDescent="0.25">
      <c r="A221" s="247" t="s">
        <v>323</v>
      </c>
      <c r="B221" s="116" t="s">
        <v>34</v>
      </c>
      <c r="C221" s="108" t="s">
        <v>322</v>
      </c>
      <c r="D221" s="248">
        <v>616</v>
      </c>
      <c r="E221">
        <f t="shared" si="3"/>
        <v>218</v>
      </c>
    </row>
    <row r="222" spans="1:5" x14ac:dyDescent="0.25">
      <c r="A222" s="247" t="s">
        <v>307</v>
      </c>
      <c r="B222" s="116" t="s">
        <v>34</v>
      </c>
      <c r="C222" s="108" t="s">
        <v>306</v>
      </c>
      <c r="D222" s="248">
        <v>595</v>
      </c>
      <c r="E222">
        <f t="shared" si="3"/>
        <v>219</v>
      </c>
    </row>
    <row r="223" spans="1:5" x14ac:dyDescent="0.25">
      <c r="A223" s="247" t="s">
        <v>529</v>
      </c>
      <c r="B223" s="116" t="s">
        <v>34</v>
      </c>
      <c r="C223" s="108" t="s">
        <v>528</v>
      </c>
      <c r="D223" s="248">
        <v>949</v>
      </c>
      <c r="E223">
        <f t="shared" si="3"/>
        <v>220</v>
      </c>
    </row>
    <row r="224" spans="1:5" x14ac:dyDescent="0.25">
      <c r="A224" s="247" t="s">
        <v>175</v>
      </c>
      <c r="B224" s="116" t="s">
        <v>21</v>
      </c>
      <c r="C224" s="108" t="s">
        <v>174</v>
      </c>
      <c r="D224" s="248">
        <v>290</v>
      </c>
      <c r="E224">
        <f t="shared" si="3"/>
        <v>221</v>
      </c>
    </row>
    <row r="225" spans="1:5" x14ac:dyDescent="0.25">
      <c r="A225" s="247" t="s">
        <v>261</v>
      </c>
      <c r="B225" s="116" t="s">
        <v>21</v>
      </c>
      <c r="C225" s="108" t="s">
        <v>260</v>
      </c>
      <c r="D225" s="248">
        <v>517</v>
      </c>
      <c r="E225">
        <f t="shared" si="3"/>
        <v>222</v>
      </c>
    </row>
    <row r="226" spans="1:5" x14ac:dyDescent="0.25">
      <c r="A226" s="247" t="s">
        <v>327</v>
      </c>
      <c r="B226" s="116" t="s">
        <v>21</v>
      </c>
      <c r="C226" s="108" t="s">
        <v>326</v>
      </c>
      <c r="D226" s="248">
        <v>623</v>
      </c>
      <c r="E226">
        <f t="shared" si="3"/>
        <v>223</v>
      </c>
    </row>
    <row r="227" spans="1:5" x14ac:dyDescent="0.25">
      <c r="A227" s="247" t="s">
        <v>151</v>
      </c>
      <c r="B227" s="116" t="s">
        <v>21</v>
      </c>
      <c r="C227" s="108" t="s">
        <v>150</v>
      </c>
      <c r="D227" s="248">
        <v>258</v>
      </c>
      <c r="E227">
        <f t="shared" si="3"/>
        <v>224</v>
      </c>
    </row>
    <row r="228" spans="1:5" x14ac:dyDescent="0.25">
      <c r="A228" s="247" t="s">
        <v>23</v>
      </c>
      <c r="B228" s="116" t="s">
        <v>21</v>
      </c>
      <c r="C228" s="108" t="s">
        <v>22</v>
      </c>
      <c r="D228" s="248">
        <v>26</v>
      </c>
      <c r="E228">
        <f t="shared" si="3"/>
        <v>225</v>
      </c>
    </row>
    <row r="229" spans="1:5" x14ac:dyDescent="0.25">
      <c r="A229" s="247" t="s">
        <v>293</v>
      </c>
      <c r="B229" s="116" t="s">
        <v>21</v>
      </c>
      <c r="C229" s="108" t="s">
        <v>292</v>
      </c>
      <c r="D229" s="248">
        <v>570</v>
      </c>
      <c r="E229">
        <f t="shared" si="3"/>
        <v>226</v>
      </c>
    </row>
    <row r="230" spans="1:5" x14ac:dyDescent="0.25">
      <c r="A230" s="247" t="s">
        <v>229</v>
      </c>
      <c r="B230" s="116" t="s">
        <v>21</v>
      </c>
      <c r="C230" s="108" t="s">
        <v>228</v>
      </c>
      <c r="D230" s="248">
        <v>397</v>
      </c>
      <c r="E230">
        <f t="shared" si="3"/>
        <v>227</v>
      </c>
    </row>
    <row r="231" spans="1:5" x14ac:dyDescent="0.25">
      <c r="A231" s="247" t="s">
        <v>309</v>
      </c>
      <c r="B231" s="116" t="s">
        <v>21</v>
      </c>
      <c r="C231" s="108" t="s">
        <v>308</v>
      </c>
      <c r="D231" s="248">
        <v>604</v>
      </c>
      <c r="E231">
        <f t="shared" si="3"/>
        <v>228</v>
      </c>
    </row>
    <row r="232" spans="1:5" x14ac:dyDescent="0.25">
      <c r="A232" s="247" t="s">
        <v>499</v>
      </c>
      <c r="B232" s="116" t="s">
        <v>21</v>
      </c>
      <c r="C232" s="108" t="s">
        <v>498</v>
      </c>
      <c r="D232" s="248">
        <v>898</v>
      </c>
      <c r="E232">
        <f t="shared" si="3"/>
        <v>229</v>
      </c>
    </row>
    <row r="233" spans="1:5" x14ac:dyDescent="0.25">
      <c r="A233" s="247" t="s">
        <v>265</v>
      </c>
      <c r="B233" s="116" t="s">
        <v>21</v>
      </c>
      <c r="C233" s="108" t="s">
        <v>264</v>
      </c>
      <c r="D233" s="248">
        <v>521</v>
      </c>
      <c r="E233">
        <f t="shared" si="3"/>
        <v>230</v>
      </c>
    </row>
    <row r="234" spans="1:5" x14ac:dyDescent="0.25">
      <c r="A234" s="247" t="s">
        <v>531</v>
      </c>
      <c r="B234" s="116" t="s">
        <v>21</v>
      </c>
      <c r="C234" s="108" t="s">
        <v>530</v>
      </c>
      <c r="D234" s="248">
        <v>950</v>
      </c>
      <c r="E234">
        <f t="shared" si="3"/>
        <v>231</v>
      </c>
    </row>
    <row r="235" spans="1:5" x14ac:dyDescent="0.25">
      <c r="A235" s="247" t="s">
        <v>129</v>
      </c>
      <c r="B235" s="116" t="s">
        <v>21</v>
      </c>
      <c r="C235" s="108" t="s">
        <v>128</v>
      </c>
      <c r="D235" s="248">
        <v>219</v>
      </c>
      <c r="E235">
        <f t="shared" si="3"/>
        <v>232</v>
      </c>
    </row>
    <row r="236" spans="1:5" x14ac:dyDescent="0.25">
      <c r="A236" s="247" t="s">
        <v>205</v>
      </c>
      <c r="B236" s="116" t="s">
        <v>21</v>
      </c>
      <c r="C236" s="108" t="s">
        <v>204</v>
      </c>
      <c r="D236" s="248">
        <v>344</v>
      </c>
      <c r="E236">
        <f t="shared" si="3"/>
        <v>233</v>
      </c>
    </row>
    <row r="237" spans="1:5" x14ac:dyDescent="0.25">
      <c r="A237" s="247" t="s">
        <v>517</v>
      </c>
      <c r="B237" s="116" t="s">
        <v>21</v>
      </c>
      <c r="C237" s="108" t="s">
        <v>516</v>
      </c>
      <c r="D237" s="248">
        <v>931</v>
      </c>
      <c r="E237">
        <f t="shared" si="3"/>
        <v>234</v>
      </c>
    </row>
    <row r="238" spans="1:5" x14ac:dyDescent="0.25">
      <c r="A238" s="247" t="s">
        <v>1117</v>
      </c>
      <c r="B238" s="250" t="s">
        <v>1039</v>
      </c>
      <c r="C238" s="349" t="s">
        <v>1036</v>
      </c>
      <c r="D238" s="248">
        <v>1597</v>
      </c>
      <c r="E238">
        <f t="shared" si="3"/>
        <v>235</v>
      </c>
    </row>
    <row r="239" spans="1:5" x14ac:dyDescent="0.25">
      <c r="A239" s="247" t="s">
        <v>513</v>
      </c>
      <c r="B239" s="116" t="s">
        <v>18</v>
      </c>
      <c r="C239" s="108" t="s">
        <v>512</v>
      </c>
      <c r="D239" s="248">
        <v>926</v>
      </c>
      <c r="E239">
        <f t="shared" si="3"/>
        <v>236</v>
      </c>
    </row>
    <row r="240" spans="1:5" x14ac:dyDescent="0.25">
      <c r="A240" s="247" t="s">
        <v>391</v>
      </c>
      <c r="B240" s="116" t="s">
        <v>18</v>
      </c>
      <c r="C240" s="108" t="s">
        <v>390</v>
      </c>
      <c r="D240" s="248">
        <v>684</v>
      </c>
      <c r="E240">
        <f t="shared" si="3"/>
        <v>237</v>
      </c>
    </row>
    <row r="241" spans="1:5" x14ac:dyDescent="0.25">
      <c r="A241" s="247" t="s">
        <v>209</v>
      </c>
      <c r="B241" s="116" t="s">
        <v>18</v>
      </c>
      <c r="C241" s="108" t="s">
        <v>208</v>
      </c>
      <c r="D241" s="248">
        <v>363</v>
      </c>
      <c r="E241">
        <f t="shared" si="3"/>
        <v>238</v>
      </c>
    </row>
    <row r="242" spans="1:5" x14ac:dyDescent="0.25">
      <c r="A242" s="247" t="s">
        <v>339</v>
      </c>
      <c r="B242" s="116" t="s">
        <v>18</v>
      </c>
      <c r="C242" s="108" t="s">
        <v>338</v>
      </c>
      <c r="D242" s="248">
        <v>640</v>
      </c>
      <c r="E242">
        <f t="shared" si="3"/>
        <v>239</v>
      </c>
    </row>
    <row r="243" spans="1:5" x14ac:dyDescent="0.25">
      <c r="A243" s="247" t="s">
        <v>299</v>
      </c>
      <c r="B243" s="116" t="s">
        <v>18</v>
      </c>
      <c r="C243" s="108" t="s">
        <v>298</v>
      </c>
      <c r="D243" s="248">
        <v>582</v>
      </c>
      <c r="E243">
        <f t="shared" si="3"/>
        <v>240</v>
      </c>
    </row>
    <row r="244" spans="1:5" x14ac:dyDescent="0.25">
      <c r="A244" s="247" t="s">
        <v>297</v>
      </c>
      <c r="B244" s="116" t="s">
        <v>18</v>
      </c>
      <c r="C244" s="108" t="s">
        <v>296</v>
      </c>
      <c r="D244" s="248">
        <v>580</v>
      </c>
      <c r="E244">
        <f t="shared" si="3"/>
        <v>241</v>
      </c>
    </row>
    <row r="245" spans="1:5" x14ac:dyDescent="0.25">
      <c r="A245" s="247" t="s">
        <v>79</v>
      </c>
      <c r="B245" s="116" t="s">
        <v>18</v>
      </c>
      <c r="C245" s="108" t="s">
        <v>78</v>
      </c>
      <c r="D245" s="248">
        <v>115</v>
      </c>
      <c r="E245">
        <f t="shared" si="3"/>
        <v>242</v>
      </c>
    </row>
    <row r="246" spans="1:5" x14ac:dyDescent="0.25">
      <c r="A246" s="247" t="s">
        <v>191</v>
      </c>
      <c r="B246" s="116" t="s">
        <v>18</v>
      </c>
      <c r="C246" s="108" t="s">
        <v>190</v>
      </c>
      <c r="D246" s="248">
        <v>320</v>
      </c>
      <c r="E246">
        <f t="shared" si="3"/>
        <v>243</v>
      </c>
    </row>
    <row r="247" spans="1:5" x14ac:dyDescent="0.25">
      <c r="A247" s="247" t="s">
        <v>85</v>
      </c>
      <c r="B247" s="116" t="s">
        <v>18</v>
      </c>
      <c r="C247" s="108" t="s">
        <v>84</v>
      </c>
      <c r="D247" s="248">
        <v>133</v>
      </c>
      <c r="E247">
        <f t="shared" si="3"/>
        <v>244</v>
      </c>
    </row>
    <row r="248" spans="1:5" x14ac:dyDescent="0.25">
      <c r="A248" s="247" t="s">
        <v>143</v>
      </c>
      <c r="B248" s="116" t="s">
        <v>18</v>
      </c>
      <c r="C248" s="108" t="s">
        <v>142</v>
      </c>
      <c r="D248" s="248">
        <v>243</v>
      </c>
      <c r="E248">
        <f t="shared" si="3"/>
        <v>245</v>
      </c>
    </row>
    <row r="249" spans="1:5" x14ac:dyDescent="0.25">
      <c r="A249" s="247" t="s">
        <v>269</v>
      </c>
      <c r="B249" s="116" t="s">
        <v>18</v>
      </c>
      <c r="C249" s="108" t="s">
        <v>268</v>
      </c>
      <c r="D249" s="248">
        <v>536</v>
      </c>
      <c r="E249">
        <f t="shared" si="3"/>
        <v>246</v>
      </c>
    </row>
    <row r="250" spans="1:5" x14ac:dyDescent="0.25">
      <c r="A250" s="247" t="s">
        <v>601</v>
      </c>
      <c r="B250" s="116" t="s">
        <v>18</v>
      </c>
      <c r="C250" s="108" t="s">
        <v>600</v>
      </c>
      <c r="D250" s="248">
        <v>1077</v>
      </c>
      <c r="E250">
        <f t="shared" si="3"/>
        <v>247</v>
      </c>
    </row>
    <row r="251" spans="1:5" x14ac:dyDescent="0.25">
      <c r="A251" s="247" t="s">
        <v>135</v>
      </c>
      <c r="B251" s="116" t="s">
        <v>18</v>
      </c>
      <c r="C251" s="108" t="s">
        <v>134</v>
      </c>
      <c r="D251" s="248">
        <v>227</v>
      </c>
      <c r="E251">
        <f t="shared" si="3"/>
        <v>248</v>
      </c>
    </row>
    <row r="252" spans="1:5" x14ac:dyDescent="0.25">
      <c r="A252" s="247" t="s">
        <v>461</v>
      </c>
      <c r="B252" s="116" t="s">
        <v>18</v>
      </c>
      <c r="C252" s="108" t="s">
        <v>460</v>
      </c>
      <c r="D252" s="248">
        <v>815</v>
      </c>
      <c r="E252">
        <f t="shared" si="3"/>
        <v>249</v>
      </c>
    </row>
    <row r="253" spans="1:5" x14ac:dyDescent="0.25">
      <c r="A253" s="247" t="s">
        <v>357</v>
      </c>
      <c r="B253" s="116" t="s">
        <v>18</v>
      </c>
      <c r="C253" s="249" t="s">
        <v>356</v>
      </c>
      <c r="D253" s="248">
        <v>259</v>
      </c>
      <c r="E253">
        <f t="shared" si="3"/>
        <v>250</v>
      </c>
    </row>
    <row r="254" spans="1:5" x14ac:dyDescent="0.25">
      <c r="A254" s="247" t="s">
        <v>1061</v>
      </c>
      <c r="B254" s="250" t="s">
        <v>1039</v>
      </c>
      <c r="C254" s="251" t="s">
        <v>1034</v>
      </c>
      <c r="D254" s="248">
        <v>2632</v>
      </c>
      <c r="E254">
        <f t="shared" si="3"/>
        <v>251</v>
      </c>
    </row>
    <row r="255" spans="1:5" x14ac:dyDescent="0.25">
      <c r="A255" s="350" t="s">
        <v>1169</v>
      </c>
      <c r="B255" s="250" t="s">
        <v>1039</v>
      </c>
      <c r="C255" s="456" t="s">
        <v>1170</v>
      </c>
      <c r="D255" s="248">
        <v>4258</v>
      </c>
      <c r="E255">
        <f t="shared" si="3"/>
        <v>252</v>
      </c>
    </row>
    <row r="256" spans="1:5" x14ac:dyDescent="0.25">
      <c r="A256" s="247" t="s">
        <v>1063</v>
      </c>
      <c r="B256" s="250" t="s">
        <v>1039</v>
      </c>
      <c r="C256" s="252" t="s">
        <v>1037</v>
      </c>
      <c r="D256" s="253">
        <v>2635</v>
      </c>
      <c r="E256">
        <f t="shared" si="3"/>
        <v>253</v>
      </c>
    </row>
    <row r="257" spans="1:5" x14ac:dyDescent="0.25">
      <c r="A257" s="247" t="s">
        <v>387</v>
      </c>
      <c r="B257" s="116" t="s">
        <v>18</v>
      </c>
      <c r="C257" s="108" t="s">
        <v>386</v>
      </c>
      <c r="D257" s="248">
        <v>681</v>
      </c>
      <c r="E257">
        <f t="shared" si="3"/>
        <v>254</v>
      </c>
    </row>
    <row r="258" spans="1:5" x14ac:dyDescent="0.25">
      <c r="A258" s="247" t="s">
        <v>87</v>
      </c>
      <c r="B258" s="116" t="s">
        <v>18</v>
      </c>
      <c r="C258" s="108" t="s">
        <v>86</v>
      </c>
      <c r="D258" s="248">
        <v>135</v>
      </c>
      <c r="E258">
        <f t="shared" si="3"/>
        <v>255</v>
      </c>
    </row>
    <row r="259" spans="1:5" x14ac:dyDescent="0.25">
      <c r="A259" s="247" t="s">
        <v>595</v>
      </c>
      <c r="B259" s="116" t="s">
        <v>18</v>
      </c>
      <c r="C259" s="108" t="s">
        <v>594</v>
      </c>
      <c r="D259" s="248">
        <v>1069</v>
      </c>
      <c r="E259">
        <f t="shared" si="3"/>
        <v>256</v>
      </c>
    </row>
    <row r="260" spans="1:5" x14ac:dyDescent="0.25">
      <c r="A260" s="247" t="s">
        <v>571</v>
      </c>
      <c r="B260" s="116" t="s">
        <v>18</v>
      </c>
      <c r="C260" s="108" t="s">
        <v>570</v>
      </c>
      <c r="D260" s="248">
        <v>1026</v>
      </c>
      <c r="E260">
        <f t="shared" si="3"/>
        <v>257</v>
      </c>
    </row>
    <row r="261" spans="1:5" x14ac:dyDescent="0.25">
      <c r="A261" s="247" t="s">
        <v>107</v>
      </c>
      <c r="B261" s="116" t="s">
        <v>18</v>
      </c>
      <c r="C261" s="108" t="s">
        <v>106</v>
      </c>
      <c r="D261" s="248">
        <v>175</v>
      </c>
      <c r="E261">
        <f t="shared" si="3"/>
        <v>258</v>
      </c>
    </row>
    <row r="262" spans="1:5" x14ac:dyDescent="0.25">
      <c r="A262" s="247" t="s">
        <v>275</v>
      </c>
      <c r="B262" s="116" t="s">
        <v>18</v>
      </c>
      <c r="C262" s="108" t="s">
        <v>274</v>
      </c>
      <c r="D262" s="248">
        <v>551</v>
      </c>
      <c r="E262">
        <f t="shared" ref="E262:E315" si="4">+E261+1</f>
        <v>259</v>
      </c>
    </row>
    <row r="263" spans="1:5" x14ac:dyDescent="0.25">
      <c r="A263" s="247" t="s">
        <v>533</v>
      </c>
      <c r="B263" s="116" t="s">
        <v>18</v>
      </c>
      <c r="C263" s="108" t="s">
        <v>532</v>
      </c>
      <c r="D263" s="248">
        <v>953</v>
      </c>
      <c r="E263">
        <f t="shared" si="4"/>
        <v>260</v>
      </c>
    </row>
    <row r="264" spans="1:5" x14ac:dyDescent="0.25">
      <c r="A264" s="247" t="s">
        <v>179</v>
      </c>
      <c r="B264" s="116" t="s">
        <v>18</v>
      </c>
      <c r="C264" s="108" t="s">
        <v>178</v>
      </c>
      <c r="D264" s="248">
        <v>292</v>
      </c>
      <c r="E264">
        <f t="shared" si="4"/>
        <v>261</v>
      </c>
    </row>
    <row r="265" spans="1:5" x14ac:dyDescent="0.25">
      <c r="A265" s="247" t="s">
        <v>103</v>
      </c>
      <c r="B265" s="116" t="s">
        <v>18</v>
      </c>
      <c r="C265" s="108" t="s">
        <v>102</v>
      </c>
      <c r="D265" s="248">
        <v>172</v>
      </c>
      <c r="E265">
        <f t="shared" si="4"/>
        <v>262</v>
      </c>
    </row>
    <row r="266" spans="1:5" x14ac:dyDescent="0.25">
      <c r="A266" s="247" t="s">
        <v>291</v>
      </c>
      <c r="B266" s="116" t="s">
        <v>18</v>
      </c>
      <c r="C266" s="108" t="s">
        <v>290</v>
      </c>
      <c r="D266" s="248">
        <v>568</v>
      </c>
      <c r="E266">
        <f t="shared" si="4"/>
        <v>263</v>
      </c>
    </row>
    <row r="267" spans="1:5" x14ac:dyDescent="0.25">
      <c r="A267" s="247" t="s">
        <v>359</v>
      </c>
      <c r="B267" s="116" t="s">
        <v>18</v>
      </c>
      <c r="C267" s="108" t="s">
        <v>358</v>
      </c>
      <c r="D267" s="248">
        <v>652</v>
      </c>
      <c r="E267">
        <f t="shared" si="4"/>
        <v>264</v>
      </c>
    </row>
    <row r="268" spans="1:5" x14ac:dyDescent="0.25">
      <c r="A268" s="247" t="s">
        <v>245</v>
      </c>
      <c r="B268" s="116" t="s">
        <v>18</v>
      </c>
      <c r="C268" s="108" t="s">
        <v>244</v>
      </c>
      <c r="D268" s="248">
        <v>437</v>
      </c>
      <c r="E268">
        <f t="shared" si="4"/>
        <v>265</v>
      </c>
    </row>
    <row r="269" spans="1:5" x14ac:dyDescent="0.25">
      <c r="A269" s="247" t="s">
        <v>625</v>
      </c>
      <c r="B269" s="116" t="s">
        <v>13</v>
      </c>
      <c r="C269" s="108" t="s">
        <v>624</v>
      </c>
      <c r="D269" s="248">
        <v>1134</v>
      </c>
      <c r="E269">
        <f t="shared" si="4"/>
        <v>266</v>
      </c>
    </row>
    <row r="270" spans="1:5" x14ac:dyDescent="0.25">
      <c r="A270" s="247" t="s">
        <v>355</v>
      </c>
      <c r="B270" s="116" t="s">
        <v>13</v>
      </c>
      <c r="C270" s="108" t="s">
        <v>354</v>
      </c>
      <c r="D270" s="248">
        <v>651</v>
      </c>
      <c r="E270">
        <f t="shared" si="4"/>
        <v>267</v>
      </c>
    </row>
    <row r="271" spans="1:5" x14ac:dyDescent="0.25">
      <c r="A271" s="247" t="s">
        <v>565</v>
      </c>
      <c r="B271" s="116" t="s">
        <v>13</v>
      </c>
      <c r="C271" s="108" t="s">
        <v>564</v>
      </c>
      <c r="D271" s="248">
        <v>1003</v>
      </c>
      <c r="E271">
        <f t="shared" si="4"/>
        <v>268</v>
      </c>
    </row>
    <row r="272" spans="1:5" x14ac:dyDescent="0.25">
      <c r="A272" s="247" t="s">
        <v>379</v>
      </c>
      <c r="B272" s="116" t="s">
        <v>13</v>
      </c>
      <c r="C272" s="108" t="s">
        <v>378</v>
      </c>
      <c r="D272" s="248">
        <v>673</v>
      </c>
      <c r="E272">
        <f t="shared" si="4"/>
        <v>269</v>
      </c>
    </row>
    <row r="273" spans="1:5" x14ac:dyDescent="0.25">
      <c r="A273" s="247" t="s">
        <v>445</v>
      </c>
      <c r="B273" s="116" t="s">
        <v>13</v>
      </c>
      <c r="C273" s="108" t="s">
        <v>444</v>
      </c>
      <c r="D273" s="248">
        <v>793</v>
      </c>
      <c r="E273">
        <f t="shared" si="4"/>
        <v>270</v>
      </c>
    </row>
    <row r="274" spans="1:5" x14ac:dyDescent="0.25">
      <c r="A274" s="247" t="s">
        <v>213</v>
      </c>
      <c r="B274" s="116" t="s">
        <v>13</v>
      </c>
      <c r="C274" s="108" t="s">
        <v>212</v>
      </c>
      <c r="D274" s="248">
        <v>368</v>
      </c>
      <c r="E274">
        <f t="shared" si="4"/>
        <v>271</v>
      </c>
    </row>
    <row r="275" spans="1:5" x14ac:dyDescent="0.25">
      <c r="A275" s="247" t="s">
        <v>465</v>
      </c>
      <c r="B275" s="116" t="s">
        <v>13</v>
      </c>
      <c r="C275" s="108" t="s">
        <v>464</v>
      </c>
      <c r="D275" s="248">
        <v>817</v>
      </c>
      <c r="E275">
        <f t="shared" si="4"/>
        <v>272</v>
      </c>
    </row>
    <row r="276" spans="1:5" x14ac:dyDescent="0.25">
      <c r="A276" s="247" t="s">
        <v>547</v>
      </c>
      <c r="B276" s="116" t="s">
        <v>13</v>
      </c>
      <c r="C276" s="108" t="s">
        <v>546</v>
      </c>
      <c r="D276" s="248">
        <v>972</v>
      </c>
      <c r="E276">
        <f t="shared" si="4"/>
        <v>273</v>
      </c>
    </row>
    <row r="277" spans="1:5" x14ac:dyDescent="0.25">
      <c r="A277" s="247" t="s">
        <v>157</v>
      </c>
      <c r="B277" s="116">
        <v>113</v>
      </c>
      <c r="C277" s="249" t="s">
        <v>156</v>
      </c>
      <c r="D277" s="248">
        <v>262</v>
      </c>
      <c r="E277">
        <f t="shared" si="4"/>
        <v>274</v>
      </c>
    </row>
    <row r="278" spans="1:5" x14ac:dyDescent="0.25">
      <c r="A278" s="247" t="s">
        <v>577</v>
      </c>
      <c r="B278" s="116" t="s">
        <v>34</v>
      </c>
      <c r="C278" s="108" t="s">
        <v>576</v>
      </c>
      <c r="D278" s="248">
        <v>1043</v>
      </c>
      <c r="E278">
        <f t="shared" si="4"/>
        <v>275</v>
      </c>
    </row>
    <row r="279" spans="1:5" x14ac:dyDescent="0.25">
      <c r="A279" s="247" t="s">
        <v>139</v>
      </c>
      <c r="B279" s="116" t="s">
        <v>26</v>
      </c>
      <c r="C279" s="108" t="s">
        <v>138</v>
      </c>
      <c r="D279" s="248">
        <v>232</v>
      </c>
      <c r="E279">
        <f t="shared" si="4"/>
        <v>276</v>
      </c>
    </row>
    <row r="280" spans="1:5" x14ac:dyDescent="0.25">
      <c r="A280" s="247" t="s">
        <v>583</v>
      </c>
      <c r="B280" s="116" t="s">
        <v>26</v>
      </c>
      <c r="C280" s="108" t="s">
        <v>582</v>
      </c>
      <c r="D280" s="248">
        <v>1056</v>
      </c>
      <c r="E280">
        <f t="shared" si="4"/>
        <v>277</v>
      </c>
    </row>
    <row r="281" spans="1:5" x14ac:dyDescent="0.25">
      <c r="A281" s="247" t="s">
        <v>99</v>
      </c>
      <c r="B281" s="116" t="s">
        <v>26</v>
      </c>
      <c r="C281" s="108" t="s">
        <v>98</v>
      </c>
      <c r="D281" s="248">
        <v>167</v>
      </c>
      <c r="E281">
        <f t="shared" si="4"/>
        <v>278</v>
      </c>
    </row>
    <row r="282" spans="1:5" x14ac:dyDescent="0.25">
      <c r="A282" s="247" t="s">
        <v>557</v>
      </c>
      <c r="B282" s="116" t="s">
        <v>26</v>
      </c>
      <c r="C282" s="108" t="s">
        <v>556</v>
      </c>
      <c r="D282" s="248">
        <v>993</v>
      </c>
      <c r="E282">
        <f t="shared" si="4"/>
        <v>279</v>
      </c>
    </row>
    <row r="283" spans="1:5" x14ac:dyDescent="0.25">
      <c r="A283" s="247" t="s">
        <v>105</v>
      </c>
      <c r="B283" s="116" t="s">
        <v>26</v>
      </c>
      <c r="C283" s="108" t="s">
        <v>104</v>
      </c>
      <c r="D283" s="248">
        <v>173</v>
      </c>
      <c r="E283">
        <f t="shared" si="4"/>
        <v>280</v>
      </c>
    </row>
    <row r="284" spans="1:5" x14ac:dyDescent="0.25">
      <c r="A284" s="247" t="s">
        <v>581</v>
      </c>
      <c r="B284" s="116" t="s">
        <v>26</v>
      </c>
      <c r="C284" s="108" t="s">
        <v>580</v>
      </c>
      <c r="D284" s="248">
        <v>1046</v>
      </c>
      <c r="E284">
        <f t="shared" si="4"/>
        <v>281</v>
      </c>
    </row>
    <row r="285" spans="1:5" x14ac:dyDescent="0.25">
      <c r="A285" s="247" t="s">
        <v>425</v>
      </c>
      <c r="B285" s="116" t="s">
        <v>26</v>
      </c>
      <c r="C285" s="108" t="s">
        <v>424</v>
      </c>
      <c r="D285" s="248">
        <v>761</v>
      </c>
      <c r="E285">
        <f t="shared" si="4"/>
        <v>282</v>
      </c>
    </row>
    <row r="286" spans="1:5" x14ac:dyDescent="0.25">
      <c r="A286" s="247" t="s">
        <v>38</v>
      </c>
      <c r="B286" s="116" t="s">
        <v>21</v>
      </c>
      <c r="C286" s="108" t="s">
        <v>37</v>
      </c>
      <c r="D286" s="248">
        <v>54</v>
      </c>
      <c r="E286">
        <f t="shared" si="4"/>
        <v>283</v>
      </c>
    </row>
    <row r="287" spans="1:5" x14ac:dyDescent="0.25">
      <c r="A287" s="247" t="s">
        <v>183</v>
      </c>
      <c r="B287" s="116" t="s">
        <v>21</v>
      </c>
      <c r="C287" s="108" t="s">
        <v>182</v>
      </c>
      <c r="D287" s="248">
        <v>297</v>
      </c>
      <c r="E287">
        <f t="shared" si="4"/>
        <v>284</v>
      </c>
    </row>
    <row r="288" spans="1:5" x14ac:dyDescent="0.25">
      <c r="A288" s="247" t="s">
        <v>47</v>
      </c>
      <c r="B288" s="116" t="s">
        <v>21</v>
      </c>
      <c r="C288" s="108" t="s">
        <v>46</v>
      </c>
      <c r="D288" s="248">
        <v>72</v>
      </c>
      <c r="E288">
        <f t="shared" si="4"/>
        <v>285</v>
      </c>
    </row>
    <row r="289" spans="1:5" x14ac:dyDescent="0.25">
      <c r="A289" s="247" t="s">
        <v>281</v>
      </c>
      <c r="B289" s="116" t="s">
        <v>21</v>
      </c>
      <c r="C289" s="108" t="s">
        <v>280</v>
      </c>
      <c r="D289" s="248">
        <v>557</v>
      </c>
      <c r="E289">
        <f t="shared" si="4"/>
        <v>286</v>
      </c>
    </row>
    <row r="290" spans="1:5" x14ac:dyDescent="0.25">
      <c r="A290" s="247" t="s">
        <v>303</v>
      </c>
      <c r="B290" s="116" t="s">
        <v>21</v>
      </c>
      <c r="C290" s="108" t="s">
        <v>302</v>
      </c>
      <c r="D290" s="248">
        <v>586</v>
      </c>
      <c r="E290">
        <f t="shared" si="4"/>
        <v>287</v>
      </c>
    </row>
    <row r="291" spans="1:5" x14ac:dyDescent="0.25">
      <c r="A291" s="247" t="s">
        <v>341</v>
      </c>
      <c r="B291" s="116" t="s">
        <v>21</v>
      </c>
      <c r="C291" s="108" t="s">
        <v>340</v>
      </c>
      <c r="D291" s="248">
        <v>643</v>
      </c>
      <c r="E291">
        <f t="shared" si="4"/>
        <v>288</v>
      </c>
    </row>
    <row r="292" spans="1:5" x14ac:dyDescent="0.25">
      <c r="A292" s="247" t="s">
        <v>321</v>
      </c>
      <c r="B292" s="116" t="s">
        <v>21</v>
      </c>
      <c r="C292" s="108" t="s">
        <v>320</v>
      </c>
      <c r="D292" s="248">
        <v>615</v>
      </c>
      <c r="E292">
        <f t="shared" si="4"/>
        <v>289</v>
      </c>
    </row>
    <row r="293" spans="1:5" x14ac:dyDescent="0.25">
      <c r="A293" s="458" t="s">
        <v>1181</v>
      </c>
      <c r="B293" s="432" t="s">
        <v>1039</v>
      </c>
      <c r="C293" s="454" t="s">
        <v>1182</v>
      </c>
      <c r="D293" s="494">
        <v>4276</v>
      </c>
      <c r="E293">
        <f t="shared" si="4"/>
        <v>290</v>
      </c>
    </row>
    <row r="294" spans="1:5" x14ac:dyDescent="0.25">
      <c r="A294" s="247" t="s">
        <v>257</v>
      </c>
      <c r="B294" s="116" t="s">
        <v>18</v>
      </c>
      <c r="C294" s="108" t="s">
        <v>256</v>
      </c>
      <c r="D294" s="248">
        <v>512</v>
      </c>
      <c r="E294">
        <f t="shared" si="4"/>
        <v>291</v>
      </c>
    </row>
    <row r="295" spans="1:5" x14ac:dyDescent="0.25">
      <c r="A295" s="247" t="s">
        <v>267</v>
      </c>
      <c r="B295" s="116" t="s">
        <v>18</v>
      </c>
      <c r="C295" s="108" t="s">
        <v>266</v>
      </c>
      <c r="D295" s="248">
        <v>523</v>
      </c>
      <c r="E295">
        <f t="shared" si="4"/>
        <v>292</v>
      </c>
    </row>
    <row r="296" spans="1:5" x14ac:dyDescent="0.25">
      <c r="A296" s="247" t="s">
        <v>545</v>
      </c>
      <c r="B296" s="116" t="s">
        <v>18</v>
      </c>
      <c r="C296" s="108" t="s">
        <v>544</v>
      </c>
      <c r="D296" s="248">
        <v>971</v>
      </c>
      <c r="E296">
        <f t="shared" si="4"/>
        <v>293</v>
      </c>
    </row>
    <row r="297" spans="1:5" x14ac:dyDescent="0.25">
      <c r="A297" s="247" t="s">
        <v>431</v>
      </c>
      <c r="B297" s="116" t="s">
        <v>18</v>
      </c>
      <c r="C297" s="108" t="s">
        <v>430</v>
      </c>
      <c r="D297" s="248">
        <v>781</v>
      </c>
      <c r="E297">
        <f t="shared" si="4"/>
        <v>294</v>
      </c>
    </row>
    <row r="298" spans="1:5" x14ac:dyDescent="0.25">
      <c r="A298" s="247" t="s">
        <v>97</v>
      </c>
      <c r="B298" s="116" t="s">
        <v>18</v>
      </c>
      <c r="C298" s="108" t="s">
        <v>96</v>
      </c>
      <c r="D298" s="248">
        <v>165</v>
      </c>
      <c r="E298">
        <f t="shared" si="4"/>
        <v>295</v>
      </c>
    </row>
    <row r="299" spans="1:5" x14ac:dyDescent="0.25">
      <c r="A299" s="247" t="s">
        <v>405</v>
      </c>
      <c r="B299" s="116" t="s">
        <v>18</v>
      </c>
      <c r="C299" s="108" t="s">
        <v>404</v>
      </c>
      <c r="D299" s="248">
        <v>703</v>
      </c>
      <c r="E299">
        <f t="shared" si="4"/>
        <v>296</v>
      </c>
    </row>
    <row r="300" spans="1:5" x14ac:dyDescent="0.25">
      <c r="A300" s="247" t="s">
        <v>193</v>
      </c>
      <c r="B300" s="116" t="s">
        <v>18</v>
      </c>
      <c r="C300" s="108" t="s">
        <v>192</v>
      </c>
      <c r="D300" s="248">
        <v>328</v>
      </c>
      <c r="E300">
        <f t="shared" si="4"/>
        <v>297</v>
      </c>
    </row>
    <row r="301" spans="1:5" x14ac:dyDescent="0.25">
      <c r="A301" s="247" t="s">
        <v>527</v>
      </c>
      <c r="B301" s="116" t="s">
        <v>18</v>
      </c>
      <c r="C301" s="108" t="s">
        <v>526</v>
      </c>
      <c r="D301" s="248">
        <v>945</v>
      </c>
      <c r="E301">
        <f t="shared" si="4"/>
        <v>298</v>
      </c>
    </row>
    <row r="302" spans="1:5" x14ac:dyDescent="0.25">
      <c r="A302" s="247" t="s">
        <v>101</v>
      </c>
      <c r="B302" s="116" t="s">
        <v>18</v>
      </c>
      <c r="C302" s="108" t="s">
        <v>100</v>
      </c>
      <c r="D302" s="248">
        <v>168</v>
      </c>
      <c r="E302">
        <f t="shared" si="4"/>
        <v>299</v>
      </c>
    </row>
    <row r="303" spans="1:5" x14ac:dyDescent="0.25">
      <c r="A303" s="247" t="s">
        <v>165</v>
      </c>
      <c r="B303" s="116" t="s">
        <v>18</v>
      </c>
      <c r="C303" s="108" t="s">
        <v>164</v>
      </c>
      <c r="D303" s="248">
        <v>274</v>
      </c>
      <c r="E303">
        <f t="shared" si="4"/>
        <v>300</v>
      </c>
    </row>
    <row r="304" spans="1:5" x14ac:dyDescent="0.25">
      <c r="A304" s="247" t="s">
        <v>469</v>
      </c>
      <c r="B304" s="116" t="s">
        <v>18</v>
      </c>
      <c r="C304" s="108" t="s">
        <v>468</v>
      </c>
      <c r="D304" s="248">
        <v>820</v>
      </c>
      <c r="E304">
        <f t="shared" si="4"/>
        <v>301</v>
      </c>
    </row>
    <row r="305" spans="1:5" x14ac:dyDescent="0.25">
      <c r="A305" s="247" t="s">
        <v>473</v>
      </c>
      <c r="B305" s="116" t="s">
        <v>18</v>
      </c>
      <c r="C305" s="108" t="s">
        <v>472</v>
      </c>
      <c r="D305" s="248">
        <v>929</v>
      </c>
      <c r="E305">
        <f t="shared" si="4"/>
        <v>302</v>
      </c>
    </row>
    <row r="306" spans="1:5" x14ac:dyDescent="0.25">
      <c r="A306" s="247" t="s">
        <v>367</v>
      </c>
      <c r="B306" s="116" t="s">
        <v>18</v>
      </c>
      <c r="C306" s="108" t="s">
        <v>366</v>
      </c>
      <c r="D306" s="248">
        <v>658</v>
      </c>
      <c r="E306">
        <f t="shared" si="4"/>
        <v>303</v>
      </c>
    </row>
    <row r="307" spans="1:5" x14ac:dyDescent="0.25">
      <c r="A307" s="458" t="s">
        <v>1183</v>
      </c>
      <c r="B307" s="432" t="s">
        <v>1039</v>
      </c>
      <c r="C307" s="454" t="s">
        <v>1184</v>
      </c>
      <c r="D307" s="493">
        <v>4280</v>
      </c>
      <c r="E307">
        <f t="shared" si="4"/>
        <v>304</v>
      </c>
    </row>
    <row r="308" spans="1:5" x14ac:dyDescent="0.25">
      <c r="A308" s="247" t="s">
        <v>567</v>
      </c>
      <c r="B308" s="116" t="s">
        <v>45</v>
      </c>
      <c r="C308" s="108" t="s">
        <v>566</v>
      </c>
      <c r="D308" s="248">
        <v>1007</v>
      </c>
      <c r="E308">
        <f t="shared" si="4"/>
        <v>305</v>
      </c>
    </row>
    <row r="309" spans="1:5" x14ac:dyDescent="0.25">
      <c r="A309" s="247" t="s">
        <v>329</v>
      </c>
      <c r="B309" s="116" t="s">
        <v>45</v>
      </c>
      <c r="C309" s="108" t="s">
        <v>328</v>
      </c>
      <c r="D309" s="248">
        <v>630</v>
      </c>
      <c r="E309">
        <f t="shared" si="4"/>
        <v>306</v>
      </c>
    </row>
    <row r="310" spans="1:5" x14ac:dyDescent="0.25">
      <c r="A310" s="247" t="s">
        <v>623</v>
      </c>
      <c r="B310" s="116" t="s">
        <v>45</v>
      </c>
      <c r="C310" s="108" t="s">
        <v>622</v>
      </c>
      <c r="D310" s="248">
        <v>1128</v>
      </c>
      <c r="E310">
        <f t="shared" si="4"/>
        <v>307</v>
      </c>
    </row>
    <row r="311" spans="1:5" x14ac:dyDescent="0.25">
      <c r="A311" s="247" t="s">
        <v>141</v>
      </c>
      <c r="B311" s="116" t="s">
        <v>45</v>
      </c>
      <c r="C311" s="108" t="s">
        <v>140</v>
      </c>
      <c r="D311" s="248">
        <v>621</v>
      </c>
      <c r="E311">
        <f t="shared" si="4"/>
        <v>308</v>
      </c>
    </row>
    <row r="312" spans="1:5" x14ac:dyDescent="0.25">
      <c r="A312" s="247" t="s">
        <v>483</v>
      </c>
      <c r="B312" s="116" t="s">
        <v>45</v>
      </c>
      <c r="C312" s="108" t="s">
        <v>482</v>
      </c>
      <c r="D312" s="248">
        <v>850</v>
      </c>
      <c r="E312">
        <f>+E311+1</f>
        <v>309</v>
      </c>
    </row>
    <row r="313" spans="1:5" x14ac:dyDescent="0.25">
      <c r="A313" s="247" t="s">
        <v>283</v>
      </c>
      <c r="B313" s="116" t="s">
        <v>45</v>
      </c>
      <c r="C313" s="108" t="s">
        <v>282</v>
      </c>
      <c r="D313" s="248">
        <v>560</v>
      </c>
      <c r="E313">
        <f t="shared" si="4"/>
        <v>310</v>
      </c>
    </row>
    <row r="314" spans="1:5" x14ac:dyDescent="0.25">
      <c r="A314" s="247" t="s">
        <v>201</v>
      </c>
      <c r="B314" s="116" t="s">
        <v>45</v>
      </c>
      <c r="C314" s="108" t="s">
        <v>200</v>
      </c>
      <c r="D314" s="248">
        <v>341</v>
      </c>
      <c r="E314">
        <f t="shared" si="4"/>
        <v>311</v>
      </c>
    </row>
    <row r="315" spans="1:5" x14ac:dyDescent="0.25">
      <c r="A315" s="247" t="s">
        <v>537</v>
      </c>
      <c r="B315" s="116" t="s">
        <v>45</v>
      </c>
      <c r="C315" s="108" t="s">
        <v>536</v>
      </c>
      <c r="D315" s="248">
        <v>958</v>
      </c>
      <c r="E315">
        <f t="shared" si="4"/>
        <v>312</v>
      </c>
    </row>
    <row r="316" spans="1:5" x14ac:dyDescent="0.25">
      <c r="A316" s="247" t="s">
        <v>555</v>
      </c>
      <c r="B316" s="116" t="s">
        <v>45</v>
      </c>
      <c r="C316" s="108" t="s">
        <v>554</v>
      </c>
      <c r="D316" s="248">
        <v>992</v>
      </c>
      <c r="E316">
        <f>+E315+1</f>
        <v>313</v>
      </c>
    </row>
    <row r="317" spans="1:5" x14ac:dyDescent="0.25">
      <c r="A317" s="247" t="s">
        <v>217</v>
      </c>
      <c r="B317" s="116" t="s">
        <v>45</v>
      </c>
      <c r="C317" s="108" t="s">
        <v>216</v>
      </c>
      <c r="D317" s="248">
        <v>376</v>
      </c>
      <c r="E317">
        <f t="shared" ref="E317:E324" si="5">+E316+1</f>
        <v>314</v>
      </c>
    </row>
    <row r="318" spans="1:5" x14ac:dyDescent="0.25">
      <c r="A318" s="247" t="s">
        <v>203</v>
      </c>
      <c r="B318" s="116" t="s">
        <v>45</v>
      </c>
      <c r="C318" s="108" t="s">
        <v>202</v>
      </c>
      <c r="D318" s="248">
        <v>342</v>
      </c>
      <c r="E318">
        <f t="shared" si="5"/>
        <v>315</v>
      </c>
    </row>
    <row r="319" spans="1:5" x14ac:dyDescent="0.25">
      <c r="A319" s="247" t="s">
        <v>627</v>
      </c>
      <c r="B319" s="116" t="s">
        <v>45</v>
      </c>
      <c r="C319" s="108" t="s">
        <v>626</v>
      </c>
      <c r="D319" s="248">
        <v>1137</v>
      </c>
      <c r="E319">
        <f t="shared" si="5"/>
        <v>316</v>
      </c>
    </row>
    <row r="320" spans="1:5" x14ac:dyDescent="0.25">
      <c r="A320" s="247" t="s">
        <v>585</v>
      </c>
      <c r="B320" s="116" t="s">
        <v>45</v>
      </c>
      <c r="C320" s="108" t="s">
        <v>584</v>
      </c>
      <c r="D320" s="248">
        <v>1058</v>
      </c>
      <c r="E320">
        <f t="shared" si="5"/>
        <v>317</v>
      </c>
    </row>
    <row r="321" spans="1:5" x14ac:dyDescent="0.25">
      <c r="A321" s="247" t="s">
        <v>599</v>
      </c>
      <c r="B321" s="116" t="s">
        <v>45</v>
      </c>
      <c r="C321" s="108" t="s">
        <v>598</v>
      </c>
      <c r="D321" s="248">
        <v>1076</v>
      </c>
      <c r="E321">
        <f t="shared" si="5"/>
        <v>318</v>
      </c>
    </row>
    <row r="322" spans="1:5" x14ac:dyDescent="0.25">
      <c r="A322" s="247" t="s">
        <v>319</v>
      </c>
      <c r="B322" s="116" t="s">
        <v>45</v>
      </c>
      <c r="C322" s="108" t="s">
        <v>318</v>
      </c>
      <c r="D322" s="248">
        <v>614</v>
      </c>
      <c r="E322">
        <f t="shared" si="5"/>
        <v>319</v>
      </c>
    </row>
    <row r="323" spans="1:5" x14ac:dyDescent="0.25">
      <c r="A323" s="247" t="s">
        <v>153</v>
      </c>
      <c r="B323" s="116" t="s">
        <v>45</v>
      </c>
      <c r="C323" s="249" t="s">
        <v>152</v>
      </c>
      <c r="D323" s="248">
        <v>260</v>
      </c>
      <c r="E323">
        <f t="shared" si="5"/>
        <v>320</v>
      </c>
    </row>
    <row r="324" spans="1:5" x14ac:dyDescent="0.25">
      <c r="A324" s="441" t="s">
        <v>1185</v>
      </c>
      <c r="B324" s="432" t="s">
        <v>1039</v>
      </c>
      <c r="C324" s="495" t="s">
        <v>1186</v>
      </c>
      <c r="D324" s="493">
        <v>4279</v>
      </c>
      <c r="E324" s="351">
        <f t="shared" si="5"/>
        <v>321</v>
      </c>
    </row>
  </sheetData>
  <sortState xmlns:xlrd2="http://schemas.microsoft.com/office/spreadsheetml/2017/richdata2" ref="H4:J323">
    <sortCondition ref="H4:H32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4"/>
  <sheetViews>
    <sheetView workbookViewId="0">
      <selection activeCell="G6" sqref="G6"/>
    </sheetView>
  </sheetViews>
  <sheetFormatPr defaultColWidth="8.85546875" defaultRowHeight="15" x14ac:dyDescent="0.25"/>
  <cols>
    <col min="1" max="1" width="17" bestFit="1" customWidth="1"/>
    <col min="2" max="2" width="31.140625" customWidth="1"/>
    <col min="3" max="3" width="13.85546875" customWidth="1"/>
    <col min="4" max="5" width="15.5703125" bestFit="1" customWidth="1"/>
    <col min="6" max="6" width="16.28515625" bestFit="1" customWidth="1"/>
    <col min="7" max="7" width="15.5703125" bestFit="1" customWidth="1"/>
    <col min="8" max="8" width="1.85546875" customWidth="1"/>
    <col min="9" max="9" width="5.140625" customWidth="1"/>
    <col min="10" max="10" width="15.28515625" bestFit="1" customWidth="1"/>
    <col min="11" max="11" width="1.28515625" customWidth="1"/>
    <col min="12" max="12" width="15.28515625" bestFit="1" customWidth="1"/>
    <col min="13" max="13" width="11.140625" bestFit="1" customWidth="1"/>
    <col min="19" max="19" width="18.42578125" bestFit="1" customWidth="1"/>
    <col min="21" max="21" width="12.42578125" bestFit="1" customWidth="1"/>
  </cols>
  <sheetData>
    <row r="1" spans="1:21" ht="23.25" x14ac:dyDescent="0.25">
      <c r="A1" s="416" t="s">
        <v>671</v>
      </c>
      <c r="B1" s="416"/>
      <c r="C1" s="416"/>
    </row>
    <row r="2" spans="1:21" ht="14.45" customHeight="1" x14ac:dyDescent="0.25">
      <c r="A2" s="416"/>
      <c r="B2" s="416"/>
      <c r="C2" s="416"/>
    </row>
    <row r="3" spans="1:21" ht="15" customHeight="1" thickBot="1" x14ac:dyDescent="0.3">
      <c r="A3" s="417"/>
      <c r="B3" s="417"/>
      <c r="C3" s="417"/>
      <c r="S3" s="482">
        <v>539722011.62999988</v>
      </c>
      <c r="T3" s="478"/>
      <c r="U3" s="480">
        <v>0.99999999999999989</v>
      </c>
    </row>
    <row r="4" spans="1:21" x14ac:dyDescent="0.25">
      <c r="A4" s="12"/>
      <c r="B4" s="13"/>
      <c r="C4" s="13"/>
      <c r="D4" s="13"/>
      <c r="E4" s="13"/>
      <c r="F4" s="13"/>
      <c r="G4" s="13"/>
      <c r="H4" s="14"/>
      <c r="S4" s="482">
        <v>676667030.05000019</v>
      </c>
      <c r="T4" s="478"/>
      <c r="U4" s="480">
        <v>1</v>
      </c>
    </row>
    <row r="5" spans="1:21" ht="18.75" x14ac:dyDescent="0.25">
      <c r="A5" s="385"/>
      <c r="B5" s="386"/>
      <c r="C5" s="537" t="s">
        <v>633</v>
      </c>
      <c r="D5" s="538" t="s">
        <v>634</v>
      </c>
      <c r="E5" s="539" t="s">
        <v>635</v>
      </c>
      <c r="F5" s="540" t="s">
        <v>636</v>
      </c>
      <c r="G5" s="538" t="s">
        <v>710</v>
      </c>
      <c r="H5" s="15"/>
      <c r="S5" s="483"/>
      <c r="T5" s="479"/>
      <c r="U5" s="481"/>
    </row>
    <row r="6" spans="1:21" ht="18.75" x14ac:dyDescent="0.25">
      <c r="A6" s="7">
        <v>45473</v>
      </c>
      <c r="B6" s="541" t="s">
        <v>661</v>
      </c>
      <c r="C6" s="545">
        <v>598621463.64000046</v>
      </c>
      <c r="D6" s="545">
        <v>260054587.27000007</v>
      </c>
      <c r="E6" s="545">
        <v>222935789.79999983</v>
      </c>
      <c r="F6" s="545">
        <v>709690571.5800004</v>
      </c>
      <c r="G6" s="545">
        <v>984284096.81000042</v>
      </c>
      <c r="H6" s="15"/>
      <c r="I6" s="119" t="s">
        <v>1208</v>
      </c>
      <c r="S6" s="483"/>
      <c r="T6" s="479"/>
      <c r="U6" s="481"/>
    </row>
    <row r="7" spans="1:21" ht="18.75" x14ac:dyDescent="0.25">
      <c r="A7" s="7">
        <v>45107</v>
      </c>
      <c r="B7" s="541" t="s">
        <v>661</v>
      </c>
      <c r="C7" s="484">
        <v>681432776.83999979</v>
      </c>
      <c r="D7" s="484">
        <v>243881246.6099999</v>
      </c>
      <c r="E7" s="484">
        <v>539722011.62999988</v>
      </c>
      <c r="F7" s="484">
        <v>676667030.05000019</v>
      </c>
      <c r="G7" s="484">
        <v>879220779.39999962</v>
      </c>
      <c r="H7" s="15"/>
      <c r="I7" s="119" t="s">
        <v>1193</v>
      </c>
      <c r="S7" s="482">
        <v>681432776.83999979</v>
      </c>
      <c r="T7" s="478"/>
      <c r="U7" s="480">
        <v>1.0000000000000002</v>
      </c>
    </row>
    <row r="8" spans="1:21" ht="18.75" x14ac:dyDescent="0.25">
      <c r="A8" s="7">
        <v>44742</v>
      </c>
      <c r="B8" s="541" t="s">
        <v>661</v>
      </c>
      <c r="C8" s="421">
        <v>612862503.66999984</v>
      </c>
      <c r="D8" s="421">
        <v>223817205.68999997</v>
      </c>
      <c r="E8" s="421">
        <v>513148912.74999988</v>
      </c>
      <c r="F8" s="421">
        <v>639616082.53999901</v>
      </c>
      <c r="G8" s="421">
        <v>803370741.88000011</v>
      </c>
      <c r="H8" s="15"/>
      <c r="I8" s="119" t="s">
        <v>1190</v>
      </c>
      <c r="S8" s="482">
        <v>879220779.39999962</v>
      </c>
      <c r="T8" s="478"/>
      <c r="U8" s="480">
        <v>1</v>
      </c>
    </row>
    <row r="9" spans="1:21" ht="18.75" x14ac:dyDescent="0.25">
      <c r="A9" s="7">
        <v>44377</v>
      </c>
      <c r="B9" s="541" t="s">
        <v>661</v>
      </c>
      <c r="C9" s="388">
        <v>744886709.85000026</v>
      </c>
      <c r="D9" s="388">
        <v>210550788.66000003</v>
      </c>
      <c r="E9" s="388">
        <v>549618500.85999978</v>
      </c>
      <c r="F9" s="388">
        <v>605164734.13</v>
      </c>
      <c r="G9" s="388">
        <v>947272482.17999983</v>
      </c>
      <c r="H9" s="15"/>
      <c r="I9" s="119" t="s">
        <v>1174</v>
      </c>
      <c r="S9" s="483"/>
      <c r="T9" s="479"/>
      <c r="U9" s="481"/>
    </row>
    <row r="10" spans="1:21" ht="18.75" x14ac:dyDescent="0.25">
      <c r="A10" s="7">
        <v>44012</v>
      </c>
      <c r="B10" s="541" t="s">
        <v>661</v>
      </c>
      <c r="C10" s="129">
        <v>724745816.4600004</v>
      </c>
      <c r="D10" s="129">
        <v>216243952.43999985</v>
      </c>
      <c r="E10" s="129">
        <v>525151943.59999961</v>
      </c>
      <c r="F10" s="129">
        <v>581839976.43000019</v>
      </c>
      <c r="G10" s="129">
        <v>921231342.09000003</v>
      </c>
      <c r="H10" s="15"/>
      <c r="I10" s="119" t="s">
        <v>1156</v>
      </c>
      <c r="S10" s="482">
        <v>243881246.6099999</v>
      </c>
      <c r="T10" s="478"/>
      <c r="U10" s="480">
        <v>1</v>
      </c>
    </row>
    <row r="11" spans="1:21" ht="18.75" x14ac:dyDescent="0.25">
      <c r="A11" s="7">
        <v>43646</v>
      </c>
      <c r="B11" s="541" t="s">
        <v>661</v>
      </c>
      <c r="C11" s="129">
        <v>717041102.62</v>
      </c>
      <c r="D11" s="129">
        <v>200166052.97999987</v>
      </c>
      <c r="E11" s="129">
        <v>496626267.82999998</v>
      </c>
      <c r="F11" s="129">
        <v>522685305.17000031</v>
      </c>
      <c r="G11" s="129">
        <v>816736467.21000004</v>
      </c>
      <c r="H11" s="15"/>
      <c r="I11" t="s">
        <v>1127</v>
      </c>
    </row>
    <row r="12" spans="1:21" ht="18.75" x14ac:dyDescent="0.25">
      <c r="A12" s="7">
        <v>43281</v>
      </c>
      <c r="B12" s="541" t="s">
        <v>661</v>
      </c>
      <c r="C12" s="128">
        <v>668423585.98000002</v>
      </c>
      <c r="D12" s="129">
        <v>174940524.36000001</v>
      </c>
      <c r="E12" s="129">
        <v>415893161.38999999</v>
      </c>
      <c r="F12" s="129">
        <v>444580498.50999999</v>
      </c>
      <c r="G12" s="129">
        <v>771612354.51999998</v>
      </c>
      <c r="H12" s="15"/>
      <c r="I12" t="s">
        <v>1104</v>
      </c>
    </row>
    <row r="13" spans="1:21" ht="18.75" x14ac:dyDescent="0.25">
      <c r="A13" s="7">
        <v>42916</v>
      </c>
      <c r="B13" s="541" t="s">
        <v>661</v>
      </c>
      <c r="C13" s="128">
        <v>601525620.38</v>
      </c>
      <c r="D13" s="129">
        <v>135447053.88999999</v>
      </c>
      <c r="E13" s="129">
        <v>349936141.76999998</v>
      </c>
      <c r="F13" s="129">
        <v>368450109.64999998</v>
      </c>
      <c r="G13" s="129">
        <v>610789099.48000002</v>
      </c>
      <c r="H13" s="15"/>
      <c r="I13" t="s">
        <v>1082</v>
      </c>
    </row>
    <row r="14" spans="1:21" ht="18.75" x14ac:dyDescent="0.25">
      <c r="A14" s="7">
        <v>42551</v>
      </c>
      <c r="B14" s="541" t="s">
        <v>661</v>
      </c>
      <c r="C14" s="128">
        <v>567096911.89999998</v>
      </c>
      <c r="D14" s="129">
        <v>119634338.25999996</v>
      </c>
      <c r="E14" s="129">
        <v>303915971.74000001</v>
      </c>
      <c r="F14" s="129">
        <v>326403155.27999997</v>
      </c>
      <c r="G14" s="129">
        <v>577290928.86000001</v>
      </c>
      <c r="H14" s="15"/>
      <c r="I14" t="s">
        <v>1075</v>
      </c>
    </row>
    <row r="15" spans="1:21" ht="18.75" x14ac:dyDescent="0.25">
      <c r="A15" s="7">
        <v>42185</v>
      </c>
      <c r="B15" s="541" t="s">
        <v>661</v>
      </c>
      <c r="C15" s="129">
        <v>459598002.46000004</v>
      </c>
      <c r="D15" s="129">
        <v>97221684.989999995</v>
      </c>
      <c r="E15" s="129">
        <v>223776864.40000001</v>
      </c>
      <c r="F15" s="129">
        <v>265747327.91999999</v>
      </c>
      <c r="G15" s="129">
        <v>445452657.87</v>
      </c>
      <c r="H15" s="15"/>
    </row>
    <row r="16" spans="1:21" ht="18.75" x14ac:dyDescent="0.25">
      <c r="A16" s="7">
        <v>41820</v>
      </c>
      <c r="B16" s="541" t="s">
        <v>661</v>
      </c>
      <c r="C16" s="128">
        <v>442630895.48000002</v>
      </c>
      <c r="D16" s="128">
        <v>87439312.569999993</v>
      </c>
      <c r="E16" s="128">
        <v>197748604.72999999</v>
      </c>
      <c r="F16" s="128">
        <v>245368037.72999999</v>
      </c>
      <c r="G16" s="128">
        <v>422439612.75</v>
      </c>
      <c r="H16" s="15"/>
    </row>
    <row r="17" spans="1:8" ht="18.75" x14ac:dyDescent="0.25">
      <c r="A17" s="7">
        <v>41455</v>
      </c>
      <c r="B17" s="387" t="s">
        <v>661</v>
      </c>
      <c r="C17" s="389">
        <v>259339413.24000001</v>
      </c>
      <c r="D17" s="389">
        <v>80379621.359999999</v>
      </c>
      <c r="E17" s="389">
        <v>116144075.31</v>
      </c>
      <c r="F17" s="389">
        <v>229410116.96000001</v>
      </c>
      <c r="G17" s="390"/>
      <c r="H17" s="15"/>
    </row>
    <row r="18" spans="1:8" ht="15.75" thickBot="1" x14ac:dyDescent="0.3">
      <c r="A18" s="17"/>
      <c r="B18" s="18"/>
      <c r="C18" s="18"/>
      <c r="D18" s="18"/>
      <c r="E18" s="18"/>
      <c r="F18" s="18"/>
      <c r="G18" s="18"/>
      <c r="H18" s="16"/>
    </row>
    <row r="46" spans="2:13" ht="16.5" thickBot="1" x14ac:dyDescent="0.3">
      <c r="B46" t="s">
        <v>659</v>
      </c>
      <c r="I46" t="s">
        <v>658</v>
      </c>
    </row>
    <row r="47" spans="2:13" ht="15.75" customHeight="1" thickBot="1" x14ac:dyDescent="0.3">
      <c r="B47" s="391" t="s">
        <v>633</v>
      </c>
      <c r="C47" s="2">
        <v>2014</v>
      </c>
      <c r="D47" s="3">
        <v>2015</v>
      </c>
      <c r="F47" s="5"/>
      <c r="G47" s="5"/>
      <c r="I47" s="392" t="s">
        <v>637</v>
      </c>
      <c r="J47" s="392"/>
      <c r="K47" s="392"/>
      <c r="L47" s="392"/>
      <c r="M47" s="392"/>
    </row>
    <row r="48" spans="2:13" ht="38.25" x14ac:dyDescent="0.25">
      <c r="B48" s="393" t="s">
        <v>647</v>
      </c>
      <c r="C48" s="394">
        <v>27599977.379999999</v>
      </c>
      <c r="D48" s="395">
        <v>23671012.289999999</v>
      </c>
      <c r="I48" s="6"/>
      <c r="J48" s="9" t="s">
        <v>638</v>
      </c>
      <c r="K48" s="6"/>
      <c r="L48" s="10" t="s">
        <v>639</v>
      </c>
      <c r="M48" s="6"/>
    </row>
    <row r="49" spans="2:13" ht="25.5" x14ac:dyDescent="0.25">
      <c r="B49" s="396" t="s">
        <v>648</v>
      </c>
      <c r="C49" s="8">
        <v>415030918.10000002</v>
      </c>
      <c r="D49" s="397">
        <v>435926990.17000002</v>
      </c>
      <c r="I49" s="6"/>
      <c r="J49" s="9" t="s">
        <v>640</v>
      </c>
      <c r="K49" s="9"/>
      <c r="L49" s="9" t="s">
        <v>640</v>
      </c>
      <c r="M49" s="6"/>
    </row>
    <row r="50" spans="2:13" ht="26.25" thickBot="1" x14ac:dyDescent="0.3">
      <c r="B50" s="398" t="s">
        <v>649</v>
      </c>
      <c r="C50" s="399">
        <v>442630895.48000002</v>
      </c>
      <c r="D50" s="400">
        <v>459598002.46000004</v>
      </c>
      <c r="I50" s="6"/>
      <c r="J50" s="9">
        <v>2014</v>
      </c>
      <c r="K50" s="9"/>
      <c r="L50" s="9">
        <v>2015</v>
      </c>
      <c r="M50" s="11" t="s">
        <v>641</v>
      </c>
    </row>
    <row r="51" spans="2:13" ht="15.75" thickBot="1" x14ac:dyDescent="0.3">
      <c r="B51" s="401"/>
      <c r="C51" s="6"/>
      <c r="D51" s="6"/>
      <c r="I51" s="6"/>
      <c r="J51" s="6"/>
      <c r="K51" s="6"/>
      <c r="L51" s="6"/>
      <c r="M51" s="9"/>
    </row>
    <row r="52" spans="2:13" ht="15.75" thickBot="1" x14ac:dyDescent="0.3">
      <c r="B52" s="402" t="s">
        <v>634</v>
      </c>
      <c r="C52" s="2">
        <v>2014</v>
      </c>
      <c r="D52" s="3">
        <v>2015</v>
      </c>
      <c r="I52" s="6" t="s">
        <v>0</v>
      </c>
      <c r="J52" s="8">
        <v>3886180.0000000014</v>
      </c>
      <c r="K52" s="6"/>
      <c r="L52" s="403">
        <v>3432657.76</v>
      </c>
      <c r="M52" s="404" t="s">
        <v>642</v>
      </c>
    </row>
    <row r="53" spans="2:13" ht="26.25" thickBot="1" x14ac:dyDescent="0.3">
      <c r="B53" s="405" t="s">
        <v>650</v>
      </c>
      <c r="C53" s="406">
        <v>87439312.569999993</v>
      </c>
      <c r="D53" s="407">
        <v>97221684.989999995</v>
      </c>
      <c r="I53" s="6" t="s">
        <v>1</v>
      </c>
      <c r="J53" s="8">
        <v>60430629.790000014</v>
      </c>
      <c r="K53" s="6"/>
      <c r="L53" s="408">
        <v>68718963.579999998</v>
      </c>
      <c r="M53" s="404" t="s">
        <v>643</v>
      </c>
    </row>
    <row r="54" spans="2:13" ht="15.75" thickBot="1" x14ac:dyDescent="0.3">
      <c r="B54" s="401"/>
      <c r="C54" s="6"/>
      <c r="D54" s="6"/>
      <c r="I54" s="6"/>
      <c r="J54" s="8">
        <v>442630895.48000002</v>
      </c>
      <c r="K54" s="6"/>
      <c r="L54" s="409">
        <v>459598002.46000004</v>
      </c>
      <c r="M54" s="404" t="s">
        <v>644</v>
      </c>
    </row>
    <row r="55" spans="2:13" ht="15.75" thickBot="1" x14ac:dyDescent="0.3">
      <c r="B55" s="410" t="s">
        <v>635</v>
      </c>
      <c r="C55" s="2">
        <v>2014</v>
      </c>
      <c r="D55" s="3">
        <v>2015</v>
      </c>
      <c r="I55" s="6"/>
      <c r="J55" s="8"/>
      <c r="K55" s="6"/>
      <c r="L55" s="6"/>
      <c r="M55" s="9"/>
    </row>
    <row r="56" spans="2:13" ht="38.25" x14ac:dyDescent="0.25">
      <c r="B56" s="393" t="s">
        <v>647</v>
      </c>
      <c r="C56" s="394">
        <v>14380021.91</v>
      </c>
      <c r="D56" s="395">
        <v>11755099.02</v>
      </c>
      <c r="I56" s="6" t="s">
        <v>634</v>
      </c>
      <c r="J56" s="8">
        <v>87439312.660000041</v>
      </c>
      <c r="K56" s="6"/>
      <c r="L56" s="411">
        <v>97221684.990000024</v>
      </c>
      <c r="M56" s="404" t="s">
        <v>643</v>
      </c>
    </row>
    <row r="57" spans="2:13" ht="25.5" x14ac:dyDescent="0.25">
      <c r="B57" s="396" t="s">
        <v>648</v>
      </c>
      <c r="C57" s="8">
        <v>183368582.81999999</v>
      </c>
      <c r="D57" s="397">
        <v>212021765.38</v>
      </c>
      <c r="I57" s="6"/>
      <c r="J57" s="8">
        <v>87439312.660000041</v>
      </c>
      <c r="K57" s="6"/>
      <c r="L57" s="409">
        <v>97221684.989999741</v>
      </c>
      <c r="M57" s="404" t="s">
        <v>644</v>
      </c>
    </row>
    <row r="58" spans="2:13" ht="26.25" thickBot="1" x14ac:dyDescent="0.3">
      <c r="B58" s="398" t="s">
        <v>649</v>
      </c>
      <c r="C58" s="399">
        <v>197748604.72999999</v>
      </c>
      <c r="D58" s="412">
        <v>223776864.40000001</v>
      </c>
      <c r="I58" s="6"/>
      <c r="J58" s="8"/>
      <c r="K58" s="6"/>
      <c r="L58" s="6"/>
      <c r="M58" s="9"/>
    </row>
    <row r="59" spans="2:13" ht="15.75" thickBot="1" x14ac:dyDescent="0.3">
      <c r="B59" s="401"/>
      <c r="C59" s="6"/>
      <c r="D59" s="6"/>
      <c r="I59" s="6" t="s">
        <v>3</v>
      </c>
      <c r="J59" s="8">
        <v>13920681.310000002</v>
      </c>
      <c r="K59" s="6"/>
      <c r="L59" s="403">
        <v>11366879.729999997</v>
      </c>
      <c r="M59" s="404" t="s">
        <v>645</v>
      </c>
    </row>
    <row r="60" spans="2:13" ht="15.75" thickBot="1" x14ac:dyDescent="0.3">
      <c r="B60" s="402" t="s">
        <v>636</v>
      </c>
      <c r="C60" s="2">
        <v>2014</v>
      </c>
      <c r="D60" s="3">
        <v>2015</v>
      </c>
      <c r="I60" s="6" t="s">
        <v>4</v>
      </c>
      <c r="J60" s="8">
        <v>182282337.44999987</v>
      </c>
      <c r="K60" s="6"/>
      <c r="L60" s="413">
        <v>210489746.03999972</v>
      </c>
      <c r="M60" s="404" t="s">
        <v>646</v>
      </c>
    </row>
    <row r="61" spans="2:13" ht="39" thickBot="1" x14ac:dyDescent="0.3">
      <c r="B61" s="405" t="s">
        <v>651</v>
      </c>
      <c r="C61" s="406">
        <v>245368037.72999999</v>
      </c>
      <c r="D61" s="414">
        <v>265747327.91999999</v>
      </c>
      <c r="I61" s="6"/>
      <c r="J61" s="8">
        <v>197748604.72999999</v>
      </c>
      <c r="K61" s="6"/>
      <c r="L61" s="409">
        <v>223776864.39999986</v>
      </c>
      <c r="M61" s="404" t="s">
        <v>644</v>
      </c>
    </row>
    <row r="62" spans="2:13" x14ac:dyDescent="0.25">
      <c r="I62" s="6"/>
      <c r="J62" s="8"/>
      <c r="K62" s="6"/>
      <c r="L62" s="6"/>
      <c r="M62" s="9"/>
    </row>
    <row r="63" spans="2:13" x14ac:dyDescent="0.25">
      <c r="I63" s="6" t="s">
        <v>636</v>
      </c>
      <c r="J63" s="8">
        <v>243914517.79000005</v>
      </c>
      <c r="K63" s="6"/>
      <c r="L63" s="415">
        <v>263823852.79999989</v>
      </c>
      <c r="M63" s="404" t="s">
        <v>646</v>
      </c>
    </row>
    <row r="64" spans="2:13" x14ac:dyDescent="0.25">
      <c r="I64" s="6"/>
      <c r="J64" s="8">
        <v>245368037.72999999</v>
      </c>
      <c r="K64" s="6"/>
      <c r="L64" s="409">
        <v>265747327.92000023</v>
      </c>
      <c r="M64" s="404" t="s">
        <v>644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A8CE-9B3E-47D3-8F04-FF54828A23A1}">
  <dimension ref="A1:AD327"/>
  <sheetViews>
    <sheetView workbookViewId="0">
      <pane xSplit="3" ySplit="6" topLeftCell="D7" activePane="bottomRight" state="frozen"/>
      <selection pane="topRight" activeCell="D1" sqref="D1"/>
      <selection pane="bottomLeft" activeCell="A7" sqref="A7"/>
      <selection pane="bottomRight"/>
    </sheetView>
  </sheetViews>
  <sheetFormatPr defaultRowHeight="15" x14ac:dyDescent="0.25"/>
  <cols>
    <col min="2" max="2" width="4.28515625" bestFit="1" customWidth="1"/>
    <col min="3" max="3" width="34.5703125" customWidth="1"/>
    <col min="4" max="4" width="12.28515625" bestFit="1" customWidth="1"/>
    <col min="5" max="5" width="14.28515625" bestFit="1" customWidth="1"/>
    <col min="6" max="6" width="11.140625" bestFit="1" customWidth="1"/>
    <col min="7" max="7" width="14.28515625" bestFit="1" customWidth="1"/>
    <col min="8" max="8" width="15.28515625" bestFit="1" customWidth="1"/>
    <col min="9" max="9" width="14.28515625" bestFit="1" customWidth="1"/>
    <col min="10" max="10" width="3" bestFit="1" customWidth="1"/>
    <col min="11" max="11" width="13.28515625" bestFit="1" customWidth="1"/>
    <col min="12" max="12" width="15.28515625" bestFit="1" customWidth="1"/>
    <col min="13" max="13" width="8.85546875" bestFit="1" customWidth="1"/>
    <col min="14" max="14" width="15.28515625" bestFit="1" customWidth="1"/>
    <col min="15" max="15" width="8.85546875" bestFit="1" customWidth="1"/>
    <col min="16" max="16" width="13.28515625" bestFit="1" customWidth="1"/>
    <col min="17" max="17" width="14.28515625" bestFit="1" customWidth="1"/>
    <col min="18" max="18" width="8.85546875" bestFit="1" customWidth="1"/>
    <col min="19" max="19" width="11.140625" bestFit="1" customWidth="1"/>
    <col min="20" max="20" width="5.140625" bestFit="1" customWidth="1"/>
    <col min="21" max="21" width="13.28515625" bestFit="1" customWidth="1"/>
    <col min="22" max="22" width="14.42578125" bestFit="1" customWidth="1"/>
    <col min="23" max="23" width="8.85546875" bestFit="1" customWidth="1"/>
    <col min="24" max="24" width="14.42578125" bestFit="1" customWidth="1"/>
    <col min="25" max="25" width="8.85546875" bestFit="1" customWidth="1"/>
    <col min="26" max="26" width="11.28515625" bestFit="1" customWidth="1"/>
    <col min="27" max="27" width="13.28515625" bestFit="1" customWidth="1"/>
    <col min="28" max="28" width="8.85546875" bestFit="1" customWidth="1"/>
    <col min="29" max="29" width="11.140625" bestFit="1" customWidth="1"/>
    <col min="30" max="30" width="3" bestFit="1" customWidth="1"/>
  </cols>
  <sheetData>
    <row r="1" spans="1:30" x14ac:dyDescent="0.25">
      <c r="A1" s="475">
        <v>1</v>
      </c>
      <c r="B1" s="475">
        <v>2</v>
      </c>
      <c r="C1" s="475">
        <v>3</v>
      </c>
      <c r="D1" s="475">
        <f t="shared" ref="D1:AD1" si="0">+C1+1</f>
        <v>4</v>
      </c>
      <c r="E1" s="475">
        <f t="shared" si="0"/>
        <v>5</v>
      </c>
      <c r="F1" s="475">
        <f t="shared" si="0"/>
        <v>6</v>
      </c>
      <c r="G1" s="475">
        <f t="shared" si="0"/>
        <v>7</v>
      </c>
      <c r="H1" s="475">
        <f t="shared" si="0"/>
        <v>8</v>
      </c>
      <c r="I1" s="475">
        <f t="shared" si="0"/>
        <v>9</v>
      </c>
      <c r="J1" s="475">
        <f t="shared" si="0"/>
        <v>10</v>
      </c>
      <c r="K1" s="475">
        <f t="shared" si="0"/>
        <v>11</v>
      </c>
      <c r="L1" s="475">
        <f t="shared" si="0"/>
        <v>12</v>
      </c>
      <c r="M1" s="475">
        <f t="shared" si="0"/>
        <v>13</v>
      </c>
      <c r="N1" s="475">
        <f t="shared" si="0"/>
        <v>14</v>
      </c>
      <c r="O1" s="475">
        <f t="shared" si="0"/>
        <v>15</v>
      </c>
      <c r="P1" s="475">
        <f t="shared" si="0"/>
        <v>16</v>
      </c>
      <c r="Q1" s="475">
        <f t="shared" si="0"/>
        <v>17</v>
      </c>
      <c r="R1" s="475">
        <f t="shared" si="0"/>
        <v>18</v>
      </c>
      <c r="S1" s="475">
        <f t="shared" si="0"/>
        <v>19</v>
      </c>
      <c r="T1" s="475">
        <f t="shared" si="0"/>
        <v>20</v>
      </c>
      <c r="U1" s="475">
        <f t="shared" si="0"/>
        <v>21</v>
      </c>
      <c r="V1" s="475">
        <f t="shared" si="0"/>
        <v>22</v>
      </c>
      <c r="W1" s="475">
        <f t="shared" si="0"/>
        <v>23</v>
      </c>
      <c r="X1" s="475">
        <f t="shared" si="0"/>
        <v>24</v>
      </c>
      <c r="Y1" s="475">
        <f t="shared" si="0"/>
        <v>25</v>
      </c>
      <c r="Z1" s="475">
        <f t="shared" si="0"/>
        <v>26</v>
      </c>
      <c r="AA1" s="475">
        <f t="shared" si="0"/>
        <v>27</v>
      </c>
      <c r="AB1" s="475">
        <f t="shared" si="0"/>
        <v>28</v>
      </c>
      <c r="AC1" s="475">
        <f t="shared" si="0"/>
        <v>29</v>
      </c>
      <c r="AD1" s="475">
        <f t="shared" si="0"/>
        <v>30</v>
      </c>
    </row>
    <row r="2" spans="1:30" x14ac:dyDescent="0.25">
      <c r="A2" s="19"/>
      <c r="B2" s="19"/>
      <c r="C2" s="218"/>
      <c r="D2" s="121">
        <f>SUM(D7:D327)</f>
        <v>6141749.0200000023</v>
      </c>
      <c r="E2" s="121">
        <f>SUM(E7:E327)</f>
        <v>3351359154.7599988</v>
      </c>
      <c r="F2" s="121">
        <f>SUM(F7:F327)</f>
        <v>7221555.2700000005</v>
      </c>
      <c r="G2" s="121">
        <f>SUM(G7:G327)</f>
        <v>8663557574.9700012</v>
      </c>
      <c r="H2" s="121">
        <f>+D2+E2+F2+G2+I2</f>
        <v>12037280910.75</v>
      </c>
      <c r="I2" s="121">
        <f>SUM(I7:I327)</f>
        <v>9000876.7300000004</v>
      </c>
      <c r="J2" s="19"/>
      <c r="K2" s="121">
        <f t="shared" ref="K2:AC2" si="1">SUM(K7:K327)</f>
        <v>7221555.2700000005</v>
      </c>
      <c r="L2" s="121">
        <f t="shared" si="1"/>
        <v>8663557574.9700012</v>
      </c>
      <c r="M2" s="121">
        <f t="shared" si="1"/>
        <v>0</v>
      </c>
      <c r="N2" s="121">
        <f t="shared" si="1"/>
        <v>3351359154.7599988</v>
      </c>
      <c r="O2" s="121">
        <f t="shared" si="1"/>
        <v>0</v>
      </c>
      <c r="P2" s="121">
        <f t="shared" si="1"/>
        <v>6141749.0200000023</v>
      </c>
      <c r="Q2" s="121">
        <f t="shared" si="1"/>
        <v>9000876.7300000004</v>
      </c>
      <c r="R2" s="121">
        <f t="shared" si="1"/>
        <v>0</v>
      </c>
      <c r="S2" s="121">
        <f t="shared" si="1"/>
        <v>0</v>
      </c>
      <c r="T2" s="121">
        <f t="shared" si="1"/>
        <v>0</v>
      </c>
      <c r="U2" s="121">
        <f t="shared" si="1"/>
        <v>9874686.040000001</v>
      </c>
      <c r="V2" s="121">
        <f t="shared" si="1"/>
        <v>227910227.23999989</v>
      </c>
      <c r="W2" s="121">
        <f t="shared" si="1"/>
        <v>0</v>
      </c>
      <c r="X2" s="121">
        <f t="shared" si="1"/>
        <v>226473157.53000009</v>
      </c>
      <c r="Y2" s="121">
        <f t="shared" si="1"/>
        <v>0</v>
      </c>
      <c r="Z2" s="121">
        <f t="shared" si="1"/>
        <v>0</v>
      </c>
      <c r="AA2" s="121">
        <f t="shared" si="1"/>
        <v>0</v>
      </c>
      <c r="AB2" s="121">
        <f t="shared" si="1"/>
        <v>0</v>
      </c>
      <c r="AC2" s="121">
        <f t="shared" si="1"/>
        <v>0</v>
      </c>
      <c r="AD2" s="19"/>
    </row>
    <row r="3" spans="1:30" x14ac:dyDescent="0.25">
      <c r="A3" s="459" t="s">
        <v>672</v>
      </c>
      <c r="K3" s="634" t="s">
        <v>1041</v>
      </c>
      <c r="L3" s="635"/>
      <c r="M3" s="635"/>
      <c r="N3" s="635"/>
      <c r="O3" s="635"/>
      <c r="P3" s="635"/>
      <c r="Q3" s="635"/>
      <c r="R3" s="636"/>
      <c r="U3" s="637" t="s">
        <v>1042</v>
      </c>
      <c r="V3" s="638"/>
      <c r="W3" s="638"/>
      <c r="X3" s="638"/>
      <c r="Y3" s="638"/>
      <c r="Z3" s="638"/>
      <c r="AA3" s="638"/>
      <c r="AB3" s="639"/>
    </row>
    <row r="4" spans="1:30" x14ac:dyDescent="0.25">
      <c r="C4" s="214" t="s">
        <v>1209</v>
      </c>
      <c r="K4" s="121"/>
      <c r="Q4" t="s">
        <v>1087</v>
      </c>
      <c r="U4" s="121"/>
      <c r="AA4" t="s">
        <v>1087</v>
      </c>
    </row>
    <row r="5" spans="1:30" x14ac:dyDescent="0.25">
      <c r="C5" s="371"/>
      <c r="J5" s="19"/>
      <c r="M5" s="132" t="s">
        <v>1088</v>
      </c>
      <c r="N5" s="58"/>
      <c r="O5" s="132" t="s">
        <v>1088</v>
      </c>
      <c r="P5" s="58"/>
      <c r="Q5" s="58"/>
      <c r="R5" s="132" t="s">
        <v>1088</v>
      </c>
      <c r="S5" s="116" t="s">
        <v>628</v>
      </c>
      <c r="W5" s="132" t="s">
        <v>1088</v>
      </c>
      <c r="X5" s="58"/>
      <c r="Y5" s="132" t="s">
        <v>1088</v>
      </c>
      <c r="Z5" s="58"/>
      <c r="AA5" s="58"/>
      <c r="AB5" s="132" t="s">
        <v>1088</v>
      </c>
      <c r="AC5" s="116" t="s">
        <v>628</v>
      </c>
    </row>
    <row r="6" spans="1:30" x14ac:dyDescent="0.25">
      <c r="A6" s="116" t="s">
        <v>7</v>
      </c>
      <c r="B6" s="116" t="s">
        <v>8</v>
      </c>
      <c r="C6" s="131" t="s">
        <v>6</v>
      </c>
      <c r="D6" s="116" t="s">
        <v>629</v>
      </c>
      <c r="E6" s="116" t="s">
        <v>630</v>
      </c>
      <c r="F6" s="116" t="s">
        <v>631</v>
      </c>
      <c r="G6" s="116" t="s">
        <v>632</v>
      </c>
      <c r="H6" s="116" t="s">
        <v>628</v>
      </c>
      <c r="I6" s="116" t="s">
        <v>724</v>
      </c>
      <c r="K6" s="159" t="s">
        <v>631</v>
      </c>
      <c r="L6" s="160" t="s">
        <v>632</v>
      </c>
      <c r="N6" s="161" t="s">
        <v>630</v>
      </c>
      <c r="P6" s="162" t="s">
        <v>629</v>
      </c>
      <c r="Q6" s="163" t="s">
        <v>724</v>
      </c>
      <c r="U6" s="384" t="s">
        <v>1089</v>
      </c>
      <c r="V6" s="164" t="s">
        <v>1090</v>
      </c>
      <c r="X6" s="161" t="s">
        <v>1091</v>
      </c>
      <c r="Z6" s="162" t="s">
        <v>1092</v>
      </c>
      <c r="AA6" s="163" t="s">
        <v>1093</v>
      </c>
    </row>
    <row r="7" spans="1:30" x14ac:dyDescent="0.25">
      <c r="A7" s="443">
        <v>1109</v>
      </c>
      <c r="B7" s="19" t="s">
        <v>18</v>
      </c>
      <c r="C7" t="s">
        <v>590</v>
      </c>
      <c r="D7" s="477"/>
      <c r="E7" s="121">
        <v>352406.76</v>
      </c>
      <c r="F7" s="477"/>
      <c r="G7" s="477">
        <v>1036866.8500000001</v>
      </c>
      <c r="H7" s="477"/>
      <c r="I7" s="121">
        <v>0</v>
      </c>
      <c r="J7" s="379"/>
      <c r="K7" s="477"/>
      <c r="L7" s="477">
        <v>1036866.8500000001</v>
      </c>
      <c r="N7" s="121">
        <v>352406.76</v>
      </c>
      <c r="P7" s="477"/>
      <c r="Q7" s="121">
        <v>0</v>
      </c>
      <c r="U7" s="122"/>
      <c r="V7" s="122">
        <v>53889.22</v>
      </c>
      <c r="W7" s="122"/>
      <c r="X7" s="122">
        <v>17303.939999999999</v>
      </c>
      <c r="Y7" s="122"/>
      <c r="Z7" s="122"/>
      <c r="AA7" s="122">
        <v>0</v>
      </c>
      <c r="AD7" s="121"/>
    </row>
    <row r="8" spans="1:30" x14ac:dyDescent="0.25">
      <c r="A8" s="443">
        <v>1122</v>
      </c>
      <c r="B8" s="19" t="s">
        <v>18</v>
      </c>
      <c r="C8" t="s">
        <v>39</v>
      </c>
      <c r="D8" s="477"/>
      <c r="E8" s="121">
        <v>68106.570000000007</v>
      </c>
      <c r="F8" s="477"/>
      <c r="G8" s="477">
        <v>162628.46</v>
      </c>
      <c r="H8" s="477"/>
      <c r="I8" s="121">
        <v>0</v>
      </c>
      <c r="J8" s="379"/>
      <c r="K8" s="477"/>
      <c r="L8" s="477">
        <v>162628.46</v>
      </c>
      <c r="N8" s="121">
        <v>68106.570000000007</v>
      </c>
      <c r="P8" s="477"/>
      <c r="Q8" s="121">
        <v>0</v>
      </c>
      <c r="U8" s="122"/>
      <c r="V8" s="122">
        <v>23971.02</v>
      </c>
      <c r="W8" s="122"/>
      <c r="X8" s="122">
        <v>14790.12</v>
      </c>
      <c r="Y8" s="122"/>
      <c r="Z8" s="122"/>
      <c r="AA8" s="122">
        <v>0</v>
      </c>
      <c r="AD8" s="121"/>
    </row>
    <row r="9" spans="1:30" x14ac:dyDescent="0.25">
      <c r="A9" s="443">
        <v>1147</v>
      </c>
      <c r="B9" s="19" t="s">
        <v>26</v>
      </c>
      <c r="C9" t="s">
        <v>400</v>
      </c>
      <c r="D9" s="477"/>
      <c r="E9" s="121">
        <v>12054486.01</v>
      </c>
      <c r="F9" s="477">
        <v>0</v>
      </c>
      <c r="G9" s="477">
        <v>32351554.399999999</v>
      </c>
      <c r="H9" s="477"/>
      <c r="I9" s="121">
        <v>0</v>
      </c>
      <c r="J9" s="379"/>
      <c r="K9" s="477">
        <v>0</v>
      </c>
      <c r="L9" s="477">
        <v>32351554.399999999</v>
      </c>
      <c r="N9" s="121">
        <v>12054486.01</v>
      </c>
      <c r="P9" s="477"/>
      <c r="Q9" s="121">
        <v>0</v>
      </c>
      <c r="U9" s="122">
        <v>20622</v>
      </c>
      <c r="V9" s="122">
        <v>922549.12</v>
      </c>
      <c r="W9" s="122"/>
      <c r="X9" s="122">
        <v>596292.15</v>
      </c>
      <c r="Y9" s="122"/>
      <c r="Z9" s="122"/>
      <c r="AA9" s="122">
        <v>0</v>
      </c>
      <c r="AD9" s="121"/>
    </row>
    <row r="10" spans="1:30" x14ac:dyDescent="0.25">
      <c r="A10" s="443">
        <v>1158</v>
      </c>
      <c r="B10" s="19" t="s">
        <v>18</v>
      </c>
      <c r="C10" t="s">
        <v>270</v>
      </c>
      <c r="D10" s="477"/>
      <c r="E10" s="121">
        <v>1190181.7999999998</v>
      </c>
      <c r="F10" s="477">
        <v>0</v>
      </c>
      <c r="G10" s="477">
        <v>1885132.3599999999</v>
      </c>
      <c r="H10" s="477"/>
      <c r="I10" s="121">
        <v>0</v>
      </c>
      <c r="J10" s="379"/>
      <c r="K10" s="477">
        <v>0</v>
      </c>
      <c r="L10" s="477">
        <v>1885132.3599999999</v>
      </c>
      <c r="N10" s="121">
        <v>1190181.7999999998</v>
      </c>
      <c r="P10" s="477"/>
      <c r="Q10" s="121">
        <v>0</v>
      </c>
      <c r="U10" s="122">
        <v>1558.35</v>
      </c>
      <c r="V10" s="122">
        <v>10050.69</v>
      </c>
      <c r="W10" s="122"/>
      <c r="X10" s="122">
        <v>67659.53</v>
      </c>
      <c r="Y10" s="122"/>
      <c r="Z10" s="122"/>
      <c r="AA10" s="122">
        <v>0</v>
      </c>
    </row>
    <row r="11" spans="1:30" x14ac:dyDescent="0.25">
      <c r="A11" s="443">
        <v>1160</v>
      </c>
      <c r="B11" s="19" t="s">
        <v>18</v>
      </c>
      <c r="C11" t="s">
        <v>458</v>
      </c>
      <c r="D11" s="477"/>
      <c r="E11" s="121">
        <v>781849.28</v>
      </c>
      <c r="F11" s="477"/>
      <c r="G11" s="477">
        <v>2617541.2000000002</v>
      </c>
      <c r="H11" s="477"/>
      <c r="I11" s="121">
        <v>0</v>
      </c>
      <c r="J11" s="379"/>
      <c r="K11" s="477"/>
      <c r="L11" s="477">
        <v>2617541.2000000002</v>
      </c>
      <c r="N11" s="121">
        <v>781849.28</v>
      </c>
      <c r="P11" s="477"/>
      <c r="Q11" s="121">
        <v>0</v>
      </c>
      <c r="U11" s="122"/>
      <c r="V11" s="122">
        <v>82571.67</v>
      </c>
      <c r="W11" s="122"/>
      <c r="X11" s="122">
        <v>125344.5</v>
      </c>
      <c r="Y11" s="122"/>
      <c r="Z11" s="122"/>
      <c r="AA11" s="122">
        <v>0</v>
      </c>
    </row>
    <row r="12" spans="1:30" x14ac:dyDescent="0.25">
      <c r="A12" s="443">
        <v>2250</v>
      </c>
      <c r="B12" s="19" t="s">
        <v>26</v>
      </c>
      <c r="C12" t="s">
        <v>90</v>
      </c>
      <c r="D12" s="477">
        <v>39382.26</v>
      </c>
      <c r="E12" s="121">
        <v>6971992.8799999999</v>
      </c>
      <c r="F12" s="477">
        <v>239621.68</v>
      </c>
      <c r="G12" s="477">
        <v>17795705.66</v>
      </c>
      <c r="H12" s="477"/>
      <c r="I12" s="121">
        <v>0</v>
      </c>
      <c r="J12" s="379"/>
      <c r="K12" s="477">
        <v>239621.68</v>
      </c>
      <c r="L12" s="477">
        <v>17795705.66</v>
      </c>
      <c r="N12" s="121">
        <v>6971992.8799999999</v>
      </c>
      <c r="P12" s="477">
        <v>39382.26</v>
      </c>
      <c r="Q12" s="121">
        <v>0</v>
      </c>
      <c r="U12" s="122">
        <v>3700</v>
      </c>
      <c r="V12" s="122">
        <v>282892.03000000003</v>
      </c>
      <c r="W12" s="122"/>
      <c r="X12" s="122">
        <v>449639.63</v>
      </c>
      <c r="Y12" s="122"/>
      <c r="Z12" s="122">
        <v>0</v>
      </c>
      <c r="AA12" s="122">
        <v>0</v>
      </c>
    </row>
    <row r="13" spans="1:30" x14ac:dyDescent="0.25">
      <c r="A13" s="443">
        <v>2420</v>
      </c>
      <c r="B13" s="19" t="s">
        <v>26</v>
      </c>
      <c r="C13" t="s">
        <v>24</v>
      </c>
      <c r="D13" s="477"/>
      <c r="E13" s="121">
        <v>1741012.16</v>
      </c>
      <c r="F13" s="477"/>
      <c r="G13" s="477">
        <v>4739052.3499999996</v>
      </c>
      <c r="H13" s="477"/>
      <c r="I13" s="121">
        <v>0</v>
      </c>
      <c r="J13" s="379"/>
      <c r="K13" s="477"/>
      <c r="L13" s="477">
        <v>4739052.3499999996</v>
      </c>
      <c r="N13" s="121">
        <v>1741012.16</v>
      </c>
      <c r="P13" s="477"/>
      <c r="Q13" s="121">
        <v>0</v>
      </c>
      <c r="U13" s="122"/>
      <c r="V13" s="122">
        <v>102712.35</v>
      </c>
      <c r="W13" s="122"/>
      <c r="X13" s="122">
        <v>230797.35</v>
      </c>
      <c r="Y13" s="122"/>
      <c r="Z13" s="122"/>
      <c r="AA13" s="122">
        <v>0</v>
      </c>
    </row>
    <row r="14" spans="1:30" x14ac:dyDescent="0.25">
      <c r="A14" s="443">
        <v>3017</v>
      </c>
      <c r="B14" s="19" t="s">
        <v>26</v>
      </c>
      <c r="C14" t="s">
        <v>240</v>
      </c>
      <c r="D14" s="477">
        <v>68818.91</v>
      </c>
      <c r="E14" s="121">
        <v>42693291.739999995</v>
      </c>
      <c r="F14" s="477">
        <v>0</v>
      </c>
      <c r="G14" s="477">
        <v>137072074.91</v>
      </c>
      <c r="H14" s="477"/>
      <c r="I14" s="121">
        <v>0</v>
      </c>
      <c r="J14" s="379"/>
      <c r="K14" s="477">
        <v>0</v>
      </c>
      <c r="L14" s="477">
        <v>137072074.91</v>
      </c>
      <c r="N14" s="121">
        <v>42693291.739999995</v>
      </c>
      <c r="P14" s="477">
        <v>68818.91</v>
      </c>
      <c r="Q14" s="121">
        <v>0</v>
      </c>
      <c r="U14" s="122">
        <v>209831.53</v>
      </c>
      <c r="V14" s="122">
        <v>3919661.54</v>
      </c>
      <c r="W14" s="122"/>
      <c r="X14" s="122">
        <v>3019299.85</v>
      </c>
      <c r="Y14" s="122"/>
      <c r="Z14" s="122">
        <v>0</v>
      </c>
      <c r="AA14" s="122">
        <v>0</v>
      </c>
    </row>
    <row r="15" spans="1:30" x14ac:dyDescent="0.25">
      <c r="A15" s="443">
        <v>3050</v>
      </c>
      <c r="B15" s="19" t="s">
        <v>26</v>
      </c>
      <c r="C15" t="s">
        <v>410</v>
      </c>
      <c r="D15" s="477"/>
      <c r="E15" s="121">
        <v>445609.54000000004</v>
      </c>
      <c r="F15" s="477"/>
      <c r="G15" s="477">
        <v>1076515.3800000001</v>
      </c>
      <c r="H15" s="477"/>
      <c r="I15" s="121">
        <v>0</v>
      </c>
      <c r="J15" s="379"/>
      <c r="K15" s="477"/>
      <c r="L15" s="477">
        <v>1076515.3800000001</v>
      </c>
      <c r="N15" s="121">
        <v>445609.54000000004</v>
      </c>
      <c r="P15" s="477"/>
      <c r="Q15" s="121">
        <v>0</v>
      </c>
      <c r="U15" s="122"/>
      <c r="V15" s="122">
        <v>15731.25</v>
      </c>
      <c r="W15" s="122"/>
      <c r="X15" s="122">
        <v>2485.0100000000002</v>
      </c>
      <c r="Y15" s="122"/>
      <c r="Z15" s="122"/>
      <c r="AA15" s="122">
        <v>0</v>
      </c>
    </row>
    <row r="16" spans="1:30" x14ac:dyDescent="0.25">
      <c r="A16" s="443">
        <v>3052</v>
      </c>
      <c r="B16" s="19" t="s">
        <v>26</v>
      </c>
      <c r="C16" t="s">
        <v>246</v>
      </c>
      <c r="D16" s="477"/>
      <c r="E16" s="121">
        <v>3834073.75</v>
      </c>
      <c r="F16" s="477">
        <v>0</v>
      </c>
      <c r="G16" s="477">
        <v>9774783.620000001</v>
      </c>
      <c r="H16" s="477"/>
      <c r="I16" s="121">
        <v>0</v>
      </c>
      <c r="J16" s="379"/>
      <c r="K16" s="477">
        <v>0</v>
      </c>
      <c r="L16" s="477">
        <v>9774783.620000001</v>
      </c>
      <c r="N16" s="121">
        <v>3834073.75</v>
      </c>
      <c r="P16" s="477"/>
      <c r="Q16" s="121">
        <v>0</v>
      </c>
      <c r="U16" s="122">
        <v>5775</v>
      </c>
      <c r="V16" s="122">
        <v>174706.73</v>
      </c>
      <c r="W16" s="122"/>
      <c r="X16" s="122">
        <v>408643.54000000004</v>
      </c>
      <c r="Y16" s="122"/>
      <c r="Z16" s="122"/>
      <c r="AA16" s="122">
        <v>0</v>
      </c>
    </row>
    <row r="17" spans="1:27" x14ac:dyDescent="0.25">
      <c r="A17" s="443">
        <v>3053</v>
      </c>
      <c r="B17" s="19" t="s">
        <v>26</v>
      </c>
      <c r="C17" t="s">
        <v>186</v>
      </c>
      <c r="D17" s="477"/>
      <c r="E17" s="121">
        <v>2078648.18</v>
      </c>
      <c r="F17" s="477"/>
      <c r="G17" s="477">
        <v>5943200.2599999998</v>
      </c>
      <c r="H17" s="477"/>
      <c r="I17" s="121">
        <v>0</v>
      </c>
      <c r="J17" s="379"/>
      <c r="K17" s="477"/>
      <c r="L17" s="477">
        <v>5943200.2599999998</v>
      </c>
      <c r="N17" s="121">
        <v>2078648.18</v>
      </c>
      <c r="P17" s="477"/>
      <c r="Q17" s="121">
        <v>0</v>
      </c>
      <c r="U17" s="122"/>
      <c r="V17" s="122">
        <v>156580.39000000001</v>
      </c>
      <c r="W17" s="122"/>
      <c r="X17" s="122">
        <v>185123.84</v>
      </c>
      <c r="Y17" s="122"/>
      <c r="Z17" s="122"/>
      <c r="AA17" s="122">
        <v>0</v>
      </c>
    </row>
    <row r="18" spans="1:27" x14ac:dyDescent="0.25">
      <c r="A18" s="443">
        <v>3116</v>
      </c>
      <c r="B18" s="19" t="s">
        <v>26</v>
      </c>
      <c r="C18" t="s">
        <v>426</v>
      </c>
      <c r="D18" s="477"/>
      <c r="E18" s="121">
        <v>7091785.5700000003</v>
      </c>
      <c r="F18" s="477">
        <v>0</v>
      </c>
      <c r="G18" s="477">
        <v>17185002.600000001</v>
      </c>
      <c r="H18" s="477"/>
      <c r="I18" s="121">
        <v>0</v>
      </c>
      <c r="J18" s="379"/>
      <c r="K18" s="477">
        <v>0</v>
      </c>
      <c r="L18" s="477">
        <v>17185002.600000001</v>
      </c>
      <c r="N18" s="121">
        <v>7091785.5700000003</v>
      </c>
      <c r="P18" s="477"/>
      <c r="Q18" s="121">
        <v>0</v>
      </c>
      <c r="U18" s="122">
        <v>7123.34</v>
      </c>
      <c r="V18" s="122">
        <v>242312.17</v>
      </c>
      <c r="W18" s="122"/>
      <c r="X18" s="122">
        <v>684999.29999999993</v>
      </c>
      <c r="Y18" s="122"/>
      <c r="Z18" s="122"/>
      <c r="AA18" s="122">
        <v>0</v>
      </c>
    </row>
    <row r="19" spans="1:27" x14ac:dyDescent="0.25">
      <c r="A19" s="443">
        <v>3400</v>
      </c>
      <c r="B19" s="19" t="s">
        <v>26</v>
      </c>
      <c r="C19" t="s">
        <v>454</v>
      </c>
      <c r="D19" s="477">
        <v>164828.06</v>
      </c>
      <c r="E19" s="121">
        <v>29543846.579999998</v>
      </c>
      <c r="F19" s="477">
        <v>0</v>
      </c>
      <c r="G19" s="477">
        <v>97736426.810000002</v>
      </c>
      <c r="H19" s="477"/>
      <c r="I19" s="121">
        <v>0</v>
      </c>
      <c r="J19" s="379"/>
      <c r="K19" s="477">
        <v>0</v>
      </c>
      <c r="L19" s="477">
        <v>97736426.810000002</v>
      </c>
      <c r="N19" s="121">
        <v>29543846.579999998</v>
      </c>
      <c r="P19" s="477">
        <v>164828.06</v>
      </c>
      <c r="Q19" s="121">
        <v>0</v>
      </c>
      <c r="U19" s="122">
        <v>55609.22</v>
      </c>
      <c r="V19" s="122">
        <v>1906654.1400000001</v>
      </c>
      <c r="W19" s="122"/>
      <c r="X19" s="122">
        <v>3033197.0100000002</v>
      </c>
      <c r="Y19" s="122"/>
      <c r="Z19" s="122">
        <v>0</v>
      </c>
      <c r="AA19" s="122">
        <v>0</v>
      </c>
    </row>
    <row r="20" spans="1:27" x14ac:dyDescent="0.25">
      <c r="A20" s="443">
        <v>4019</v>
      </c>
      <c r="B20" s="19" t="s">
        <v>55</v>
      </c>
      <c r="C20" t="s">
        <v>286</v>
      </c>
      <c r="D20" s="477"/>
      <c r="E20" s="121">
        <v>1931966.94</v>
      </c>
      <c r="F20" s="477"/>
      <c r="G20" s="477">
        <v>4867894.58</v>
      </c>
      <c r="H20" s="477"/>
      <c r="I20" s="121">
        <v>0</v>
      </c>
      <c r="J20" s="379"/>
      <c r="K20" s="477"/>
      <c r="L20" s="477">
        <v>4867894.58</v>
      </c>
      <c r="N20" s="121">
        <v>1931966.94</v>
      </c>
      <c r="P20" s="477"/>
      <c r="Q20" s="121">
        <v>0</v>
      </c>
      <c r="U20" s="122"/>
      <c r="V20" s="122">
        <v>70874.22</v>
      </c>
      <c r="W20" s="122"/>
      <c r="X20" s="122">
        <v>154794.72999999998</v>
      </c>
      <c r="Y20" s="122"/>
      <c r="Z20" s="122"/>
      <c r="AA20" s="122">
        <v>0</v>
      </c>
    </row>
    <row r="21" spans="1:27" x14ac:dyDescent="0.25">
      <c r="A21" s="443">
        <v>4069</v>
      </c>
      <c r="B21" s="19" t="s">
        <v>55</v>
      </c>
      <c r="C21" t="s">
        <v>522</v>
      </c>
      <c r="D21" s="477"/>
      <c r="E21" s="121">
        <v>0</v>
      </c>
      <c r="F21" s="477">
        <v>0</v>
      </c>
      <c r="G21" s="477">
        <v>165326.93</v>
      </c>
      <c r="H21" s="477"/>
      <c r="I21" s="121">
        <v>0</v>
      </c>
      <c r="J21" s="379"/>
      <c r="K21" s="477">
        <v>0</v>
      </c>
      <c r="L21" s="477">
        <v>165326.93</v>
      </c>
      <c r="N21" s="121">
        <v>0</v>
      </c>
      <c r="P21" s="477"/>
      <c r="Q21" s="121">
        <v>0</v>
      </c>
      <c r="U21" s="122">
        <v>7066.28</v>
      </c>
      <c r="V21" s="122">
        <v>0</v>
      </c>
      <c r="W21" s="122"/>
      <c r="X21" s="122">
        <v>35731.78</v>
      </c>
      <c r="Y21" s="122"/>
      <c r="Z21" s="122"/>
      <c r="AA21" s="122">
        <v>0</v>
      </c>
    </row>
    <row r="22" spans="1:27" x14ac:dyDescent="0.25">
      <c r="A22" s="443">
        <v>4127</v>
      </c>
      <c r="B22" s="19" t="s">
        <v>55</v>
      </c>
      <c r="C22" t="s">
        <v>166</v>
      </c>
      <c r="D22" s="477"/>
      <c r="E22" s="121">
        <v>982236.73</v>
      </c>
      <c r="F22" s="477"/>
      <c r="G22" s="477">
        <v>2812942.9899999998</v>
      </c>
      <c r="H22" s="477"/>
      <c r="I22" s="121">
        <v>0</v>
      </c>
      <c r="J22" s="379"/>
      <c r="K22" s="477"/>
      <c r="L22" s="477">
        <v>2812942.9899999998</v>
      </c>
      <c r="N22" s="121">
        <v>982236.73</v>
      </c>
      <c r="P22" s="477"/>
      <c r="Q22" s="121">
        <v>0</v>
      </c>
      <c r="U22" s="122"/>
      <c r="V22" s="122">
        <v>98472.5</v>
      </c>
      <c r="W22" s="122"/>
      <c r="X22" s="122">
        <v>120319.29999999999</v>
      </c>
      <c r="Y22" s="122"/>
      <c r="Z22" s="122"/>
      <c r="AA22" s="122">
        <v>0</v>
      </c>
    </row>
    <row r="23" spans="1:27" x14ac:dyDescent="0.25">
      <c r="A23" s="443">
        <v>4129</v>
      </c>
      <c r="B23" s="19" t="s">
        <v>55</v>
      </c>
      <c r="C23" t="s">
        <v>258</v>
      </c>
      <c r="D23" s="477">
        <v>32812.6</v>
      </c>
      <c r="E23" s="121">
        <v>4237443.07</v>
      </c>
      <c r="F23" s="477">
        <v>0</v>
      </c>
      <c r="G23" s="477">
        <v>10708621.24</v>
      </c>
      <c r="H23" s="477"/>
      <c r="I23" s="121">
        <v>0</v>
      </c>
      <c r="J23" s="379"/>
      <c r="K23" s="477">
        <v>0</v>
      </c>
      <c r="L23" s="477">
        <v>10708621.24</v>
      </c>
      <c r="N23" s="121">
        <v>4237443.07</v>
      </c>
      <c r="P23" s="477">
        <v>32812.6</v>
      </c>
      <c r="Q23" s="121">
        <v>0</v>
      </c>
      <c r="U23" s="122">
        <v>7425</v>
      </c>
      <c r="V23" s="122">
        <v>93792.58</v>
      </c>
      <c r="W23" s="122"/>
      <c r="X23" s="122">
        <v>393692.49000000005</v>
      </c>
      <c r="Y23" s="122"/>
      <c r="Z23" s="122">
        <v>0</v>
      </c>
      <c r="AA23" s="122">
        <v>0</v>
      </c>
    </row>
    <row r="24" spans="1:27" x14ac:dyDescent="0.25">
      <c r="A24" s="443">
        <v>4222</v>
      </c>
      <c r="B24" s="19" t="s">
        <v>55</v>
      </c>
      <c r="C24" t="s">
        <v>70</v>
      </c>
      <c r="D24" s="477"/>
      <c r="E24" s="121">
        <v>3634739.84</v>
      </c>
      <c r="F24" s="477">
        <v>0</v>
      </c>
      <c r="G24" s="477">
        <v>11585605.630000001</v>
      </c>
      <c r="H24" s="477"/>
      <c r="I24" s="121">
        <v>0</v>
      </c>
      <c r="J24" s="379"/>
      <c r="K24" s="477">
        <v>0</v>
      </c>
      <c r="L24" s="477">
        <v>11585605.630000001</v>
      </c>
      <c r="N24" s="121">
        <v>3634739.84</v>
      </c>
      <c r="P24" s="477"/>
      <c r="Q24" s="121">
        <v>0</v>
      </c>
      <c r="U24" s="122">
        <v>954.3</v>
      </c>
      <c r="V24" s="122">
        <v>275337.31</v>
      </c>
      <c r="W24" s="122"/>
      <c r="X24" s="122">
        <v>249828.56</v>
      </c>
      <c r="Y24" s="122"/>
      <c r="Z24" s="122"/>
      <c r="AA24" s="122">
        <v>0</v>
      </c>
    </row>
    <row r="25" spans="1:27" x14ac:dyDescent="0.25">
      <c r="A25" s="443">
        <v>4228</v>
      </c>
      <c r="B25" s="19" t="s">
        <v>55</v>
      </c>
      <c r="C25" t="s">
        <v>68</v>
      </c>
      <c r="D25" s="477"/>
      <c r="E25" s="121">
        <v>3405738.5700000003</v>
      </c>
      <c r="F25" s="477">
        <v>0</v>
      </c>
      <c r="G25" s="477">
        <v>9856416.3699999992</v>
      </c>
      <c r="H25" s="477"/>
      <c r="I25" s="121">
        <v>0</v>
      </c>
      <c r="J25" s="379"/>
      <c r="K25" s="477">
        <v>0</v>
      </c>
      <c r="L25" s="477">
        <v>9856416.3699999992</v>
      </c>
      <c r="N25" s="121">
        <v>3405738.5700000003</v>
      </c>
      <c r="P25" s="477"/>
      <c r="Q25" s="121">
        <v>0</v>
      </c>
      <c r="U25" s="122">
        <v>180</v>
      </c>
      <c r="V25" s="122">
        <v>234763.54</v>
      </c>
      <c r="W25" s="122"/>
      <c r="X25" s="122">
        <v>238297.07</v>
      </c>
      <c r="Y25" s="122"/>
      <c r="Z25" s="122"/>
      <c r="AA25" s="122">
        <v>0</v>
      </c>
    </row>
    <row r="26" spans="1:27" x14ac:dyDescent="0.25">
      <c r="A26" s="443">
        <v>4246</v>
      </c>
      <c r="B26" s="19" t="s">
        <v>55</v>
      </c>
      <c r="C26" t="s">
        <v>596</v>
      </c>
      <c r="D26" s="477"/>
      <c r="E26" s="121">
        <v>17558480.940000001</v>
      </c>
      <c r="F26" s="477">
        <v>9235.7099999999991</v>
      </c>
      <c r="G26" s="477">
        <v>49932393.339999996</v>
      </c>
      <c r="H26" s="477"/>
      <c r="I26" s="121">
        <v>0</v>
      </c>
      <c r="J26" s="379"/>
      <c r="K26" s="477">
        <v>9235.7099999999991</v>
      </c>
      <c r="L26" s="477">
        <v>49932393.339999996</v>
      </c>
      <c r="N26" s="121">
        <v>17558480.940000001</v>
      </c>
      <c r="P26" s="477"/>
      <c r="Q26" s="121">
        <v>0</v>
      </c>
      <c r="U26" s="122">
        <v>45284.06</v>
      </c>
      <c r="V26" s="122">
        <v>978399.41999999993</v>
      </c>
      <c r="W26" s="122"/>
      <c r="X26" s="122">
        <v>1323700.82</v>
      </c>
      <c r="Y26" s="122"/>
      <c r="Z26" s="122"/>
      <c r="AA26" s="122">
        <v>0</v>
      </c>
    </row>
    <row r="27" spans="1:27" x14ac:dyDescent="0.25">
      <c r="A27" s="443">
        <v>4801</v>
      </c>
      <c r="B27" s="19">
        <v>171</v>
      </c>
      <c r="C27" t="s">
        <v>344</v>
      </c>
      <c r="D27" s="477"/>
      <c r="E27" s="121">
        <v>7866290.5299999993</v>
      </c>
      <c r="F27" s="477"/>
      <c r="G27" s="477">
        <v>6994436.9300000006</v>
      </c>
      <c r="H27" s="477"/>
      <c r="I27" s="121">
        <v>0</v>
      </c>
      <c r="J27" s="379"/>
      <c r="K27" s="477"/>
      <c r="L27" s="477">
        <v>6994436.9300000006</v>
      </c>
      <c r="N27" s="121">
        <v>7866290.5299999993</v>
      </c>
      <c r="P27" s="477"/>
      <c r="Q27" s="121">
        <v>0</v>
      </c>
      <c r="U27" s="122"/>
      <c r="V27" s="122">
        <v>9240.3700000000008</v>
      </c>
      <c r="W27" s="122"/>
      <c r="X27" s="122">
        <v>217027.39</v>
      </c>
      <c r="Y27" s="122"/>
      <c r="Z27" s="122"/>
      <c r="AA27" s="122">
        <v>0</v>
      </c>
    </row>
    <row r="28" spans="1:27" x14ac:dyDescent="0.25">
      <c r="A28" s="447">
        <v>4901</v>
      </c>
      <c r="B28" s="19" t="s">
        <v>1039</v>
      </c>
      <c r="C28" t="s">
        <v>1178</v>
      </c>
      <c r="D28" s="477"/>
      <c r="E28" s="121">
        <v>646001.66</v>
      </c>
      <c r="F28" s="477"/>
      <c r="G28" s="477">
        <v>1238874.1000000001</v>
      </c>
      <c r="H28" s="477"/>
      <c r="I28" s="121">
        <v>0</v>
      </c>
      <c r="J28" s="379"/>
      <c r="K28" s="477"/>
      <c r="L28" s="477">
        <v>1238874.1000000001</v>
      </c>
      <c r="N28" s="121">
        <v>646001.66</v>
      </c>
      <c r="P28" s="477"/>
      <c r="Q28" s="121">
        <v>0</v>
      </c>
      <c r="U28" s="122"/>
      <c r="V28" s="122">
        <v>43645.81</v>
      </c>
      <c r="W28" s="122"/>
      <c r="X28" s="122">
        <v>42407.86</v>
      </c>
      <c r="Y28" s="122"/>
      <c r="Z28" s="122"/>
      <c r="AA28" s="122">
        <v>0</v>
      </c>
    </row>
    <row r="29" spans="1:27" x14ac:dyDescent="0.25">
      <c r="A29" s="443">
        <v>5121</v>
      </c>
      <c r="B29" s="19" t="s">
        <v>52</v>
      </c>
      <c r="C29" t="s">
        <v>420</v>
      </c>
      <c r="D29" s="477"/>
      <c r="E29" s="121">
        <v>8689176.5099999998</v>
      </c>
      <c r="F29" s="477">
        <v>0</v>
      </c>
      <c r="G29" s="477">
        <v>23093125.439999998</v>
      </c>
      <c r="H29" s="477"/>
      <c r="I29" s="121">
        <v>0</v>
      </c>
      <c r="J29" s="379"/>
      <c r="K29" s="477">
        <v>0</v>
      </c>
      <c r="L29" s="477">
        <v>23093125.439999998</v>
      </c>
      <c r="N29" s="121">
        <v>8689176.5099999998</v>
      </c>
      <c r="P29" s="477"/>
      <c r="Q29" s="121">
        <v>0</v>
      </c>
      <c r="U29" s="122">
        <v>26305.47</v>
      </c>
      <c r="V29" s="122">
        <v>534578.27</v>
      </c>
      <c r="W29" s="122"/>
      <c r="X29" s="122">
        <v>527871.02</v>
      </c>
      <c r="Y29" s="122"/>
      <c r="Z29" s="122"/>
      <c r="AA29" s="122">
        <v>0</v>
      </c>
    </row>
    <row r="30" spans="1:27" x14ac:dyDescent="0.25">
      <c r="A30" s="443">
        <v>5313</v>
      </c>
      <c r="B30" s="19" t="s">
        <v>52</v>
      </c>
      <c r="C30" t="s">
        <v>118</v>
      </c>
      <c r="D30" s="477"/>
      <c r="E30" s="121">
        <v>999699.57</v>
      </c>
      <c r="F30" s="477">
        <v>0</v>
      </c>
      <c r="G30" s="477">
        <v>2438591.16</v>
      </c>
      <c r="H30" s="477"/>
      <c r="I30" s="121">
        <v>0</v>
      </c>
      <c r="J30" s="379"/>
      <c r="K30" s="477">
        <v>0</v>
      </c>
      <c r="L30" s="477">
        <v>2438591.16</v>
      </c>
      <c r="N30" s="121">
        <v>999699.57</v>
      </c>
      <c r="P30" s="477"/>
      <c r="Q30" s="121">
        <v>0</v>
      </c>
      <c r="U30" s="122">
        <v>1665.16</v>
      </c>
      <c r="V30" s="122">
        <v>53026.33</v>
      </c>
      <c r="W30" s="122"/>
      <c r="X30" s="122">
        <v>148854.56</v>
      </c>
      <c r="Y30" s="122"/>
      <c r="Z30" s="122"/>
      <c r="AA30" s="122">
        <v>0</v>
      </c>
    </row>
    <row r="31" spans="1:27" x14ac:dyDescent="0.25">
      <c r="A31" s="443">
        <v>5323</v>
      </c>
      <c r="B31" s="19" t="s">
        <v>52</v>
      </c>
      <c r="C31" t="s">
        <v>486</v>
      </c>
      <c r="D31" s="477"/>
      <c r="E31" s="121">
        <v>7841881.9000000004</v>
      </c>
      <c r="F31" s="477">
        <v>0</v>
      </c>
      <c r="G31" s="477">
        <v>19198154.109999999</v>
      </c>
      <c r="H31" s="477"/>
      <c r="I31" s="121">
        <v>0</v>
      </c>
      <c r="J31" s="379"/>
      <c r="K31" s="477">
        <v>0</v>
      </c>
      <c r="L31" s="477">
        <v>19198154.109999999</v>
      </c>
      <c r="N31" s="121">
        <v>7841881.9000000004</v>
      </c>
      <c r="P31" s="477"/>
      <c r="Q31" s="121">
        <v>0</v>
      </c>
      <c r="U31" s="122">
        <v>21532.69</v>
      </c>
      <c r="V31" s="122">
        <v>484485.98</v>
      </c>
      <c r="W31" s="122"/>
      <c r="X31" s="122">
        <v>651740.76</v>
      </c>
      <c r="Y31" s="122"/>
      <c r="Z31" s="122"/>
      <c r="AA31" s="122">
        <v>0</v>
      </c>
    </row>
    <row r="32" spans="1:27" x14ac:dyDescent="0.25">
      <c r="A32" s="443">
        <v>5401</v>
      </c>
      <c r="B32" s="19" t="s">
        <v>52</v>
      </c>
      <c r="C32" t="s">
        <v>64</v>
      </c>
      <c r="D32" s="477">
        <v>26628.45</v>
      </c>
      <c r="E32" s="121">
        <v>2328459.7199999997</v>
      </c>
      <c r="F32" s="477"/>
      <c r="G32" s="477">
        <v>4501209.6900000004</v>
      </c>
      <c r="H32" s="477"/>
      <c r="I32" s="121">
        <v>0</v>
      </c>
      <c r="J32" s="379"/>
      <c r="K32" s="477"/>
      <c r="L32" s="477">
        <v>4501209.6900000004</v>
      </c>
      <c r="N32" s="121">
        <v>2328459.7199999997</v>
      </c>
      <c r="P32" s="477">
        <v>26628.45</v>
      </c>
      <c r="Q32" s="121">
        <v>0</v>
      </c>
      <c r="U32" s="122"/>
      <c r="V32" s="122">
        <v>203390.21000000002</v>
      </c>
      <c r="W32" s="122"/>
      <c r="X32" s="122">
        <v>259331.69999999998</v>
      </c>
      <c r="Y32" s="122"/>
      <c r="Z32" s="122">
        <v>0</v>
      </c>
      <c r="AA32" s="122">
        <v>0</v>
      </c>
    </row>
    <row r="33" spans="1:27" x14ac:dyDescent="0.25">
      <c r="A33" s="443">
        <v>5402</v>
      </c>
      <c r="B33" s="19" t="s">
        <v>52</v>
      </c>
      <c r="C33" t="s">
        <v>438</v>
      </c>
      <c r="D33" s="477"/>
      <c r="E33" s="121">
        <v>4513729.63</v>
      </c>
      <c r="F33" s="477">
        <v>0</v>
      </c>
      <c r="G33" s="477">
        <v>8042825.3799999999</v>
      </c>
      <c r="H33" s="477"/>
      <c r="I33" s="121">
        <v>0</v>
      </c>
      <c r="J33" s="379"/>
      <c r="K33" s="477">
        <v>0</v>
      </c>
      <c r="L33" s="477">
        <v>8042825.3799999999</v>
      </c>
      <c r="N33" s="121">
        <v>4513729.63</v>
      </c>
      <c r="P33" s="477"/>
      <c r="Q33" s="121">
        <v>0</v>
      </c>
      <c r="U33" s="122">
        <v>6333.82</v>
      </c>
      <c r="V33" s="122">
        <v>152172.76</v>
      </c>
      <c r="W33" s="122"/>
      <c r="X33" s="122">
        <v>314660.17</v>
      </c>
      <c r="Y33" s="122"/>
      <c r="Z33" s="122"/>
      <c r="AA33" s="122">
        <v>0</v>
      </c>
    </row>
    <row r="34" spans="1:27" x14ac:dyDescent="0.25">
      <c r="A34" s="443">
        <v>5903</v>
      </c>
      <c r="B34" s="19" t="s">
        <v>52</v>
      </c>
      <c r="C34" t="s">
        <v>1086</v>
      </c>
      <c r="D34" s="477"/>
      <c r="E34" s="121">
        <v>1310727.3</v>
      </c>
      <c r="F34" s="477">
        <v>0</v>
      </c>
      <c r="G34" s="477">
        <v>1318295.75</v>
      </c>
      <c r="H34" s="477"/>
      <c r="I34" s="121">
        <v>0</v>
      </c>
      <c r="J34" s="379"/>
      <c r="K34" s="477">
        <v>0</v>
      </c>
      <c r="L34" s="477">
        <v>1318295.75</v>
      </c>
      <c r="N34" s="121">
        <v>1310727.3</v>
      </c>
      <c r="P34" s="477"/>
      <c r="Q34" s="121">
        <v>0</v>
      </c>
      <c r="U34" s="122">
        <v>83000.37</v>
      </c>
      <c r="V34" s="122">
        <v>0</v>
      </c>
      <c r="W34" s="122"/>
      <c r="X34" s="122">
        <v>0</v>
      </c>
      <c r="Y34" s="122"/>
      <c r="Z34" s="122"/>
      <c r="AA34" s="122">
        <v>0</v>
      </c>
    </row>
    <row r="35" spans="1:27" x14ac:dyDescent="0.25">
      <c r="A35" s="443">
        <v>6037</v>
      </c>
      <c r="B35" s="19" t="s">
        <v>34</v>
      </c>
      <c r="C35" t="s">
        <v>572</v>
      </c>
      <c r="D35" s="477">
        <v>232496.54</v>
      </c>
      <c r="E35" s="121">
        <v>69736000.519999996</v>
      </c>
      <c r="F35" s="477">
        <v>0</v>
      </c>
      <c r="G35" s="477">
        <v>180597834.67000002</v>
      </c>
      <c r="H35" s="477"/>
      <c r="I35" s="121">
        <v>0</v>
      </c>
      <c r="J35" s="379"/>
      <c r="K35" s="477">
        <v>0</v>
      </c>
      <c r="L35" s="477">
        <v>180597834.67000002</v>
      </c>
      <c r="N35" s="121">
        <v>69736000.519999996</v>
      </c>
      <c r="P35" s="477">
        <v>232496.54</v>
      </c>
      <c r="Q35" s="121">
        <v>0</v>
      </c>
      <c r="U35" s="122">
        <v>348607.07</v>
      </c>
      <c r="V35" s="122">
        <v>5018742.46</v>
      </c>
      <c r="W35" s="122"/>
      <c r="X35" s="122">
        <v>4158169.36</v>
      </c>
      <c r="Y35" s="122"/>
      <c r="Z35" s="122">
        <v>0</v>
      </c>
      <c r="AA35" s="122">
        <v>0</v>
      </c>
    </row>
    <row r="36" spans="1:27" x14ac:dyDescent="0.25">
      <c r="A36" s="443">
        <v>6098</v>
      </c>
      <c r="B36" s="19" t="s">
        <v>34</v>
      </c>
      <c r="C36" t="s">
        <v>220</v>
      </c>
      <c r="D36" s="477"/>
      <c r="E36" s="121">
        <v>3909475.51</v>
      </c>
      <c r="F36" s="477">
        <v>0</v>
      </c>
      <c r="G36" s="477">
        <v>12918260.370000001</v>
      </c>
      <c r="H36" s="477"/>
      <c r="I36" s="121">
        <v>0</v>
      </c>
      <c r="J36" s="379"/>
      <c r="K36" s="477">
        <v>0</v>
      </c>
      <c r="L36" s="477">
        <v>12918260.370000001</v>
      </c>
      <c r="N36" s="121">
        <v>3909475.51</v>
      </c>
      <c r="P36" s="477"/>
      <c r="Q36" s="121">
        <v>0</v>
      </c>
      <c r="U36" s="122">
        <v>4803.55</v>
      </c>
      <c r="V36" s="122">
        <v>345423.13</v>
      </c>
      <c r="W36" s="122"/>
      <c r="X36" s="122">
        <v>426676.88</v>
      </c>
      <c r="Y36" s="122"/>
      <c r="Z36" s="122"/>
      <c r="AA36" s="122">
        <v>0</v>
      </c>
    </row>
    <row r="37" spans="1:27" x14ac:dyDescent="0.25">
      <c r="A37" s="443">
        <v>6101</v>
      </c>
      <c r="B37" s="19" t="s">
        <v>34</v>
      </c>
      <c r="C37" t="s">
        <v>252</v>
      </c>
      <c r="D37" s="477"/>
      <c r="E37" s="121">
        <v>3464307.85</v>
      </c>
      <c r="F37" s="477">
        <v>99760.4</v>
      </c>
      <c r="G37" s="477">
        <v>11969583.65</v>
      </c>
      <c r="H37" s="477"/>
      <c r="I37" s="121">
        <v>0</v>
      </c>
      <c r="J37" s="379"/>
      <c r="K37" s="477">
        <v>99760.4</v>
      </c>
      <c r="L37" s="477">
        <v>11969583.65</v>
      </c>
      <c r="N37" s="121">
        <v>3464307.85</v>
      </c>
      <c r="P37" s="477"/>
      <c r="Q37" s="121">
        <v>0</v>
      </c>
      <c r="U37" s="122">
        <v>995</v>
      </c>
      <c r="V37" s="122">
        <v>248766.05</v>
      </c>
      <c r="W37" s="122"/>
      <c r="X37" s="122">
        <v>341365.26999999996</v>
      </c>
      <c r="Y37" s="122"/>
      <c r="Z37" s="122"/>
      <c r="AA37" s="122">
        <v>0</v>
      </c>
    </row>
    <row r="38" spans="1:27" x14ac:dyDescent="0.25">
      <c r="A38" s="443">
        <v>6103</v>
      </c>
      <c r="B38" s="19" t="s">
        <v>34</v>
      </c>
      <c r="C38" t="s">
        <v>210</v>
      </c>
      <c r="D38" s="477"/>
      <c r="E38" s="121">
        <v>462838.13</v>
      </c>
      <c r="F38" s="477"/>
      <c r="G38" s="477">
        <v>1014212.01</v>
      </c>
      <c r="H38" s="477"/>
      <c r="I38" s="121">
        <v>0</v>
      </c>
      <c r="J38" s="379"/>
      <c r="K38" s="477"/>
      <c r="L38" s="477">
        <v>1014212.01</v>
      </c>
      <c r="N38" s="121">
        <v>462838.13</v>
      </c>
      <c r="P38" s="477"/>
      <c r="Q38" s="121">
        <v>0</v>
      </c>
      <c r="U38" s="122"/>
      <c r="V38" s="122">
        <v>4316.33</v>
      </c>
      <c r="W38" s="122"/>
      <c r="X38" s="122">
        <v>33520.04</v>
      </c>
      <c r="Y38" s="122"/>
      <c r="Z38" s="122"/>
      <c r="AA38" s="122">
        <v>0</v>
      </c>
    </row>
    <row r="39" spans="1:27" x14ac:dyDescent="0.25">
      <c r="A39" s="443">
        <v>6112</v>
      </c>
      <c r="B39" s="19" t="s">
        <v>34</v>
      </c>
      <c r="C39" t="s">
        <v>588</v>
      </c>
      <c r="D39" s="477"/>
      <c r="E39" s="121">
        <v>8486149.379999999</v>
      </c>
      <c r="F39" s="477">
        <v>0</v>
      </c>
      <c r="G39" s="477">
        <v>20974531.119999997</v>
      </c>
      <c r="H39" s="477"/>
      <c r="I39" s="121">
        <v>0</v>
      </c>
      <c r="J39" s="379"/>
      <c r="K39" s="477">
        <v>0</v>
      </c>
      <c r="L39" s="477">
        <v>20974531.119999997</v>
      </c>
      <c r="N39" s="121">
        <v>8486149.379999999</v>
      </c>
      <c r="P39" s="477"/>
      <c r="Q39" s="121">
        <v>0</v>
      </c>
      <c r="U39" s="122">
        <v>2305</v>
      </c>
      <c r="V39" s="122">
        <v>547801.61</v>
      </c>
      <c r="W39" s="122"/>
      <c r="X39" s="122">
        <v>749943.02</v>
      </c>
      <c r="Y39" s="122"/>
      <c r="Z39" s="122"/>
      <c r="AA39" s="122">
        <v>0</v>
      </c>
    </row>
    <row r="40" spans="1:27" x14ac:dyDescent="0.25">
      <c r="A40" s="443">
        <v>6114</v>
      </c>
      <c r="B40" s="19" t="s">
        <v>34</v>
      </c>
      <c r="C40" t="s">
        <v>176</v>
      </c>
      <c r="D40" s="477">
        <v>27027.88</v>
      </c>
      <c r="E40" s="121">
        <v>63162202.090000004</v>
      </c>
      <c r="F40" s="477">
        <v>146509.54</v>
      </c>
      <c r="G40" s="477">
        <v>206702884.69999999</v>
      </c>
      <c r="H40" s="477"/>
      <c r="I40" s="121">
        <v>0</v>
      </c>
      <c r="J40" s="379"/>
      <c r="K40" s="477">
        <v>146509.54</v>
      </c>
      <c r="L40" s="477">
        <v>206702884.69999999</v>
      </c>
      <c r="N40" s="121">
        <v>63162202.090000004</v>
      </c>
      <c r="P40" s="477">
        <v>27027.88</v>
      </c>
      <c r="Q40" s="121">
        <v>0</v>
      </c>
      <c r="U40" s="122">
        <v>51975.31</v>
      </c>
      <c r="V40" s="122">
        <v>7319164.7599999998</v>
      </c>
      <c r="W40" s="122"/>
      <c r="X40" s="122">
        <v>4361758.25</v>
      </c>
      <c r="Y40" s="122"/>
      <c r="Z40" s="122">
        <v>0</v>
      </c>
      <c r="AA40" s="122">
        <v>0</v>
      </c>
    </row>
    <row r="41" spans="1:27" x14ac:dyDescent="0.25">
      <c r="A41" s="443">
        <v>6117</v>
      </c>
      <c r="B41" s="19" t="s">
        <v>34</v>
      </c>
      <c r="C41" t="s">
        <v>62</v>
      </c>
      <c r="D41" s="477"/>
      <c r="E41" s="121">
        <v>19826829.59</v>
      </c>
      <c r="F41" s="477">
        <v>0</v>
      </c>
      <c r="G41" s="477">
        <v>54195889.960000001</v>
      </c>
      <c r="H41" s="477"/>
      <c r="I41" s="121">
        <v>0</v>
      </c>
      <c r="J41" s="379"/>
      <c r="K41" s="477">
        <v>0</v>
      </c>
      <c r="L41" s="477">
        <v>54195889.960000001</v>
      </c>
      <c r="N41" s="121">
        <v>19826829.59</v>
      </c>
      <c r="P41" s="477"/>
      <c r="Q41" s="121">
        <v>0</v>
      </c>
      <c r="U41" s="122">
        <v>35448.18</v>
      </c>
      <c r="V41" s="122">
        <v>1210160.6299999999</v>
      </c>
      <c r="W41" s="122"/>
      <c r="X41" s="122">
        <v>1679257.74</v>
      </c>
      <c r="Y41" s="122"/>
      <c r="Z41" s="122"/>
      <c r="AA41" s="122">
        <v>0</v>
      </c>
    </row>
    <row r="42" spans="1:27" x14ac:dyDescent="0.25">
      <c r="A42" s="443">
        <v>6119</v>
      </c>
      <c r="B42" s="19" t="s">
        <v>34</v>
      </c>
      <c r="C42" t="s">
        <v>32</v>
      </c>
      <c r="D42" s="477">
        <v>24213.5</v>
      </c>
      <c r="E42" s="121">
        <v>30934802.5</v>
      </c>
      <c r="F42" s="477">
        <v>18859.64</v>
      </c>
      <c r="G42" s="477">
        <v>91848190.129999995</v>
      </c>
      <c r="H42" s="477"/>
      <c r="I42" s="121">
        <v>0</v>
      </c>
      <c r="J42" s="379"/>
      <c r="K42" s="477">
        <v>18859.64</v>
      </c>
      <c r="L42" s="477">
        <v>91848190.129999995</v>
      </c>
      <c r="N42" s="121">
        <v>30934802.5</v>
      </c>
      <c r="P42" s="477">
        <v>24213.5</v>
      </c>
      <c r="Q42" s="121">
        <v>0</v>
      </c>
      <c r="U42" s="122">
        <v>17129.78</v>
      </c>
      <c r="V42" s="122">
        <v>2555102.0699999998</v>
      </c>
      <c r="W42" s="122"/>
      <c r="X42" s="122">
        <v>2051464.3299999998</v>
      </c>
      <c r="Y42" s="122"/>
      <c r="Z42" s="122">
        <v>0</v>
      </c>
      <c r="AA42" s="122">
        <v>0</v>
      </c>
    </row>
    <row r="43" spans="1:27" x14ac:dyDescent="0.25">
      <c r="A43" s="443">
        <v>6122</v>
      </c>
      <c r="B43" s="19" t="s">
        <v>34</v>
      </c>
      <c r="C43" t="s">
        <v>456</v>
      </c>
      <c r="D43" s="477"/>
      <c r="E43" s="121">
        <v>6812592.3499999996</v>
      </c>
      <c r="F43" s="477">
        <v>0</v>
      </c>
      <c r="G43" s="477">
        <v>24828544.149999999</v>
      </c>
      <c r="H43" s="477"/>
      <c r="I43" s="121">
        <v>0</v>
      </c>
      <c r="J43" s="379"/>
      <c r="K43" s="477">
        <v>0</v>
      </c>
      <c r="L43" s="477">
        <v>24828544.149999999</v>
      </c>
      <c r="N43" s="121">
        <v>6812592.3499999996</v>
      </c>
      <c r="P43" s="477"/>
      <c r="Q43" s="121">
        <v>0</v>
      </c>
      <c r="U43" s="122">
        <v>10246</v>
      </c>
      <c r="V43" s="122">
        <v>773730.29999999993</v>
      </c>
      <c r="W43" s="122"/>
      <c r="X43" s="122">
        <v>647862.20000000007</v>
      </c>
      <c r="Y43" s="122"/>
      <c r="Z43" s="122"/>
      <c r="AA43" s="122">
        <v>0</v>
      </c>
    </row>
    <row r="44" spans="1:27" x14ac:dyDescent="0.25">
      <c r="A44" s="443">
        <v>6801</v>
      </c>
      <c r="B44" s="19" t="s">
        <v>34</v>
      </c>
      <c r="C44" t="s">
        <v>154</v>
      </c>
      <c r="D44" s="477">
        <v>34281.879999999997</v>
      </c>
      <c r="E44" s="121">
        <v>32877957.5</v>
      </c>
      <c r="F44" s="477"/>
      <c r="G44" s="477">
        <v>12089418.58</v>
      </c>
      <c r="H44" s="477"/>
      <c r="I44" s="121">
        <v>0</v>
      </c>
      <c r="J44" s="379"/>
      <c r="K44" s="477"/>
      <c r="L44" s="477">
        <v>12089418.58</v>
      </c>
      <c r="N44" s="121">
        <v>32877957.5</v>
      </c>
      <c r="P44" s="477">
        <v>34281.879999999997</v>
      </c>
      <c r="Q44" s="121">
        <v>0</v>
      </c>
      <c r="U44" s="122"/>
      <c r="V44" s="122">
        <v>7531.74</v>
      </c>
      <c r="W44" s="122"/>
      <c r="X44" s="122">
        <v>931818.99</v>
      </c>
      <c r="Y44" s="122"/>
      <c r="Z44" s="122">
        <v>0</v>
      </c>
      <c r="AA44" s="122">
        <v>0</v>
      </c>
    </row>
    <row r="45" spans="1:27" x14ac:dyDescent="0.25">
      <c r="A45" s="542">
        <v>6901</v>
      </c>
      <c r="B45" s="19" t="s">
        <v>1039</v>
      </c>
      <c r="C45" s="268" t="s">
        <v>1207</v>
      </c>
      <c r="D45" s="477"/>
      <c r="E45" s="121">
        <v>169157.28</v>
      </c>
      <c r="F45" s="477"/>
      <c r="G45" s="477">
        <v>357642.33999999997</v>
      </c>
      <c r="H45" s="477"/>
      <c r="I45" s="121">
        <v>0</v>
      </c>
      <c r="J45" s="379"/>
      <c r="K45" s="477"/>
      <c r="L45" s="477">
        <v>357642.33999999997</v>
      </c>
      <c r="N45" s="121">
        <v>169157.28</v>
      </c>
      <c r="P45" s="477"/>
      <c r="Q45" s="121">
        <v>0</v>
      </c>
      <c r="U45" s="122"/>
      <c r="V45" s="122">
        <v>4888.24</v>
      </c>
      <c r="W45" s="122"/>
      <c r="X45" s="122">
        <v>0</v>
      </c>
      <c r="Y45" s="122"/>
      <c r="Z45" s="122"/>
      <c r="AA45" s="122">
        <v>0</v>
      </c>
    </row>
    <row r="46" spans="1:27" x14ac:dyDescent="0.25">
      <c r="A46" s="443">
        <v>7002</v>
      </c>
      <c r="B46" s="19" t="s">
        <v>26</v>
      </c>
      <c r="C46" t="s">
        <v>132</v>
      </c>
      <c r="D46" s="477"/>
      <c r="E46" s="121">
        <v>1199534.56</v>
      </c>
      <c r="F46" s="477">
        <v>0</v>
      </c>
      <c r="G46" s="477">
        <v>2608244.3200000003</v>
      </c>
      <c r="H46" s="477"/>
      <c r="I46" s="121">
        <v>0</v>
      </c>
      <c r="J46" s="379"/>
      <c r="K46" s="477">
        <v>0</v>
      </c>
      <c r="L46" s="477">
        <v>2608244.3200000003</v>
      </c>
      <c r="N46" s="121">
        <v>1199534.56</v>
      </c>
      <c r="P46" s="477"/>
      <c r="Q46" s="121">
        <v>0</v>
      </c>
      <c r="U46" s="122">
        <v>95938.96</v>
      </c>
      <c r="V46" s="122">
        <v>30531.45</v>
      </c>
      <c r="W46" s="122"/>
      <c r="X46" s="122">
        <v>142195.01999999999</v>
      </c>
      <c r="Y46" s="122"/>
      <c r="Z46" s="122"/>
      <c r="AA46" s="122">
        <v>0</v>
      </c>
    </row>
    <row r="47" spans="1:27" x14ac:dyDescent="0.25">
      <c r="A47" s="443">
        <v>7035</v>
      </c>
      <c r="B47" s="19" t="s">
        <v>26</v>
      </c>
      <c r="C47" t="s">
        <v>520</v>
      </c>
      <c r="D47" s="477"/>
      <c r="E47" s="121">
        <v>122293.75</v>
      </c>
      <c r="F47" s="477"/>
      <c r="G47" s="477">
        <v>361031.93999999994</v>
      </c>
      <c r="H47" s="477"/>
      <c r="I47" s="121">
        <v>0</v>
      </c>
      <c r="J47" s="379"/>
      <c r="K47" s="477"/>
      <c r="L47" s="477">
        <v>361031.93999999994</v>
      </c>
      <c r="N47" s="121">
        <v>122293.75</v>
      </c>
      <c r="P47" s="477"/>
      <c r="Q47" s="121">
        <v>0</v>
      </c>
      <c r="U47" s="122"/>
      <c r="V47" s="122">
        <v>6384.22</v>
      </c>
      <c r="W47" s="122"/>
      <c r="X47" s="122">
        <v>10289.99</v>
      </c>
      <c r="Y47" s="122"/>
      <c r="Z47" s="122"/>
      <c r="AA47" s="122">
        <v>0</v>
      </c>
    </row>
    <row r="48" spans="1:27" x14ac:dyDescent="0.25">
      <c r="A48" s="443">
        <v>8122</v>
      </c>
      <c r="B48" s="19" t="s">
        <v>34</v>
      </c>
      <c r="C48" t="s">
        <v>272</v>
      </c>
      <c r="D48" s="477">
        <v>66050.399999999994</v>
      </c>
      <c r="E48" s="121">
        <v>18480155.379999999</v>
      </c>
      <c r="F48" s="477">
        <v>0</v>
      </c>
      <c r="G48" s="477">
        <v>44051766.75</v>
      </c>
      <c r="H48" s="477"/>
      <c r="I48" s="121">
        <v>0</v>
      </c>
      <c r="J48" s="379"/>
      <c r="K48" s="477">
        <v>0</v>
      </c>
      <c r="L48" s="477">
        <v>44051766.75</v>
      </c>
      <c r="N48" s="121">
        <v>18480155.379999999</v>
      </c>
      <c r="P48" s="477">
        <v>66050.399999999994</v>
      </c>
      <c r="Q48" s="121">
        <v>0</v>
      </c>
      <c r="U48" s="122">
        <v>50266.59</v>
      </c>
      <c r="V48" s="122">
        <v>1167473.19</v>
      </c>
      <c r="W48" s="122"/>
      <c r="X48" s="122">
        <v>1426465.79</v>
      </c>
      <c r="Y48" s="122"/>
      <c r="Z48" s="122">
        <v>0</v>
      </c>
      <c r="AA48" s="122">
        <v>0</v>
      </c>
    </row>
    <row r="49" spans="1:27" x14ac:dyDescent="0.25">
      <c r="A49" s="443">
        <v>8130</v>
      </c>
      <c r="B49" s="19" t="s">
        <v>34</v>
      </c>
      <c r="C49" t="s">
        <v>558</v>
      </c>
      <c r="D49" s="477"/>
      <c r="E49" s="121">
        <v>1974901.1099999999</v>
      </c>
      <c r="F49" s="477">
        <v>0</v>
      </c>
      <c r="G49" s="477">
        <v>4111157.58</v>
      </c>
      <c r="H49" s="477"/>
      <c r="I49" s="121">
        <v>0</v>
      </c>
      <c r="J49" s="379"/>
      <c r="K49" s="477">
        <v>0</v>
      </c>
      <c r="L49" s="477">
        <v>4111157.58</v>
      </c>
      <c r="N49" s="121">
        <v>1974901.1099999999</v>
      </c>
      <c r="P49" s="477"/>
      <c r="Q49" s="121">
        <v>0</v>
      </c>
      <c r="U49" s="122">
        <v>77290</v>
      </c>
      <c r="V49" s="122">
        <v>241647.59999999998</v>
      </c>
      <c r="W49" s="122"/>
      <c r="X49" s="122">
        <v>170457.42</v>
      </c>
      <c r="Y49" s="122"/>
      <c r="Z49" s="122"/>
      <c r="AA49" s="122">
        <v>0</v>
      </c>
    </row>
    <row r="50" spans="1:27" x14ac:dyDescent="0.25">
      <c r="A50" s="443">
        <v>8401</v>
      </c>
      <c r="B50" s="19" t="s">
        <v>34</v>
      </c>
      <c r="C50" t="s">
        <v>72</v>
      </c>
      <c r="D50" s="477"/>
      <c r="E50" s="121">
        <v>3689397.7800000003</v>
      </c>
      <c r="F50" s="477"/>
      <c r="G50" s="477">
        <v>9637010.9299999997</v>
      </c>
      <c r="H50" s="477"/>
      <c r="I50" s="121">
        <v>0</v>
      </c>
      <c r="J50" s="379"/>
      <c r="K50" s="477"/>
      <c r="L50" s="477">
        <v>9637010.9299999997</v>
      </c>
      <c r="N50" s="121">
        <v>3689397.7800000003</v>
      </c>
      <c r="P50" s="477"/>
      <c r="Q50" s="121">
        <v>0</v>
      </c>
      <c r="U50" s="122"/>
      <c r="V50" s="122">
        <v>411933.87</v>
      </c>
      <c r="W50" s="122"/>
      <c r="X50" s="122">
        <v>327062.09999999998</v>
      </c>
      <c r="Y50" s="122"/>
      <c r="Z50" s="122"/>
      <c r="AA50" s="122">
        <v>0</v>
      </c>
    </row>
    <row r="51" spans="1:27" x14ac:dyDescent="0.25">
      <c r="A51" s="443">
        <v>8402</v>
      </c>
      <c r="B51" s="19" t="s">
        <v>34</v>
      </c>
      <c r="C51" t="s">
        <v>234</v>
      </c>
      <c r="D51" s="477"/>
      <c r="E51" s="121">
        <v>2269052.5299999998</v>
      </c>
      <c r="F51" s="477"/>
      <c r="G51" s="477">
        <v>6264058.4800000004</v>
      </c>
      <c r="H51" s="477"/>
      <c r="I51" s="121">
        <v>0</v>
      </c>
      <c r="J51" s="379"/>
      <c r="K51" s="477"/>
      <c r="L51" s="477">
        <v>6264058.4800000004</v>
      </c>
      <c r="N51" s="121">
        <v>2269052.5299999998</v>
      </c>
      <c r="P51" s="477"/>
      <c r="Q51" s="121">
        <v>0</v>
      </c>
      <c r="U51" s="122"/>
      <c r="V51" s="122">
        <v>276579.31</v>
      </c>
      <c r="W51" s="122"/>
      <c r="X51" s="122">
        <v>514348.01</v>
      </c>
      <c r="Y51" s="122"/>
      <c r="Z51" s="122"/>
      <c r="AA51" s="122">
        <v>0</v>
      </c>
    </row>
    <row r="52" spans="1:27" x14ac:dyDescent="0.25">
      <c r="A52" s="443">
        <v>8404</v>
      </c>
      <c r="B52" s="19" t="s">
        <v>34</v>
      </c>
      <c r="C52" t="s">
        <v>620</v>
      </c>
      <c r="D52" s="477"/>
      <c r="E52" s="121">
        <v>10076809.16</v>
      </c>
      <c r="F52" s="477">
        <v>0</v>
      </c>
      <c r="G52" s="477">
        <v>15775454.789999999</v>
      </c>
      <c r="H52" s="477"/>
      <c r="I52" s="121">
        <v>0</v>
      </c>
      <c r="J52" s="379"/>
      <c r="K52" s="477">
        <v>0</v>
      </c>
      <c r="L52" s="477">
        <v>15775454.789999999</v>
      </c>
      <c r="N52" s="121">
        <v>10076809.16</v>
      </c>
      <c r="P52" s="477"/>
      <c r="Q52" s="121">
        <v>0</v>
      </c>
      <c r="U52" s="122">
        <v>21441.98</v>
      </c>
      <c r="V52" s="122">
        <v>397204.1</v>
      </c>
      <c r="W52" s="122"/>
      <c r="X52" s="122">
        <v>503161.86</v>
      </c>
      <c r="Y52" s="122"/>
      <c r="Z52" s="122"/>
      <c r="AA52" s="122">
        <v>0</v>
      </c>
    </row>
    <row r="53" spans="1:27" x14ac:dyDescent="0.25">
      <c r="A53" s="443">
        <v>8458</v>
      </c>
      <c r="B53" s="19" t="s">
        <v>34</v>
      </c>
      <c r="C53" t="s">
        <v>238</v>
      </c>
      <c r="D53" s="477">
        <v>41022.6</v>
      </c>
      <c r="E53" s="121">
        <v>13249377.73</v>
      </c>
      <c r="F53" s="477">
        <v>0</v>
      </c>
      <c r="G53" s="477">
        <v>34608140.539999999</v>
      </c>
      <c r="H53" s="477"/>
      <c r="I53" s="121">
        <v>0</v>
      </c>
      <c r="J53" s="379"/>
      <c r="K53" s="477">
        <v>0</v>
      </c>
      <c r="L53" s="477">
        <v>34608140.539999999</v>
      </c>
      <c r="N53" s="121">
        <v>13249377.73</v>
      </c>
      <c r="P53" s="477">
        <v>41022.6</v>
      </c>
      <c r="Q53" s="121">
        <v>0</v>
      </c>
      <c r="U53" s="122">
        <v>192720.82</v>
      </c>
      <c r="V53" s="122">
        <v>1215778.8199999998</v>
      </c>
      <c r="W53" s="122"/>
      <c r="X53" s="122">
        <v>1153740.76</v>
      </c>
      <c r="Y53" s="122"/>
      <c r="Z53" s="122">
        <v>0</v>
      </c>
      <c r="AA53" s="122">
        <v>0</v>
      </c>
    </row>
    <row r="54" spans="1:27" x14ac:dyDescent="0.25">
      <c r="A54" s="443">
        <v>9013</v>
      </c>
      <c r="B54" s="19" t="s">
        <v>55</v>
      </c>
      <c r="C54" t="s">
        <v>394</v>
      </c>
      <c r="D54" s="477"/>
      <c r="E54" s="121">
        <v>892897.45</v>
      </c>
      <c r="F54" s="477">
        <v>0</v>
      </c>
      <c r="G54" s="477">
        <v>938628.09999999986</v>
      </c>
      <c r="H54" s="477"/>
      <c r="I54" s="121">
        <v>0</v>
      </c>
      <c r="J54" s="379"/>
      <c r="K54" s="477">
        <v>0</v>
      </c>
      <c r="L54" s="477">
        <v>938628.09999999986</v>
      </c>
      <c r="N54" s="121">
        <v>892897.45</v>
      </c>
      <c r="P54" s="477"/>
      <c r="Q54" s="121">
        <v>0</v>
      </c>
      <c r="U54" s="122">
        <v>1055</v>
      </c>
      <c r="V54" s="122">
        <v>4137.7</v>
      </c>
      <c r="W54" s="122"/>
      <c r="X54" s="122">
        <v>33222.28</v>
      </c>
      <c r="Y54" s="122"/>
      <c r="Z54" s="122"/>
      <c r="AA54" s="122">
        <v>0</v>
      </c>
    </row>
    <row r="55" spans="1:27" x14ac:dyDescent="0.25">
      <c r="A55" s="443">
        <v>9075</v>
      </c>
      <c r="B55" s="19" t="s">
        <v>55</v>
      </c>
      <c r="C55" t="s">
        <v>56</v>
      </c>
      <c r="D55" s="477"/>
      <c r="E55" s="121">
        <v>2611230.5700000003</v>
      </c>
      <c r="F55" s="477"/>
      <c r="G55" s="477">
        <v>4908473.7699999996</v>
      </c>
      <c r="H55" s="477"/>
      <c r="I55" s="121">
        <v>0</v>
      </c>
      <c r="J55" s="379"/>
      <c r="K55" s="477"/>
      <c r="L55" s="477">
        <v>4908473.7699999996</v>
      </c>
      <c r="N55" s="121">
        <v>2611230.5700000003</v>
      </c>
      <c r="P55" s="477"/>
      <c r="Q55" s="121">
        <v>0</v>
      </c>
      <c r="U55" s="122"/>
      <c r="V55" s="122">
        <v>209928.64</v>
      </c>
      <c r="W55" s="122"/>
      <c r="X55" s="122">
        <v>122873.48999999999</v>
      </c>
      <c r="Y55" s="122"/>
      <c r="Z55" s="122"/>
      <c r="AA55" s="122">
        <v>0</v>
      </c>
    </row>
    <row r="56" spans="1:27" x14ac:dyDescent="0.25">
      <c r="A56" s="443">
        <v>9102</v>
      </c>
      <c r="B56" s="19" t="s">
        <v>55</v>
      </c>
      <c r="C56" t="s">
        <v>402</v>
      </c>
      <c r="D56" s="477"/>
      <c r="E56" s="121">
        <v>173844.06</v>
      </c>
      <c r="F56" s="477"/>
      <c r="G56" s="477">
        <v>178942.91</v>
      </c>
      <c r="H56" s="477"/>
      <c r="I56" s="121">
        <v>0</v>
      </c>
      <c r="J56" s="379"/>
      <c r="K56" s="477"/>
      <c r="L56" s="477">
        <v>178942.91</v>
      </c>
      <c r="N56" s="121">
        <v>173844.06</v>
      </c>
      <c r="P56" s="477"/>
      <c r="Q56" s="121">
        <v>0</v>
      </c>
      <c r="U56" s="122"/>
      <c r="V56" s="122">
        <v>759.98</v>
      </c>
      <c r="W56" s="122"/>
      <c r="X56" s="122">
        <v>2689.28</v>
      </c>
      <c r="Y56" s="122"/>
      <c r="Z56" s="122"/>
      <c r="AA56" s="122">
        <v>0</v>
      </c>
    </row>
    <row r="57" spans="1:27" x14ac:dyDescent="0.25">
      <c r="A57" s="443">
        <v>9206</v>
      </c>
      <c r="B57" s="19" t="s">
        <v>55</v>
      </c>
      <c r="C57" t="s">
        <v>144</v>
      </c>
      <c r="D57" s="477">
        <v>41766.57</v>
      </c>
      <c r="E57" s="121">
        <v>15246058.190000001</v>
      </c>
      <c r="F57" s="477">
        <v>0</v>
      </c>
      <c r="G57" s="477">
        <v>44645895.07</v>
      </c>
      <c r="H57" s="477"/>
      <c r="I57" s="121">
        <v>0</v>
      </c>
      <c r="J57" s="379"/>
      <c r="K57" s="477">
        <v>0</v>
      </c>
      <c r="L57" s="477">
        <v>44645895.07</v>
      </c>
      <c r="N57" s="121">
        <v>15246058.190000001</v>
      </c>
      <c r="P57" s="477">
        <v>41766.57</v>
      </c>
      <c r="Q57" s="121">
        <v>0</v>
      </c>
      <c r="U57" s="122">
        <v>306.25</v>
      </c>
      <c r="V57" s="122">
        <v>1174571.8900000001</v>
      </c>
      <c r="W57" s="122"/>
      <c r="X57" s="122">
        <v>857131.75</v>
      </c>
      <c r="Y57" s="122"/>
      <c r="Z57" s="122">
        <v>0</v>
      </c>
      <c r="AA57" s="122">
        <v>0</v>
      </c>
    </row>
    <row r="58" spans="1:27" x14ac:dyDescent="0.25">
      <c r="A58" s="443">
        <v>9207</v>
      </c>
      <c r="B58" s="19" t="s">
        <v>55</v>
      </c>
      <c r="C58" t="s">
        <v>284</v>
      </c>
      <c r="D58" s="477"/>
      <c r="E58" s="121">
        <v>376546.63</v>
      </c>
      <c r="F58" s="477">
        <v>0</v>
      </c>
      <c r="G58" s="477">
        <v>1077071.3900000001</v>
      </c>
      <c r="H58" s="477"/>
      <c r="I58" s="121">
        <v>0</v>
      </c>
      <c r="J58" s="379"/>
      <c r="K58" s="477">
        <v>0</v>
      </c>
      <c r="L58" s="477">
        <v>1077071.3900000001</v>
      </c>
      <c r="N58" s="121">
        <v>376546.63</v>
      </c>
      <c r="P58" s="477"/>
      <c r="Q58" s="121">
        <v>0</v>
      </c>
      <c r="U58" s="122">
        <v>2136</v>
      </c>
      <c r="V58" s="122">
        <v>24092.880000000001</v>
      </c>
      <c r="W58" s="122"/>
      <c r="X58" s="122">
        <v>70842.14</v>
      </c>
      <c r="Y58" s="122"/>
      <c r="Z58" s="122"/>
      <c r="AA58" s="122">
        <v>0</v>
      </c>
    </row>
    <row r="59" spans="1:27" x14ac:dyDescent="0.25">
      <c r="A59" s="443">
        <v>9209</v>
      </c>
      <c r="B59" s="19" t="s">
        <v>55</v>
      </c>
      <c r="C59" t="s">
        <v>592</v>
      </c>
      <c r="D59" s="477"/>
      <c r="E59" s="121">
        <v>906579.58000000007</v>
      </c>
      <c r="F59" s="477"/>
      <c r="G59" s="477">
        <v>2114394.13</v>
      </c>
      <c r="H59" s="477"/>
      <c r="I59" s="121">
        <v>0</v>
      </c>
      <c r="J59" s="379"/>
      <c r="K59" s="477"/>
      <c r="L59" s="477">
        <v>2114394.13</v>
      </c>
      <c r="N59" s="121">
        <v>906579.58000000007</v>
      </c>
      <c r="P59" s="477"/>
      <c r="Q59" s="121">
        <v>0</v>
      </c>
      <c r="U59" s="122"/>
      <c r="V59" s="122">
        <v>43744.73</v>
      </c>
      <c r="W59" s="122"/>
      <c r="X59" s="122">
        <v>123411.63</v>
      </c>
      <c r="Y59" s="122"/>
      <c r="Z59" s="122"/>
      <c r="AA59" s="122">
        <v>0</v>
      </c>
    </row>
    <row r="60" spans="1:27" x14ac:dyDescent="0.25">
      <c r="A60" s="443">
        <v>10003</v>
      </c>
      <c r="B60" s="19" t="s">
        <v>18</v>
      </c>
      <c r="C60" t="s">
        <v>236</v>
      </c>
      <c r="D60" s="477"/>
      <c r="E60" s="121">
        <v>319612.41000000003</v>
      </c>
      <c r="F60" s="477"/>
      <c r="G60" s="477">
        <v>277624.87</v>
      </c>
      <c r="H60" s="477"/>
      <c r="I60" s="121">
        <v>0</v>
      </c>
      <c r="J60" s="379"/>
      <c r="K60" s="477"/>
      <c r="L60" s="477">
        <v>277624.87</v>
      </c>
      <c r="N60" s="121">
        <v>319612.41000000003</v>
      </c>
      <c r="P60" s="477"/>
      <c r="Q60" s="121">
        <v>0</v>
      </c>
      <c r="U60" s="122"/>
      <c r="V60" s="122">
        <v>0</v>
      </c>
      <c r="W60" s="122"/>
      <c r="X60" s="122">
        <v>45619.59</v>
      </c>
      <c r="Y60" s="122"/>
      <c r="Z60" s="122"/>
      <c r="AA60" s="122">
        <v>0</v>
      </c>
    </row>
    <row r="61" spans="1:27" x14ac:dyDescent="0.25">
      <c r="A61" s="443">
        <v>10050</v>
      </c>
      <c r="B61" s="19" t="s">
        <v>18</v>
      </c>
      <c r="C61" t="s">
        <v>122</v>
      </c>
      <c r="D61" s="477"/>
      <c r="E61" s="121">
        <v>795861.41</v>
      </c>
      <c r="F61" s="477"/>
      <c r="G61" s="477">
        <v>1486692.84</v>
      </c>
      <c r="H61" s="477"/>
      <c r="I61" s="121">
        <v>0</v>
      </c>
      <c r="J61" s="379"/>
      <c r="K61" s="477"/>
      <c r="L61" s="477">
        <v>1486692.84</v>
      </c>
      <c r="N61" s="121">
        <v>795861.41</v>
      </c>
      <c r="P61" s="477"/>
      <c r="Q61" s="121">
        <v>0</v>
      </c>
      <c r="U61" s="122"/>
      <c r="V61" s="122">
        <v>27020.83</v>
      </c>
      <c r="W61" s="122"/>
      <c r="X61" s="122">
        <v>116589.07</v>
      </c>
      <c r="Y61" s="122"/>
      <c r="Z61" s="122"/>
      <c r="AA61" s="122">
        <v>0</v>
      </c>
    </row>
    <row r="62" spans="1:27" x14ac:dyDescent="0.25">
      <c r="A62" s="443">
        <v>10065</v>
      </c>
      <c r="B62" s="19" t="s">
        <v>18</v>
      </c>
      <c r="C62" t="s">
        <v>392</v>
      </c>
      <c r="D62" s="477"/>
      <c r="E62" s="121">
        <v>261668.24</v>
      </c>
      <c r="F62" s="477"/>
      <c r="G62" s="477">
        <v>411230.85</v>
      </c>
      <c r="H62" s="477"/>
      <c r="I62" s="121">
        <v>0</v>
      </c>
      <c r="J62" s="379"/>
      <c r="K62" s="477"/>
      <c r="L62" s="477">
        <v>411230.85</v>
      </c>
      <c r="N62" s="121">
        <v>261668.24</v>
      </c>
      <c r="P62" s="477"/>
      <c r="Q62" s="121">
        <v>0</v>
      </c>
      <c r="U62" s="122"/>
      <c r="V62" s="122">
        <v>136987.25</v>
      </c>
      <c r="W62" s="122"/>
      <c r="X62" s="122">
        <v>55665.46</v>
      </c>
      <c r="Y62" s="122"/>
      <c r="Z62" s="122"/>
      <c r="AA62" s="122">
        <v>0</v>
      </c>
    </row>
    <row r="63" spans="1:27" x14ac:dyDescent="0.25">
      <c r="A63" s="443">
        <v>10070</v>
      </c>
      <c r="B63" s="19" t="s">
        <v>18</v>
      </c>
      <c r="C63" t="s">
        <v>226</v>
      </c>
      <c r="D63" s="477"/>
      <c r="E63" s="121">
        <v>1127673.31</v>
      </c>
      <c r="F63" s="477"/>
      <c r="G63" s="477">
        <v>2449390.84</v>
      </c>
      <c r="H63" s="477"/>
      <c r="I63" s="121">
        <v>0</v>
      </c>
      <c r="J63" s="379"/>
      <c r="K63" s="477"/>
      <c r="L63" s="477">
        <v>2449390.84</v>
      </c>
      <c r="N63" s="121">
        <v>1127673.31</v>
      </c>
      <c r="P63" s="477"/>
      <c r="Q63" s="121">
        <v>0</v>
      </c>
      <c r="U63" s="122"/>
      <c r="V63" s="122">
        <v>76028.28</v>
      </c>
      <c r="W63" s="122"/>
      <c r="X63" s="122">
        <v>150360.85</v>
      </c>
      <c r="Y63" s="122"/>
      <c r="Z63" s="122"/>
      <c r="AA63" s="122">
        <v>0</v>
      </c>
    </row>
    <row r="64" spans="1:27" x14ac:dyDescent="0.25">
      <c r="A64" s="443">
        <v>10309</v>
      </c>
      <c r="B64" s="19" t="s">
        <v>18</v>
      </c>
      <c r="C64" t="s">
        <v>452</v>
      </c>
      <c r="D64" s="477"/>
      <c r="E64" s="121">
        <v>1029766.15</v>
      </c>
      <c r="F64" s="477"/>
      <c r="G64" s="477">
        <v>2279936.6100000003</v>
      </c>
      <c r="H64" s="477"/>
      <c r="I64" s="121">
        <v>0</v>
      </c>
      <c r="J64" s="379"/>
      <c r="K64" s="477"/>
      <c r="L64" s="477">
        <v>2279936.6100000003</v>
      </c>
      <c r="N64" s="121">
        <v>1029766.15</v>
      </c>
      <c r="P64" s="477"/>
      <c r="Q64" s="121">
        <v>0</v>
      </c>
      <c r="U64" s="122"/>
      <c r="V64" s="122">
        <v>69769.320000000007</v>
      </c>
      <c r="W64" s="122"/>
      <c r="X64" s="122">
        <v>196671.85</v>
      </c>
      <c r="Y64" s="122"/>
      <c r="Z64" s="122"/>
      <c r="AA64" s="122">
        <v>0</v>
      </c>
    </row>
    <row r="65" spans="1:27" x14ac:dyDescent="0.25">
      <c r="A65" s="443">
        <v>11001</v>
      </c>
      <c r="B65" s="19" t="s">
        <v>26</v>
      </c>
      <c r="C65" t="s">
        <v>406</v>
      </c>
      <c r="D65" s="477"/>
      <c r="E65" s="121">
        <v>41811259.560000002</v>
      </c>
      <c r="F65" s="477">
        <v>27743.72</v>
      </c>
      <c r="G65" s="477">
        <v>143160004.66999999</v>
      </c>
      <c r="H65" s="477"/>
      <c r="I65" s="121">
        <v>0</v>
      </c>
      <c r="J65" s="379"/>
      <c r="K65" s="477">
        <v>27743.72</v>
      </c>
      <c r="L65" s="477">
        <v>143160004.66999999</v>
      </c>
      <c r="N65" s="121">
        <v>41811259.560000002</v>
      </c>
      <c r="P65" s="477"/>
      <c r="Q65" s="121">
        <v>0</v>
      </c>
      <c r="U65" s="122">
        <v>9135</v>
      </c>
      <c r="V65" s="122">
        <v>4708650.7</v>
      </c>
      <c r="W65" s="122"/>
      <c r="X65" s="122">
        <v>3741551.98</v>
      </c>
      <c r="Y65" s="122"/>
      <c r="Z65" s="122"/>
      <c r="AA65" s="122">
        <v>0</v>
      </c>
    </row>
    <row r="66" spans="1:27" x14ac:dyDescent="0.25">
      <c r="A66" s="443">
        <v>11051</v>
      </c>
      <c r="B66" s="19" t="s">
        <v>26</v>
      </c>
      <c r="C66" t="s">
        <v>346</v>
      </c>
      <c r="D66" s="477"/>
      <c r="E66" s="121">
        <v>5431784.8899999997</v>
      </c>
      <c r="F66" s="477">
        <v>315391.43</v>
      </c>
      <c r="G66" s="477">
        <v>15179456.68</v>
      </c>
      <c r="H66" s="477"/>
      <c r="I66" s="121">
        <v>0</v>
      </c>
      <c r="J66" s="379"/>
      <c r="K66" s="477">
        <v>315391.43</v>
      </c>
      <c r="L66" s="477">
        <v>15179456.68</v>
      </c>
      <c r="N66" s="121">
        <v>5431784.8899999997</v>
      </c>
      <c r="P66" s="477"/>
      <c r="Q66" s="121">
        <v>0</v>
      </c>
      <c r="U66" s="122">
        <v>1705</v>
      </c>
      <c r="V66" s="122">
        <v>360230.05000000005</v>
      </c>
      <c r="W66" s="122"/>
      <c r="X66" s="122">
        <v>332282.14</v>
      </c>
      <c r="Y66" s="122"/>
      <c r="Z66" s="122"/>
      <c r="AA66" s="122">
        <v>0</v>
      </c>
    </row>
    <row r="67" spans="1:27" x14ac:dyDescent="0.25">
      <c r="A67" s="443">
        <v>11054</v>
      </c>
      <c r="B67" s="19" t="s">
        <v>26</v>
      </c>
      <c r="C67" t="s">
        <v>518</v>
      </c>
      <c r="D67" s="477"/>
      <c r="E67" s="121">
        <v>48781.4</v>
      </c>
      <c r="F67" s="477"/>
      <c r="G67" s="477">
        <v>159305.41</v>
      </c>
      <c r="H67" s="477"/>
      <c r="I67" s="121">
        <v>0</v>
      </c>
      <c r="J67" s="379"/>
      <c r="K67" s="477"/>
      <c r="L67" s="477">
        <v>159305.41</v>
      </c>
      <c r="N67" s="121">
        <v>48781.4</v>
      </c>
      <c r="P67" s="477"/>
      <c r="Q67" s="121">
        <v>0</v>
      </c>
      <c r="U67" s="122"/>
      <c r="V67" s="122">
        <v>6036.66</v>
      </c>
      <c r="W67" s="122"/>
      <c r="X67" s="122">
        <v>919.67</v>
      </c>
      <c r="Y67" s="122"/>
      <c r="Z67" s="122"/>
      <c r="AA67" s="122">
        <v>0</v>
      </c>
    </row>
    <row r="68" spans="1:27" x14ac:dyDescent="0.25">
      <c r="A68" s="443">
        <v>11056</v>
      </c>
      <c r="B68" s="19" t="s">
        <v>26</v>
      </c>
      <c r="C68" t="s">
        <v>232</v>
      </c>
      <c r="D68" s="477"/>
      <c r="E68" s="121">
        <v>419236.95</v>
      </c>
      <c r="F68" s="477"/>
      <c r="G68" s="477">
        <v>1112812.3899999999</v>
      </c>
      <c r="H68" s="477"/>
      <c r="I68" s="121">
        <v>0</v>
      </c>
      <c r="J68" s="379"/>
      <c r="K68" s="477"/>
      <c r="L68" s="477">
        <v>1112812.3899999999</v>
      </c>
      <c r="N68" s="121">
        <v>419236.95</v>
      </c>
      <c r="P68" s="477"/>
      <c r="Q68" s="121">
        <v>0</v>
      </c>
      <c r="U68" s="122"/>
      <c r="V68" s="122">
        <v>59766.879999999997</v>
      </c>
      <c r="W68" s="122"/>
      <c r="X68" s="122">
        <v>45838.76</v>
      </c>
      <c r="Y68" s="122"/>
      <c r="Z68" s="122"/>
      <c r="AA68" s="122">
        <v>0</v>
      </c>
    </row>
    <row r="69" spans="1:27" x14ac:dyDescent="0.25">
      <c r="A69" s="443">
        <v>11801</v>
      </c>
      <c r="B69" s="19">
        <v>123</v>
      </c>
      <c r="C69" t="s">
        <v>158</v>
      </c>
      <c r="D69" s="477"/>
      <c r="E69" s="121">
        <v>10393623.18</v>
      </c>
      <c r="F69" s="477"/>
      <c r="G69" s="477">
        <v>3095772.21</v>
      </c>
      <c r="H69" s="477"/>
      <c r="I69" s="121">
        <v>0</v>
      </c>
      <c r="J69" s="379"/>
      <c r="K69" s="477"/>
      <c r="L69" s="477">
        <v>3095772.21</v>
      </c>
      <c r="N69" s="121">
        <v>10393623.18</v>
      </c>
      <c r="P69" s="477"/>
      <c r="Q69" s="121">
        <v>0</v>
      </c>
      <c r="U69" s="122"/>
      <c r="V69" s="122">
        <v>236899.97999999998</v>
      </c>
      <c r="W69" s="122"/>
      <c r="X69" s="122">
        <v>450975.67000000004</v>
      </c>
      <c r="Y69" s="122"/>
      <c r="Z69" s="122"/>
      <c r="AA69" s="122">
        <v>0</v>
      </c>
    </row>
    <row r="70" spans="1:27" x14ac:dyDescent="0.25">
      <c r="A70" s="443">
        <v>12110</v>
      </c>
      <c r="B70" s="19" t="s">
        <v>26</v>
      </c>
      <c r="C70" t="s">
        <v>418</v>
      </c>
      <c r="D70" s="477"/>
      <c r="E70" s="121">
        <v>1351068.27</v>
      </c>
      <c r="F70" s="477">
        <v>0</v>
      </c>
      <c r="G70" s="477">
        <v>2273036.52</v>
      </c>
      <c r="H70" s="477"/>
      <c r="I70" s="121">
        <v>0</v>
      </c>
      <c r="J70" s="379"/>
      <c r="K70" s="477">
        <v>0</v>
      </c>
      <c r="L70" s="477">
        <v>2273036.52</v>
      </c>
      <c r="N70" s="121">
        <v>1351068.27</v>
      </c>
      <c r="P70" s="477"/>
      <c r="Q70" s="121">
        <v>0</v>
      </c>
      <c r="U70" s="122">
        <v>600</v>
      </c>
      <c r="V70" s="122">
        <v>53990</v>
      </c>
      <c r="W70" s="122"/>
      <c r="X70" s="122">
        <v>88827.25</v>
      </c>
      <c r="Y70" s="122"/>
      <c r="Z70" s="122"/>
      <c r="AA70" s="122">
        <v>0</v>
      </c>
    </row>
    <row r="71" spans="1:27" x14ac:dyDescent="0.25">
      <c r="A71" s="443">
        <v>13073</v>
      </c>
      <c r="B71" s="19" t="s">
        <v>45</v>
      </c>
      <c r="C71" t="s">
        <v>578</v>
      </c>
      <c r="D71" s="477"/>
      <c r="E71" s="121">
        <v>8314507.040000001</v>
      </c>
      <c r="F71" s="477"/>
      <c r="G71" s="477">
        <v>17757641.370000001</v>
      </c>
      <c r="H71" s="477"/>
      <c r="I71" s="121">
        <v>0</v>
      </c>
      <c r="J71" s="379"/>
      <c r="K71" s="477"/>
      <c r="L71" s="477">
        <v>17757641.370000001</v>
      </c>
      <c r="N71" s="121">
        <v>8314507.040000001</v>
      </c>
      <c r="P71" s="477"/>
      <c r="Q71" s="121">
        <v>0</v>
      </c>
      <c r="U71" s="122"/>
      <c r="V71" s="122">
        <v>594072.4</v>
      </c>
      <c r="W71" s="122"/>
      <c r="X71" s="122">
        <v>567599.52</v>
      </c>
      <c r="Y71" s="122"/>
      <c r="Z71" s="122"/>
      <c r="AA71" s="122">
        <v>0</v>
      </c>
    </row>
    <row r="72" spans="1:27" x14ac:dyDescent="0.25">
      <c r="A72" s="443">
        <v>13144</v>
      </c>
      <c r="B72" s="19" t="s">
        <v>55</v>
      </c>
      <c r="C72" t="s">
        <v>442</v>
      </c>
      <c r="D72" s="477"/>
      <c r="E72" s="121">
        <v>9422624.7699999996</v>
      </c>
      <c r="F72" s="477">
        <v>0</v>
      </c>
      <c r="G72" s="477">
        <v>24575140.27</v>
      </c>
      <c r="H72" s="477"/>
      <c r="I72" s="121">
        <v>0</v>
      </c>
      <c r="J72" s="379"/>
      <c r="K72" s="477">
        <v>0</v>
      </c>
      <c r="L72" s="477">
        <v>24575140.27</v>
      </c>
      <c r="N72" s="121">
        <v>9422624.7699999996</v>
      </c>
      <c r="P72" s="477"/>
      <c r="Q72" s="121">
        <v>0</v>
      </c>
      <c r="U72" s="122">
        <v>8132</v>
      </c>
      <c r="V72" s="122">
        <v>415252.81</v>
      </c>
      <c r="W72" s="122"/>
      <c r="X72" s="122">
        <v>1303795.01</v>
      </c>
      <c r="Y72" s="122"/>
      <c r="Z72" s="122"/>
      <c r="AA72" s="122">
        <v>0</v>
      </c>
    </row>
    <row r="73" spans="1:27" x14ac:dyDescent="0.25">
      <c r="A73" s="443">
        <v>13146</v>
      </c>
      <c r="B73" s="19" t="s">
        <v>55</v>
      </c>
      <c r="C73" t="s">
        <v>586</v>
      </c>
      <c r="D73" s="477">
        <v>75898.45</v>
      </c>
      <c r="E73" s="121">
        <v>2427399.3200000003</v>
      </c>
      <c r="F73" s="477"/>
      <c r="G73" s="477">
        <v>6425761.96</v>
      </c>
      <c r="H73" s="477"/>
      <c r="I73" s="121">
        <v>0</v>
      </c>
      <c r="J73" s="379"/>
      <c r="K73" s="477"/>
      <c r="L73" s="477">
        <v>6425761.96</v>
      </c>
      <c r="N73" s="121">
        <v>2427399.3200000003</v>
      </c>
      <c r="P73" s="477">
        <v>75898.45</v>
      </c>
      <c r="Q73" s="121">
        <v>0</v>
      </c>
      <c r="U73" s="122"/>
      <c r="V73" s="122">
        <v>154601.72999999998</v>
      </c>
      <c r="W73" s="122"/>
      <c r="X73" s="122">
        <v>282202.68</v>
      </c>
      <c r="Y73" s="122"/>
      <c r="Z73" s="122">
        <v>0</v>
      </c>
      <c r="AA73" s="122">
        <v>0</v>
      </c>
    </row>
    <row r="74" spans="1:27" x14ac:dyDescent="0.25">
      <c r="A74" s="443">
        <v>13151</v>
      </c>
      <c r="B74" s="19" t="s">
        <v>55</v>
      </c>
      <c r="C74" t="s">
        <v>114</v>
      </c>
      <c r="D74" s="477">
        <v>21454.76</v>
      </c>
      <c r="E74" s="121">
        <v>587432.83000000007</v>
      </c>
      <c r="F74" s="477"/>
      <c r="G74" s="477">
        <v>1408551.29</v>
      </c>
      <c r="H74" s="477"/>
      <c r="I74" s="121">
        <v>0</v>
      </c>
      <c r="J74" s="379"/>
      <c r="K74" s="477"/>
      <c r="L74" s="477">
        <v>1408551.29</v>
      </c>
      <c r="N74" s="121">
        <v>587432.83000000007</v>
      </c>
      <c r="P74" s="477">
        <v>21454.76</v>
      </c>
      <c r="Q74" s="121">
        <v>0</v>
      </c>
      <c r="U74" s="122"/>
      <c r="V74" s="122">
        <v>9424.86</v>
      </c>
      <c r="W74" s="122"/>
      <c r="X74" s="122">
        <v>69208.740000000005</v>
      </c>
      <c r="Y74" s="122"/>
      <c r="Z74" s="122">
        <v>0</v>
      </c>
      <c r="AA74" s="122">
        <v>0</v>
      </c>
    </row>
    <row r="75" spans="1:27" x14ac:dyDescent="0.25">
      <c r="A75" s="443">
        <v>13156</v>
      </c>
      <c r="B75" s="19" t="s">
        <v>55</v>
      </c>
      <c r="C75" t="s">
        <v>502</v>
      </c>
      <c r="D75" s="477"/>
      <c r="E75" s="121">
        <v>1748264.58</v>
      </c>
      <c r="F75" s="477">
        <v>0</v>
      </c>
      <c r="G75" s="477">
        <v>3334872.97</v>
      </c>
      <c r="H75" s="477"/>
      <c r="I75" s="121">
        <v>0</v>
      </c>
      <c r="J75" s="379"/>
      <c r="K75" s="477">
        <v>0</v>
      </c>
      <c r="L75" s="477">
        <v>3334872.97</v>
      </c>
      <c r="N75" s="121">
        <v>1748264.58</v>
      </c>
      <c r="P75" s="477"/>
      <c r="Q75" s="121">
        <v>0</v>
      </c>
      <c r="U75" s="122">
        <v>47771.72</v>
      </c>
      <c r="V75" s="122">
        <v>23981.800000000003</v>
      </c>
      <c r="W75" s="122"/>
      <c r="X75" s="122">
        <v>213339.46</v>
      </c>
      <c r="Y75" s="122"/>
      <c r="Z75" s="122"/>
      <c r="AA75" s="122">
        <v>0</v>
      </c>
    </row>
    <row r="76" spans="1:27" x14ac:dyDescent="0.25">
      <c r="A76" s="443">
        <v>13160</v>
      </c>
      <c r="B76" s="19" t="s">
        <v>45</v>
      </c>
      <c r="C76" t="s">
        <v>470</v>
      </c>
      <c r="D76" s="477"/>
      <c r="E76" s="121">
        <v>4651962.2300000004</v>
      </c>
      <c r="F76" s="477">
        <v>117242.47</v>
      </c>
      <c r="G76" s="477">
        <v>11527288.18</v>
      </c>
      <c r="H76" s="477"/>
      <c r="I76" s="121">
        <v>0</v>
      </c>
      <c r="J76" s="379"/>
      <c r="K76" s="477">
        <v>117242.47</v>
      </c>
      <c r="L76" s="477">
        <v>11527288.18</v>
      </c>
      <c r="N76" s="121">
        <v>4651962.2300000004</v>
      </c>
      <c r="P76" s="477"/>
      <c r="Q76" s="121">
        <v>0</v>
      </c>
      <c r="U76" s="122">
        <v>11726.14</v>
      </c>
      <c r="V76" s="122">
        <v>307452.77</v>
      </c>
      <c r="W76" s="122"/>
      <c r="X76" s="122">
        <v>232533.19</v>
      </c>
      <c r="Y76" s="122"/>
      <c r="Z76" s="122"/>
      <c r="AA76" s="122">
        <v>0</v>
      </c>
    </row>
    <row r="77" spans="1:27" x14ac:dyDescent="0.25">
      <c r="A77" s="443">
        <v>13161</v>
      </c>
      <c r="B77" s="19" t="s">
        <v>55</v>
      </c>
      <c r="C77" t="s">
        <v>314</v>
      </c>
      <c r="D77" s="477"/>
      <c r="E77" s="121">
        <v>23468519.489999998</v>
      </c>
      <c r="F77" s="477">
        <v>112761.64</v>
      </c>
      <c r="G77" s="477">
        <v>66606725.239999995</v>
      </c>
      <c r="H77" s="477"/>
      <c r="I77" s="121">
        <v>0</v>
      </c>
      <c r="J77" s="379"/>
      <c r="K77" s="477">
        <v>112761.64</v>
      </c>
      <c r="L77" s="477">
        <v>66606725.239999995</v>
      </c>
      <c r="N77" s="121">
        <v>23468519.489999998</v>
      </c>
      <c r="P77" s="477"/>
      <c r="Q77" s="121">
        <v>0</v>
      </c>
      <c r="U77" s="122">
        <v>148709.53</v>
      </c>
      <c r="V77" s="122">
        <v>1783527.24</v>
      </c>
      <c r="W77" s="122"/>
      <c r="X77" s="122">
        <v>1770984.9700000002</v>
      </c>
      <c r="Y77" s="122"/>
      <c r="Z77" s="122"/>
      <c r="AA77" s="122">
        <v>0</v>
      </c>
    </row>
    <row r="78" spans="1:27" x14ac:dyDescent="0.25">
      <c r="A78" s="443">
        <v>13165</v>
      </c>
      <c r="B78" s="19" t="s">
        <v>55</v>
      </c>
      <c r="C78" t="s">
        <v>170</v>
      </c>
      <c r="D78" s="477"/>
      <c r="E78" s="121">
        <v>6724615.5199999996</v>
      </c>
      <c r="F78" s="477">
        <v>0</v>
      </c>
      <c r="G78" s="477">
        <v>18244618.27</v>
      </c>
      <c r="H78" s="477"/>
      <c r="I78" s="121">
        <v>0</v>
      </c>
      <c r="J78" s="379"/>
      <c r="K78" s="477">
        <v>0</v>
      </c>
      <c r="L78" s="477">
        <v>18244618.27</v>
      </c>
      <c r="N78" s="121">
        <v>6724615.5199999996</v>
      </c>
      <c r="P78" s="477"/>
      <c r="Q78" s="121">
        <v>0</v>
      </c>
      <c r="U78" s="122">
        <v>37917.96</v>
      </c>
      <c r="V78" s="122">
        <v>322772.25</v>
      </c>
      <c r="W78" s="122"/>
      <c r="X78" s="122">
        <v>688095.7</v>
      </c>
      <c r="Y78" s="122"/>
      <c r="Z78" s="122"/>
      <c r="AA78" s="122">
        <v>0</v>
      </c>
    </row>
    <row r="79" spans="1:27" x14ac:dyDescent="0.25">
      <c r="A79" s="443">
        <v>13167</v>
      </c>
      <c r="B79" s="19" t="s">
        <v>55</v>
      </c>
      <c r="C79" t="s">
        <v>612</v>
      </c>
      <c r="D79" s="477"/>
      <c r="E79" s="121">
        <v>726503.65999999992</v>
      </c>
      <c r="F79" s="477"/>
      <c r="G79" s="477">
        <v>1071688.6600000001</v>
      </c>
      <c r="H79" s="477"/>
      <c r="I79" s="121">
        <v>0</v>
      </c>
      <c r="J79" s="379"/>
      <c r="K79" s="477"/>
      <c r="L79" s="477">
        <v>1071688.6600000001</v>
      </c>
      <c r="N79" s="121">
        <v>726503.65999999992</v>
      </c>
      <c r="P79" s="477"/>
      <c r="Q79" s="121">
        <v>0</v>
      </c>
      <c r="U79" s="122"/>
      <c r="V79" s="122">
        <v>58820.480000000003</v>
      </c>
      <c r="W79" s="122"/>
      <c r="X79" s="122">
        <v>101682.85</v>
      </c>
      <c r="Y79" s="122"/>
      <c r="Z79" s="122"/>
      <c r="AA79" s="122">
        <v>0</v>
      </c>
    </row>
    <row r="80" spans="1:27" x14ac:dyDescent="0.25">
      <c r="A80" s="443">
        <v>13301</v>
      </c>
      <c r="B80" s="19" t="s">
        <v>55</v>
      </c>
      <c r="C80" t="s">
        <v>198</v>
      </c>
      <c r="D80" s="477">
        <v>140825.38</v>
      </c>
      <c r="E80" s="121">
        <v>2446560.7800000003</v>
      </c>
      <c r="F80" s="477"/>
      <c r="G80" s="477">
        <v>4346692</v>
      </c>
      <c r="H80" s="477"/>
      <c r="I80" s="121">
        <v>0</v>
      </c>
      <c r="J80" s="379"/>
      <c r="K80" s="477"/>
      <c r="L80" s="477">
        <v>4346692</v>
      </c>
      <c r="N80" s="121">
        <v>2446560.7800000003</v>
      </c>
      <c r="P80" s="477">
        <v>140825.38</v>
      </c>
      <c r="Q80" s="121">
        <v>0</v>
      </c>
      <c r="U80" s="122"/>
      <c r="V80" s="122">
        <v>87155.19</v>
      </c>
      <c r="W80" s="122"/>
      <c r="X80" s="122">
        <v>234066.88</v>
      </c>
      <c r="Y80" s="122"/>
      <c r="Z80" s="122">
        <v>0</v>
      </c>
      <c r="AA80" s="122">
        <v>0</v>
      </c>
    </row>
    <row r="81" spans="1:27" x14ac:dyDescent="0.25">
      <c r="A81" s="443">
        <v>14005</v>
      </c>
      <c r="B81" s="19" t="s">
        <v>13</v>
      </c>
      <c r="C81" t="s">
        <v>11</v>
      </c>
      <c r="D81" s="477"/>
      <c r="E81" s="121">
        <v>10929453.68</v>
      </c>
      <c r="F81" s="477">
        <v>0</v>
      </c>
      <c r="G81" s="477">
        <v>23440152.859999999</v>
      </c>
      <c r="H81" s="477"/>
      <c r="I81" s="121">
        <v>0</v>
      </c>
      <c r="J81" s="379"/>
      <c r="K81" s="477">
        <v>0</v>
      </c>
      <c r="L81" s="477">
        <v>23440152.859999999</v>
      </c>
      <c r="N81" s="121">
        <v>10929453.68</v>
      </c>
      <c r="P81" s="477"/>
      <c r="Q81" s="121">
        <v>0</v>
      </c>
      <c r="U81" s="122">
        <v>89992.04</v>
      </c>
      <c r="V81" s="122">
        <v>664350.88</v>
      </c>
      <c r="W81" s="122"/>
      <c r="X81" s="122">
        <v>666757.9</v>
      </c>
      <c r="Y81" s="122"/>
      <c r="Z81" s="122"/>
      <c r="AA81" s="122">
        <v>0</v>
      </c>
    </row>
    <row r="82" spans="1:27" x14ac:dyDescent="0.25">
      <c r="A82" s="443">
        <v>14028</v>
      </c>
      <c r="B82" s="19" t="s">
        <v>13</v>
      </c>
      <c r="C82" t="s">
        <v>224</v>
      </c>
      <c r="D82" s="477"/>
      <c r="E82" s="121">
        <v>5697612.8499999996</v>
      </c>
      <c r="F82" s="477">
        <v>117454.32</v>
      </c>
      <c r="G82" s="477">
        <v>11816124.810000001</v>
      </c>
      <c r="H82" s="477"/>
      <c r="I82" s="121">
        <v>0</v>
      </c>
      <c r="J82" s="379"/>
      <c r="K82" s="477">
        <v>117454.32</v>
      </c>
      <c r="L82" s="477">
        <v>11816124.810000001</v>
      </c>
      <c r="N82" s="121">
        <v>5697612.8499999996</v>
      </c>
      <c r="P82" s="477"/>
      <c r="Q82" s="121">
        <v>0</v>
      </c>
      <c r="U82" s="122">
        <v>2833.58</v>
      </c>
      <c r="V82" s="122">
        <v>298739.20000000001</v>
      </c>
      <c r="W82" s="122"/>
      <c r="X82" s="122">
        <v>310933.81000000006</v>
      </c>
      <c r="Y82" s="122"/>
      <c r="Z82" s="122"/>
      <c r="AA82" s="122">
        <v>0</v>
      </c>
    </row>
    <row r="83" spans="1:27" x14ac:dyDescent="0.25">
      <c r="A83" s="443">
        <v>14064</v>
      </c>
      <c r="B83" s="19" t="s">
        <v>13</v>
      </c>
      <c r="C83" t="s">
        <v>342</v>
      </c>
      <c r="D83" s="477"/>
      <c r="E83" s="121">
        <v>2684447.63</v>
      </c>
      <c r="F83" s="477">
        <v>0</v>
      </c>
      <c r="G83" s="477">
        <v>4828883.6899999995</v>
      </c>
      <c r="H83" s="477"/>
      <c r="I83" s="121">
        <v>0</v>
      </c>
      <c r="J83" s="379"/>
      <c r="K83" s="477">
        <v>0</v>
      </c>
      <c r="L83" s="477">
        <v>4828883.6899999995</v>
      </c>
      <c r="N83" s="121">
        <v>2684447.63</v>
      </c>
      <c r="P83" s="477"/>
      <c r="Q83" s="121">
        <v>0</v>
      </c>
      <c r="U83" s="122">
        <v>8010</v>
      </c>
      <c r="V83" s="122">
        <v>152740.78</v>
      </c>
      <c r="W83" s="122"/>
      <c r="X83" s="122">
        <v>214987.99000000002</v>
      </c>
      <c r="Y83" s="122"/>
      <c r="Z83" s="122"/>
      <c r="AA83" s="122">
        <v>0</v>
      </c>
    </row>
    <row r="84" spans="1:27" x14ac:dyDescent="0.25">
      <c r="A84" s="443">
        <v>14065</v>
      </c>
      <c r="B84" s="19" t="s">
        <v>13</v>
      </c>
      <c r="C84" t="s">
        <v>294</v>
      </c>
      <c r="D84" s="477"/>
      <c r="E84" s="121">
        <v>986557.76</v>
      </c>
      <c r="F84" s="477">
        <v>0</v>
      </c>
      <c r="G84" s="477">
        <v>2198705.2400000002</v>
      </c>
      <c r="H84" s="477"/>
      <c r="I84" s="121">
        <v>0</v>
      </c>
      <c r="J84" s="379"/>
      <c r="K84" s="477">
        <v>0</v>
      </c>
      <c r="L84" s="477">
        <v>2198705.2400000002</v>
      </c>
      <c r="N84" s="121">
        <v>986557.76</v>
      </c>
      <c r="P84" s="477"/>
      <c r="Q84" s="121">
        <v>0</v>
      </c>
      <c r="U84" s="122">
        <v>17463.599999999999</v>
      </c>
      <c r="V84" s="122">
        <v>18114.68</v>
      </c>
      <c r="W84" s="122"/>
      <c r="X84" s="122">
        <v>14148.9</v>
      </c>
      <c r="Y84" s="122"/>
      <c r="Z84" s="122"/>
      <c r="AA84" s="122">
        <v>0</v>
      </c>
    </row>
    <row r="85" spans="1:27" x14ac:dyDescent="0.25">
      <c r="A85" s="443">
        <v>14066</v>
      </c>
      <c r="B85" s="19" t="s">
        <v>13</v>
      </c>
      <c r="C85" t="s">
        <v>310</v>
      </c>
      <c r="D85" s="477"/>
      <c r="E85" s="121">
        <v>3506606.87</v>
      </c>
      <c r="F85" s="477">
        <v>0</v>
      </c>
      <c r="G85" s="477">
        <v>10989634.460000001</v>
      </c>
      <c r="H85" s="477"/>
      <c r="I85" s="121">
        <v>0</v>
      </c>
      <c r="J85" s="379"/>
      <c r="K85" s="477">
        <v>0</v>
      </c>
      <c r="L85" s="477">
        <v>10989634.460000001</v>
      </c>
      <c r="N85" s="121">
        <v>3506606.87</v>
      </c>
      <c r="P85" s="477"/>
      <c r="Q85" s="121">
        <v>0</v>
      </c>
      <c r="U85" s="122">
        <v>5180</v>
      </c>
      <c r="V85" s="122">
        <v>86313.26</v>
      </c>
      <c r="W85" s="122"/>
      <c r="X85" s="122">
        <v>309250.77</v>
      </c>
      <c r="Y85" s="122"/>
      <c r="Z85" s="122"/>
      <c r="AA85" s="122">
        <v>0</v>
      </c>
    </row>
    <row r="86" spans="1:27" x14ac:dyDescent="0.25">
      <c r="A86" s="443">
        <v>14068</v>
      </c>
      <c r="B86" s="19" t="s">
        <v>13</v>
      </c>
      <c r="C86" t="s">
        <v>162</v>
      </c>
      <c r="D86" s="477">
        <v>12322.71</v>
      </c>
      <c r="E86" s="121">
        <v>4028129.18</v>
      </c>
      <c r="F86" s="477">
        <v>0</v>
      </c>
      <c r="G86" s="477">
        <v>10455581.99</v>
      </c>
      <c r="H86" s="477"/>
      <c r="I86" s="121">
        <v>0</v>
      </c>
      <c r="J86" s="379"/>
      <c r="K86" s="477">
        <v>0</v>
      </c>
      <c r="L86" s="477">
        <v>10455581.99</v>
      </c>
      <c r="N86" s="121">
        <v>4028129.18</v>
      </c>
      <c r="P86" s="477">
        <v>12322.71</v>
      </c>
      <c r="Q86" s="121">
        <v>0</v>
      </c>
      <c r="U86" s="122">
        <v>87566.8</v>
      </c>
      <c r="V86" s="122">
        <v>140920.07</v>
      </c>
      <c r="W86" s="122"/>
      <c r="X86" s="122">
        <v>325608.93</v>
      </c>
      <c r="Y86" s="122"/>
      <c r="Z86" s="122">
        <v>0</v>
      </c>
      <c r="AA86" s="122">
        <v>0</v>
      </c>
    </row>
    <row r="87" spans="1:27" x14ac:dyDescent="0.25">
      <c r="A87" s="443">
        <v>14077</v>
      </c>
      <c r="B87" s="19" t="s">
        <v>13</v>
      </c>
      <c r="C87" t="s">
        <v>540</v>
      </c>
      <c r="D87" s="477"/>
      <c r="E87" s="121">
        <v>1280087.71</v>
      </c>
      <c r="F87" s="477"/>
      <c r="G87" s="477">
        <v>1928664.8</v>
      </c>
      <c r="H87" s="477"/>
      <c r="I87" s="121">
        <v>0</v>
      </c>
      <c r="J87" s="379"/>
      <c r="K87" s="477"/>
      <c r="L87" s="477">
        <v>1928664.8</v>
      </c>
      <c r="N87" s="121">
        <v>1280087.71</v>
      </c>
      <c r="P87" s="477"/>
      <c r="Q87" s="121">
        <v>0</v>
      </c>
      <c r="U87" s="122"/>
      <c r="V87" s="122">
        <v>53711.26</v>
      </c>
      <c r="W87" s="122"/>
      <c r="X87" s="122">
        <v>62728.91</v>
      </c>
      <c r="Y87" s="122"/>
      <c r="Z87" s="122"/>
      <c r="AA87" s="122">
        <v>0</v>
      </c>
    </row>
    <row r="88" spans="1:27" x14ac:dyDescent="0.25">
      <c r="A88" s="443">
        <v>14097</v>
      </c>
      <c r="B88" s="19" t="s">
        <v>13</v>
      </c>
      <c r="C88" t="s">
        <v>440</v>
      </c>
      <c r="D88" s="477"/>
      <c r="E88" s="121">
        <v>767688.64999999991</v>
      </c>
      <c r="F88" s="477"/>
      <c r="G88" s="477">
        <v>1542399.58</v>
      </c>
      <c r="H88" s="477"/>
      <c r="I88" s="121">
        <v>0</v>
      </c>
      <c r="J88" s="379"/>
      <c r="K88" s="477"/>
      <c r="L88" s="477">
        <v>1542399.58</v>
      </c>
      <c r="N88" s="121">
        <v>767688.64999999991</v>
      </c>
      <c r="P88" s="477"/>
      <c r="Q88" s="121">
        <v>0</v>
      </c>
      <c r="U88" s="122"/>
      <c r="V88" s="122">
        <v>149149.04999999999</v>
      </c>
      <c r="W88" s="122"/>
      <c r="X88" s="122">
        <v>44841.15</v>
      </c>
      <c r="Y88" s="122"/>
      <c r="Z88" s="122"/>
      <c r="AA88" s="122">
        <v>0</v>
      </c>
    </row>
    <row r="89" spans="1:27" x14ac:dyDescent="0.25">
      <c r="A89" s="443">
        <v>14099</v>
      </c>
      <c r="B89" s="19" t="s">
        <v>13</v>
      </c>
      <c r="C89" t="s">
        <v>112</v>
      </c>
      <c r="D89" s="477"/>
      <c r="E89" s="121">
        <v>826516.46</v>
      </c>
      <c r="F89" s="477">
        <v>0</v>
      </c>
      <c r="G89" s="477">
        <v>1525586.72</v>
      </c>
      <c r="H89" s="477"/>
      <c r="I89" s="121">
        <v>0</v>
      </c>
      <c r="J89" s="379"/>
      <c r="K89" s="477">
        <v>0</v>
      </c>
      <c r="L89" s="477">
        <v>1525586.72</v>
      </c>
      <c r="N89" s="121">
        <v>826516.46</v>
      </c>
      <c r="P89" s="477"/>
      <c r="Q89" s="121">
        <v>0</v>
      </c>
      <c r="U89" s="122">
        <v>7117.26</v>
      </c>
      <c r="V89" s="122">
        <v>44223.31</v>
      </c>
      <c r="W89" s="122"/>
      <c r="X89" s="122">
        <v>19584.310000000001</v>
      </c>
      <c r="Y89" s="122"/>
      <c r="Z89" s="122"/>
      <c r="AA89" s="122">
        <v>0</v>
      </c>
    </row>
    <row r="90" spans="1:27" x14ac:dyDescent="0.25">
      <c r="A90" s="443">
        <v>14104</v>
      </c>
      <c r="B90" s="19" t="s">
        <v>13</v>
      </c>
      <c r="C90" t="s">
        <v>476</v>
      </c>
      <c r="D90" s="477"/>
      <c r="E90" s="121">
        <v>264314.55</v>
      </c>
      <c r="F90" s="477"/>
      <c r="G90" s="477">
        <v>424841.80000000005</v>
      </c>
      <c r="H90" s="477"/>
      <c r="I90" s="121">
        <v>0</v>
      </c>
      <c r="J90" s="379"/>
      <c r="K90" s="477"/>
      <c r="L90" s="477">
        <v>424841.80000000005</v>
      </c>
      <c r="N90" s="121">
        <v>264314.55</v>
      </c>
      <c r="P90" s="477"/>
      <c r="Q90" s="121">
        <v>0</v>
      </c>
      <c r="U90" s="122"/>
      <c r="V90" s="122">
        <v>44642.57</v>
      </c>
      <c r="W90" s="122"/>
      <c r="X90" s="122">
        <v>0</v>
      </c>
      <c r="Y90" s="122"/>
      <c r="Z90" s="122"/>
      <c r="AA90" s="122">
        <v>0</v>
      </c>
    </row>
    <row r="91" spans="1:27" x14ac:dyDescent="0.25">
      <c r="A91" s="443">
        <v>14117</v>
      </c>
      <c r="B91" s="19" t="s">
        <v>13</v>
      </c>
      <c r="C91" t="s">
        <v>616</v>
      </c>
      <c r="D91" s="477"/>
      <c r="E91" s="121">
        <v>651996.84</v>
      </c>
      <c r="F91" s="477">
        <v>0</v>
      </c>
      <c r="G91" s="477">
        <v>1544624.0699999998</v>
      </c>
      <c r="H91" s="477"/>
      <c r="I91" s="121">
        <v>0</v>
      </c>
      <c r="J91" s="379"/>
      <c r="K91" s="477">
        <v>0</v>
      </c>
      <c r="L91" s="477">
        <v>1544624.0699999998</v>
      </c>
      <c r="N91" s="121">
        <v>651996.84</v>
      </c>
      <c r="P91" s="477"/>
      <c r="Q91" s="121">
        <v>0</v>
      </c>
      <c r="U91" s="122">
        <v>765.26</v>
      </c>
      <c r="V91" s="122">
        <v>0</v>
      </c>
      <c r="W91" s="122"/>
      <c r="X91" s="122">
        <v>3882.46</v>
      </c>
      <c r="Y91" s="122"/>
      <c r="Z91" s="122"/>
      <c r="AA91" s="122">
        <v>0</v>
      </c>
    </row>
    <row r="92" spans="1:27" x14ac:dyDescent="0.25">
      <c r="A92" s="443">
        <v>14172</v>
      </c>
      <c r="B92" s="19" t="s">
        <v>13</v>
      </c>
      <c r="C92" t="s">
        <v>372</v>
      </c>
      <c r="D92" s="477"/>
      <c r="E92" s="121">
        <v>1989254</v>
      </c>
      <c r="F92" s="477"/>
      <c r="G92" s="477">
        <v>4701103.43</v>
      </c>
      <c r="H92" s="477"/>
      <c r="I92" s="121">
        <v>0</v>
      </c>
      <c r="J92" s="379"/>
      <c r="K92" s="477"/>
      <c r="L92" s="477">
        <v>4701103.43</v>
      </c>
      <c r="N92" s="121">
        <v>1989254</v>
      </c>
      <c r="P92" s="477"/>
      <c r="Q92" s="121">
        <v>0</v>
      </c>
      <c r="U92" s="122"/>
      <c r="V92" s="122">
        <v>131219.5</v>
      </c>
      <c r="W92" s="122"/>
      <c r="X92" s="122">
        <v>127497.68000000001</v>
      </c>
      <c r="Y92" s="122"/>
      <c r="Z92" s="122"/>
      <c r="AA92" s="122">
        <v>0</v>
      </c>
    </row>
    <row r="93" spans="1:27" x14ac:dyDescent="0.25">
      <c r="A93" s="443">
        <v>14400</v>
      </c>
      <c r="B93" s="19" t="s">
        <v>13</v>
      </c>
      <c r="C93" t="s">
        <v>368</v>
      </c>
      <c r="D93" s="477"/>
      <c r="E93" s="121">
        <v>982577.65</v>
      </c>
      <c r="F93" s="477"/>
      <c r="G93" s="477">
        <v>2559247.44</v>
      </c>
      <c r="H93" s="477"/>
      <c r="I93" s="121">
        <v>0</v>
      </c>
      <c r="J93" s="379"/>
      <c r="K93" s="477"/>
      <c r="L93" s="477">
        <v>2559247.44</v>
      </c>
      <c r="N93" s="121">
        <v>982577.65</v>
      </c>
      <c r="P93" s="477"/>
      <c r="Q93" s="121">
        <v>0</v>
      </c>
      <c r="U93" s="122"/>
      <c r="V93" s="122">
        <v>39985.339999999997</v>
      </c>
      <c r="W93" s="122"/>
      <c r="X93" s="122">
        <v>101060.91</v>
      </c>
      <c r="Y93" s="122"/>
      <c r="Z93" s="122"/>
      <c r="AA93" s="122">
        <v>0</v>
      </c>
    </row>
    <row r="94" spans="1:27" x14ac:dyDescent="0.25">
      <c r="A94" s="443">
        <v>15201</v>
      </c>
      <c r="B94" s="19" t="s">
        <v>21</v>
      </c>
      <c r="C94" t="s">
        <v>364</v>
      </c>
      <c r="D94" s="477"/>
      <c r="E94" s="121">
        <v>19759447.77</v>
      </c>
      <c r="F94" s="477">
        <v>0</v>
      </c>
      <c r="G94" s="477">
        <v>46872854.719999999</v>
      </c>
      <c r="H94" s="477"/>
      <c r="I94" s="121">
        <v>0</v>
      </c>
      <c r="J94" s="379"/>
      <c r="K94" s="477">
        <v>0</v>
      </c>
      <c r="L94" s="477">
        <v>46872854.719999999</v>
      </c>
      <c r="N94" s="121">
        <v>19759447.77</v>
      </c>
      <c r="P94" s="477"/>
      <c r="Q94" s="121">
        <v>0</v>
      </c>
      <c r="U94" s="122">
        <v>63285</v>
      </c>
      <c r="V94" s="122">
        <v>1347852.32</v>
      </c>
      <c r="W94" s="122"/>
      <c r="X94" s="122">
        <v>1687584.6400000001</v>
      </c>
      <c r="Y94" s="122"/>
      <c r="Z94" s="122"/>
      <c r="AA94" s="122">
        <v>0</v>
      </c>
    </row>
    <row r="95" spans="1:27" x14ac:dyDescent="0.25">
      <c r="A95" s="443">
        <v>15204</v>
      </c>
      <c r="B95" s="19" t="s">
        <v>21</v>
      </c>
      <c r="C95" t="s">
        <v>116</v>
      </c>
      <c r="D95" s="477"/>
      <c r="E95" s="121">
        <v>3288402</v>
      </c>
      <c r="F95" s="477">
        <v>0</v>
      </c>
      <c r="G95" s="477">
        <v>7784037.6399999997</v>
      </c>
      <c r="H95" s="477"/>
      <c r="I95" s="121">
        <v>0</v>
      </c>
      <c r="J95" s="379"/>
      <c r="K95" s="477">
        <v>0</v>
      </c>
      <c r="L95" s="477">
        <v>7784037.6399999997</v>
      </c>
      <c r="N95" s="121">
        <v>3288402</v>
      </c>
      <c r="P95" s="477"/>
      <c r="Q95" s="121">
        <v>0</v>
      </c>
      <c r="U95" s="122">
        <v>10543.14</v>
      </c>
      <c r="V95" s="122">
        <v>284826.08999999997</v>
      </c>
      <c r="W95" s="122"/>
      <c r="X95" s="122">
        <v>180457.84999999998</v>
      </c>
      <c r="Y95" s="122"/>
      <c r="Z95" s="122"/>
      <c r="AA95" s="122">
        <v>0</v>
      </c>
    </row>
    <row r="96" spans="1:27" x14ac:dyDescent="0.25">
      <c r="A96" s="443">
        <v>15206</v>
      </c>
      <c r="B96" s="19" t="s">
        <v>21</v>
      </c>
      <c r="C96" t="s">
        <v>508</v>
      </c>
      <c r="D96" s="477">
        <v>11003.36</v>
      </c>
      <c r="E96" s="121">
        <v>3611771.51</v>
      </c>
      <c r="F96" s="477">
        <v>0</v>
      </c>
      <c r="G96" s="477">
        <v>9349316.4600000009</v>
      </c>
      <c r="H96" s="477"/>
      <c r="I96" s="121">
        <v>0</v>
      </c>
      <c r="J96" s="379"/>
      <c r="K96" s="477">
        <v>0</v>
      </c>
      <c r="L96" s="477">
        <v>9349316.4600000009</v>
      </c>
      <c r="N96" s="121">
        <v>3611771.51</v>
      </c>
      <c r="P96" s="477">
        <v>11003.36</v>
      </c>
      <c r="Q96" s="121">
        <v>0</v>
      </c>
      <c r="U96" s="122">
        <v>9973.57</v>
      </c>
      <c r="V96" s="122">
        <v>210714.38</v>
      </c>
      <c r="W96" s="122"/>
      <c r="X96" s="122">
        <v>368659.20000000001</v>
      </c>
      <c r="Y96" s="122"/>
      <c r="Z96" s="122">
        <v>0</v>
      </c>
      <c r="AA96" s="122">
        <v>0</v>
      </c>
    </row>
    <row r="97" spans="1:27" x14ac:dyDescent="0.25">
      <c r="A97" s="443">
        <v>16020</v>
      </c>
      <c r="B97" s="19" t="s">
        <v>52</v>
      </c>
      <c r="C97" t="s">
        <v>434</v>
      </c>
      <c r="D97" s="477"/>
      <c r="E97" s="121">
        <v>161910.80000000002</v>
      </c>
      <c r="F97" s="477"/>
      <c r="G97" s="477">
        <v>296707.24</v>
      </c>
      <c r="H97" s="477"/>
      <c r="I97" s="121">
        <v>0</v>
      </c>
      <c r="J97" s="379"/>
      <c r="K97" s="477"/>
      <c r="L97" s="477">
        <v>296707.24</v>
      </c>
      <c r="N97" s="121">
        <v>161910.80000000002</v>
      </c>
      <c r="P97" s="477"/>
      <c r="Q97" s="121">
        <v>0</v>
      </c>
      <c r="U97" s="122"/>
      <c r="V97" s="122">
        <v>0</v>
      </c>
      <c r="W97" s="122"/>
      <c r="X97" s="122">
        <v>156.55000000000001</v>
      </c>
      <c r="Y97" s="122"/>
      <c r="Z97" s="122"/>
      <c r="AA97" s="122">
        <v>0</v>
      </c>
    </row>
    <row r="98" spans="1:27" x14ac:dyDescent="0.25">
      <c r="A98" s="443">
        <v>16046</v>
      </c>
      <c r="B98" s="19" t="s">
        <v>52</v>
      </c>
      <c r="C98" t="s">
        <v>58</v>
      </c>
      <c r="D98" s="477"/>
      <c r="E98" s="121">
        <v>270262.3</v>
      </c>
      <c r="F98" s="477"/>
      <c r="G98" s="477">
        <v>525694.87</v>
      </c>
      <c r="H98" s="477"/>
      <c r="I98" s="121">
        <v>0</v>
      </c>
      <c r="J98" s="379"/>
      <c r="K98" s="477"/>
      <c r="L98" s="477">
        <v>525694.87</v>
      </c>
      <c r="N98" s="121">
        <v>270262.3</v>
      </c>
      <c r="P98" s="477"/>
      <c r="Q98" s="121">
        <v>0</v>
      </c>
      <c r="U98" s="122"/>
      <c r="V98" s="122">
        <v>40193.14</v>
      </c>
      <c r="W98" s="122"/>
      <c r="X98" s="122">
        <v>79476.17</v>
      </c>
      <c r="Y98" s="122"/>
      <c r="Z98" s="122"/>
      <c r="AA98" s="122">
        <v>0</v>
      </c>
    </row>
    <row r="99" spans="1:27" x14ac:dyDescent="0.25">
      <c r="A99" s="443">
        <v>16048</v>
      </c>
      <c r="B99" s="19" t="s">
        <v>52</v>
      </c>
      <c r="C99" t="s">
        <v>436</v>
      </c>
      <c r="D99" s="477"/>
      <c r="E99" s="121">
        <v>1729539.12</v>
      </c>
      <c r="F99" s="477"/>
      <c r="G99" s="477">
        <v>3794972.0100000002</v>
      </c>
      <c r="H99" s="477"/>
      <c r="I99" s="121">
        <v>0</v>
      </c>
      <c r="J99" s="379"/>
      <c r="K99" s="477"/>
      <c r="L99" s="477">
        <v>3794972.0100000002</v>
      </c>
      <c r="N99" s="121">
        <v>1729539.12</v>
      </c>
      <c r="P99" s="477"/>
      <c r="Q99" s="121">
        <v>0</v>
      </c>
      <c r="U99" s="122"/>
      <c r="V99" s="122">
        <v>138251.10999999999</v>
      </c>
      <c r="W99" s="122"/>
      <c r="X99" s="122">
        <v>90403.909999999989</v>
      </c>
      <c r="Y99" s="122"/>
      <c r="Z99" s="122"/>
      <c r="AA99" s="122">
        <v>0</v>
      </c>
    </row>
    <row r="100" spans="1:27" x14ac:dyDescent="0.25">
      <c r="A100" s="443">
        <v>16049</v>
      </c>
      <c r="B100" s="19" t="s">
        <v>52</v>
      </c>
      <c r="C100" t="s">
        <v>88</v>
      </c>
      <c r="D100" s="477">
        <v>81053.149999999994</v>
      </c>
      <c r="E100" s="121">
        <v>2543158.9500000002</v>
      </c>
      <c r="F100" s="477">
        <v>0</v>
      </c>
      <c r="G100" s="477">
        <v>5561395.46</v>
      </c>
      <c r="H100" s="477"/>
      <c r="I100" s="121">
        <v>0</v>
      </c>
      <c r="J100" s="379"/>
      <c r="K100" s="477">
        <v>0</v>
      </c>
      <c r="L100" s="477">
        <v>5561395.46</v>
      </c>
      <c r="N100" s="121">
        <v>2543158.9500000002</v>
      </c>
      <c r="P100" s="477">
        <v>81053.149999999994</v>
      </c>
      <c r="Q100" s="121">
        <v>0</v>
      </c>
      <c r="U100" s="122">
        <v>20617.53</v>
      </c>
      <c r="V100" s="122">
        <v>108974.73999999999</v>
      </c>
      <c r="W100" s="122"/>
      <c r="X100" s="122">
        <v>111663.06</v>
      </c>
      <c r="Y100" s="122"/>
      <c r="Z100" s="122">
        <v>0</v>
      </c>
      <c r="AA100" s="122">
        <v>0</v>
      </c>
    </row>
    <row r="101" spans="1:27" x14ac:dyDescent="0.25">
      <c r="A101" s="443">
        <v>16050</v>
      </c>
      <c r="B101" s="19" t="s">
        <v>52</v>
      </c>
      <c r="C101" t="s">
        <v>422</v>
      </c>
      <c r="D101" s="477"/>
      <c r="E101" s="121">
        <v>3405417.2800000003</v>
      </c>
      <c r="F101" s="477">
        <v>0</v>
      </c>
      <c r="G101" s="477">
        <v>9666630.8499999996</v>
      </c>
      <c r="H101" s="477"/>
      <c r="I101" s="121">
        <v>0</v>
      </c>
      <c r="J101" s="379"/>
      <c r="K101" s="477">
        <v>0</v>
      </c>
      <c r="L101" s="477">
        <v>9666630.8499999996</v>
      </c>
      <c r="N101" s="121">
        <v>3405417.2800000003</v>
      </c>
      <c r="P101" s="477"/>
      <c r="Q101" s="121">
        <v>0</v>
      </c>
      <c r="U101" s="122">
        <v>27252.46</v>
      </c>
      <c r="V101" s="122">
        <v>226064.46999999997</v>
      </c>
      <c r="W101" s="122"/>
      <c r="X101" s="122">
        <v>259184.47</v>
      </c>
      <c r="Y101" s="122"/>
      <c r="Z101" s="122"/>
      <c r="AA101" s="122">
        <v>0</v>
      </c>
    </row>
    <row r="102" spans="1:27" x14ac:dyDescent="0.25">
      <c r="A102" s="443">
        <v>17001</v>
      </c>
      <c r="B102" s="19" t="s">
        <v>29</v>
      </c>
      <c r="C102" t="s">
        <v>478</v>
      </c>
      <c r="D102" s="477">
        <v>502295.79</v>
      </c>
      <c r="E102" s="121">
        <v>206241493.45999998</v>
      </c>
      <c r="F102" s="477">
        <v>650123.28</v>
      </c>
      <c r="G102" s="477">
        <v>471232652.34000003</v>
      </c>
      <c r="H102" s="477"/>
      <c r="I102" s="121">
        <v>0</v>
      </c>
      <c r="J102" s="379"/>
      <c r="K102" s="477">
        <v>650123.28</v>
      </c>
      <c r="L102" s="477">
        <v>471232652.34000003</v>
      </c>
      <c r="N102" s="121">
        <v>206241493.45999998</v>
      </c>
      <c r="P102" s="477">
        <v>502295.79</v>
      </c>
      <c r="Q102" s="121">
        <v>0</v>
      </c>
      <c r="U102" s="122">
        <v>1005718.18</v>
      </c>
      <c r="V102" s="122">
        <v>14795732.57</v>
      </c>
      <c r="W102" s="122"/>
      <c r="X102" s="122">
        <v>12021966.48</v>
      </c>
      <c r="Y102" s="122"/>
      <c r="Z102" s="122">
        <v>0</v>
      </c>
      <c r="AA102" s="122">
        <v>0</v>
      </c>
    </row>
    <row r="103" spans="1:27" x14ac:dyDescent="0.25">
      <c r="A103" s="443">
        <v>17210</v>
      </c>
      <c r="B103" s="19" t="s">
        <v>29</v>
      </c>
      <c r="C103" t="s">
        <v>180</v>
      </c>
      <c r="D103" s="477">
        <v>38373.49</v>
      </c>
      <c r="E103" s="121">
        <v>60405299.5</v>
      </c>
      <c r="F103" s="477">
        <v>195118.71</v>
      </c>
      <c r="G103" s="477">
        <v>175009377.92000002</v>
      </c>
      <c r="H103" s="477"/>
      <c r="I103" s="121">
        <v>0</v>
      </c>
      <c r="J103" s="379"/>
      <c r="K103" s="477">
        <v>195118.71</v>
      </c>
      <c r="L103" s="477">
        <v>175009377.92000002</v>
      </c>
      <c r="N103" s="121">
        <v>60405299.5</v>
      </c>
      <c r="P103" s="477">
        <v>38373.49</v>
      </c>
      <c r="Q103" s="121">
        <v>0</v>
      </c>
      <c r="U103" s="122">
        <v>279158.71999999997</v>
      </c>
      <c r="V103" s="122">
        <v>5204211.6499999994</v>
      </c>
      <c r="W103" s="122"/>
      <c r="X103" s="122">
        <v>4911305.71</v>
      </c>
      <c r="Y103" s="122"/>
      <c r="Z103" s="122">
        <v>0</v>
      </c>
      <c r="AA103" s="122">
        <v>0</v>
      </c>
    </row>
    <row r="104" spans="1:27" x14ac:dyDescent="0.25">
      <c r="A104" s="443">
        <v>17216</v>
      </c>
      <c r="B104" s="19" t="s">
        <v>29</v>
      </c>
      <c r="C104" t="s">
        <v>168</v>
      </c>
      <c r="D104" s="477"/>
      <c r="E104" s="121">
        <v>12913424.649999999</v>
      </c>
      <c r="F104" s="477">
        <v>0</v>
      </c>
      <c r="G104" s="477">
        <v>32573967.560000002</v>
      </c>
      <c r="H104" s="477"/>
      <c r="I104" s="121">
        <v>0</v>
      </c>
      <c r="J104" s="379"/>
      <c r="K104" s="477">
        <v>0</v>
      </c>
      <c r="L104" s="477">
        <v>32573967.560000002</v>
      </c>
      <c r="N104" s="121">
        <v>12913424.649999999</v>
      </c>
      <c r="P104" s="477"/>
      <c r="Q104" s="121">
        <v>0</v>
      </c>
      <c r="U104" s="122">
        <v>17546.740000000002</v>
      </c>
      <c r="V104" s="122">
        <v>626525.63</v>
      </c>
      <c r="W104" s="122"/>
      <c r="X104" s="122">
        <v>741095.93</v>
      </c>
      <c r="Y104" s="122"/>
      <c r="Z104" s="122"/>
      <c r="AA104" s="122">
        <v>0</v>
      </c>
    </row>
    <row r="105" spans="1:27" x14ac:dyDescent="0.25">
      <c r="A105" s="443">
        <v>17400</v>
      </c>
      <c r="B105" s="19" t="s">
        <v>29</v>
      </c>
      <c r="C105" t="s">
        <v>300</v>
      </c>
      <c r="D105" s="477"/>
      <c r="E105" s="121">
        <v>12620795.719999999</v>
      </c>
      <c r="F105" s="477">
        <v>72888.990000000005</v>
      </c>
      <c r="G105" s="477">
        <v>33490550.240000002</v>
      </c>
      <c r="H105" s="477"/>
      <c r="I105" s="121">
        <v>0</v>
      </c>
      <c r="J105" s="379"/>
      <c r="K105" s="477">
        <v>72888.990000000005</v>
      </c>
      <c r="L105" s="477">
        <v>33490550.240000002</v>
      </c>
      <c r="N105" s="121">
        <v>12620795.719999999</v>
      </c>
      <c r="P105" s="477"/>
      <c r="Q105" s="121">
        <v>0</v>
      </c>
      <c r="U105" s="122">
        <v>12291.29</v>
      </c>
      <c r="V105" s="122">
        <v>689381.63</v>
      </c>
      <c r="W105" s="122"/>
      <c r="X105" s="122">
        <v>882326.45000000007</v>
      </c>
      <c r="Y105" s="122"/>
      <c r="Z105" s="122"/>
      <c r="AA105" s="122">
        <v>0</v>
      </c>
    </row>
    <row r="106" spans="1:27" x14ac:dyDescent="0.25">
      <c r="A106" s="443">
        <v>17401</v>
      </c>
      <c r="B106" s="19" t="s">
        <v>29</v>
      </c>
      <c r="C106" t="s">
        <v>218</v>
      </c>
      <c r="D106" s="477">
        <v>57475.83</v>
      </c>
      <c r="E106" s="121">
        <v>66448466.520000003</v>
      </c>
      <c r="F106" s="477">
        <v>0</v>
      </c>
      <c r="G106" s="477">
        <v>162528073.22</v>
      </c>
      <c r="H106" s="477"/>
      <c r="I106" s="121">
        <v>0</v>
      </c>
      <c r="J106" s="379"/>
      <c r="K106" s="477">
        <v>0</v>
      </c>
      <c r="L106" s="477">
        <v>162528073.22</v>
      </c>
      <c r="N106" s="121">
        <v>66448466.520000003</v>
      </c>
      <c r="P106" s="477">
        <v>57475.83</v>
      </c>
      <c r="Q106" s="121">
        <v>0</v>
      </c>
      <c r="U106" s="122">
        <v>178918.39999999999</v>
      </c>
      <c r="V106" s="122">
        <v>3008643.52</v>
      </c>
      <c r="W106" s="122"/>
      <c r="X106" s="122">
        <v>1531296</v>
      </c>
      <c r="Y106" s="122"/>
      <c r="Z106" s="122">
        <v>0</v>
      </c>
      <c r="AA106" s="122">
        <v>0</v>
      </c>
    </row>
    <row r="107" spans="1:27" x14ac:dyDescent="0.25">
      <c r="A107" s="443">
        <v>17402</v>
      </c>
      <c r="B107" s="19" t="s">
        <v>29</v>
      </c>
      <c r="C107" t="s">
        <v>574</v>
      </c>
      <c r="D107" s="477"/>
      <c r="E107" s="121">
        <v>4526073.95</v>
      </c>
      <c r="F107" s="477">
        <v>6019</v>
      </c>
      <c r="G107" s="477">
        <v>10945405.359999999</v>
      </c>
      <c r="H107" s="477"/>
      <c r="I107" s="121">
        <v>0</v>
      </c>
      <c r="J107" s="379"/>
      <c r="K107" s="477">
        <v>6019</v>
      </c>
      <c r="L107" s="477">
        <v>10945405.359999999</v>
      </c>
      <c r="N107" s="121">
        <v>4526073.95</v>
      </c>
      <c r="P107" s="477"/>
      <c r="Q107" s="121">
        <v>0</v>
      </c>
      <c r="U107" s="122">
        <v>41636.07</v>
      </c>
      <c r="V107" s="122">
        <v>292642.78999999998</v>
      </c>
      <c r="W107" s="122"/>
      <c r="X107" s="122">
        <v>251063.34</v>
      </c>
      <c r="Y107" s="122"/>
      <c r="Z107" s="122"/>
      <c r="AA107" s="122">
        <v>0</v>
      </c>
    </row>
    <row r="108" spans="1:27" x14ac:dyDescent="0.25">
      <c r="A108" s="443">
        <v>17403</v>
      </c>
      <c r="B108" s="19" t="s">
        <v>29</v>
      </c>
      <c r="C108" t="s">
        <v>450</v>
      </c>
      <c r="D108" s="477">
        <v>124773.95</v>
      </c>
      <c r="E108" s="121">
        <v>56390624.859999999</v>
      </c>
      <c r="F108" s="477">
        <v>0</v>
      </c>
      <c r="G108" s="477">
        <v>132414764.65000001</v>
      </c>
      <c r="H108" s="477"/>
      <c r="I108" s="121">
        <v>0</v>
      </c>
      <c r="J108" s="379"/>
      <c r="K108" s="477">
        <v>0</v>
      </c>
      <c r="L108" s="477">
        <v>132414764.65000001</v>
      </c>
      <c r="N108" s="121">
        <v>56390624.859999999</v>
      </c>
      <c r="P108" s="477">
        <v>124773.95</v>
      </c>
      <c r="Q108" s="121">
        <v>0</v>
      </c>
      <c r="U108" s="122">
        <v>234844.86</v>
      </c>
      <c r="V108" s="122">
        <v>3237963.15</v>
      </c>
      <c r="W108" s="122"/>
      <c r="X108" s="122">
        <v>3590429.3499999996</v>
      </c>
      <c r="Y108" s="122"/>
      <c r="Z108" s="122">
        <v>0</v>
      </c>
      <c r="AA108" s="122">
        <v>0</v>
      </c>
    </row>
    <row r="109" spans="1:27" x14ac:dyDescent="0.25">
      <c r="A109" s="443">
        <v>17404</v>
      </c>
      <c r="B109" s="19" t="s">
        <v>29</v>
      </c>
      <c r="C109" t="s">
        <v>496</v>
      </c>
      <c r="D109" s="477"/>
      <c r="E109" s="121">
        <v>268197.02</v>
      </c>
      <c r="F109" s="477"/>
      <c r="G109" s="477">
        <v>1205240.98</v>
      </c>
      <c r="H109" s="477"/>
      <c r="I109" s="121">
        <v>0</v>
      </c>
      <c r="J109" s="379"/>
      <c r="K109" s="477"/>
      <c r="L109" s="477">
        <v>1205240.98</v>
      </c>
      <c r="N109" s="121">
        <v>268197.02</v>
      </c>
      <c r="P109" s="477"/>
      <c r="Q109" s="121">
        <v>0</v>
      </c>
      <c r="U109" s="122"/>
      <c r="V109" s="122">
        <v>6743.55</v>
      </c>
      <c r="W109" s="122"/>
      <c r="X109" s="122">
        <v>0</v>
      </c>
      <c r="Y109" s="122"/>
      <c r="Z109" s="122"/>
      <c r="AA109" s="122">
        <v>0</v>
      </c>
    </row>
    <row r="110" spans="1:27" x14ac:dyDescent="0.25">
      <c r="A110" s="443">
        <v>17405</v>
      </c>
      <c r="B110" s="19" t="s">
        <v>29</v>
      </c>
      <c r="C110" t="s">
        <v>35</v>
      </c>
      <c r="D110" s="477">
        <v>108715.34</v>
      </c>
      <c r="E110" s="121">
        <v>65866104.959999993</v>
      </c>
      <c r="F110" s="477">
        <v>272706.2</v>
      </c>
      <c r="G110" s="477">
        <v>181673605.66999999</v>
      </c>
      <c r="H110" s="477"/>
      <c r="I110" s="121">
        <v>0</v>
      </c>
      <c r="J110" s="379"/>
      <c r="K110" s="477">
        <v>272706.2</v>
      </c>
      <c r="L110" s="477">
        <v>181673605.66999999</v>
      </c>
      <c r="N110" s="121">
        <v>65866104.959999993</v>
      </c>
      <c r="P110" s="477">
        <v>108715.34</v>
      </c>
      <c r="Q110" s="121">
        <v>0</v>
      </c>
      <c r="U110" s="122">
        <v>303197.74</v>
      </c>
      <c r="V110" s="122">
        <v>4777212.83</v>
      </c>
      <c r="W110" s="122"/>
      <c r="X110" s="122">
        <v>4615379.8</v>
      </c>
      <c r="Y110" s="122"/>
      <c r="Z110" s="122">
        <v>0</v>
      </c>
      <c r="AA110" s="122">
        <v>0</v>
      </c>
    </row>
    <row r="111" spans="1:27" x14ac:dyDescent="0.25">
      <c r="A111" s="443">
        <v>17406</v>
      </c>
      <c r="B111" s="19" t="s">
        <v>29</v>
      </c>
      <c r="C111" t="s">
        <v>562</v>
      </c>
      <c r="D111" s="477"/>
      <c r="E111" s="121">
        <v>10935219.309999999</v>
      </c>
      <c r="F111" s="477">
        <v>419101.81</v>
      </c>
      <c r="G111" s="477">
        <v>24282260.309999999</v>
      </c>
      <c r="H111" s="477"/>
      <c r="I111" s="121">
        <v>0</v>
      </c>
      <c r="J111" s="379"/>
      <c r="K111" s="477">
        <v>419101.81</v>
      </c>
      <c r="L111" s="477">
        <v>24282260.309999999</v>
      </c>
      <c r="N111" s="121">
        <v>10935219.309999999</v>
      </c>
      <c r="P111" s="477"/>
      <c r="Q111" s="121">
        <v>0</v>
      </c>
      <c r="U111" s="122">
        <v>0</v>
      </c>
      <c r="V111" s="122">
        <v>688202.69000000006</v>
      </c>
      <c r="W111" s="122"/>
      <c r="X111" s="122">
        <v>189985.63</v>
      </c>
      <c r="Y111" s="122"/>
      <c r="Z111" s="122"/>
      <c r="AA111" s="122">
        <v>0</v>
      </c>
    </row>
    <row r="112" spans="1:27" x14ac:dyDescent="0.25">
      <c r="A112" s="443">
        <v>17407</v>
      </c>
      <c r="B112" s="19" t="s">
        <v>29</v>
      </c>
      <c r="C112" t="s">
        <v>462</v>
      </c>
      <c r="D112" s="477"/>
      <c r="E112" s="121">
        <v>9016806.7199999988</v>
      </c>
      <c r="F112" s="477">
        <v>0</v>
      </c>
      <c r="G112" s="477">
        <v>27682777.789999999</v>
      </c>
      <c r="H112" s="477"/>
      <c r="I112" s="121">
        <v>0</v>
      </c>
      <c r="J112" s="379"/>
      <c r="K112" s="477">
        <v>0</v>
      </c>
      <c r="L112" s="477">
        <v>27682777.789999999</v>
      </c>
      <c r="N112" s="121">
        <v>9016806.7199999988</v>
      </c>
      <c r="P112" s="477"/>
      <c r="Q112" s="121">
        <v>0</v>
      </c>
      <c r="U112" s="122">
        <v>8441.0300000000007</v>
      </c>
      <c r="V112" s="122">
        <v>648125.26</v>
      </c>
      <c r="W112" s="122"/>
      <c r="X112" s="122">
        <v>731226.8</v>
      </c>
      <c r="Y112" s="122"/>
      <c r="Z112" s="122"/>
      <c r="AA112" s="122">
        <v>0</v>
      </c>
    </row>
    <row r="113" spans="1:27" x14ac:dyDescent="0.25">
      <c r="A113" s="443">
        <v>17408</v>
      </c>
      <c r="B113" s="19" t="s">
        <v>29</v>
      </c>
      <c r="C113" t="s">
        <v>27</v>
      </c>
      <c r="D113" s="477">
        <v>61854.76</v>
      </c>
      <c r="E113" s="121">
        <v>62623850.530000001</v>
      </c>
      <c r="F113" s="477">
        <v>107079.83</v>
      </c>
      <c r="G113" s="477">
        <v>166055080.86000001</v>
      </c>
      <c r="H113" s="477"/>
      <c r="I113" s="121">
        <v>0</v>
      </c>
      <c r="J113" s="379"/>
      <c r="K113" s="477">
        <v>107079.83</v>
      </c>
      <c r="L113" s="477">
        <v>166055080.86000001</v>
      </c>
      <c r="N113" s="121">
        <v>62623850.530000001</v>
      </c>
      <c r="P113" s="477">
        <v>61854.76</v>
      </c>
      <c r="Q113" s="121">
        <v>0</v>
      </c>
      <c r="U113" s="122">
        <v>220797.18</v>
      </c>
      <c r="V113" s="122">
        <v>5945011.9900000002</v>
      </c>
      <c r="W113" s="122"/>
      <c r="X113" s="122">
        <v>3045232.87</v>
      </c>
      <c r="Y113" s="122"/>
      <c r="Z113" s="122">
        <v>0</v>
      </c>
      <c r="AA113" s="122">
        <v>0</v>
      </c>
    </row>
    <row r="114" spans="1:27" x14ac:dyDescent="0.25">
      <c r="A114" s="443">
        <v>17409</v>
      </c>
      <c r="B114" s="19" t="s">
        <v>29</v>
      </c>
      <c r="C114" t="s">
        <v>542</v>
      </c>
      <c r="D114" s="477">
        <v>62348.5</v>
      </c>
      <c r="E114" s="121">
        <v>22506339.460000001</v>
      </c>
      <c r="F114" s="477">
        <v>0</v>
      </c>
      <c r="G114" s="477">
        <v>65306973.82</v>
      </c>
      <c r="H114" s="477"/>
      <c r="I114" s="121">
        <v>0</v>
      </c>
      <c r="J114" s="379"/>
      <c r="K114" s="477">
        <v>0</v>
      </c>
      <c r="L114" s="477">
        <v>65306973.82</v>
      </c>
      <c r="N114" s="121">
        <v>22506339.460000001</v>
      </c>
      <c r="P114" s="477">
        <v>62348.5</v>
      </c>
      <c r="Q114" s="121">
        <v>0</v>
      </c>
      <c r="U114" s="122">
        <v>170612.17</v>
      </c>
      <c r="V114" s="122">
        <v>1551059.71</v>
      </c>
      <c r="W114" s="122"/>
      <c r="X114" s="122">
        <v>2299811.4300000002</v>
      </c>
      <c r="Y114" s="122"/>
      <c r="Z114" s="122">
        <v>0</v>
      </c>
      <c r="AA114" s="122">
        <v>0</v>
      </c>
    </row>
    <row r="115" spans="1:27" x14ac:dyDescent="0.25">
      <c r="A115" s="443">
        <v>17410</v>
      </c>
      <c r="B115" s="19" t="s">
        <v>29</v>
      </c>
      <c r="C115" t="s">
        <v>500</v>
      </c>
      <c r="D115" s="477">
        <v>20104.43</v>
      </c>
      <c r="E115" s="121">
        <v>15374416.6</v>
      </c>
      <c r="F115" s="477"/>
      <c r="G115" s="477">
        <v>57049236.030000001</v>
      </c>
      <c r="H115" s="477"/>
      <c r="I115" s="121">
        <v>0</v>
      </c>
      <c r="J115" s="379"/>
      <c r="K115" s="477"/>
      <c r="L115" s="477">
        <v>57049236.030000001</v>
      </c>
      <c r="N115" s="121">
        <v>15374416.6</v>
      </c>
      <c r="P115" s="477">
        <v>20104.43</v>
      </c>
      <c r="Q115" s="121">
        <v>0</v>
      </c>
      <c r="U115" s="122"/>
      <c r="V115" s="122">
        <v>1390972.3900000001</v>
      </c>
      <c r="W115" s="122"/>
      <c r="X115" s="122">
        <v>1169283.71</v>
      </c>
      <c r="Y115" s="122"/>
      <c r="Z115" s="122">
        <v>0</v>
      </c>
      <c r="AA115" s="122">
        <v>0</v>
      </c>
    </row>
    <row r="116" spans="1:27" x14ac:dyDescent="0.25">
      <c r="A116" s="443">
        <v>17411</v>
      </c>
      <c r="B116" s="19" t="s">
        <v>29</v>
      </c>
      <c r="C116" t="s">
        <v>230</v>
      </c>
      <c r="D116" s="477"/>
      <c r="E116" s="121">
        <v>58329822.989999995</v>
      </c>
      <c r="F116" s="477">
        <v>0</v>
      </c>
      <c r="G116" s="477">
        <v>158936435.09</v>
      </c>
      <c r="H116" s="477"/>
      <c r="I116" s="121">
        <v>0</v>
      </c>
      <c r="J116" s="379"/>
      <c r="K116" s="477">
        <v>0</v>
      </c>
      <c r="L116" s="477">
        <v>158936435.09</v>
      </c>
      <c r="N116" s="121">
        <v>58329822.989999995</v>
      </c>
      <c r="P116" s="477"/>
      <c r="Q116" s="121">
        <v>0</v>
      </c>
      <c r="U116" s="122">
        <v>122051.87</v>
      </c>
      <c r="V116" s="122">
        <v>4903082.43</v>
      </c>
      <c r="W116" s="122"/>
      <c r="X116" s="122">
        <v>3423869.56</v>
      </c>
      <c r="Y116" s="122"/>
      <c r="Z116" s="122"/>
      <c r="AA116" s="122">
        <v>0</v>
      </c>
    </row>
    <row r="117" spans="1:27" x14ac:dyDescent="0.25">
      <c r="A117" s="443">
        <v>17412</v>
      </c>
      <c r="B117" s="19" t="s">
        <v>29</v>
      </c>
      <c r="C117" t="s">
        <v>492</v>
      </c>
      <c r="D117" s="477">
        <v>322441.01</v>
      </c>
      <c r="E117" s="121">
        <v>27998626.129999999</v>
      </c>
      <c r="F117" s="477">
        <v>138036.51999999999</v>
      </c>
      <c r="G117" s="477">
        <v>78964490.760000005</v>
      </c>
      <c r="H117" s="477"/>
      <c r="I117" s="121">
        <v>0</v>
      </c>
      <c r="J117" s="379"/>
      <c r="K117" s="477">
        <v>138036.51999999999</v>
      </c>
      <c r="L117" s="477">
        <v>78964490.760000005</v>
      </c>
      <c r="N117" s="121">
        <v>27998626.129999999</v>
      </c>
      <c r="P117" s="477">
        <v>322441.01</v>
      </c>
      <c r="Q117" s="121">
        <v>0</v>
      </c>
      <c r="U117" s="122">
        <v>149487.20000000001</v>
      </c>
      <c r="V117" s="122">
        <v>2255002.58</v>
      </c>
      <c r="W117" s="122"/>
      <c r="X117" s="122">
        <v>2253528.9700000002</v>
      </c>
      <c r="Y117" s="122"/>
      <c r="Z117" s="122">
        <v>0</v>
      </c>
      <c r="AA117" s="122">
        <v>0</v>
      </c>
    </row>
    <row r="118" spans="1:27" x14ac:dyDescent="0.25">
      <c r="A118" s="443">
        <v>17414</v>
      </c>
      <c r="B118" s="19" t="s">
        <v>29</v>
      </c>
      <c r="C118" t="s">
        <v>262</v>
      </c>
      <c r="D118" s="477">
        <v>35415.19</v>
      </c>
      <c r="E118" s="121">
        <v>80424087.569999993</v>
      </c>
      <c r="F118" s="477">
        <v>33353.800000000003</v>
      </c>
      <c r="G118" s="477">
        <v>255883535.88</v>
      </c>
      <c r="H118" s="477"/>
      <c r="I118" s="121">
        <v>0</v>
      </c>
      <c r="J118" s="379"/>
      <c r="K118" s="477">
        <v>33353.800000000003</v>
      </c>
      <c r="L118" s="477">
        <v>255883535.88</v>
      </c>
      <c r="N118" s="121">
        <v>80424087.569999993</v>
      </c>
      <c r="P118" s="477">
        <v>35415.19</v>
      </c>
      <c r="Q118" s="121">
        <v>0</v>
      </c>
      <c r="U118" s="122">
        <v>220214.31</v>
      </c>
      <c r="V118" s="122">
        <v>5974079.4299999997</v>
      </c>
      <c r="W118" s="122"/>
      <c r="X118" s="122">
        <v>4124095.83</v>
      </c>
      <c r="Y118" s="122"/>
      <c r="Z118" s="122">
        <v>0</v>
      </c>
      <c r="AA118" s="122">
        <v>0</v>
      </c>
    </row>
    <row r="119" spans="1:27" x14ac:dyDescent="0.25">
      <c r="A119" s="443">
        <v>17415</v>
      </c>
      <c r="B119" s="19" t="s">
        <v>29</v>
      </c>
      <c r="C119" t="s">
        <v>242</v>
      </c>
      <c r="D119" s="477">
        <v>98795.49</v>
      </c>
      <c r="E119" s="121">
        <v>78280824.99000001</v>
      </c>
      <c r="F119" s="477">
        <v>0</v>
      </c>
      <c r="G119" s="477">
        <v>227013504.74000001</v>
      </c>
      <c r="H119" s="477"/>
      <c r="I119" s="121">
        <v>0</v>
      </c>
      <c r="J119" s="379"/>
      <c r="K119" s="477">
        <v>0</v>
      </c>
      <c r="L119" s="477">
        <v>227013504.74000001</v>
      </c>
      <c r="N119" s="121">
        <v>78280824.99000001</v>
      </c>
      <c r="P119" s="477">
        <v>98795.49</v>
      </c>
      <c r="Q119" s="121">
        <v>0</v>
      </c>
      <c r="U119" s="122">
        <v>58432.61</v>
      </c>
      <c r="V119" s="122">
        <v>5377630.3200000003</v>
      </c>
      <c r="W119" s="122"/>
      <c r="X119" s="122">
        <v>3853742.83</v>
      </c>
      <c r="Y119" s="122"/>
      <c r="Z119" s="122">
        <v>0</v>
      </c>
      <c r="AA119" s="122">
        <v>0</v>
      </c>
    </row>
    <row r="120" spans="1:27" x14ac:dyDescent="0.25">
      <c r="A120" s="443">
        <v>17417</v>
      </c>
      <c r="B120" s="19" t="s">
        <v>29</v>
      </c>
      <c r="C120" t="s">
        <v>360</v>
      </c>
      <c r="D120" s="477">
        <v>71832.81</v>
      </c>
      <c r="E120" s="121">
        <v>78311989.5</v>
      </c>
      <c r="F120" s="477">
        <v>525</v>
      </c>
      <c r="G120" s="477">
        <v>194240611.93000001</v>
      </c>
      <c r="H120" s="477"/>
      <c r="I120" s="121">
        <v>0</v>
      </c>
      <c r="J120" s="379"/>
      <c r="K120" s="477">
        <v>525</v>
      </c>
      <c r="L120" s="477">
        <v>194240611.93000001</v>
      </c>
      <c r="N120" s="121">
        <v>78311989.5</v>
      </c>
      <c r="P120" s="477">
        <v>71832.81</v>
      </c>
      <c r="Q120" s="121">
        <v>0</v>
      </c>
      <c r="U120" s="122">
        <v>227951.62</v>
      </c>
      <c r="V120" s="122">
        <v>5372487.0700000003</v>
      </c>
      <c r="W120" s="122"/>
      <c r="X120" s="122">
        <v>7800866.29</v>
      </c>
      <c r="Y120" s="122"/>
      <c r="Z120" s="122">
        <v>0</v>
      </c>
      <c r="AA120" s="122">
        <v>0</v>
      </c>
    </row>
    <row r="121" spans="1:27" x14ac:dyDescent="0.25">
      <c r="A121" s="443">
        <v>17801</v>
      </c>
      <c r="B121" s="19">
        <v>121</v>
      </c>
      <c r="C121" t="s">
        <v>428</v>
      </c>
      <c r="D121" s="477"/>
      <c r="E121" s="121">
        <v>30117189.43</v>
      </c>
      <c r="F121" s="477"/>
      <c r="G121" s="477">
        <v>811024.24</v>
      </c>
      <c r="H121" s="477"/>
      <c r="I121" s="121">
        <v>0</v>
      </c>
      <c r="J121" s="379"/>
      <c r="K121" s="477"/>
      <c r="L121" s="477">
        <v>811024.24</v>
      </c>
      <c r="N121" s="121">
        <v>30117189.43</v>
      </c>
      <c r="P121" s="477"/>
      <c r="Q121" s="121">
        <v>0</v>
      </c>
      <c r="U121" s="122"/>
      <c r="V121" s="122">
        <v>0</v>
      </c>
      <c r="W121" s="122"/>
      <c r="X121" s="122">
        <v>515018.72</v>
      </c>
      <c r="Y121" s="122"/>
      <c r="Z121" s="122"/>
      <c r="AA121" s="122">
        <v>0</v>
      </c>
    </row>
    <row r="122" spans="1:27" x14ac:dyDescent="0.25">
      <c r="A122" s="443">
        <v>17902</v>
      </c>
      <c r="B122" s="19" t="s">
        <v>1039</v>
      </c>
      <c r="C122" t="s">
        <v>1083</v>
      </c>
      <c r="D122" s="477"/>
      <c r="E122" s="121">
        <v>1513356.31</v>
      </c>
      <c r="F122" s="477"/>
      <c r="G122" s="477">
        <v>6350572.9100000001</v>
      </c>
      <c r="H122" s="477"/>
      <c r="I122" s="121">
        <v>0</v>
      </c>
      <c r="J122" s="379"/>
      <c r="K122" s="477"/>
      <c r="L122" s="477">
        <v>6350572.9100000001</v>
      </c>
      <c r="N122" s="121">
        <v>1513356.31</v>
      </c>
      <c r="P122" s="477"/>
      <c r="Q122" s="121">
        <v>0</v>
      </c>
      <c r="U122" s="122"/>
      <c r="V122" s="122">
        <v>0</v>
      </c>
      <c r="W122" s="122"/>
      <c r="X122" s="122">
        <v>0</v>
      </c>
      <c r="Y122" s="122"/>
      <c r="Z122" s="122"/>
      <c r="AA122" s="122">
        <v>0</v>
      </c>
    </row>
    <row r="123" spans="1:27" x14ac:dyDescent="0.25">
      <c r="A123" s="443">
        <v>17908</v>
      </c>
      <c r="B123" s="19" t="s">
        <v>1039</v>
      </c>
      <c r="C123" t="s">
        <v>1032</v>
      </c>
      <c r="D123" s="477"/>
      <c r="E123" s="121">
        <v>713080.63</v>
      </c>
      <c r="F123" s="477"/>
      <c r="G123" s="477">
        <v>2576067.67</v>
      </c>
      <c r="H123" s="477"/>
      <c r="I123" s="121">
        <v>0</v>
      </c>
      <c r="J123" s="379"/>
      <c r="K123" s="477"/>
      <c r="L123" s="477">
        <v>2576067.67</v>
      </c>
      <c r="N123" s="121">
        <v>713080.63</v>
      </c>
      <c r="P123" s="477"/>
      <c r="Q123" s="121">
        <v>0</v>
      </c>
      <c r="U123" s="122"/>
      <c r="V123" s="122">
        <v>0</v>
      </c>
      <c r="W123" s="122"/>
      <c r="X123" s="122">
        <v>0</v>
      </c>
      <c r="Y123" s="122"/>
      <c r="Z123" s="122"/>
      <c r="AA123" s="122">
        <v>0</v>
      </c>
    </row>
    <row r="124" spans="1:27" x14ac:dyDescent="0.25">
      <c r="A124" s="443">
        <v>17911</v>
      </c>
      <c r="B124" s="19" t="s">
        <v>1039</v>
      </c>
      <c r="C124" t="s">
        <v>1116</v>
      </c>
      <c r="D124" s="477"/>
      <c r="E124" s="121">
        <v>3599338.9</v>
      </c>
      <c r="F124" s="477"/>
      <c r="G124" s="477">
        <v>6755312.25</v>
      </c>
      <c r="H124" s="477"/>
      <c r="I124" s="121">
        <v>0</v>
      </c>
      <c r="J124" s="379"/>
      <c r="K124" s="477"/>
      <c r="L124" s="477">
        <v>6755312.25</v>
      </c>
      <c r="N124" s="121">
        <v>3599338.9</v>
      </c>
      <c r="P124" s="477"/>
      <c r="Q124" s="121">
        <v>0</v>
      </c>
      <c r="U124" s="122"/>
      <c r="V124" s="122">
        <v>0</v>
      </c>
      <c r="W124" s="122"/>
      <c r="X124" s="122">
        <v>0</v>
      </c>
      <c r="Y124" s="122"/>
      <c r="Z124" s="122"/>
      <c r="AA124" s="122">
        <v>0</v>
      </c>
    </row>
    <row r="125" spans="1:27" x14ac:dyDescent="0.25">
      <c r="A125" s="447">
        <v>17917</v>
      </c>
      <c r="B125" s="19" t="s">
        <v>1039</v>
      </c>
      <c r="C125" t="s">
        <v>1180</v>
      </c>
      <c r="D125" s="477"/>
      <c r="E125" s="121">
        <v>425747.33</v>
      </c>
      <c r="F125" s="477"/>
      <c r="G125" s="477">
        <v>1001393.1</v>
      </c>
      <c r="H125" s="477"/>
      <c r="I125" s="121">
        <v>0</v>
      </c>
      <c r="J125" s="379"/>
      <c r="K125" s="477"/>
      <c r="L125" s="477">
        <v>1001393.1</v>
      </c>
      <c r="N125" s="121">
        <v>425747.33</v>
      </c>
      <c r="P125" s="477"/>
      <c r="Q125" s="121">
        <v>0</v>
      </c>
      <c r="U125" s="122"/>
      <c r="V125" s="122">
        <v>43307.520000000004</v>
      </c>
      <c r="W125" s="122"/>
      <c r="X125" s="122">
        <v>11803.82</v>
      </c>
      <c r="Y125" s="122"/>
      <c r="Z125" s="122"/>
      <c r="AA125" s="122">
        <v>0</v>
      </c>
    </row>
    <row r="126" spans="1:27" x14ac:dyDescent="0.25">
      <c r="A126" s="443">
        <v>18100</v>
      </c>
      <c r="B126" s="19" t="s">
        <v>52</v>
      </c>
      <c r="C126" t="s">
        <v>50</v>
      </c>
      <c r="D126" s="477">
        <v>201971.47</v>
      </c>
      <c r="E126" s="121">
        <v>14918488.109999999</v>
      </c>
      <c r="F126" s="477">
        <v>0</v>
      </c>
      <c r="G126" s="477">
        <v>39779601.259999998</v>
      </c>
      <c r="H126" s="477"/>
      <c r="I126" s="121">
        <v>0</v>
      </c>
      <c r="J126" s="379"/>
      <c r="K126" s="477">
        <v>0</v>
      </c>
      <c r="L126" s="477">
        <v>39779601.259999998</v>
      </c>
      <c r="N126" s="121">
        <v>14918488.109999999</v>
      </c>
      <c r="P126" s="477">
        <v>201971.47</v>
      </c>
      <c r="Q126" s="121">
        <v>0</v>
      </c>
      <c r="U126" s="122">
        <v>72019.28</v>
      </c>
      <c r="V126" s="122">
        <v>980550.94000000006</v>
      </c>
      <c r="W126" s="122"/>
      <c r="X126" s="122">
        <v>831575.94</v>
      </c>
      <c r="Y126" s="122"/>
      <c r="Z126" s="122">
        <v>0</v>
      </c>
      <c r="AA126" s="122">
        <v>0</v>
      </c>
    </row>
    <row r="127" spans="1:27" x14ac:dyDescent="0.25">
      <c r="A127" s="443">
        <v>18303</v>
      </c>
      <c r="B127" s="19" t="s">
        <v>29</v>
      </c>
      <c r="C127" t="s">
        <v>30</v>
      </c>
      <c r="D127" s="477"/>
      <c r="E127" s="121">
        <v>11235462.43</v>
      </c>
      <c r="F127" s="477">
        <v>0</v>
      </c>
      <c r="G127" s="477">
        <v>29170339.910000004</v>
      </c>
      <c r="H127" s="477"/>
      <c r="I127" s="121">
        <v>0</v>
      </c>
      <c r="J127" s="379"/>
      <c r="K127" s="477">
        <v>0</v>
      </c>
      <c r="L127" s="477">
        <v>29170339.910000004</v>
      </c>
      <c r="N127" s="121">
        <v>11235462.43</v>
      </c>
      <c r="P127" s="477"/>
      <c r="Q127" s="121">
        <v>0</v>
      </c>
      <c r="U127" s="122">
        <v>7099.67</v>
      </c>
      <c r="V127" s="122">
        <v>778931.5</v>
      </c>
      <c r="W127" s="122"/>
      <c r="X127" s="122">
        <v>1480429.3499999999</v>
      </c>
      <c r="Y127" s="122"/>
      <c r="Z127" s="122"/>
      <c r="AA127" s="122">
        <v>0</v>
      </c>
    </row>
    <row r="128" spans="1:27" x14ac:dyDescent="0.25">
      <c r="A128" s="443">
        <v>18400</v>
      </c>
      <c r="B128" s="19" t="s">
        <v>52</v>
      </c>
      <c r="C128" t="s">
        <v>348</v>
      </c>
      <c r="D128" s="477">
        <v>54919.360000000001</v>
      </c>
      <c r="E128" s="121">
        <v>18904188.120000001</v>
      </c>
      <c r="F128" s="477">
        <v>0</v>
      </c>
      <c r="G128" s="477">
        <v>40840059.75</v>
      </c>
      <c r="H128" s="477"/>
      <c r="I128" s="121">
        <v>0</v>
      </c>
      <c r="J128" s="379"/>
      <c r="K128" s="477">
        <v>0</v>
      </c>
      <c r="L128" s="477">
        <v>40840059.75</v>
      </c>
      <c r="N128" s="121">
        <v>18904188.120000001</v>
      </c>
      <c r="P128" s="477">
        <v>54919.360000000001</v>
      </c>
      <c r="Q128" s="121">
        <v>0</v>
      </c>
      <c r="U128" s="122">
        <v>76549.460000000006</v>
      </c>
      <c r="V128" s="122">
        <v>1170947.4000000001</v>
      </c>
      <c r="W128" s="122"/>
      <c r="X128" s="122">
        <v>1563966.94</v>
      </c>
      <c r="Y128" s="122"/>
      <c r="Z128" s="122">
        <v>0</v>
      </c>
      <c r="AA128" s="122">
        <v>0</v>
      </c>
    </row>
    <row r="129" spans="1:27" x14ac:dyDescent="0.25">
      <c r="A129" s="443">
        <v>18401</v>
      </c>
      <c r="B129" s="19" t="s">
        <v>52</v>
      </c>
      <c r="C129" t="s">
        <v>76</v>
      </c>
      <c r="D129" s="477">
        <v>29287.98</v>
      </c>
      <c r="E129" s="121">
        <v>32141524.960000001</v>
      </c>
      <c r="F129" s="477">
        <v>127535.08</v>
      </c>
      <c r="G129" s="477">
        <v>84987423.450000003</v>
      </c>
      <c r="H129" s="477"/>
      <c r="I129" s="121">
        <v>0</v>
      </c>
      <c r="J129" s="379"/>
      <c r="K129" s="477">
        <v>127535.08</v>
      </c>
      <c r="L129" s="477">
        <v>84987423.450000003</v>
      </c>
      <c r="N129" s="121">
        <v>32141524.960000001</v>
      </c>
      <c r="P129" s="477">
        <v>29287.98</v>
      </c>
      <c r="Q129" s="121">
        <v>0</v>
      </c>
      <c r="U129" s="122">
        <v>48507.85</v>
      </c>
      <c r="V129" s="122">
        <v>2369689.7000000002</v>
      </c>
      <c r="W129" s="122"/>
      <c r="X129" s="122">
        <v>1724032.06</v>
      </c>
      <c r="Y129" s="122"/>
      <c r="Z129" s="122">
        <v>0</v>
      </c>
      <c r="AA129" s="122">
        <v>0</v>
      </c>
    </row>
    <row r="130" spans="1:27" x14ac:dyDescent="0.25">
      <c r="A130" s="443">
        <v>18402</v>
      </c>
      <c r="B130" s="19" t="s">
        <v>52</v>
      </c>
      <c r="C130" t="s">
        <v>506</v>
      </c>
      <c r="D130" s="477">
        <v>59531.43</v>
      </c>
      <c r="E130" s="121">
        <v>28473880.93</v>
      </c>
      <c r="F130" s="477">
        <v>0</v>
      </c>
      <c r="G130" s="477">
        <v>72763307.960000008</v>
      </c>
      <c r="H130" s="477"/>
      <c r="I130" s="121">
        <v>0</v>
      </c>
      <c r="J130" s="379"/>
      <c r="K130" s="477">
        <v>0</v>
      </c>
      <c r="L130" s="477">
        <v>72763307.960000008</v>
      </c>
      <c r="N130" s="121">
        <v>28473880.93</v>
      </c>
      <c r="P130" s="477">
        <v>59531.43</v>
      </c>
      <c r="Q130" s="121">
        <v>0</v>
      </c>
      <c r="U130" s="122">
        <v>82361.13</v>
      </c>
      <c r="V130" s="122">
        <v>2507822.35</v>
      </c>
      <c r="W130" s="122"/>
      <c r="X130" s="122">
        <v>1879472.18</v>
      </c>
      <c r="Y130" s="122"/>
      <c r="Z130" s="122">
        <v>0</v>
      </c>
      <c r="AA130" s="122">
        <v>0</v>
      </c>
    </row>
    <row r="131" spans="1:27" x14ac:dyDescent="0.25">
      <c r="A131" s="443">
        <v>18801</v>
      </c>
      <c r="B131" s="19">
        <v>114</v>
      </c>
      <c r="C131" t="s">
        <v>380</v>
      </c>
      <c r="D131" s="477"/>
      <c r="E131" s="121">
        <v>10104273.870000001</v>
      </c>
      <c r="F131" s="477"/>
      <c r="G131" s="477">
        <v>5677329.9500000002</v>
      </c>
      <c r="H131" s="477"/>
      <c r="I131" s="121">
        <v>0</v>
      </c>
      <c r="J131" s="379"/>
      <c r="K131" s="477"/>
      <c r="L131" s="477">
        <v>5677329.9500000002</v>
      </c>
      <c r="N131" s="121">
        <v>10104273.870000001</v>
      </c>
      <c r="P131" s="477"/>
      <c r="Q131" s="121">
        <v>0</v>
      </c>
      <c r="U131" s="122"/>
      <c r="V131" s="122">
        <v>0</v>
      </c>
      <c r="W131" s="122"/>
      <c r="X131" s="122">
        <v>272621.31</v>
      </c>
      <c r="Y131" s="122"/>
      <c r="Z131" s="122"/>
      <c r="AA131" s="122">
        <v>0</v>
      </c>
    </row>
    <row r="132" spans="1:27" x14ac:dyDescent="0.25">
      <c r="A132" s="443">
        <v>18901</v>
      </c>
      <c r="B132" s="19" t="s">
        <v>1039</v>
      </c>
      <c r="C132" t="s">
        <v>1175</v>
      </c>
      <c r="D132" s="477"/>
      <c r="E132" s="121">
        <v>1180976.07</v>
      </c>
      <c r="F132" s="477"/>
      <c r="G132" s="477">
        <v>2578585.7199999997</v>
      </c>
      <c r="H132" s="477"/>
      <c r="I132" s="121">
        <v>0</v>
      </c>
      <c r="J132" s="379"/>
      <c r="K132" s="477"/>
      <c r="L132" s="477">
        <v>2578585.7199999997</v>
      </c>
      <c r="N132" s="121">
        <v>1180976.07</v>
      </c>
      <c r="P132" s="477"/>
      <c r="Q132" s="121">
        <v>0</v>
      </c>
      <c r="U132" s="122"/>
      <c r="V132" s="122">
        <v>0</v>
      </c>
      <c r="W132" s="122"/>
      <c r="X132" s="122">
        <v>244.57</v>
      </c>
      <c r="Y132" s="122"/>
      <c r="Z132" s="122"/>
      <c r="AA132" s="122">
        <v>0</v>
      </c>
    </row>
    <row r="133" spans="1:27" x14ac:dyDescent="0.25">
      <c r="A133" s="443">
        <v>19007</v>
      </c>
      <c r="B133" s="19" t="s">
        <v>45</v>
      </c>
      <c r="C133" t="s">
        <v>126</v>
      </c>
      <c r="D133" s="477"/>
      <c r="E133" s="121">
        <v>55518.99</v>
      </c>
      <c r="F133" s="477"/>
      <c r="G133" s="477">
        <v>251425.1</v>
      </c>
      <c r="H133" s="477"/>
      <c r="I133" s="121">
        <v>0</v>
      </c>
      <c r="J133" s="379"/>
      <c r="K133" s="477"/>
      <c r="L133" s="477">
        <v>251425.1</v>
      </c>
      <c r="N133" s="121">
        <v>55518.99</v>
      </c>
      <c r="P133" s="477"/>
      <c r="Q133" s="121">
        <v>0</v>
      </c>
      <c r="U133" s="122"/>
      <c r="V133" s="122">
        <v>0</v>
      </c>
      <c r="W133" s="122"/>
      <c r="X133" s="122">
        <v>0</v>
      </c>
      <c r="Y133" s="122"/>
      <c r="Z133" s="122"/>
      <c r="AA133" s="122">
        <v>0</v>
      </c>
    </row>
    <row r="134" spans="1:27" x14ac:dyDescent="0.25">
      <c r="A134" s="443">
        <v>19028</v>
      </c>
      <c r="B134" s="19" t="s">
        <v>45</v>
      </c>
      <c r="C134" t="s">
        <v>146</v>
      </c>
      <c r="D134" s="477"/>
      <c r="E134" s="121">
        <v>464471.45</v>
      </c>
      <c r="F134" s="477"/>
      <c r="G134" s="477">
        <v>915040.55</v>
      </c>
      <c r="H134" s="477"/>
      <c r="I134" s="121">
        <v>0</v>
      </c>
      <c r="J134" s="379"/>
      <c r="K134" s="477"/>
      <c r="L134" s="477">
        <v>915040.55</v>
      </c>
      <c r="N134" s="121">
        <v>464471.45</v>
      </c>
      <c r="P134" s="477"/>
      <c r="Q134" s="121">
        <v>0</v>
      </c>
      <c r="U134" s="122"/>
      <c r="V134" s="122">
        <v>23563.65</v>
      </c>
      <c r="W134" s="122"/>
      <c r="X134" s="122">
        <v>59026.7</v>
      </c>
      <c r="Y134" s="122"/>
      <c r="Z134" s="122"/>
      <c r="AA134" s="122">
        <v>0</v>
      </c>
    </row>
    <row r="135" spans="1:27" x14ac:dyDescent="0.25">
      <c r="A135" s="443">
        <v>19400</v>
      </c>
      <c r="B135" s="19" t="s">
        <v>45</v>
      </c>
      <c r="C135" t="s">
        <v>548</v>
      </c>
      <c r="D135" s="477"/>
      <c r="E135" s="121">
        <v>919531.77</v>
      </c>
      <c r="F135" s="477"/>
      <c r="G135" s="477">
        <v>2277505.9300000002</v>
      </c>
      <c r="H135" s="477"/>
      <c r="I135" s="121">
        <v>0</v>
      </c>
      <c r="J135" s="379"/>
      <c r="K135" s="477"/>
      <c r="L135" s="477">
        <v>2277505.9300000002</v>
      </c>
      <c r="N135" s="121">
        <v>919531.77</v>
      </c>
      <c r="P135" s="477"/>
      <c r="Q135" s="121">
        <v>0</v>
      </c>
      <c r="U135" s="122"/>
      <c r="V135" s="122">
        <v>27644.32</v>
      </c>
      <c r="W135" s="122"/>
      <c r="X135" s="122">
        <v>158182.78</v>
      </c>
      <c r="Y135" s="122"/>
      <c r="Z135" s="122"/>
      <c r="AA135" s="122">
        <v>0</v>
      </c>
    </row>
    <row r="136" spans="1:27" x14ac:dyDescent="0.25">
      <c r="A136" s="443">
        <v>19401</v>
      </c>
      <c r="B136" s="19" t="s">
        <v>45</v>
      </c>
      <c r="C136" t="s">
        <v>160</v>
      </c>
      <c r="D136" s="477">
        <v>107668.67</v>
      </c>
      <c r="E136" s="121">
        <v>7535161.7000000002</v>
      </c>
      <c r="F136" s="477">
        <v>117516.16</v>
      </c>
      <c r="G136" s="477">
        <v>23353585.16</v>
      </c>
      <c r="H136" s="477"/>
      <c r="I136" s="121">
        <v>0</v>
      </c>
      <c r="J136" s="379"/>
      <c r="K136" s="477">
        <v>117516.16</v>
      </c>
      <c r="L136" s="477">
        <v>23353585.16</v>
      </c>
      <c r="N136" s="121">
        <v>7535161.7000000002</v>
      </c>
      <c r="P136" s="477">
        <v>107668.67</v>
      </c>
      <c r="Q136" s="121">
        <v>0</v>
      </c>
      <c r="U136" s="122">
        <v>79386.59</v>
      </c>
      <c r="V136" s="122">
        <v>628546.78</v>
      </c>
      <c r="W136" s="122"/>
      <c r="X136" s="122">
        <v>938446.88</v>
      </c>
      <c r="Y136" s="122"/>
      <c r="Z136" s="122">
        <v>0</v>
      </c>
      <c r="AA136" s="122">
        <v>0</v>
      </c>
    </row>
    <row r="137" spans="1:27" x14ac:dyDescent="0.25">
      <c r="A137" s="443">
        <v>19403</v>
      </c>
      <c r="B137" s="19" t="s">
        <v>45</v>
      </c>
      <c r="C137" t="s">
        <v>248</v>
      </c>
      <c r="D137" s="477"/>
      <c r="E137" s="121">
        <v>1755367.46</v>
      </c>
      <c r="F137" s="477">
        <v>0</v>
      </c>
      <c r="G137" s="477">
        <v>3326447.84</v>
      </c>
      <c r="H137" s="477"/>
      <c r="I137" s="121">
        <v>0</v>
      </c>
      <c r="J137" s="379"/>
      <c r="K137" s="477">
        <v>0</v>
      </c>
      <c r="L137" s="477">
        <v>3326447.84</v>
      </c>
      <c r="N137" s="121">
        <v>1755367.46</v>
      </c>
      <c r="P137" s="477"/>
      <c r="Q137" s="121">
        <v>0</v>
      </c>
      <c r="U137" s="122">
        <v>51023.32</v>
      </c>
      <c r="V137" s="122">
        <v>72116.460000000006</v>
      </c>
      <c r="W137" s="122"/>
      <c r="X137" s="122">
        <v>17049.86</v>
      </c>
      <c r="Y137" s="122"/>
      <c r="Z137" s="122"/>
      <c r="AA137" s="122">
        <v>0</v>
      </c>
    </row>
    <row r="138" spans="1:27" x14ac:dyDescent="0.25">
      <c r="A138" s="443">
        <v>19404</v>
      </c>
      <c r="B138" s="19" t="s">
        <v>45</v>
      </c>
      <c r="C138" t="s">
        <v>92</v>
      </c>
      <c r="D138" s="477"/>
      <c r="E138" s="121">
        <v>3054358.23</v>
      </c>
      <c r="F138" s="477">
        <v>0</v>
      </c>
      <c r="G138" s="477">
        <v>6973151.4500000002</v>
      </c>
      <c r="H138" s="477"/>
      <c r="I138" s="121">
        <v>0</v>
      </c>
      <c r="J138" s="379"/>
      <c r="K138" s="477">
        <v>0</v>
      </c>
      <c r="L138" s="477">
        <v>6973151.4500000002</v>
      </c>
      <c r="N138" s="121">
        <v>3054358.23</v>
      </c>
      <c r="P138" s="477"/>
      <c r="Q138" s="121">
        <v>0</v>
      </c>
      <c r="U138" s="122">
        <v>32780</v>
      </c>
      <c r="V138" s="122">
        <v>199399.84</v>
      </c>
      <c r="W138" s="122"/>
      <c r="X138" s="122">
        <v>162606.89000000001</v>
      </c>
      <c r="Y138" s="122"/>
      <c r="Z138" s="122"/>
      <c r="AA138" s="122">
        <v>0</v>
      </c>
    </row>
    <row r="139" spans="1:27" x14ac:dyDescent="0.25">
      <c r="A139" s="443">
        <v>20094</v>
      </c>
      <c r="B139" s="19" t="s">
        <v>34</v>
      </c>
      <c r="C139" t="s">
        <v>618</v>
      </c>
      <c r="D139" s="477"/>
      <c r="E139" s="121">
        <v>490899.15</v>
      </c>
      <c r="F139" s="477"/>
      <c r="G139" s="477">
        <v>767876.56</v>
      </c>
      <c r="H139" s="477"/>
      <c r="I139" s="121">
        <v>0</v>
      </c>
      <c r="J139" s="379"/>
      <c r="K139" s="477"/>
      <c r="L139" s="477">
        <v>767876.56</v>
      </c>
      <c r="N139" s="121">
        <v>490899.15</v>
      </c>
      <c r="P139" s="477"/>
      <c r="Q139" s="121">
        <v>0</v>
      </c>
      <c r="U139" s="122"/>
      <c r="V139" s="122">
        <v>22295.02</v>
      </c>
      <c r="W139" s="122"/>
      <c r="X139" s="122">
        <v>48557.279999999999</v>
      </c>
      <c r="Y139" s="122"/>
      <c r="Z139" s="122"/>
      <c r="AA139" s="122">
        <v>0</v>
      </c>
    </row>
    <row r="140" spans="1:27" x14ac:dyDescent="0.25">
      <c r="A140" s="443">
        <v>20203</v>
      </c>
      <c r="B140" s="19" t="s">
        <v>45</v>
      </c>
      <c r="C140" t="s">
        <v>43</v>
      </c>
      <c r="D140" s="477"/>
      <c r="E140" s="121">
        <v>230219.06</v>
      </c>
      <c r="F140" s="477"/>
      <c r="G140" s="477">
        <v>1305477.56</v>
      </c>
      <c r="H140" s="477"/>
      <c r="I140" s="121">
        <v>0</v>
      </c>
      <c r="J140" s="379"/>
      <c r="K140" s="477"/>
      <c r="L140" s="477">
        <v>1305477.56</v>
      </c>
      <c r="N140" s="121">
        <v>230219.06</v>
      </c>
      <c r="P140" s="477"/>
      <c r="Q140" s="121">
        <v>0</v>
      </c>
      <c r="U140" s="122"/>
      <c r="V140" s="122">
        <v>9493.67</v>
      </c>
      <c r="W140" s="122"/>
      <c r="X140" s="122">
        <v>52800.05</v>
      </c>
      <c r="Y140" s="122"/>
      <c r="Z140" s="122"/>
      <c r="AA140" s="122">
        <v>0</v>
      </c>
    </row>
    <row r="141" spans="1:27" x14ac:dyDescent="0.25">
      <c r="A141" s="443">
        <v>20215</v>
      </c>
      <c r="B141" s="19" t="s">
        <v>34</v>
      </c>
      <c r="C141" t="s">
        <v>74</v>
      </c>
      <c r="D141" s="477"/>
      <c r="E141" s="121">
        <v>308399.69</v>
      </c>
      <c r="F141" s="477">
        <v>0</v>
      </c>
      <c r="G141" s="477">
        <v>534350.02</v>
      </c>
      <c r="H141" s="477"/>
      <c r="I141" s="121">
        <v>0</v>
      </c>
      <c r="J141" s="379"/>
      <c r="K141" s="477">
        <v>0</v>
      </c>
      <c r="L141" s="477">
        <v>534350.02</v>
      </c>
      <c r="N141" s="121">
        <v>308399.69</v>
      </c>
      <c r="P141" s="477"/>
      <c r="Q141" s="121">
        <v>0</v>
      </c>
      <c r="U141" s="122">
        <v>31351.41</v>
      </c>
      <c r="V141" s="122">
        <v>10359.5</v>
      </c>
      <c r="W141" s="122"/>
      <c r="X141" s="122">
        <v>24397.879999999997</v>
      </c>
      <c r="Y141" s="122"/>
      <c r="Z141" s="122"/>
      <c r="AA141" s="122">
        <v>0</v>
      </c>
    </row>
    <row r="142" spans="1:27" x14ac:dyDescent="0.25">
      <c r="A142" s="443">
        <v>20400</v>
      </c>
      <c r="B142" s="19" t="s">
        <v>34</v>
      </c>
      <c r="C142" t="s">
        <v>560</v>
      </c>
      <c r="D142" s="477"/>
      <c r="E142" s="121">
        <v>524705.18999999994</v>
      </c>
      <c r="F142" s="477"/>
      <c r="G142" s="477">
        <v>1520809.6400000001</v>
      </c>
      <c r="H142" s="477"/>
      <c r="I142" s="121">
        <v>0</v>
      </c>
      <c r="J142" s="379"/>
      <c r="K142" s="477"/>
      <c r="L142" s="477">
        <v>1520809.6400000001</v>
      </c>
      <c r="N142" s="121">
        <v>524705.18999999994</v>
      </c>
      <c r="P142" s="477"/>
      <c r="Q142" s="121">
        <v>0</v>
      </c>
      <c r="U142" s="122"/>
      <c r="V142" s="122">
        <v>48158.03</v>
      </c>
      <c r="W142" s="122"/>
      <c r="X142" s="122">
        <v>131196.21</v>
      </c>
      <c r="Y142" s="122"/>
      <c r="Z142" s="122"/>
      <c r="AA142" s="122">
        <v>0</v>
      </c>
    </row>
    <row r="143" spans="1:27" x14ac:dyDescent="0.25">
      <c r="A143" s="443">
        <v>20401</v>
      </c>
      <c r="B143" s="19" t="s">
        <v>34</v>
      </c>
      <c r="C143" t="s">
        <v>194</v>
      </c>
      <c r="D143" s="477"/>
      <c r="E143" s="121">
        <v>435143.83</v>
      </c>
      <c r="F143" s="477">
        <v>0</v>
      </c>
      <c r="G143" s="477">
        <v>1066603.53</v>
      </c>
      <c r="H143" s="477"/>
      <c r="I143" s="121">
        <v>0</v>
      </c>
      <c r="J143" s="379"/>
      <c r="K143" s="477">
        <v>0</v>
      </c>
      <c r="L143" s="477">
        <v>1066603.53</v>
      </c>
      <c r="N143" s="121">
        <v>435143.83</v>
      </c>
      <c r="P143" s="477"/>
      <c r="Q143" s="121">
        <v>0</v>
      </c>
      <c r="U143" s="122">
        <v>2577.0100000000002</v>
      </c>
      <c r="V143" s="122">
        <v>1538.52</v>
      </c>
      <c r="W143" s="122"/>
      <c r="X143" s="122">
        <v>67780.17</v>
      </c>
      <c r="Y143" s="122"/>
      <c r="Z143" s="122"/>
      <c r="AA143" s="122">
        <v>0</v>
      </c>
    </row>
    <row r="144" spans="1:27" x14ac:dyDescent="0.25">
      <c r="A144" s="443">
        <v>20402</v>
      </c>
      <c r="B144" s="19" t="s">
        <v>34</v>
      </c>
      <c r="C144" t="s">
        <v>250</v>
      </c>
      <c r="D144" s="477"/>
      <c r="E144" s="121">
        <v>414169.87</v>
      </c>
      <c r="F144" s="477">
        <v>0</v>
      </c>
      <c r="G144" s="477">
        <v>953150.33</v>
      </c>
      <c r="H144" s="477"/>
      <c r="I144" s="121">
        <v>0</v>
      </c>
      <c r="J144" s="379"/>
      <c r="K144" s="477">
        <v>0</v>
      </c>
      <c r="L144" s="477">
        <v>953150.33</v>
      </c>
      <c r="N144" s="121">
        <v>414169.87</v>
      </c>
      <c r="P144" s="477"/>
      <c r="Q144" s="121">
        <v>0</v>
      </c>
      <c r="U144" s="122">
        <v>19623.310000000001</v>
      </c>
      <c r="V144" s="122">
        <v>7271.05</v>
      </c>
      <c r="W144" s="122"/>
      <c r="X144" s="122">
        <v>34306.51</v>
      </c>
      <c r="Y144" s="122"/>
      <c r="Z144" s="122"/>
      <c r="AA144" s="122">
        <v>0</v>
      </c>
    </row>
    <row r="145" spans="1:27" x14ac:dyDescent="0.25">
      <c r="A145" s="443">
        <v>20403</v>
      </c>
      <c r="B145" s="19" t="s">
        <v>34</v>
      </c>
      <c r="C145" t="s">
        <v>466</v>
      </c>
      <c r="D145" s="477"/>
      <c r="E145" s="121">
        <v>99505.58</v>
      </c>
      <c r="F145" s="477"/>
      <c r="G145" s="477">
        <v>304562.56</v>
      </c>
      <c r="H145" s="477"/>
      <c r="I145" s="121">
        <v>0</v>
      </c>
      <c r="J145" s="379"/>
      <c r="K145" s="477"/>
      <c r="L145" s="477">
        <v>304562.56</v>
      </c>
      <c r="N145" s="121">
        <v>99505.58</v>
      </c>
      <c r="P145" s="477"/>
      <c r="Q145" s="121">
        <v>0</v>
      </c>
      <c r="U145" s="122"/>
      <c r="V145" s="122">
        <v>400</v>
      </c>
      <c r="W145" s="122"/>
      <c r="X145" s="122">
        <v>25582.38</v>
      </c>
      <c r="Y145" s="122"/>
      <c r="Z145" s="122"/>
      <c r="AA145" s="122">
        <v>0</v>
      </c>
    </row>
    <row r="146" spans="1:27" x14ac:dyDescent="0.25">
      <c r="A146" s="443">
        <v>20404</v>
      </c>
      <c r="B146" s="19" t="s">
        <v>45</v>
      </c>
      <c r="C146" t="s">
        <v>196</v>
      </c>
      <c r="D146" s="477"/>
      <c r="E146" s="121">
        <v>2805631.61</v>
      </c>
      <c r="F146" s="477">
        <v>0</v>
      </c>
      <c r="G146" s="477">
        <v>5086253.82</v>
      </c>
      <c r="H146" s="477"/>
      <c r="I146" s="121">
        <v>0</v>
      </c>
      <c r="J146" s="379"/>
      <c r="K146" s="477">
        <v>0</v>
      </c>
      <c r="L146" s="477">
        <v>5086253.82</v>
      </c>
      <c r="N146" s="121">
        <v>2805631.61</v>
      </c>
      <c r="P146" s="477"/>
      <c r="Q146" s="121">
        <v>0</v>
      </c>
      <c r="U146" s="122">
        <v>525</v>
      </c>
      <c r="V146" s="122">
        <v>230689.3</v>
      </c>
      <c r="W146" s="122"/>
      <c r="X146" s="122">
        <v>308180.5</v>
      </c>
      <c r="Y146" s="122"/>
      <c r="Z146" s="122"/>
      <c r="AA146" s="122">
        <v>0</v>
      </c>
    </row>
    <row r="147" spans="1:27" x14ac:dyDescent="0.25">
      <c r="A147" s="443">
        <v>20405</v>
      </c>
      <c r="B147" s="19" t="s">
        <v>34</v>
      </c>
      <c r="C147" t="s">
        <v>606</v>
      </c>
      <c r="D147" s="477">
        <v>31566.17</v>
      </c>
      <c r="E147" s="121">
        <v>3736815.58</v>
      </c>
      <c r="F147" s="477">
        <v>0</v>
      </c>
      <c r="G147" s="477">
        <v>6545616.0500000007</v>
      </c>
      <c r="H147" s="477"/>
      <c r="I147" s="121">
        <v>0</v>
      </c>
      <c r="J147" s="379"/>
      <c r="K147" s="477">
        <v>0</v>
      </c>
      <c r="L147" s="477">
        <v>6545616.0500000007</v>
      </c>
      <c r="N147" s="121">
        <v>3736815.58</v>
      </c>
      <c r="P147" s="477">
        <v>31566.17</v>
      </c>
      <c r="Q147" s="121">
        <v>0</v>
      </c>
      <c r="U147" s="122">
        <v>20287.88</v>
      </c>
      <c r="V147" s="122">
        <v>174923.7</v>
      </c>
      <c r="W147" s="122"/>
      <c r="X147" s="122">
        <v>377506.95</v>
      </c>
      <c r="Y147" s="122"/>
      <c r="Z147" s="122">
        <v>0</v>
      </c>
      <c r="AA147" s="122">
        <v>0</v>
      </c>
    </row>
    <row r="148" spans="1:27" x14ac:dyDescent="0.25">
      <c r="A148" s="443">
        <v>20406</v>
      </c>
      <c r="B148" s="19" t="s">
        <v>34</v>
      </c>
      <c r="C148" t="s">
        <v>278</v>
      </c>
      <c r="D148" s="477"/>
      <c r="E148" s="121">
        <v>661269.07999999996</v>
      </c>
      <c r="F148" s="477">
        <v>0</v>
      </c>
      <c r="G148" s="477">
        <v>1604428.8</v>
      </c>
      <c r="H148" s="477"/>
      <c r="I148" s="121">
        <v>0</v>
      </c>
      <c r="J148" s="379"/>
      <c r="K148" s="477">
        <v>0</v>
      </c>
      <c r="L148" s="477">
        <v>1604428.8</v>
      </c>
      <c r="N148" s="121">
        <v>661269.07999999996</v>
      </c>
      <c r="P148" s="477"/>
      <c r="Q148" s="121">
        <v>0</v>
      </c>
      <c r="U148" s="122">
        <v>56015.839999999997</v>
      </c>
      <c r="V148" s="122">
        <v>62149.67</v>
      </c>
      <c r="W148" s="122"/>
      <c r="X148" s="122">
        <v>57800.45</v>
      </c>
      <c r="Y148" s="122"/>
      <c r="Z148" s="122"/>
      <c r="AA148" s="122">
        <v>0</v>
      </c>
    </row>
    <row r="149" spans="1:27" x14ac:dyDescent="0.25">
      <c r="A149" s="443">
        <v>21014</v>
      </c>
      <c r="B149" s="19" t="s">
        <v>13</v>
      </c>
      <c r="C149" t="s">
        <v>330</v>
      </c>
      <c r="D149" s="477">
        <v>15669.99</v>
      </c>
      <c r="E149" s="121">
        <v>1530108.34</v>
      </c>
      <c r="F149" s="477"/>
      <c r="G149" s="477">
        <v>4576097.7</v>
      </c>
      <c r="H149" s="477"/>
      <c r="I149" s="121">
        <v>0</v>
      </c>
      <c r="J149" s="379"/>
      <c r="K149" s="477"/>
      <c r="L149" s="477">
        <v>4576097.7</v>
      </c>
      <c r="N149" s="121">
        <v>1530108.34</v>
      </c>
      <c r="P149" s="477">
        <v>15669.99</v>
      </c>
      <c r="Q149" s="121">
        <v>0</v>
      </c>
      <c r="U149" s="122"/>
      <c r="V149" s="122">
        <v>4944.6000000000004</v>
      </c>
      <c r="W149" s="122"/>
      <c r="X149" s="122">
        <v>12883.2</v>
      </c>
      <c r="Y149" s="122"/>
      <c r="Z149" s="122">
        <v>0</v>
      </c>
      <c r="AA149" s="122">
        <v>0</v>
      </c>
    </row>
    <row r="150" spans="1:27" x14ac:dyDescent="0.25">
      <c r="A150" s="443">
        <v>21036</v>
      </c>
      <c r="B150" s="19" t="s">
        <v>13</v>
      </c>
      <c r="C150" t="s">
        <v>172</v>
      </c>
      <c r="D150" s="477"/>
      <c r="E150" s="121">
        <v>246242.58000000002</v>
      </c>
      <c r="F150" s="477"/>
      <c r="G150" s="477">
        <v>313351.88</v>
      </c>
      <c r="H150" s="477"/>
      <c r="I150" s="121">
        <v>0</v>
      </c>
      <c r="J150" s="379"/>
      <c r="K150" s="477"/>
      <c r="L150" s="477">
        <v>313351.88</v>
      </c>
      <c r="N150" s="121">
        <v>246242.58000000002</v>
      </c>
      <c r="P150" s="477"/>
      <c r="Q150" s="121">
        <v>0</v>
      </c>
      <c r="U150" s="122"/>
      <c r="V150" s="122">
        <v>0</v>
      </c>
      <c r="W150" s="122"/>
      <c r="X150" s="122">
        <v>15859.54</v>
      </c>
      <c r="Y150" s="122"/>
      <c r="Z150" s="122"/>
      <c r="AA150" s="122">
        <v>0</v>
      </c>
    </row>
    <row r="151" spans="1:27" x14ac:dyDescent="0.25">
      <c r="A151" s="443">
        <v>21206</v>
      </c>
      <c r="B151" s="19" t="s">
        <v>13</v>
      </c>
      <c r="C151" t="s">
        <v>316</v>
      </c>
      <c r="D151" s="477"/>
      <c r="E151" s="121">
        <v>1480509.74</v>
      </c>
      <c r="F151" s="477">
        <v>0</v>
      </c>
      <c r="G151" s="477">
        <v>3636084.33</v>
      </c>
      <c r="H151" s="477"/>
      <c r="I151" s="121">
        <v>0</v>
      </c>
      <c r="J151" s="379"/>
      <c r="K151" s="477">
        <v>0</v>
      </c>
      <c r="L151" s="477">
        <v>3636084.33</v>
      </c>
      <c r="N151" s="121">
        <v>1480509.74</v>
      </c>
      <c r="P151" s="477"/>
      <c r="Q151" s="121">
        <v>0</v>
      </c>
      <c r="U151" s="122">
        <v>480</v>
      </c>
      <c r="V151" s="122">
        <v>9183.4</v>
      </c>
      <c r="W151" s="122"/>
      <c r="X151" s="122">
        <v>113255.48000000001</v>
      </c>
      <c r="Y151" s="122"/>
      <c r="Z151" s="122"/>
      <c r="AA151" s="122">
        <v>0</v>
      </c>
    </row>
    <row r="152" spans="1:27" x14ac:dyDescent="0.25">
      <c r="A152" s="443">
        <v>21214</v>
      </c>
      <c r="B152" s="19" t="s">
        <v>13</v>
      </c>
      <c r="C152" t="s">
        <v>312</v>
      </c>
      <c r="D152" s="477"/>
      <c r="E152" s="121">
        <v>1402600.6</v>
      </c>
      <c r="F152" s="477"/>
      <c r="G152" s="477">
        <v>2796063.04</v>
      </c>
      <c r="H152" s="477"/>
      <c r="I152" s="121">
        <v>0</v>
      </c>
      <c r="J152" s="379"/>
      <c r="K152" s="477"/>
      <c r="L152" s="477">
        <v>2796063.04</v>
      </c>
      <c r="N152" s="121">
        <v>1402600.6</v>
      </c>
      <c r="P152" s="477"/>
      <c r="Q152" s="121">
        <v>0</v>
      </c>
      <c r="U152" s="122"/>
      <c r="V152" s="122">
        <v>31859.260000000002</v>
      </c>
      <c r="W152" s="122"/>
      <c r="X152" s="122">
        <v>46380.07</v>
      </c>
      <c r="Y152" s="122"/>
      <c r="Z152" s="122"/>
      <c r="AA152" s="122">
        <v>0</v>
      </c>
    </row>
    <row r="153" spans="1:27" x14ac:dyDescent="0.25">
      <c r="A153" s="443">
        <v>21226</v>
      </c>
      <c r="B153" s="19" t="s">
        <v>13</v>
      </c>
      <c r="C153" t="s">
        <v>14</v>
      </c>
      <c r="D153" s="477">
        <v>41484.379999999997</v>
      </c>
      <c r="E153" s="121">
        <v>1283405.1800000002</v>
      </c>
      <c r="F153" s="477">
        <v>0</v>
      </c>
      <c r="G153" s="477">
        <v>3807352.91</v>
      </c>
      <c r="H153" s="477"/>
      <c r="I153" s="121">
        <v>0</v>
      </c>
      <c r="J153" s="379"/>
      <c r="K153" s="477">
        <v>0</v>
      </c>
      <c r="L153" s="477">
        <v>3807352.91</v>
      </c>
      <c r="N153" s="121">
        <v>1283405.1800000002</v>
      </c>
      <c r="P153" s="477">
        <v>41484.379999999997</v>
      </c>
      <c r="Q153" s="121">
        <v>0</v>
      </c>
      <c r="U153" s="122">
        <v>31210.33</v>
      </c>
      <c r="V153" s="122">
        <v>17944.38</v>
      </c>
      <c r="W153" s="122"/>
      <c r="X153" s="122">
        <v>176181.16</v>
      </c>
      <c r="Y153" s="122"/>
      <c r="Z153" s="122">
        <v>0</v>
      </c>
      <c r="AA153" s="122">
        <v>0</v>
      </c>
    </row>
    <row r="154" spans="1:27" x14ac:dyDescent="0.25">
      <c r="A154" s="443">
        <v>21232</v>
      </c>
      <c r="B154" s="19" t="s">
        <v>13</v>
      </c>
      <c r="C154" t="s">
        <v>614</v>
      </c>
      <c r="D154" s="477"/>
      <c r="E154" s="121">
        <v>1954080.23</v>
      </c>
      <c r="F154" s="477">
        <v>0</v>
      </c>
      <c r="G154" s="477">
        <v>4774289.8800000008</v>
      </c>
      <c r="H154" s="477"/>
      <c r="I154" s="121">
        <v>0</v>
      </c>
      <c r="J154" s="379"/>
      <c r="K154" s="477">
        <v>0</v>
      </c>
      <c r="L154" s="477">
        <v>4774289.8800000008</v>
      </c>
      <c r="N154" s="121">
        <v>1954080.23</v>
      </c>
      <c r="P154" s="477"/>
      <c r="Q154" s="121">
        <v>0</v>
      </c>
      <c r="U154" s="122">
        <v>79756.100000000006</v>
      </c>
      <c r="V154" s="122">
        <v>18969.740000000002</v>
      </c>
      <c r="W154" s="122"/>
      <c r="X154" s="122">
        <v>92798.819999999992</v>
      </c>
      <c r="Y154" s="122"/>
      <c r="Z154" s="122"/>
      <c r="AA154" s="122">
        <v>0</v>
      </c>
    </row>
    <row r="155" spans="1:27" x14ac:dyDescent="0.25">
      <c r="A155" s="443">
        <v>21234</v>
      </c>
      <c r="B155" s="19" t="s">
        <v>13</v>
      </c>
      <c r="C155" t="s">
        <v>48</v>
      </c>
      <c r="D155" s="477"/>
      <c r="E155" s="121">
        <v>424497.24</v>
      </c>
      <c r="F155" s="477"/>
      <c r="G155" s="477">
        <v>639790.68999999994</v>
      </c>
      <c r="H155" s="477"/>
      <c r="I155" s="121">
        <v>0</v>
      </c>
      <c r="J155" s="379"/>
      <c r="K155" s="477"/>
      <c r="L155" s="477">
        <v>639790.68999999994</v>
      </c>
      <c r="N155" s="121">
        <v>424497.24</v>
      </c>
      <c r="P155" s="477"/>
      <c r="Q155" s="121">
        <v>0</v>
      </c>
      <c r="U155" s="122"/>
      <c r="V155" s="122">
        <v>4000</v>
      </c>
      <c r="W155" s="122"/>
      <c r="X155" s="122">
        <v>45520.36</v>
      </c>
      <c r="Y155" s="122"/>
      <c r="Z155" s="122"/>
      <c r="AA155" s="122">
        <v>0</v>
      </c>
    </row>
    <row r="156" spans="1:27" x14ac:dyDescent="0.25">
      <c r="A156" s="443">
        <v>21237</v>
      </c>
      <c r="B156" s="19" t="s">
        <v>13</v>
      </c>
      <c r="C156" t="s">
        <v>550</v>
      </c>
      <c r="D156" s="477"/>
      <c r="E156" s="121">
        <v>2321226.7799999998</v>
      </c>
      <c r="F156" s="477"/>
      <c r="G156" s="477">
        <v>5294429.2200000007</v>
      </c>
      <c r="H156" s="477"/>
      <c r="I156" s="121">
        <v>0</v>
      </c>
      <c r="J156" s="379"/>
      <c r="K156" s="477"/>
      <c r="L156" s="477">
        <v>5294429.2200000007</v>
      </c>
      <c r="N156" s="121">
        <v>2321226.7799999998</v>
      </c>
      <c r="P156" s="477"/>
      <c r="Q156" s="121">
        <v>0</v>
      </c>
      <c r="U156" s="122"/>
      <c r="V156" s="122">
        <v>4615</v>
      </c>
      <c r="W156" s="122"/>
      <c r="X156" s="122">
        <v>97969.409999999989</v>
      </c>
      <c r="Y156" s="122"/>
      <c r="Z156" s="122"/>
      <c r="AA156" s="122">
        <v>0</v>
      </c>
    </row>
    <row r="157" spans="1:27" x14ac:dyDescent="0.25">
      <c r="A157" s="443">
        <v>21300</v>
      </c>
      <c r="B157" s="19" t="s">
        <v>13</v>
      </c>
      <c r="C157" t="s">
        <v>384</v>
      </c>
      <c r="D157" s="477">
        <v>21843.75</v>
      </c>
      <c r="E157" s="121">
        <v>2447602.9299999997</v>
      </c>
      <c r="F157" s="477">
        <v>0</v>
      </c>
      <c r="G157" s="477">
        <v>4894381.66</v>
      </c>
      <c r="H157" s="477"/>
      <c r="I157" s="121">
        <v>0</v>
      </c>
      <c r="J157" s="379"/>
      <c r="K157" s="477">
        <v>0</v>
      </c>
      <c r="L157" s="477">
        <v>4894381.66</v>
      </c>
      <c r="N157" s="121">
        <v>2447602.9299999997</v>
      </c>
      <c r="P157" s="477">
        <v>21843.75</v>
      </c>
      <c r="Q157" s="121">
        <v>0</v>
      </c>
      <c r="U157" s="122">
        <v>570</v>
      </c>
      <c r="V157" s="122">
        <v>20321.25</v>
      </c>
      <c r="W157" s="122"/>
      <c r="X157" s="122">
        <v>143573.81</v>
      </c>
      <c r="Y157" s="122"/>
      <c r="Z157" s="122">
        <v>0</v>
      </c>
      <c r="AA157" s="122">
        <v>0</v>
      </c>
    </row>
    <row r="158" spans="1:27" x14ac:dyDescent="0.25">
      <c r="A158" s="443">
        <v>21301</v>
      </c>
      <c r="B158" s="19" t="s">
        <v>13</v>
      </c>
      <c r="C158" t="s">
        <v>412</v>
      </c>
      <c r="D158" s="477"/>
      <c r="E158" s="121">
        <v>946069.82000000007</v>
      </c>
      <c r="F158" s="477"/>
      <c r="G158" s="477">
        <v>2382987.98</v>
      </c>
      <c r="H158" s="477"/>
      <c r="I158" s="121">
        <v>0</v>
      </c>
      <c r="J158" s="379"/>
      <c r="K158" s="477"/>
      <c r="L158" s="477">
        <v>2382987.98</v>
      </c>
      <c r="N158" s="121">
        <v>946069.82000000007</v>
      </c>
      <c r="P158" s="477"/>
      <c r="Q158" s="121">
        <v>0</v>
      </c>
      <c r="U158" s="122"/>
      <c r="V158" s="122">
        <v>15953.75</v>
      </c>
      <c r="W158" s="122"/>
      <c r="X158" s="122">
        <v>133529.02000000002</v>
      </c>
      <c r="Y158" s="122"/>
      <c r="Z158" s="122"/>
      <c r="AA158" s="122">
        <v>0</v>
      </c>
    </row>
    <row r="159" spans="1:27" x14ac:dyDescent="0.25">
      <c r="A159" s="443">
        <v>21302</v>
      </c>
      <c r="B159" s="19" t="s">
        <v>13</v>
      </c>
      <c r="C159" t="s">
        <v>82</v>
      </c>
      <c r="D159" s="477">
        <v>34312.18</v>
      </c>
      <c r="E159" s="121">
        <v>8600647.129999999</v>
      </c>
      <c r="F159" s="477">
        <v>277460.40000000002</v>
      </c>
      <c r="G159" s="477">
        <v>22122364.829999998</v>
      </c>
      <c r="H159" s="477"/>
      <c r="I159" s="121">
        <v>0</v>
      </c>
      <c r="J159" s="379"/>
      <c r="K159" s="477">
        <v>277460.40000000002</v>
      </c>
      <c r="L159" s="477">
        <v>22122364.829999998</v>
      </c>
      <c r="N159" s="121">
        <v>8600647.129999999</v>
      </c>
      <c r="P159" s="477">
        <v>34312.18</v>
      </c>
      <c r="Q159" s="121">
        <v>0</v>
      </c>
      <c r="U159" s="122">
        <v>91746.21</v>
      </c>
      <c r="V159" s="122">
        <v>722983.41999999993</v>
      </c>
      <c r="W159" s="122"/>
      <c r="X159" s="122">
        <v>516844.79</v>
      </c>
      <c r="Y159" s="122"/>
      <c r="Z159" s="122">
        <v>0</v>
      </c>
      <c r="AA159" s="122">
        <v>0</v>
      </c>
    </row>
    <row r="160" spans="1:27" x14ac:dyDescent="0.25">
      <c r="A160" s="443">
        <v>21303</v>
      </c>
      <c r="B160" s="19" t="s">
        <v>13</v>
      </c>
      <c r="C160" t="s">
        <v>602</v>
      </c>
      <c r="D160" s="477"/>
      <c r="E160" s="121">
        <v>1203671.46</v>
      </c>
      <c r="F160" s="477">
        <v>0</v>
      </c>
      <c r="G160" s="477">
        <v>2331508.5700000003</v>
      </c>
      <c r="H160" s="477"/>
      <c r="I160" s="121">
        <v>0</v>
      </c>
      <c r="J160" s="379"/>
      <c r="K160" s="477">
        <v>0</v>
      </c>
      <c r="L160" s="477">
        <v>2331508.5700000003</v>
      </c>
      <c r="N160" s="121">
        <v>1203671.46</v>
      </c>
      <c r="P160" s="477"/>
      <c r="Q160" s="121">
        <v>0</v>
      </c>
      <c r="U160" s="122">
        <v>8296.1</v>
      </c>
      <c r="V160" s="122">
        <v>52411.01</v>
      </c>
      <c r="W160" s="122"/>
      <c r="X160" s="122">
        <v>316123.03000000003</v>
      </c>
      <c r="Y160" s="122"/>
      <c r="Z160" s="122"/>
      <c r="AA160" s="122">
        <v>0</v>
      </c>
    </row>
    <row r="161" spans="1:27" x14ac:dyDescent="0.25">
      <c r="A161" s="443">
        <v>21401</v>
      </c>
      <c r="B161" s="19" t="s">
        <v>13</v>
      </c>
      <c r="C161" t="s">
        <v>80</v>
      </c>
      <c r="D161" s="477"/>
      <c r="E161" s="121">
        <v>9422804.4899999984</v>
      </c>
      <c r="F161" s="477">
        <v>0</v>
      </c>
      <c r="G161" s="477">
        <v>23276306.560000002</v>
      </c>
      <c r="H161" s="477"/>
      <c r="I161" s="121">
        <v>0</v>
      </c>
      <c r="J161" s="379"/>
      <c r="K161" s="477">
        <v>0</v>
      </c>
      <c r="L161" s="477">
        <v>23276306.560000002</v>
      </c>
      <c r="N161" s="121">
        <v>9422804.4899999984</v>
      </c>
      <c r="P161" s="477"/>
      <c r="Q161" s="121">
        <v>0</v>
      </c>
      <c r="U161" s="122">
        <v>50541.96</v>
      </c>
      <c r="V161" s="122">
        <v>466252.65</v>
      </c>
      <c r="W161" s="122"/>
      <c r="X161" s="122">
        <v>876504.41999999993</v>
      </c>
      <c r="Y161" s="122"/>
      <c r="Z161" s="122"/>
      <c r="AA161" s="122">
        <v>0</v>
      </c>
    </row>
    <row r="162" spans="1:27" x14ac:dyDescent="0.25">
      <c r="A162" s="443">
        <v>22008</v>
      </c>
      <c r="B162" s="19" t="s">
        <v>18</v>
      </c>
      <c r="C162" t="s">
        <v>514</v>
      </c>
      <c r="D162" s="477"/>
      <c r="E162" s="121">
        <v>394212.95</v>
      </c>
      <c r="F162" s="477">
        <v>0</v>
      </c>
      <c r="G162" s="477">
        <v>1050693.79</v>
      </c>
      <c r="H162" s="477"/>
      <c r="I162" s="121">
        <v>0</v>
      </c>
      <c r="J162" s="379"/>
      <c r="K162" s="477">
        <v>0</v>
      </c>
      <c r="L162" s="477">
        <v>1050693.79</v>
      </c>
      <c r="N162" s="121">
        <v>394212.95</v>
      </c>
      <c r="P162" s="477"/>
      <c r="Q162" s="121">
        <v>0</v>
      </c>
      <c r="U162" s="122">
        <v>2700</v>
      </c>
      <c r="V162" s="122">
        <v>5100</v>
      </c>
      <c r="W162" s="122"/>
      <c r="X162" s="122">
        <v>12412.24</v>
      </c>
      <c r="Y162" s="122"/>
      <c r="Z162" s="122"/>
      <c r="AA162" s="122">
        <v>0</v>
      </c>
    </row>
    <row r="163" spans="1:27" x14ac:dyDescent="0.25">
      <c r="A163" s="443">
        <v>22009</v>
      </c>
      <c r="B163" s="19" t="s">
        <v>18</v>
      </c>
      <c r="C163" t="s">
        <v>448</v>
      </c>
      <c r="D163" s="477">
        <v>26726.38</v>
      </c>
      <c r="E163" s="121">
        <v>1972068.4</v>
      </c>
      <c r="F163" s="477">
        <v>0</v>
      </c>
      <c r="G163" s="477">
        <v>3979956.79</v>
      </c>
      <c r="H163" s="477"/>
      <c r="I163" s="121">
        <v>0</v>
      </c>
      <c r="J163" s="379"/>
      <c r="K163" s="477">
        <v>0</v>
      </c>
      <c r="L163" s="477">
        <v>3979956.79</v>
      </c>
      <c r="N163" s="121">
        <v>1972068.4</v>
      </c>
      <c r="P163" s="477">
        <v>26726.38</v>
      </c>
      <c r="Q163" s="121">
        <v>0</v>
      </c>
      <c r="U163" s="122">
        <v>12534.5</v>
      </c>
      <c r="V163" s="122">
        <v>78806.540000000008</v>
      </c>
      <c r="W163" s="122"/>
      <c r="X163" s="122">
        <v>234356.09</v>
      </c>
      <c r="Y163" s="122"/>
      <c r="Z163" s="122">
        <v>0</v>
      </c>
      <c r="AA163" s="122">
        <v>0</v>
      </c>
    </row>
    <row r="164" spans="1:27" x14ac:dyDescent="0.25">
      <c r="A164" s="443">
        <v>22017</v>
      </c>
      <c r="B164" s="19" t="s">
        <v>18</v>
      </c>
      <c r="C164" t="s">
        <v>16</v>
      </c>
      <c r="D164" s="477">
        <v>212.55</v>
      </c>
      <c r="E164" s="121">
        <v>431048.05</v>
      </c>
      <c r="F164" s="477"/>
      <c r="G164" s="477">
        <v>972100.8</v>
      </c>
      <c r="H164" s="477"/>
      <c r="I164" s="121">
        <v>0</v>
      </c>
      <c r="J164" s="379"/>
      <c r="K164" s="477"/>
      <c r="L164" s="477">
        <v>972100.8</v>
      </c>
      <c r="N164" s="121">
        <v>431048.05</v>
      </c>
      <c r="P164" s="477">
        <v>212.55</v>
      </c>
      <c r="Q164" s="121">
        <v>0</v>
      </c>
      <c r="U164" s="122"/>
      <c r="V164" s="122">
        <v>31414.18</v>
      </c>
      <c r="W164" s="122"/>
      <c r="X164" s="122">
        <v>50594.23</v>
      </c>
      <c r="Y164" s="122"/>
      <c r="Z164" s="122">
        <v>0</v>
      </c>
      <c r="AA164" s="122">
        <v>0</v>
      </c>
    </row>
    <row r="165" spans="1:27" x14ac:dyDescent="0.25">
      <c r="A165" s="443">
        <v>22073</v>
      </c>
      <c r="B165" s="19" t="s">
        <v>18</v>
      </c>
      <c r="C165" t="s">
        <v>120</v>
      </c>
      <c r="D165" s="477"/>
      <c r="E165" s="121">
        <v>542219.6</v>
      </c>
      <c r="F165" s="477">
        <v>0</v>
      </c>
      <c r="G165" s="477">
        <v>1070295.22</v>
      </c>
      <c r="H165" s="477"/>
      <c r="I165" s="121">
        <v>0</v>
      </c>
      <c r="J165" s="379"/>
      <c r="K165" s="477">
        <v>0</v>
      </c>
      <c r="L165" s="477">
        <v>1070295.22</v>
      </c>
      <c r="N165" s="121">
        <v>542219.6</v>
      </c>
      <c r="P165" s="477"/>
      <c r="Q165" s="121">
        <v>0</v>
      </c>
      <c r="U165" s="122">
        <v>3380</v>
      </c>
      <c r="V165" s="122">
        <v>13920.54</v>
      </c>
      <c r="W165" s="122"/>
      <c r="X165" s="122">
        <v>29492.170000000002</v>
      </c>
      <c r="Y165" s="122"/>
      <c r="Z165" s="122"/>
      <c r="AA165" s="122">
        <v>0</v>
      </c>
    </row>
    <row r="166" spans="1:27" x14ac:dyDescent="0.25">
      <c r="A166" s="443">
        <v>22105</v>
      </c>
      <c r="B166" s="19" t="s">
        <v>18</v>
      </c>
      <c r="C166" t="s">
        <v>374</v>
      </c>
      <c r="D166" s="477"/>
      <c r="E166" s="121">
        <v>769058.56</v>
      </c>
      <c r="F166" s="477">
        <v>0</v>
      </c>
      <c r="G166" s="477">
        <v>1812590</v>
      </c>
      <c r="H166" s="477"/>
      <c r="I166" s="121">
        <v>0</v>
      </c>
      <c r="J166" s="379"/>
      <c r="K166" s="477">
        <v>0</v>
      </c>
      <c r="L166" s="477">
        <v>1812590</v>
      </c>
      <c r="N166" s="121">
        <v>769058.56</v>
      </c>
      <c r="P166" s="477"/>
      <c r="Q166" s="121">
        <v>0</v>
      </c>
      <c r="U166" s="122">
        <v>5220</v>
      </c>
      <c r="V166" s="122">
        <v>51196</v>
      </c>
      <c r="W166" s="122"/>
      <c r="X166" s="122">
        <v>90169.18</v>
      </c>
      <c r="Y166" s="122"/>
      <c r="Z166" s="122"/>
      <c r="AA166" s="122">
        <v>0</v>
      </c>
    </row>
    <row r="167" spans="1:27" x14ac:dyDescent="0.25">
      <c r="A167" s="443">
        <v>22200</v>
      </c>
      <c r="B167" s="19" t="s">
        <v>18</v>
      </c>
      <c r="C167" t="s">
        <v>608</v>
      </c>
      <c r="D167" s="477"/>
      <c r="E167" s="121">
        <v>790442.64</v>
      </c>
      <c r="F167" s="477">
        <v>0</v>
      </c>
      <c r="G167" s="477">
        <v>1843253.17</v>
      </c>
      <c r="H167" s="477"/>
      <c r="I167" s="121">
        <v>0</v>
      </c>
      <c r="J167" s="379"/>
      <c r="K167" s="477">
        <v>0</v>
      </c>
      <c r="L167" s="477">
        <v>1843253.17</v>
      </c>
      <c r="N167" s="121">
        <v>790442.64</v>
      </c>
      <c r="P167" s="477"/>
      <c r="Q167" s="121">
        <v>0</v>
      </c>
      <c r="U167" s="122">
        <v>6250.64</v>
      </c>
      <c r="V167" s="122">
        <v>30893.4</v>
      </c>
      <c r="W167" s="122"/>
      <c r="X167" s="122">
        <v>45356.7</v>
      </c>
      <c r="Y167" s="122"/>
      <c r="Z167" s="122"/>
      <c r="AA167" s="122">
        <v>0</v>
      </c>
    </row>
    <row r="168" spans="1:27" x14ac:dyDescent="0.25">
      <c r="A168" s="443">
        <v>22204</v>
      </c>
      <c r="B168" s="19" t="s">
        <v>18</v>
      </c>
      <c r="C168" t="s">
        <v>214</v>
      </c>
      <c r="D168" s="477"/>
      <c r="E168" s="121">
        <v>627993.73</v>
      </c>
      <c r="F168" s="477"/>
      <c r="G168" s="477">
        <v>1475714.91</v>
      </c>
      <c r="H168" s="477"/>
      <c r="I168" s="121">
        <v>0</v>
      </c>
      <c r="J168" s="379"/>
      <c r="K168" s="477"/>
      <c r="L168" s="477">
        <v>1475714.91</v>
      </c>
      <c r="N168" s="121">
        <v>627993.73</v>
      </c>
      <c r="P168" s="477"/>
      <c r="Q168" s="121">
        <v>0</v>
      </c>
      <c r="U168" s="122"/>
      <c r="V168" s="122">
        <v>24414.73</v>
      </c>
      <c r="W168" s="122"/>
      <c r="X168" s="122">
        <v>153781.01</v>
      </c>
      <c r="Y168" s="122"/>
      <c r="Z168" s="122"/>
      <c r="AA168" s="122">
        <v>0</v>
      </c>
    </row>
    <row r="169" spans="1:27" x14ac:dyDescent="0.25">
      <c r="A169" s="443">
        <v>22207</v>
      </c>
      <c r="B169" s="19" t="s">
        <v>18</v>
      </c>
      <c r="C169" t="s">
        <v>130</v>
      </c>
      <c r="D169" s="477">
        <v>27369.71</v>
      </c>
      <c r="E169" s="121">
        <v>1361402.37</v>
      </c>
      <c r="F169" s="477">
        <v>0</v>
      </c>
      <c r="G169" s="477">
        <v>4010921.03</v>
      </c>
      <c r="H169" s="477"/>
      <c r="I169" s="121">
        <v>0</v>
      </c>
      <c r="J169" s="379"/>
      <c r="K169" s="477">
        <v>0</v>
      </c>
      <c r="L169" s="477">
        <v>4010921.03</v>
      </c>
      <c r="N169" s="121">
        <v>1361402.37</v>
      </c>
      <c r="P169" s="477">
        <v>27369.71</v>
      </c>
      <c r="Q169" s="121">
        <v>0</v>
      </c>
      <c r="U169" s="122">
        <v>2976.08</v>
      </c>
      <c r="V169" s="122">
        <v>43855.96</v>
      </c>
      <c r="W169" s="122"/>
      <c r="X169" s="122">
        <v>140062.01999999999</v>
      </c>
      <c r="Y169" s="122"/>
      <c r="Z169" s="122">
        <v>0</v>
      </c>
      <c r="AA169" s="122">
        <v>0</v>
      </c>
    </row>
    <row r="170" spans="1:27" x14ac:dyDescent="0.25">
      <c r="A170" s="443">
        <v>23042</v>
      </c>
      <c r="B170" s="19" t="s">
        <v>13</v>
      </c>
      <c r="C170" t="s">
        <v>510</v>
      </c>
      <c r="D170" s="477"/>
      <c r="E170" s="121">
        <v>732182.71000000008</v>
      </c>
      <c r="F170" s="477"/>
      <c r="G170" s="477">
        <v>1638723.45</v>
      </c>
      <c r="H170" s="477"/>
      <c r="I170" s="121">
        <v>0</v>
      </c>
      <c r="J170" s="379"/>
      <c r="K170" s="477"/>
      <c r="L170" s="477">
        <v>1638723.45</v>
      </c>
      <c r="N170" s="121">
        <v>732182.71000000008</v>
      </c>
      <c r="P170" s="477"/>
      <c r="Q170" s="121">
        <v>0</v>
      </c>
      <c r="U170" s="122"/>
      <c r="V170" s="122">
        <v>0</v>
      </c>
      <c r="W170" s="122"/>
      <c r="X170" s="122">
        <v>18432.580000000002</v>
      </c>
      <c r="Y170" s="122"/>
      <c r="Z170" s="122"/>
      <c r="AA170" s="122">
        <v>0</v>
      </c>
    </row>
    <row r="171" spans="1:27" x14ac:dyDescent="0.25">
      <c r="A171" s="443">
        <v>23054</v>
      </c>
      <c r="B171" s="19" t="s">
        <v>13</v>
      </c>
      <c r="C171" t="s">
        <v>206</v>
      </c>
      <c r="D171" s="477"/>
      <c r="E171" s="121">
        <v>802499.52</v>
      </c>
      <c r="F171" s="477"/>
      <c r="G171" s="477">
        <v>1658154.88</v>
      </c>
      <c r="H171" s="477"/>
      <c r="I171" s="121">
        <v>0</v>
      </c>
      <c r="J171" s="379"/>
      <c r="K171" s="477"/>
      <c r="L171" s="477">
        <v>1658154.88</v>
      </c>
      <c r="N171" s="121">
        <v>802499.52</v>
      </c>
      <c r="P171" s="477"/>
      <c r="Q171" s="121">
        <v>0</v>
      </c>
      <c r="U171" s="122"/>
      <c r="V171" s="122">
        <v>26147.73</v>
      </c>
      <c r="W171" s="122"/>
      <c r="X171" s="122">
        <v>19891.59</v>
      </c>
      <c r="Y171" s="122"/>
      <c r="Z171" s="122"/>
      <c r="AA171" s="122">
        <v>0</v>
      </c>
    </row>
    <row r="172" spans="1:27" x14ac:dyDescent="0.25">
      <c r="A172" s="443">
        <v>23309</v>
      </c>
      <c r="B172" s="19" t="s">
        <v>13</v>
      </c>
      <c r="C172" t="s">
        <v>490</v>
      </c>
      <c r="D172" s="477"/>
      <c r="E172" s="121">
        <v>14931968.99</v>
      </c>
      <c r="F172" s="477">
        <v>0</v>
      </c>
      <c r="G172" s="477">
        <v>33459156.219999999</v>
      </c>
      <c r="H172" s="477"/>
      <c r="I172" s="121">
        <v>0</v>
      </c>
      <c r="J172" s="379"/>
      <c r="K172" s="477">
        <v>0</v>
      </c>
      <c r="L172" s="477">
        <v>33459156.219999999</v>
      </c>
      <c r="N172" s="121">
        <v>14931968.99</v>
      </c>
      <c r="P172" s="477"/>
      <c r="Q172" s="121">
        <v>0</v>
      </c>
      <c r="U172" s="122">
        <v>35624.94</v>
      </c>
      <c r="V172" s="122">
        <v>1012045.4099999999</v>
      </c>
      <c r="W172" s="122"/>
      <c r="X172" s="122">
        <v>818833.17999999993</v>
      </c>
      <c r="Y172" s="122"/>
      <c r="Z172" s="122"/>
      <c r="AA172" s="122">
        <v>0</v>
      </c>
    </row>
    <row r="173" spans="1:27" x14ac:dyDescent="0.25">
      <c r="A173" s="443">
        <v>23311</v>
      </c>
      <c r="B173" s="19" t="s">
        <v>13</v>
      </c>
      <c r="C173" t="s">
        <v>288</v>
      </c>
      <c r="D173" s="477"/>
      <c r="E173" s="121">
        <v>877797.19000000006</v>
      </c>
      <c r="F173" s="477">
        <v>0</v>
      </c>
      <c r="G173" s="477">
        <v>2079297.96</v>
      </c>
      <c r="H173" s="477"/>
      <c r="I173" s="121">
        <v>0</v>
      </c>
      <c r="J173" s="379"/>
      <c r="K173" s="477">
        <v>0</v>
      </c>
      <c r="L173" s="477">
        <v>2079297.96</v>
      </c>
      <c r="N173" s="121">
        <v>877797.19000000006</v>
      </c>
      <c r="P173" s="477"/>
      <c r="Q173" s="121">
        <v>0</v>
      </c>
      <c r="U173" s="122">
        <v>199.99</v>
      </c>
      <c r="V173" s="122">
        <v>19909.060000000001</v>
      </c>
      <c r="W173" s="122"/>
      <c r="X173" s="122">
        <v>194048.94</v>
      </c>
      <c r="Y173" s="122"/>
      <c r="Z173" s="122"/>
      <c r="AA173" s="122">
        <v>0</v>
      </c>
    </row>
    <row r="174" spans="1:27" x14ac:dyDescent="0.25">
      <c r="A174" s="443">
        <v>23402</v>
      </c>
      <c r="B174" s="19" t="s">
        <v>13</v>
      </c>
      <c r="C174" t="s">
        <v>416</v>
      </c>
      <c r="D174" s="477"/>
      <c r="E174" s="121">
        <v>2433139.52</v>
      </c>
      <c r="F174" s="477"/>
      <c r="G174" s="477">
        <v>6219687.2000000002</v>
      </c>
      <c r="H174" s="477"/>
      <c r="I174" s="121">
        <v>0</v>
      </c>
      <c r="J174" s="379"/>
      <c r="K174" s="477"/>
      <c r="L174" s="477">
        <v>6219687.2000000002</v>
      </c>
      <c r="N174" s="121">
        <v>2433139.52</v>
      </c>
      <c r="P174" s="477"/>
      <c r="Q174" s="121">
        <v>0</v>
      </c>
      <c r="U174" s="122"/>
      <c r="V174" s="122">
        <v>200772.69</v>
      </c>
      <c r="W174" s="122"/>
      <c r="X174" s="122">
        <v>115929.25</v>
      </c>
      <c r="Y174" s="122"/>
      <c r="Z174" s="122"/>
      <c r="AA174" s="122">
        <v>0</v>
      </c>
    </row>
    <row r="175" spans="1:27" x14ac:dyDescent="0.25">
      <c r="A175" s="443">
        <v>23403</v>
      </c>
      <c r="B175" s="19" t="s">
        <v>52</v>
      </c>
      <c r="C175" t="s">
        <v>350</v>
      </c>
      <c r="D175" s="477"/>
      <c r="E175" s="121">
        <v>6796781.71</v>
      </c>
      <c r="F175" s="477">
        <v>144542.99</v>
      </c>
      <c r="G175" s="477">
        <v>17162873.199999999</v>
      </c>
      <c r="H175" s="477"/>
      <c r="I175" s="121">
        <v>0</v>
      </c>
      <c r="J175" s="379"/>
      <c r="K175" s="477">
        <v>144542.99</v>
      </c>
      <c r="L175" s="477">
        <v>17162873.199999999</v>
      </c>
      <c r="N175" s="121">
        <v>6796781.71</v>
      </c>
      <c r="P175" s="477"/>
      <c r="Q175" s="121">
        <v>0</v>
      </c>
      <c r="U175" s="122">
        <v>9002</v>
      </c>
      <c r="V175" s="122">
        <v>402806.05</v>
      </c>
      <c r="W175" s="122"/>
      <c r="X175" s="122">
        <v>358746.68</v>
      </c>
      <c r="Y175" s="122"/>
      <c r="Z175" s="122"/>
      <c r="AA175" s="122">
        <v>0</v>
      </c>
    </row>
    <row r="176" spans="1:27" x14ac:dyDescent="0.25">
      <c r="A176" s="443">
        <v>23404</v>
      </c>
      <c r="B176" s="19" t="s">
        <v>13</v>
      </c>
      <c r="C176" t="s">
        <v>222</v>
      </c>
      <c r="D176" s="477"/>
      <c r="E176" s="121">
        <v>2027492</v>
      </c>
      <c r="F176" s="477"/>
      <c r="G176" s="477">
        <v>3119753.24</v>
      </c>
      <c r="H176" s="477"/>
      <c r="I176" s="121">
        <v>0</v>
      </c>
      <c r="J176" s="379"/>
      <c r="K176" s="477"/>
      <c r="L176" s="477">
        <v>3119753.24</v>
      </c>
      <c r="N176" s="121">
        <v>2027492</v>
      </c>
      <c r="P176" s="477"/>
      <c r="Q176" s="121">
        <v>0</v>
      </c>
      <c r="U176" s="122"/>
      <c r="V176" s="122">
        <v>57095.3</v>
      </c>
      <c r="W176" s="122"/>
      <c r="X176" s="122">
        <v>56005.380000000005</v>
      </c>
      <c r="Y176" s="122"/>
      <c r="Z176" s="122"/>
      <c r="AA176" s="122">
        <v>0</v>
      </c>
    </row>
    <row r="177" spans="1:27" x14ac:dyDescent="0.25">
      <c r="A177" s="443">
        <v>24014</v>
      </c>
      <c r="B177" s="19" t="s">
        <v>55</v>
      </c>
      <c r="C177" t="s">
        <v>334</v>
      </c>
      <c r="D177" s="477"/>
      <c r="E177" s="121">
        <v>893755.94</v>
      </c>
      <c r="F177" s="477"/>
      <c r="G177" s="477">
        <v>1185503.6399999999</v>
      </c>
      <c r="H177" s="477"/>
      <c r="I177" s="121">
        <v>0</v>
      </c>
      <c r="J177" s="379"/>
      <c r="K177" s="477"/>
      <c r="L177" s="477">
        <v>1185503.6399999999</v>
      </c>
      <c r="N177" s="121">
        <v>893755.94</v>
      </c>
      <c r="P177" s="477"/>
      <c r="Q177" s="121">
        <v>0</v>
      </c>
      <c r="U177" s="122"/>
      <c r="V177" s="122">
        <v>1555.46</v>
      </c>
      <c r="W177" s="122"/>
      <c r="X177" s="122">
        <v>112695.23</v>
      </c>
      <c r="Y177" s="122"/>
      <c r="Z177" s="122"/>
      <c r="AA177" s="122">
        <v>0</v>
      </c>
    </row>
    <row r="178" spans="1:27" x14ac:dyDescent="0.25">
      <c r="A178" s="443">
        <v>24019</v>
      </c>
      <c r="B178" s="19" t="s">
        <v>55</v>
      </c>
      <c r="C178" t="s">
        <v>382</v>
      </c>
      <c r="D178" s="477"/>
      <c r="E178" s="121">
        <v>6840045.3699999992</v>
      </c>
      <c r="F178" s="477">
        <v>200027.11</v>
      </c>
      <c r="G178" s="477">
        <v>27672589.280000001</v>
      </c>
      <c r="H178" s="477"/>
      <c r="I178" s="121">
        <v>0</v>
      </c>
      <c r="J178" s="379"/>
      <c r="K178" s="477">
        <v>200027.11</v>
      </c>
      <c r="L178" s="477">
        <v>27672589.280000001</v>
      </c>
      <c r="N178" s="121">
        <v>6840045.3699999992</v>
      </c>
      <c r="P178" s="477"/>
      <c r="Q178" s="121">
        <v>0</v>
      </c>
      <c r="U178" s="122">
        <v>5266.74</v>
      </c>
      <c r="V178" s="122">
        <v>234052.2</v>
      </c>
      <c r="W178" s="122"/>
      <c r="X178" s="122">
        <v>368560.29000000004</v>
      </c>
      <c r="Y178" s="122"/>
      <c r="Z178" s="122"/>
      <c r="AA178" s="122">
        <v>0</v>
      </c>
    </row>
    <row r="179" spans="1:27" x14ac:dyDescent="0.25">
      <c r="A179" s="443">
        <v>24105</v>
      </c>
      <c r="B179" s="19" t="s">
        <v>55</v>
      </c>
      <c r="C179" t="s">
        <v>376</v>
      </c>
      <c r="D179" s="477"/>
      <c r="E179" s="121">
        <v>3529710.73</v>
      </c>
      <c r="F179" s="477">
        <v>0</v>
      </c>
      <c r="G179" s="477">
        <v>7551068.9800000004</v>
      </c>
      <c r="H179" s="477"/>
      <c r="I179" s="121">
        <v>0</v>
      </c>
      <c r="J179" s="379"/>
      <c r="K179" s="477">
        <v>0</v>
      </c>
      <c r="L179" s="477">
        <v>7551068.9800000004</v>
      </c>
      <c r="N179" s="121">
        <v>3529710.73</v>
      </c>
      <c r="P179" s="477"/>
      <c r="Q179" s="121">
        <v>0</v>
      </c>
      <c r="U179" s="122">
        <v>3760</v>
      </c>
      <c r="V179" s="122">
        <v>141229.69</v>
      </c>
      <c r="W179" s="122"/>
      <c r="X179" s="122">
        <v>315626.15000000002</v>
      </c>
      <c r="Y179" s="122"/>
      <c r="Z179" s="122"/>
      <c r="AA179" s="122">
        <v>0</v>
      </c>
    </row>
    <row r="180" spans="1:27" x14ac:dyDescent="0.25">
      <c r="A180" s="443">
        <v>24111</v>
      </c>
      <c r="B180" s="19" t="s">
        <v>55</v>
      </c>
      <c r="C180" t="s">
        <v>53</v>
      </c>
      <c r="D180" s="477"/>
      <c r="E180" s="121">
        <v>2735620.66</v>
      </c>
      <c r="F180" s="477">
        <v>0</v>
      </c>
      <c r="G180" s="477">
        <v>6038794.7000000002</v>
      </c>
      <c r="H180" s="477"/>
      <c r="I180" s="121">
        <v>0</v>
      </c>
      <c r="J180" s="379"/>
      <c r="K180" s="477">
        <v>0</v>
      </c>
      <c r="L180" s="477">
        <v>6038794.7000000002</v>
      </c>
      <c r="N180" s="121">
        <v>2735620.66</v>
      </c>
      <c r="P180" s="477"/>
      <c r="Q180" s="121">
        <v>0</v>
      </c>
      <c r="U180" s="122">
        <v>61275.22</v>
      </c>
      <c r="V180" s="122">
        <v>111884.69</v>
      </c>
      <c r="W180" s="122"/>
      <c r="X180" s="122">
        <v>303966.78000000003</v>
      </c>
      <c r="Y180" s="122"/>
      <c r="Z180" s="122"/>
      <c r="AA180" s="122">
        <v>0</v>
      </c>
    </row>
    <row r="181" spans="1:27" x14ac:dyDescent="0.25">
      <c r="A181" s="443">
        <v>24122</v>
      </c>
      <c r="B181" s="19" t="s">
        <v>55</v>
      </c>
      <c r="C181" t="s">
        <v>408</v>
      </c>
      <c r="D181" s="477"/>
      <c r="E181" s="121">
        <v>794710.87</v>
      </c>
      <c r="F181" s="477"/>
      <c r="G181" s="477">
        <v>1949273.78</v>
      </c>
      <c r="H181" s="477"/>
      <c r="I181" s="121">
        <v>0</v>
      </c>
      <c r="J181" s="379"/>
      <c r="K181" s="477"/>
      <c r="L181" s="477">
        <v>1949273.78</v>
      </c>
      <c r="N181" s="121">
        <v>794710.87</v>
      </c>
      <c r="P181" s="477"/>
      <c r="Q181" s="121">
        <v>0</v>
      </c>
      <c r="U181" s="122"/>
      <c r="V181" s="122">
        <v>4325.9399999999996</v>
      </c>
      <c r="W181" s="122"/>
      <c r="X181" s="122">
        <v>85050.16</v>
      </c>
      <c r="Y181" s="122"/>
      <c r="Z181" s="122"/>
      <c r="AA181" s="122">
        <v>0</v>
      </c>
    </row>
    <row r="182" spans="1:27" x14ac:dyDescent="0.25">
      <c r="A182" s="443">
        <v>24350</v>
      </c>
      <c r="B182" s="19" t="s">
        <v>55</v>
      </c>
      <c r="C182" t="s">
        <v>304</v>
      </c>
      <c r="D182" s="477"/>
      <c r="E182" s="121">
        <v>2285820.38</v>
      </c>
      <c r="F182" s="477"/>
      <c r="G182" s="477">
        <v>4822885.16</v>
      </c>
      <c r="H182" s="477"/>
      <c r="I182" s="121">
        <v>0</v>
      </c>
      <c r="J182" s="379"/>
      <c r="K182" s="477"/>
      <c r="L182" s="477">
        <v>4822885.16</v>
      </c>
      <c r="N182" s="121">
        <v>2285820.38</v>
      </c>
      <c r="P182" s="477"/>
      <c r="Q182" s="121">
        <v>0</v>
      </c>
      <c r="U182" s="122"/>
      <c r="V182" s="122">
        <v>130127.22</v>
      </c>
      <c r="W182" s="122"/>
      <c r="X182" s="122">
        <v>241024.33000000002</v>
      </c>
      <c r="Y182" s="122"/>
      <c r="Z182" s="122"/>
      <c r="AA182" s="122">
        <v>0</v>
      </c>
    </row>
    <row r="183" spans="1:27" x14ac:dyDescent="0.25">
      <c r="A183" s="443">
        <v>24404</v>
      </c>
      <c r="B183" s="19" t="s">
        <v>55</v>
      </c>
      <c r="C183" t="s">
        <v>552</v>
      </c>
      <c r="D183" s="477"/>
      <c r="E183" s="121">
        <v>3162825.51</v>
      </c>
      <c r="F183" s="477">
        <v>0</v>
      </c>
      <c r="G183" s="477">
        <v>7319439.4299999997</v>
      </c>
      <c r="H183" s="477"/>
      <c r="I183" s="121">
        <v>0</v>
      </c>
      <c r="J183" s="379"/>
      <c r="K183" s="477">
        <v>0</v>
      </c>
      <c r="L183" s="477">
        <v>7319439.4299999997</v>
      </c>
      <c r="N183" s="121">
        <v>3162825.51</v>
      </c>
      <c r="P183" s="477"/>
      <c r="Q183" s="121">
        <v>0</v>
      </c>
      <c r="U183" s="122">
        <v>28459.33</v>
      </c>
      <c r="V183" s="122">
        <v>224962.58000000002</v>
      </c>
      <c r="W183" s="122"/>
      <c r="X183" s="122">
        <v>461947.79</v>
      </c>
      <c r="Y183" s="122"/>
      <c r="Z183" s="122"/>
      <c r="AA183" s="122">
        <v>0</v>
      </c>
    </row>
    <row r="184" spans="1:27" x14ac:dyDescent="0.25">
      <c r="A184" s="443">
        <v>24410</v>
      </c>
      <c r="B184" s="19" t="s">
        <v>55</v>
      </c>
      <c r="C184" t="s">
        <v>396</v>
      </c>
      <c r="D184" s="477"/>
      <c r="E184" s="121">
        <v>1525248.3199999998</v>
      </c>
      <c r="F184" s="477"/>
      <c r="G184" s="477">
        <v>3961885.51</v>
      </c>
      <c r="H184" s="477"/>
      <c r="I184" s="121">
        <v>0</v>
      </c>
      <c r="J184" s="379"/>
      <c r="K184" s="477"/>
      <c r="L184" s="477">
        <v>3961885.51</v>
      </c>
      <c r="N184" s="121">
        <v>1525248.3199999998</v>
      </c>
      <c r="P184" s="477"/>
      <c r="Q184" s="121">
        <v>0</v>
      </c>
      <c r="U184" s="122"/>
      <c r="V184" s="122">
        <v>142302.74</v>
      </c>
      <c r="W184" s="122"/>
      <c r="X184" s="122">
        <v>183211.81</v>
      </c>
      <c r="Y184" s="122"/>
      <c r="Z184" s="122"/>
      <c r="AA184" s="122">
        <v>0</v>
      </c>
    </row>
    <row r="185" spans="1:27" x14ac:dyDescent="0.25">
      <c r="A185" s="443">
        <v>25101</v>
      </c>
      <c r="B185" s="19" t="s">
        <v>34</v>
      </c>
      <c r="C185" t="s">
        <v>370</v>
      </c>
      <c r="D185" s="477">
        <v>25556.33</v>
      </c>
      <c r="E185" s="121">
        <v>2728235.1900000004</v>
      </c>
      <c r="F185" s="477"/>
      <c r="G185" s="477">
        <v>6065164.7000000002</v>
      </c>
      <c r="H185" s="477"/>
      <c r="I185" s="121">
        <v>0</v>
      </c>
      <c r="J185" s="379"/>
      <c r="K185" s="477"/>
      <c r="L185" s="477">
        <v>6065164.7000000002</v>
      </c>
      <c r="N185" s="121">
        <v>2728235.1900000004</v>
      </c>
      <c r="P185" s="477">
        <v>25556.33</v>
      </c>
      <c r="Q185" s="121">
        <v>0</v>
      </c>
      <c r="U185" s="122"/>
      <c r="V185" s="122">
        <v>13590.85</v>
      </c>
      <c r="W185" s="122"/>
      <c r="X185" s="122">
        <v>179667.47</v>
      </c>
      <c r="Y185" s="122"/>
      <c r="Z185" s="122">
        <v>0</v>
      </c>
      <c r="AA185" s="122">
        <v>0</v>
      </c>
    </row>
    <row r="186" spans="1:27" x14ac:dyDescent="0.25">
      <c r="A186" s="443">
        <v>25116</v>
      </c>
      <c r="B186" s="19" t="s">
        <v>13</v>
      </c>
      <c r="C186" t="s">
        <v>446</v>
      </c>
      <c r="D186" s="477"/>
      <c r="E186" s="121">
        <v>1623089.6900000002</v>
      </c>
      <c r="F186" s="477">
        <v>0</v>
      </c>
      <c r="G186" s="477">
        <v>3922954.62</v>
      </c>
      <c r="H186" s="477"/>
      <c r="I186" s="121">
        <v>0</v>
      </c>
      <c r="J186" s="379"/>
      <c r="K186" s="477">
        <v>0</v>
      </c>
      <c r="L186" s="477">
        <v>3922954.62</v>
      </c>
      <c r="N186" s="121">
        <v>1623089.6900000002</v>
      </c>
      <c r="P186" s="477"/>
      <c r="Q186" s="121">
        <v>0</v>
      </c>
      <c r="U186" s="122">
        <v>22296.43</v>
      </c>
      <c r="V186" s="122">
        <v>109975.4</v>
      </c>
      <c r="W186" s="122"/>
      <c r="X186" s="122">
        <v>192280.32000000001</v>
      </c>
      <c r="Y186" s="122"/>
      <c r="Z186" s="122"/>
      <c r="AA186" s="122">
        <v>0</v>
      </c>
    </row>
    <row r="187" spans="1:27" x14ac:dyDescent="0.25">
      <c r="A187" s="443">
        <v>25118</v>
      </c>
      <c r="B187" s="19" t="s">
        <v>13</v>
      </c>
      <c r="C187" t="s">
        <v>504</v>
      </c>
      <c r="D187" s="477"/>
      <c r="E187" s="121">
        <v>2483672.39</v>
      </c>
      <c r="F187" s="477">
        <v>0</v>
      </c>
      <c r="G187" s="477">
        <v>4429578.16</v>
      </c>
      <c r="H187" s="477"/>
      <c r="I187" s="121">
        <v>0</v>
      </c>
      <c r="J187" s="379"/>
      <c r="K187" s="477">
        <v>0</v>
      </c>
      <c r="L187" s="477">
        <v>4429578.16</v>
      </c>
      <c r="N187" s="121">
        <v>2483672.39</v>
      </c>
      <c r="P187" s="477"/>
      <c r="Q187" s="121">
        <v>0</v>
      </c>
      <c r="U187" s="122">
        <v>1283.58</v>
      </c>
      <c r="V187" s="122">
        <v>84938.209999999992</v>
      </c>
      <c r="W187" s="122"/>
      <c r="X187" s="122">
        <v>112300.2</v>
      </c>
      <c r="Y187" s="122"/>
      <c r="Z187" s="122"/>
      <c r="AA187" s="122">
        <v>0</v>
      </c>
    </row>
    <row r="188" spans="1:27" x14ac:dyDescent="0.25">
      <c r="A188" s="443">
        <v>25155</v>
      </c>
      <c r="B188" s="19" t="s">
        <v>34</v>
      </c>
      <c r="C188" t="s">
        <v>332</v>
      </c>
      <c r="D188" s="477"/>
      <c r="E188" s="121">
        <v>1003060.23</v>
      </c>
      <c r="F188" s="477"/>
      <c r="G188" s="477">
        <v>2321699.48</v>
      </c>
      <c r="H188" s="477"/>
      <c r="I188" s="121">
        <v>0</v>
      </c>
      <c r="J188" s="379"/>
      <c r="K188" s="477"/>
      <c r="L188" s="477">
        <v>2321699.48</v>
      </c>
      <c r="N188" s="121">
        <v>1003060.23</v>
      </c>
      <c r="P188" s="477"/>
      <c r="Q188" s="121">
        <v>0</v>
      </c>
      <c r="U188" s="122"/>
      <c r="V188" s="122">
        <v>54866.29</v>
      </c>
      <c r="W188" s="122"/>
      <c r="X188" s="122">
        <v>116891.3</v>
      </c>
      <c r="Y188" s="122"/>
      <c r="Z188" s="122"/>
      <c r="AA188" s="122">
        <v>0</v>
      </c>
    </row>
    <row r="189" spans="1:27" x14ac:dyDescent="0.25">
      <c r="A189" s="443">
        <v>25160</v>
      </c>
      <c r="B189" s="19" t="s">
        <v>13</v>
      </c>
      <c r="C189" t="s">
        <v>610</v>
      </c>
      <c r="D189" s="477"/>
      <c r="E189" s="121">
        <v>1357331.31</v>
      </c>
      <c r="F189" s="477">
        <v>0</v>
      </c>
      <c r="G189" s="477">
        <v>2896722.49</v>
      </c>
      <c r="H189" s="477"/>
      <c r="I189" s="121">
        <v>0</v>
      </c>
      <c r="J189" s="379"/>
      <c r="K189" s="477">
        <v>0</v>
      </c>
      <c r="L189" s="477">
        <v>2896722.49</v>
      </c>
      <c r="N189" s="121">
        <v>1357331.31</v>
      </c>
      <c r="P189" s="477"/>
      <c r="Q189" s="121">
        <v>0</v>
      </c>
      <c r="U189" s="122">
        <v>29273.25</v>
      </c>
      <c r="V189" s="122">
        <v>37536.839999999997</v>
      </c>
      <c r="W189" s="122"/>
      <c r="X189" s="122">
        <v>164175.56</v>
      </c>
      <c r="Y189" s="122"/>
      <c r="Z189" s="122"/>
      <c r="AA189" s="122">
        <v>0</v>
      </c>
    </row>
    <row r="190" spans="1:27" x14ac:dyDescent="0.25">
      <c r="A190" s="443">
        <v>25200</v>
      </c>
      <c r="B190" s="19" t="s">
        <v>13</v>
      </c>
      <c r="C190" t="s">
        <v>352</v>
      </c>
      <c r="D190" s="477"/>
      <c r="E190" s="121">
        <v>480941.69</v>
      </c>
      <c r="F190" s="477">
        <v>101671.55</v>
      </c>
      <c r="G190" s="477">
        <v>790742.77</v>
      </c>
      <c r="H190" s="477"/>
      <c r="I190" s="121">
        <v>0</v>
      </c>
      <c r="J190" s="379"/>
      <c r="K190" s="477">
        <v>101671.55</v>
      </c>
      <c r="L190" s="477">
        <v>790742.77</v>
      </c>
      <c r="N190" s="121">
        <v>480941.69</v>
      </c>
      <c r="P190" s="477"/>
      <c r="Q190" s="121">
        <v>0</v>
      </c>
      <c r="U190" s="122">
        <v>0</v>
      </c>
      <c r="V190" s="122">
        <v>19444.5</v>
      </c>
      <c r="W190" s="122"/>
      <c r="X190" s="122">
        <v>13524</v>
      </c>
      <c r="Y190" s="122"/>
      <c r="Z190" s="122"/>
      <c r="AA190" s="122">
        <v>0</v>
      </c>
    </row>
    <row r="191" spans="1:27" x14ac:dyDescent="0.25">
      <c r="A191" s="443">
        <v>26056</v>
      </c>
      <c r="B191" s="19" t="s">
        <v>18</v>
      </c>
      <c r="C191" t="s">
        <v>336</v>
      </c>
      <c r="D191" s="477"/>
      <c r="E191" s="121">
        <v>2861208.42</v>
      </c>
      <c r="F191" s="477"/>
      <c r="G191" s="477">
        <v>7435404.2999999998</v>
      </c>
      <c r="H191" s="477"/>
      <c r="I191" s="121">
        <v>0</v>
      </c>
      <c r="J191" s="379"/>
      <c r="K191" s="477"/>
      <c r="L191" s="477">
        <v>7435404.2999999998</v>
      </c>
      <c r="N191" s="121">
        <v>2861208.42</v>
      </c>
      <c r="P191" s="477"/>
      <c r="Q191" s="121">
        <v>0</v>
      </c>
      <c r="U191" s="122"/>
      <c r="V191" s="122">
        <v>121355.8</v>
      </c>
      <c r="W191" s="122"/>
      <c r="X191" s="122">
        <v>20085.259999999995</v>
      </c>
      <c r="Y191" s="122"/>
      <c r="Z191" s="122"/>
      <c r="AA191" s="122">
        <v>0</v>
      </c>
    </row>
    <row r="192" spans="1:27" x14ac:dyDescent="0.25">
      <c r="A192" s="443">
        <v>26059</v>
      </c>
      <c r="B192" s="19" t="s">
        <v>18</v>
      </c>
      <c r="C192" t="s">
        <v>124</v>
      </c>
      <c r="D192" s="477"/>
      <c r="E192" s="121">
        <v>1515203.27</v>
      </c>
      <c r="F192" s="477"/>
      <c r="G192" s="477">
        <v>2609062.69</v>
      </c>
      <c r="H192" s="477"/>
      <c r="I192" s="121">
        <v>0</v>
      </c>
      <c r="J192" s="379"/>
      <c r="K192" s="477"/>
      <c r="L192" s="477">
        <v>2609062.69</v>
      </c>
      <c r="N192" s="121">
        <v>1515203.27</v>
      </c>
      <c r="P192" s="477"/>
      <c r="Q192" s="121">
        <v>0</v>
      </c>
      <c r="U192" s="122"/>
      <c r="V192" s="122">
        <v>18545.07</v>
      </c>
      <c r="W192" s="122"/>
      <c r="X192" s="122">
        <v>108097.44</v>
      </c>
      <c r="Y192" s="122"/>
      <c r="Z192" s="122"/>
      <c r="AA192" s="122">
        <v>0</v>
      </c>
    </row>
    <row r="193" spans="1:27" x14ac:dyDescent="0.25">
      <c r="A193" s="443">
        <v>26070</v>
      </c>
      <c r="B193" s="19" t="s">
        <v>18</v>
      </c>
      <c r="C193" t="s">
        <v>484</v>
      </c>
      <c r="D193" s="477"/>
      <c r="E193" s="121">
        <v>1180813.4100000001</v>
      </c>
      <c r="F193" s="477">
        <v>0</v>
      </c>
      <c r="G193" s="477">
        <v>2101650.2599999998</v>
      </c>
      <c r="H193" s="477"/>
      <c r="I193" s="121">
        <v>0</v>
      </c>
      <c r="J193" s="379"/>
      <c r="K193" s="477">
        <v>0</v>
      </c>
      <c r="L193" s="477">
        <v>2101650.2599999998</v>
      </c>
      <c r="N193" s="121">
        <v>1180813.4100000001</v>
      </c>
      <c r="P193" s="477"/>
      <c r="Q193" s="121">
        <v>0</v>
      </c>
      <c r="U193" s="122">
        <v>45943.519999999997</v>
      </c>
      <c r="V193" s="122">
        <v>32224.73</v>
      </c>
      <c r="W193" s="122"/>
      <c r="X193" s="122">
        <v>150524.63999999998</v>
      </c>
      <c r="Y193" s="122"/>
      <c r="Z193" s="122"/>
      <c r="AA193" s="122">
        <v>0</v>
      </c>
    </row>
    <row r="194" spans="1:27" x14ac:dyDescent="0.25">
      <c r="A194" s="443">
        <v>27001</v>
      </c>
      <c r="B194" s="19" t="s">
        <v>29</v>
      </c>
      <c r="C194" t="s">
        <v>524</v>
      </c>
      <c r="D194" s="477"/>
      <c r="E194" s="121">
        <v>6336950.0999999996</v>
      </c>
      <c r="F194" s="477">
        <v>0</v>
      </c>
      <c r="G194" s="477">
        <v>22539787.41</v>
      </c>
      <c r="H194" s="477"/>
      <c r="I194" s="121">
        <v>0</v>
      </c>
      <c r="J194" s="379"/>
      <c r="K194" s="477">
        <v>0</v>
      </c>
      <c r="L194" s="477">
        <v>22539787.41</v>
      </c>
      <c r="N194" s="121">
        <v>6336950.0999999996</v>
      </c>
      <c r="P194" s="477"/>
      <c r="Q194" s="121">
        <v>0</v>
      </c>
      <c r="U194" s="122">
        <v>9466.66</v>
      </c>
      <c r="V194" s="122">
        <v>628076.82000000007</v>
      </c>
      <c r="W194" s="122"/>
      <c r="X194" s="122">
        <v>394739.3</v>
      </c>
      <c r="Y194" s="122"/>
      <c r="Z194" s="122"/>
      <c r="AA194" s="122">
        <v>0</v>
      </c>
    </row>
    <row r="195" spans="1:27" x14ac:dyDescent="0.25">
      <c r="A195" s="443">
        <v>27003</v>
      </c>
      <c r="B195" s="19" t="s">
        <v>29</v>
      </c>
      <c r="C195" t="s">
        <v>432</v>
      </c>
      <c r="D195" s="477">
        <v>135670.28</v>
      </c>
      <c r="E195" s="121">
        <v>68066676.079999998</v>
      </c>
      <c r="F195" s="477">
        <v>116455.74</v>
      </c>
      <c r="G195" s="477">
        <v>176605954.31</v>
      </c>
      <c r="H195" s="477"/>
      <c r="I195" s="121">
        <v>0</v>
      </c>
      <c r="J195" s="379"/>
      <c r="K195" s="477">
        <v>116455.74</v>
      </c>
      <c r="L195" s="477">
        <v>176605954.31</v>
      </c>
      <c r="N195" s="121">
        <v>68066676.079999998</v>
      </c>
      <c r="P195" s="477">
        <v>135670.28</v>
      </c>
      <c r="Q195" s="121">
        <v>0</v>
      </c>
      <c r="U195" s="122">
        <v>112371.65</v>
      </c>
      <c r="V195" s="122">
        <v>1909154.3900000001</v>
      </c>
      <c r="W195" s="122"/>
      <c r="X195" s="122">
        <v>1937223.09</v>
      </c>
      <c r="Y195" s="122"/>
      <c r="Z195" s="122">
        <v>0</v>
      </c>
      <c r="AA195" s="122">
        <v>0</v>
      </c>
    </row>
    <row r="196" spans="1:27" x14ac:dyDescent="0.25">
      <c r="A196" s="443">
        <v>27010</v>
      </c>
      <c r="B196" s="19" t="s">
        <v>29</v>
      </c>
      <c r="C196" t="s">
        <v>538</v>
      </c>
      <c r="D196" s="477">
        <v>430614.22</v>
      </c>
      <c r="E196" s="121">
        <v>98634179.539999992</v>
      </c>
      <c r="F196" s="477">
        <v>281855.05</v>
      </c>
      <c r="G196" s="477">
        <v>247205153.14000002</v>
      </c>
      <c r="H196" s="477"/>
      <c r="I196" s="121">
        <v>0</v>
      </c>
      <c r="J196" s="379"/>
      <c r="K196" s="477">
        <v>281855.05</v>
      </c>
      <c r="L196" s="477">
        <v>247205153.14000002</v>
      </c>
      <c r="N196" s="121">
        <v>98634179.539999992</v>
      </c>
      <c r="P196" s="477">
        <v>430614.22</v>
      </c>
      <c r="Q196" s="121">
        <v>0</v>
      </c>
      <c r="U196" s="122">
        <v>215242.32</v>
      </c>
      <c r="V196" s="122">
        <v>5055673.91</v>
      </c>
      <c r="W196" s="122"/>
      <c r="X196" s="122">
        <v>3979796.25</v>
      </c>
      <c r="Y196" s="122"/>
      <c r="Z196" s="122">
        <v>0</v>
      </c>
      <c r="AA196" s="122">
        <v>0</v>
      </c>
    </row>
    <row r="197" spans="1:27" x14ac:dyDescent="0.25">
      <c r="A197" s="443">
        <v>27019</v>
      </c>
      <c r="B197" s="19" t="s">
        <v>29</v>
      </c>
      <c r="C197" t="s">
        <v>66</v>
      </c>
      <c r="D197" s="477"/>
      <c r="E197" s="121">
        <v>479442.45999999996</v>
      </c>
      <c r="F197" s="477"/>
      <c r="G197" s="477">
        <v>1175279.73</v>
      </c>
      <c r="H197" s="477"/>
      <c r="I197" s="121">
        <v>0</v>
      </c>
      <c r="J197" s="379"/>
      <c r="K197" s="477"/>
      <c r="L197" s="477">
        <v>1175279.73</v>
      </c>
      <c r="N197" s="121">
        <v>479442.45999999996</v>
      </c>
      <c r="P197" s="477"/>
      <c r="Q197" s="121">
        <v>0</v>
      </c>
      <c r="U197" s="122"/>
      <c r="V197" s="122">
        <v>851.5</v>
      </c>
      <c r="W197" s="122"/>
      <c r="X197" s="122">
        <v>15279.25</v>
      </c>
      <c r="Y197" s="122"/>
      <c r="Z197" s="122"/>
      <c r="AA197" s="122">
        <v>0</v>
      </c>
    </row>
    <row r="198" spans="1:27" x14ac:dyDescent="0.25">
      <c r="A198" s="443">
        <v>27083</v>
      </c>
      <c r="B198" s="19" t="s">
        <v>29</v>
      </c>
      <c r="C198" t="s">
        <v>568</v>
      </c>
      <c r="D198" s="477"/>
      <c r="E198" s="121">
        <v>13090546.25</v>
      </c>
      <c r="F198" s="477">
        <v>0</v>
      </c>
      <c r="G198" s="477">
        <v>40974068.980000004</v>
      </c>
      <c r="H198" s="477"/>
      <c r="I198" s="121">
        <v>0</v>
      </c>
      <c r="J198" s="379"/>
      <c r="K198" s="477">
        <v>0</v>
      </c>
      <c r="L198" s="477">
        <v>40974068.980000004</v>
      </c>
      <c r="N198" s="121">
        <v>13090546.25</v>
      </c>
      <c r="P198" s="477"/>
      <c r="Q198" s="121">
        <v>0</v>
      </c>
      <c r="U198" s="122">
        <v>81468.08</v>
      </c>
      <c r="V198" s="122">
        <v>1068100.1099999999</v>
      </c>
      <c r="W198" s="122"/>
      <c r="X198" s="122">
        <v>1222638.19</v>
      </c>
      <c r="Y198" s="122"/>
      <c r="Z198" s="122"/>
      <c r="AA198" s="122">
        <v>0</v>
      </c>
    </row>
    <row r="199" spans="1:27" x14ac:dyDescent="0.25">
      <c r="A199" s="443">
        <v>27320</v>
      </c>
      <c r="B199" s="19" t="s">
        <v>29</v>
      </c>
      <c r="C199" t="s">
        <v>1106</v>
      </c>
      <c r="D199" s="477"/>
      <c r="E199" s="121">
        <v>25167228.82</v>
      </c>
      <c r="F199" s="477">
        <v>27066.69</v>
      </c>
      <c r="G199" s="477">
        <v>77723797.969999999</v>
      </c>
      <c r="H199" s="477"/>
      <c r="I199" s="121">
        <v>0</v>
      </c>
      <c r="J199" s="379"/>
      <c r="K199" s="477">
        <v>27066.69</v>
      </c>
      <c r="L199" s="477">
        <v>77723797.969999999</v>
      </c>
      <c r="N199" s="121">
        <v>25167228.82</v>
      </c>
      <c r="P199" s="477"/>
      <c r="Q199" s="121">
        <v>0</v>
      </c>
      <c r="U199" s="122">
        <v>62680.28</v>
      </c>
      <c r="V199" s="122">
        <v>2244507.36</v>
      </c>
      <c r="W199" s="122"/>
      <c r="X199" s="122">
        <v>1854333.8399999999</v>
      </c>
      <c r="Y199" s="122"/>
      <c r="Z199" s="122"/>
      <c r="AA199" s="122">
        <v>0</v>
      </c>
    </row>
    <row r="200" spans="1:27" x14ac:dyDescent="0.25">
      <c r="A200" s="443">
        <v>27343</v>
      </c>
      <c r="B200" s="19" t="s">
        <v>29</v>
      </c>
      <c r="C200" t="s">
        <v>136</v>
      </c>
      <c r="D200" s="477"/>
      <c r="E200" s="121">
        <v>4484551.21</v>
      </c>
      <c r="F200" s="477"/>
      <c r="G200" s="477">
        <v>12241036.350000001</v>
      </c>
      <c r="H200" s="477"/>
      <c r="I200" s="121">
        <v>0</v>
      </c>
      <c r="J200" s="379"/>
      <c r="K200" s="477"/>
      <c r="L200" s="477">
        <v>12241036.350000001</v>
      </c>
      <c r="N200" s="121">
        <v>4484551.21</v>
      </c>
      <c r="P200" s="477"/>
      <c r="Q200" s="121">
        <v>0</v>
      </c>
      <c r="U200" s="122"/>
      <c r="V200" s="122">
        <v>209193.01</v>
      </c>
      <c r="W200" s="122"/>
      <c r="X200" s="122">
        <v>349072.85</v>
      </c>
      <c r="Y200" s="122"/>
      <c r="Z200" s="122"/>
      <c r="AA200" s="122">
        <v>0</v>
      </c>
    </row>
    <row r="201" spans="1:27" x14ac:dyDescent="0.25">
      <c r="A201" s="443">
        <v>27344</v>
      </c>
      <c r="B201" s="19" t="s">
        <v>29</v>
      </c>
      <c r="C201" t="s">
        <v>398</v>
      </c>
      <c r="D201" s="477"/>
      <c r="E201" s="121">
        <v>7490604.0800000001</v>
      </c>
      <c r="F201" s="477">
        <v>0</v>
      </c>
      <c r="G201" s="477">
        <v>18053696.27</v>
      </c>
      <c r="H201" s="477"/>
      <c r="I201" s="121">
        <v>0</v>
      </c>
      <c r="J201" s="379"/>
      <c r="K201" s="477">
        <v>0</v>
      </c>
      <c r="L201" s="477">
        <v>18053696.27</v>
      </c>
      <c r="N201" s="121">
        <v>7490604.0800000001</v>
      </c>
      <c r="P201" s="477"/>
      <c r="Q201" s="121">
        <v>0</v>
      </c>
      <c r="U201" s="122">
        <v>1125</v>
      </c>
      <c r="V201" s="122">
        <v>315900.26</v>
      </c>
      <c r="W201" s="122"/>
      <c r="X201" s="122">
        <v>679028.25</v>
      </c>
      <c r="Y201" s="122"/>
      <c r="Z201" s="122"/>
      <c r="AA201" s="122">
        <v>0</v>
      </c>
    </row>
    <row r="202" spans="1:27" x14ac:dyDescent="0.25">
      <c r="A202" s="443">
        <v>27400</v>
      </c>
      <c r="B202" s="19" t="s">
        <v>29</v>
      </c>
      <c r="C202" t="s">
        <v>94</v>
      </c>
      <c r="D202" s="477">
        <v>123787.83</v>
      </c>
      <c r="E202" s="121">
        <v>45542495.789999999</v>
      </c>
      <c r="F202" s="477">
        <v>0</v>
      </c>
      <c r="G202" s="477">
        <v>104705262.13</v>
      </c>
      <c r="H202" s="477"/>
      <c r="I202" s="121">
        <v>0</v>
      </c>
      <c r="J202" s="379"/>
      <c r="K202" s="477">
        <v>0</v>
      </c>
      <c r="L202" s="477">
        <v>104705262.13</v>
      </c>
      <c r="N202" s="121">
        <v>45542495.789999999</v>
      </c>
      <c r="P202" s="477">
        <v>123787.83</v>
      </c>
      <c r="Q202" s="121">
        <v>0</v>
      </c>
      <c r="U202" s="122">
        <v>28631.01</v>
      </c>
      <c r="V202" s="122">
        <v>1437179.0999999999</v>
      </c>
      <c r="W202" s="122"/>
      <c r="X202" s="122">
        <v>1133880.48</v>
      </c>
      <c r="Y202" s="122"/>
      <c r="Z202" s="122">
        <v>0</v>
      </c>
      <c r="AA202" s="122">
        <v>0</v>
      </c>
    </row>
    <row r="203" spans="1:27" x14ac:dyDescent="0.25">
      <c r="A203" s="443">
        <v>27401</v>
      </c>
      <c r="B203" s="19" t="s">
        <v>29</v>
      </c>
      <c r="C203" t="s">
        <v>414</v>
      </c>
      <c r="D203" s="477"/>
      <c r="E203" s="121">
        <v>21331154.850000001</v>
      </c>
      <c r="F203" s="477">
        <v>0</v>
      </c>
      <c r="G203" s="477">
        <v>67277233.019999996</v>
      </c>
      <c r="H203" s="477"/>
      <c r="I203" s="121">
        <v>0</v>
      </c>
      <c r="J203" s="379"/>
      <c r="K203" s="477">
        <v>0</v>
      </c>
      <c r="L203" s="477">
        <v>67277233.019999996</v>
      </c>
      <c r="N203" s="121">
        <v>21331154.850000001</v>
      </c>
      <c r="P203" s="477"/>
      <c r="Q203" s="121">
        <v>0</v>
      </c>
      <c r="U203" s="122">
        <v>23957.3</v>
      </c>
      <c r="V203" s="122">
        <v>2089190.71</v>
      </c>
      <c r="W203" s="122"/>
      <c r="X203" s="122">
        <v>1456594.66</v>
      </c>
      <c r="Y203" s="122"/>
      <c r="Z203" s="122"/>
      <c r="AA203" s="122">
        <v>0</v>
      </c>
    </row>
    <row r="204" spans="1:27" x14ac:dyDescent="0.25">
      <c r="A204" s="443">
        <v>27402</v>
      </c>
      <c r="B204" s="19" t="s">
        <v>29</v>
      </c>
      <c r="C204" t="s">
        <v>188</v>
      </c>
      <c r="D204" s="477">
        <v>83237.22</v>
      </c>
      <c r="E204" s="121">
        <v>22152126.449999999</v>
      </c>
      <c r="F204" s="477">
        <v>118593.96</v>
      </c>
      <c r="G204" s="477">
        <v>56555171.780000001</v>
      </c>
      <c r="H204" s="477"/>
      <c r="I204" s="121">
        <v>0</v>
      </c>
      <c r="J204" s="379"/>
      <c r="K204" s="477">
        <v>118593.96</v>
      </c>
      <c r="L204" s="477">
        <v>56555171.780000001</v>
      </c>
      <c r="N204" s="121">
        <v>22152126.449999999</v>
      </c>
      <c r="P204" s="477">
        <v>83237.22</v>
      </c>
      <c r="Q204" s="121">
        <v>0</v>
      </c>
      <c r="U204" s="122">
        <v>13100.68</v>
      </c>
      <c r="V204" s="122">
        <v>1152110.79</v>
      </c>
      <c r="W204" s="122"/>
      <c r="X204" s="122">
        <v>1009737.3400000001</v>
      </c>
      <c r="Y204" s="122"/>
      <c r="Z204" s="122">
        <v>0</v>
      </c>
      <c r="AA204" s="122">
        <v>0</v>
      </c>
    </row>
    <row r="205" spans="1:27" x14ac:dyDescent="0.25">
      <c r="A205" s="443">
        <v>27403</v>
      </c>
      <c r="B205" s="19" t="s">
        <v>29</v>
      </c>
      <c r="C205" t="s">
        <v>41</v>
      </c>
      <c r="D205" s="477"/>
      <c r="E205" s="121">
        <v>53035288.93</v>
      </c>
      <c r="F205" s="477">
        <v>0</v>
      </c>
      <c r="G205" s="477">
        <v>143625014.75</v>
      </c>
      <c r="H205" s="477"/>
      <c r="I205" s="121">
        <v>0</v>
      </c>
      <c r="J205" s="379"/>
      <c r="K205" s="477">
        <v>0</v>
      </c>
      <c r="L205" s="477">
        <v>143625014.75</v>
      </c>
      <c r="N205" s="121">
        <v>53035288.93</v>
      </c>
      <c r="P205" s="477"/>
      <c r="Q205" s="121">
        <v>0</v>
      </c>
      <c r="U205" s="122">
        <v>278314.94</v>
      </c>
      <c r="V205" s="122">
        <v>2838169.7800000003</v>
      </c>
      <c r="W205" s="122"/>
      <c r="X205" s="122">
        <v>3521042.33</v>
      </c>
      <c r="Y205" s="122"/>
      <c r="Z205" s="122"/>
      <c r="AA205" s="122">
        <v>0</v>
      </c>
    </row>
    <row r="206" spans="1:27" x14ac:dyDescent="0.25">
      <c r="A206" s="443">
        <v>27404</v>
      </c>
      <c r="B206" s="19" t="s">
        <v>29</v>
      </c>
      <c r="C206" t="s">
        <v>148</v>
      </c>
      <c r="D206" s="477"/>
      <c r="E206" s="121">
        <v>4893589.33</v>
      </c>
      <c r="F206" s="477">
        <v>0</v>
      </c>
      <c r="G206" s="477">
        <v>12527707.91</v>
      </c>
      <c r="H206" s="477"/>
      <c r="I206" s="121">
        <v>0</v>
      </c>
      <c r="J206" s="379"/>
      <c r="K206" s="477">
        <v>0</v>
      </c>
      <c r="L206" s="477">
        <v>12527707.91</v>
      </c>
      <c r="N206" s="121">
        <v>4893589.33</v>
      </c>
      <c r="P206" s="477"/>
      <c r="Q206" s="121">
        <v>0</v>
      </c>
      <c r="U206" s="122">
        <v>23529.58</v>
      </c>
      <c r="V206" s="122">
        <v>465879.84</v>
      </c>
      <c r="W206" s="122"/>
      <c r="X206" s="122">
        <v>524492.92000000004</v>
      </c>
      <c r="Y206" s="122"/>
      <c r="Z206" s="122"/>
      <c r="AA206" s="122">
        <v>0</v>
      </c>
    </row>
    <row r="207" spans="1:27" x14ac:dyDescent="0.25">
      <c r="A207" s="443">
        <v>27416</v>
      </c>
      <c r="B207" s="19" t="s">
        <v>29</v>
      </c>
      <c r="C207" t="s">
        <v>604</v>
      </c>
      <c r="D207" s="477"/>
      <c r="E207" s="121">
        <v>11417288.52</v>
      </c>
      <c r="F207" s="477">
        <v>0</v>
      </c>
      <c r="G207" s="477">
        <v>28008323.850000001</v>
      </c>
      <c r="H207" s="477"/>
      <c r="I207" s="121">
        <v>0</v>
      </c>
      <c r="J207" s="379"/>
      <c r="K207" s="477">
        <v>0</v>
      </c>
      <c r="L207" s="477">
        <v>28008323.850000001</v>
      </c>
      <c r="N207" s="121">
        <v>11417288.52</v>
      </c>
      <c r="P207" s="477"/>
      <c r="Q207" s="121">
        <v>0</v>
      </c>
      <c r="U207" s="122">
        <v>3585.69</v>
      </c>
      <c r="V207" s="122">
        <v>734304.34000000008</v>
      </c>
      <c r="W207" s="122"/>
      <c r="X207" s="122">
        <v>1170649.3699999999</v>
      </c>
      <c r="Y207" s="122"/>
      <c r="Z207" s="122"/>
      <c r="AA207" s="122">
        <v>0</v>
      </c>
    </row>
    <row r="208" spans="1:27" x14ac:dyDescent="0.25">
      <c r="A208" s="443">
        <v>27417</v>
      </c>
      <c r="B208" s="19" t="s">
        <v>29</v>
      </c>
      <c r="C208" t="s">
        <v>184</v>
      </c>
      <c r="D208" s="477">
        <v>127409.47</v>
      </c>
      <c r="E208" s="121">
        <v>10576530.08</v>
      </c>
      <c r="F208" s="477">
        <v>0</v>
      </c>
      <c r="G208" s="477">
        <v>32211980.710000001</v>
      </c>
      <c r="H208" s="477"/>
      <c r="I208" s="121">
        <v>0</v>
      </c>
      <c r="J208" s="379"/>
      <c r="K208" s="477">
        <v>0</v>
      </c>
      <c r="L208" s="477">
        <v>32211980.710000001</v>
      </c>
      <c r="N208" s="121">
        <v>10576530.08</v>
      </c>
      <c r="P208" s="477">
        <v>127409.47</v>
      </c>
      <c r="Q208" s="121">
        <v>0</v>
      </c>
      <c r="U208" s="122">
        <v>66617.22</v>
      </c>
      <c r="V208" s="122">
        <v>673589.97</v>
      </c>
      <c r="W208" s="122"/>
      <c r="X208" s="122">
        <v>834319.71</v>
      </c>
      <c r="Y208" s="122"/>
      <c r="Z208" s="122">
        <v>0</v>
      </c>
      <c r="AA208" s="122">
        <v>0</v>
      </c>
    </row>
    <row r="209" spans="1:27" x14ac:dyDescent="0.25">
      <c r="A209" s="446">
        <v>27901</v>
      </c>
      <c r="B209" s="19" t="s">
        <v>1039</v>
      </c>
      <c r="C209" t="s">
        <v>1150</v>
      </c>
      <c r="D209" s="477">
        <v>72079.88</v>
      </c>
      <c r="E209" s="121">
        <v>7891759.9199999999</v>
      </c>
      <c r="F209" s="477"/>
      <c r="G209" s="477">
        <v>9215868.3100000005</v>
      </c>
      <c r="H209" s="477"/>
      <c r="I209" s="121">
        <v>0</v>
      </c>
      <c r="J209" s="379"/>
      <c r="K209" s="477"/>
      <c r="L209" s="477">
        <v>9215868.3100000005</v>
      </c>
      <c r="N209" s="121">
        <v>7891759.9199999999</v>
      </c>
      <c r="P209" s="477">
        <v>72079.88</v>
      </c>
      <c r="Q209" s="121">
        <v>0</v>
      </c>
      <c r="U209" s="122"/>
      <c r="V209" s="122">
        <v>101991.84</v>
      </c>
      <c r="W209" s="122"/>
      <c r="X209" s="122">
        <v>150230.47</v>
      </c>
      <c r="Y209" s="122"/>
      <c r="Z209" s="122">
        <v>0</v>
      </c>
      <c r="AA209" s="122">
        <v>0</v>
      </c>
    </row>
    <row r="210" spans="1:27" x14ac:dyDescent="0.25">
      <c r="A210" s="443">
        <v>27904</v>
      </c>
      <c r="B210" s="19" t="s">
        <v>1039</v>
      </c>
      <c r="C210" t="s">
        <v>1085</v>
      </c>
      <c r="D210" s="477"/>
      <c r="E210" s="121">
        <v>832155.45</v>
      </c>
      <c r="F210" s="477"/>
      <c r="G210" s="477">
        <v>1789182.0899999999</v>
      </c>
      <c r="H210" s="477"/>
      <c r="I210" s="121">
        <v>0</v>
      </c>
      <c r="J210" s="379"/>
      <c r="K210" s="477"/>
      <c r="L210" s="477">
        <v>1789182.0899999999</v>
      </c>
      <c r="N210" s="121">
        <v>832155.45</v>
      </c>
      <c r="P210" s="477"/>
      <c r="Q210" s="121">
        <v>0</v>
      </c>
      <c r="U210" s="122"/>
      <c r="V210" s="122">
        <v>27999</v>
      </c>
      <c r="W210" s="122"/>
      <c r="X210" s="122">
        <v>0</v>
      </c>
      <c r="Y210" s="122"/>
      <c r="Z210" s="122"/>
      <c r="AA210" s="122">
        <v>0</v>
      </c>
    </row>
    <row r="211" spans="1:27" x14ac:dyDescent="0.25">
      <c r="A211" s="443">
        <v>28010</v>
      </c>
      <c r="B211" s="19" t="s">
        <v>21</v>
      </c>
      <c r="C211" t="s">
        <v>488</v>
      </c>
      <c r="D211" s="477"/>
      <c r="E211" s="121">
        <v>62222.879999999997</v>
      </c>
      <c r="F211" s="477"/>
      <c r="G211" s="477">
        <v>217193.82</v>
      </c>
      <c r="H211" s="477"/>
      <c r="I211" s="121">
        <v>0</v>
      </c>
      <c r="J211" s="379"/>
      <c r="K211" s="477"/>
      <c r="L211" s="477">
        <v>217193.82</v>
      </c>
      <c r="N211" s="121">
        <v>62222.879999999997</v>
      </c>
      <c r="P211" s="477"/>
      <c r="Q211" s="121">
        <v>0</v>
      </c>
      <c r="U211" s="122"/>
      <c r="V211" s="122">
        <v>0</v>
      </c>
      <c r="W211" s="122"/>
      <c r="X211" s="122">
        <v>0</v>
      </c>
      <c r="Y211" s="122"/>
      <c r="Z211" s="122"/>
      <c r="AA211" s="122">
        <v>0</v>
      </c>
    </row>
    <row r="212" spans="1:27" x14ac:dyDescent="0.25">
      <c r="A212" s="443">
        <v>28137</v>
      </c>
      <c r="B212" s="19" t="s">
        <v>21</v>
      </c>
      <c r="C212" t="s">
        <v>388</v>
      </c>
      <c r="D212" s="477"/>
      <c r="E212" s="121">
        <v>2212376.89</v>
      </c>
      <c r="F212" s="477"/>
      <c r="G212" s="477">
        <v>4942925.1400000006</v>
      </c>
      <c r="H212" s="477"/>
      <c r="I212" s="121">
        <v>0</v>
      </c>
      <c r="J212" s="379"/>
      <c r="K212" s="477"/>
      <c r="L212" s="477">
        <v>4942925.1400000006</v>
      </c>
      <c r="N212" s="121">
        <v>2212376.89</v>
      </c>
      <c r="P212" s="477"/>
      <c r="Q212" s="121">
        <v>0</v>
      </c>
      <c r="U212" s="122"/>
      <c r="V212" s="122">
        <v>87333.81</v>
      </c>
      <c r="W212" s="122"/>
      <c r="X212" s="122">
        <v>262596.75</v>
      </c>
      <c r="Y212" s="122"/>
      <c r="Z212" s="122"/>
      <c r="AA212" s="122">
        <v>0</v>
      </c>
    </row>
    <row r="213" spans="1:27" x14ac:dyDescent="0.25">
      <c r="A213" s="443">
        <v>28144</v>
      </c>
      <c r="B213" s="19" t="s">
        <v>21</v>
      </c>
      <c r="C213" t="s">
        <v>276</v>
      </c>
      <c r="D213" s="477"/>
      <c r="E213" s="121">
        <v>1066559.24</v>
      </c>
      <c r="F213" s="477"/>
      <c r="G213" s="477">
        <v>2629528.15</v>
      </c>
      <c r="H213" s="477"/>
      <c r="I213" s="121">
        <v>0</v>
      </c>
      <c r="J213" s="379"/>
      <c r="K213" s="477"/>
      <c r="L213" s="477">
        <v>2629528.15</v>
      </c>
      <c r="N213" s="121">
        <v>1066559.24</v>
      </c>
      <c r="P213" s="477"/>
      <c r="Q213" s="121">
        <v>0</v>
      </c>
      <c r="U213" s="122"/>
      <c r="V213" s="122">
        <v>116949.13</v>
      </c>
      <c r="W213" s="122"/>
      <c r="X213" s="122">
        <v>102647.61</v>
      </c>
      <c r="Y213" s="122"/>
      <c r="Z213" s="122"/>
      <c r="AA213" s="122">
        <v>0</v>
      </c>
    </row>
    <row r="214" spans="1:27" x14ac:dyDescent="0.25">
      <c r="A214" s="443">
        <v>28149</v>
      </c>
      <c r="B214" s="19" t="s">
        <v>21</v>
      </c>
      <c r="C214" t="s">
        <v>474</v>
      </c>
      <c r="D214" s="477"/>
      <c r="E214" s="121">
        <v>2811674.62</v>
      </c>
      <c r="F214" s="477">
        <v>0</v>
      </c>
      <c r="G214" s="477">
        <v>6936477.4699999997</v>
      </c>
      <c r="H214" s="477"/>
      <c r="I214" s="121">
        <v>0</v>
      </c>
      <c r="J214" s="379"/>
      <c r="K214" s="477">
        <v>0</v>
      </c>
      <c r="L214" s="477">
        <v>6936477.4699999997</v>
      </c>
      <c r="N214" s="121">
        <v>2811674.62</v>
      </c>
      <c r="P214" s="477"/>
      <c r="Q214" s="121">
        <v>0</v>
      </c>
      <c r="U214" s="122">
        <v>27641.599999999999</v>
      </c>
      <c r="V214" s="122">
        <v>250901.26</v>
      </c>
      <c r="W214" s="122"/>
      <c r="X214" s="122">
        <v>225423.40999999997</v>
      </c>
      <c r="Y214" s="122"/>
      <c r="Z214" s="122"/>
      <c r="AA214" s="122">
        <v>0</v>
      </c>
    </row>
    <row r="215" spans="1:27" x14ac:dyDescent="0.25">
      <c r="A215" s="443">
        <v>29011</v>
      </c>
      <c r="B215" s="19" t="s">
        <v>21</v>
      </c>
      <c r="C215" t="s">
        <v>108</v>
      </c>
      <c r="D215" s="477"/>
      <c r="E215" s="121">
        <v>2514636.21</v>
      </c>
      <c r="F215" s="477"/>
      <c r="G215" s="477">
        <v>4047453.63</v>
      </c>
      <c r="H215" s="477"/>
      <c r="I215" s="121">
        <v>0</v>
      </c>
      <c r="J215" s="379"/>
      <c r="K215" s="477"/>
      <c r="L215" s="477">
        <v>4047453.63</v>
      </c>
      <c r="N215" s="121">
        <v>2514636.21</v>
      </c>
      <c r="P215" s="477"/>
      <c r="Q215" s="121">
        <v>0</v>
      </c>
      <c r="U215" s="122"/>
      <c r="V215" s="122">
        <v>80992.73000000001</v>
      </c>
      <c r="W215" s="122"/>
      <c r="X215" s="122">
        <v>69276.989999999991</v>
      </c>
      <c r="Y215" s="122"/>
      <c r="Z215" s="122"/>
      <c r="AA215" s="122">
        <v>0</v>
      </c>
    </row>
    <row r="216" spans="1:27" x14ac:dyDescent="0.25">
      <c r="A216" s="443">
        <v>29100</v>
      </c>
      <c r="B216" s="19" t="s">
        <v>21</v>
      </c>
      <c r="C216" t="s">
        <v>60</v>
      </c>
      <c r="D216" s="477"/>
      <c r="E216" s="121">
        <v>11312276.969999999</v>
      </c>
      <c r="F216" s="477">
        <v>0</v>
      </c>
      <c r="G216" s="477">
        <v>31302977.650000002</v>
      </c>
      <c r="H216" s="477"/>
      <c r="I216" s="121">
        <v>0</v>
      </c>
      <c r="J216" s="379"/>
      <c r="K216" s="477">
        <v>0</v>
      </c>
      <c r="L216" s="477">
        <v>31302977.650000002</v>
      </c>
      <c r="N216" s="121">
        <v>11312276.969999999</v>
      </c>
      <c r="P216" s="477"/>
      <c r="Q216" s="121">
        <v>0</v>
      </c>
      <c r="U216" s="122">
        <v>71020.25</v>
      </c>
      <c r="V216" s="122">
        <v>496523.91</v>
      </c>
      <c r="W216" s="122"/>
      <c r="X216" s="122">
        <v>747328.82000000007</v>
      </c>
      <c r="Y216" s="122"/>
      <c r="Z216" s="122"/>
      <c r="AA216" s="122">
        <v>0</v>
      </c>
    </row>
    <row r="217" spans="1:27" x14ac:dyDescent="0.25">
      <c r="A217" s="443">
        <v>29101</v>
      </c>
      <c r="B217" s="19" t="s">
        <v>21</v>
      </c>
      <c r="C217" t="s">
        <v>480</v>
      </c>
      <c r="D217" s="477">
        <v>45389.9</v>
      </c>
      <c r="E217" s="121">
        <v>17067525.510000002</v>
      </c>
      <c r="F217" s="477">
        <v>145241.20000000001</v>
      </c>
      <c r="G217" s="477">
        <v>36403989.409999996</v>
      </c>
      <c r="H217" s="477"/>
      <c r="I217" s="121">
        <v>0</v>
      </c>
      <c r="J217" s="379"/>
      <c r="K217" s="477">
        <v>145241.20000000001</v>
      </c>
      <c r="L217" s="477">
        <v>36403989.409999996</v>
      </c>
      <c r="N217" s="121">
        <v>17067525.510000002</v>
      </c>
      <c r="P217" s="477">
        <v>45389.9</v>
      </c>
      <c r="Q217" s="121">
        <v>0</v>
      </c>
      <c r="U217" s="122">
        <v>20602.98</v>
      </c>
      <c r="V217" s="122">
        <v>579670.05999999994</v>
      </c>
      <c r="W217" s="122"/>
      <c r="X217" s="122">
        <v>970323.9</v>
      </c>
      <c r="Y217" s="122"/>
      <c r="Z217" s="122">
        <v>0</v>
      </c>
      <c r="AA217" s="122">
        <v>0</v>
      </c>
    </row>
    <row r="218" spans="1:27" x14ac:dyDescent="0.25">
      <c r="A218" s="443">
        <v>29103</v>
      </c>
      <c r="B218" s="19" t="s">
        <v>21</v>
      </c>
      <c r="C218" t="s">
        <v>19</v>
      </c>
      <c r="D218" s="477"/>
      <c r="E218" s="121">
        <v>7747310.5899999999</v>
      </c>
      <c r="F218" s="477">
        <v>0</v>
      </c>
      <c r="G218" s="477">
        <v>21483061.490000002</v>
      </c>
      <c r="H218" s="477"/>
      <c r="I218" s="121">
        <v>0</v>
      </c>
      <c r="J218" s="379"/>
      <c r="K218" s="477">
        <v>0</v>
      </c>
      <c r="L218" s="477">
        <v>21483061.490000002</v>
      </c>
      <c r="N218" s="121">
        <v>7747310.5899999999</v>
      </c>
      <c r="P218" s="477"/>
      <c r="Q218" s="121">
        <v>0</v>
      </c>
      <c r="U218" s="122">
        <v>15810.22</v>
      </c>
      <c r="V218" s="122">
        <v>452858.1</v>
      </c>
      <c r="W218" s="122"/>
      <c r="X218" s="122">
        <v>856880.7</v>
      </c>
      <c r="Y218" s="122"/>
      <c r="Z218" s="122"/>
      <c r="AA218" s="122">
        <v>0</v>
      </c>
    </row>
    <row r="219" spans="1:27" x14ac:dyDescent="0.25">
      <c r="A219" s="443">
        <v>29311</v>
      </c>
      <c r="B219" s="19" t="s">
        <v>21</v>
      </c>
      <c r="C219" t="s">
        <v>254</v>
      </c>
      <c r="D219" s="477">
        <v>9790.19</v>
      </c>
      <c r="E219" s="121">
        <v>2288322.4900000002</v>
      </c>
      <c r="F219" s="477">
        <v>0</v>
      </c>
      <c r="G219" s="477">
        <v>5214668.84</v>
      </c>
      <c r="H219" s="477"/>
      <c r="I219" s="121">
        <v>0</v>
      </c>
      <c r="J219" s="379"/>
      <c r="K219" s="477">
        <v>0</v>
      </c>
      <c r="L219" s="477">
        <v>5214668.84</v>
      </c>
      <c r="N219" s="121">
        <v>2288322.4900000002</v>
      </c>
      <c r="P219" s="477">
        <v>9790.19</v>
      </c>
      <c r="Q219" s="121">
        <v>0</v>
      </c>
      <c r="U219" s="122">
        <v>1526.84</v>
      </c>
      <c r="V219" s="122">
        <v>116703.08</v>
      </c>
      <c r="W219" s="122"/>
      <c r="X219" s="122">
        <v>237511.81</v>
      </c>
      <c r="Y219" s="122"/>
      <c r="Z219" s="122">
        <v>0</v>
      </c>
      <c r="AA219" s="122">
        <v>0</v>
      </c>
    </row>
    <row r="220" spans="1:27" x14ac:dyDescent="0.25">
      <c r="A220" s="443">
        <v>29317</v>
      </c>
      <c r="B220" s="19" t="s">
        <v>21</v>
      </c>
      <c r="C220" t="s">
        <v>110</v>
      </c>
      <c r="D220" s="477"/>
      <c r="E220" s="121">
        <v>1038282.28</v>
      </c>
      <c r="F220" s="477"/>
      <c r="G220" s="477">
        <v>3284286.4</v>
      </c>
      <c r="H220" s="477"/>
      <c r="I220" s="121">
        <v>0</v>
      </c>
      <c r="J220" s="379"/>
      <c r="K220" s="477"/>
      <c r="L220" s="477">
        <v>3284286.4</v>
      </c>
      <c r="N220" s="121">
        <v>1038282.28</v>
      </c>
      <c r="P220" s="477"/>
      <c r="Q220" s="121">
        <v>0</v>
      </c>
      <c r="U220" s="122"/>
      <c r="V220" s="122">
        <v>30474.02</v>
      </c>
      <c r="W220" s="122"/>
      <c r="X220" s="122">
        <v>64359.28</v>
      </c>
      <c r="Y220" s="122"/>
      <c r="Z220" s="122"/>
      <c r="AA220" s="122">
        <v>0</v>
      </c>
    </row>
    <row r="221" spans="1:27" x14ac:dyDescent="0.25">
      <c r="A221" s="443">
        <v>29320</v>
      </c>
      <c r="B221" s="19" t="s">
        <v>21</v>
      </c>
      <c r="C221" t="s">
        <v>324</v>
      </c>
      <c r="D221" s="477">
        <v>178563.93</v>
      </c>
      <c r="E221" s="121">
        <v>22294932.329999998</v>
      </c>
      <c r="F221" s="477">
        <v>0</v>
      </c>
      <c r="G221" s="477">
        <v>57539473.369999997</v>
      </c>
      <c r="H221" s="477"/>
      <c r="I221" s="121">
        <v>0</v>
      </c>
      <c r="J221" s="379"/>
      <c r="K221" s="477">
        <v>0</v>
      </c>
      <c r="L221" s="477">
        <v>57539473.369999997</v>
      </c>
      <c r="N221" s="121">
        <v>22294932.329999998</v>
      </c>
      <c r="P221" s="477">
        <v>178563.93</v>
      </c>
      <c r="Q221" s="121">
        <v>0</v>
      </c>
      <c r="U221" s="122">
        <v>22940.94</v>
      </c>
      <c r="V221" s="122">
        <v>1222428.81</v>
      </c>
      <c r="W221" s="122"/>
      <c r="X221" s="122">
        <v>1257340.77</v>
      </c>
      <c r="Y221" s="122"/>
      <c r="Z221" s="122">
        <v>0</v>
      </c>
      <c r="AA221" s="122">
        <v>0</v>
      </c>
    </row>
    <row r="222" spans="1:27" x14ac:dyDescent="0.25">
      <c r="A222" s="443">
        <v>29801</v>
      </c>
      <c r="B222" s="19" t="s">
        <v>21</v>
      </c>
      <c r="C222" t="s">
        <v>362</v>
      </c>
      <c r="D222" s="477"/>
      <c r="E222" s="121">
        <v>15227973.609999999</v>
      </c>
      <c r="F222" s="477"/>
      <c r="G222" s="477">
        <v>3604803.75</v>
      </c>
      <c r="H222" s="477"/>
      <c r="I222" s="121">
        <v>0</v>
      </c>
      <c r="J222" s="379"/>
      <c r="K222" s="477"/>
      <c r="L222" s="477">
        <v>3604803.75</v>
      </c>
      <c r="N222" s="121">
        <v>15227973.609999999</v>
      </c>
      <c r="P222" s="477"/>
      <c r="Q222" s="121">
        <v>0</v>
      </c>
      <c r="U222" s="122"/>
      <c r="V222" s="122">
        <v>135921.76999999999</v>
      </c>
      <c r="W222" s="122"/>
      <c r="X222" s="122">
        <v>207702.69</v>
      </c>
      <c r="Y222" s="122"/>
      <c r="Z222" s="122"/>
      <c r="AA222" s="122">
        <v>0</v>
      </c>
    </row>
    <row r="223" spans="1:27" x14ac:dyDescent="0.25">
      <c r="A223" s="443">
        <v>30002</v>
      </c>
      <c r="B223" s="19" t="s">
        <v>34</v>
      </c>
      <c r="C223" t="s">
        <v>494</v>
      </c>
      <c r="D223" s="477"/>
      <c r="E223" s="121">
        <v>254526.74</v>
      </c>
      <c r="F223" s="477"/>
      <c r="G223" s="477">
        <v>511544.49</v>
      </c>
      <c r="H223" s="477"/>
      <c r="I223" s="121">
        <v>0</v>
      </c>
      <c r="J223" s="379"/>
      <c r="K223" s="477"/>
      <c r="L223" s="477">
        <v>511544.49</v>
      </c>
      <c r="N223" s="121">
        <v>254526.74</v>
      </c>
      <c r="P223" s="477"/>
      <c r="Q223" s="121">
        <v>0</v>
      </c>
      <c r="U223" s="122"/>
      <c r="V223" s="122">
        <v>100722.18</v>
      </c>
      <c r="W223" s="122"/>
      <c r="X223" s="122">
        <v>10564.88</v>
      </c>
      <c r="Y223" s="122"/>
      <c r="Z223" s="122"/>
      <c r="AA223" s="122">
        <v>0</v>
      </c>
    </row>
    <row r="224" spans="1:27" x14ac:dyDescent="0.25">
      <c r="A224" s="443">
        <v>30029</v>
      </c>
      <c r="B224" s="19" t="s">
        <v>34</v>
      </c>
      <c r="C224" t="s">
        <v>322</v>
      </c>
      <c r="D224" s="477"/>
      <c r="E224" s="121">
        <v>110798.96</v>
      </c>
      <c r="F224" s="477"/>
      <c r="G224" s="477">
        <v>500410.79000000004</v>
      </c>
      <c r="H224" s="477"/>
      <c r="I224" s="121">
        <v>0</v>
      </c>
      <c r="J224" s="379"/>
      <c r="K224" s="477"/>
      <c r="L224" s="477">
        <v>500410.79000000004</v>
      </c>
      <c r="N224" s="121">
        <v>110798.96</v>
      </c>
      <c r="P224" s="477"/>
      <c r="Q224" s="121">
        <v>0</v>
      </c>
      <c r="U224" s="122"/>
      <c r="V224" s="122">
        <v>16188.84</v>
      </c>
      <c r="W224" s="122"/>
      <c r="X224" s="122">
        <v>31947.61</v>
      </c>
      <c r="Y224" s="122"/>
      <c r="Z224" s="122"/>
      <c r="AA224" s="122">
        <v>0</v>
      </c>
    </row>
    <row r="225" spans="1:27" x14ac:dyDescent="0.25">
      <c r="A225" s="443">
        <v>30031</v>
      </c>
      <c r="B225" s="19" t="s">
        <v>34</v>
      </c>
      <c r="C225" t="s">
        <v>306</v>
      </c>
      <c r="D225" s="477"/>
      <c r="E225" s="121">
        <v>406622.19</v>
      </c>
      <c r="F225" s="477"/>
      <c r="G225" s="477">
        <v>1055980.5900000001</v>
      </c>
      <c r="H225" s="477"/>
      <c r="I225" s="121">
        <v>0</v>
      </c>
      <c r="J225" s="379"/>
      <c r="K225" s="477"/>
      <c r="L225" s="477">
        <v>1055980.5900000001</v>
      </c>
      <c r="N225" s="121">
        <v>406622.19</v>
      </c>
      <c r="P225" s="477"/>
      <c r="Q225" s="121">
        <v>0</v>
      </c>
      <c r="U225" s="122"/>
      <c r="V225" s="122">
        <v>4160</v>
      </c>
      <c r="W225" s="122"/>
      <c r="X225" s="122">
        <v>-4534.68</v>
      </c>
      <c r="Y225" s="122"/>
      <c r="Z225" s="122"/>
      <c r="AA225" s="122">
        <v>0</v>
      </c>
    </row>
    <row r="226" spans="1:27" x14ac:dyDescent="0.25">
      <c r="A226" s="443">
        <v>30303</v>
      </c>
      <c r="B226" s="19" t="s">
        <v>34</v>
      </c>
      <c r="C226" t="s">
        <v>528</v>
      </c>
      <c r="D226" s="477"/>
      <c r="E226" s="121">
        <v>2421046.4699999997</v>
      </c>
      <c r="F226" s="477"/>
      <c r="G226" s="477">
        <v>5462866.4700000007</v>
      </c>
      <c r="H226" s="477"/>
      <c r="I226" s="121">
        <v>0</v>
      </c>
      <c r="J226" s="379"/>
      <c r="K226" s="477"/>
      <c r="L226" s="477">
        <v>5462866.4700000007</v>
      </c>
      <c r="N226" s="121">
        <v>2421046.4699999997</v>
      </c>
      <c r="P226" s="477"/>
      <c r="Q226" s="121">
        <v>0</v>
      </c>
      <c r="U226" s="122"/>
      <c r="V226" s="122">
        <v>89660.72</v>
      </c>
      <c r="W226" s="122"/>
      <c r="X226" s="122">
        <v>289517.92</v>
      </c>
      <c r="Y226" s="122"/>
      <c r="Z226" s="122"/>
      <c r="AA226" s="122">
        <v>0</v>
      </c>
    </row>
    <row r="227" spans="1:27" x14ac:dyDescent="0.25">
      <c r="A227" s="443">
        <v>31002</v>
      </c>
      <c r="B227" s="19" t="s">
        <v>21</v>
      </c>
      <c r="C227" t="s">
        <v>174</v>
      </c>
      <c r="D227" s="477">
        <v>71828.039999999994</v>
      </c>
      <c r="E227" s="121">
        <v>56688555.469999999</v>
      </c>
      <c r="F227" s="477">
        <v>201952.97</v>
      </c>
      <c r="G227" s="477">
        <v>179374288.44</v>
      </c>
      <c r="H227" s="477"/>
      <c r="I227" s="121">
        <v>0</v>
      </c>
      <c r="J227" s="379"/>
      <c r="K227" s="477">
        <v>201952.97</v>
      </c>
      <c r="L227" s="477">
        <v>179374288.44</v>
      </c>
      <c r="N227" s="121">
        <v>56688555.469999999</v>
      </c>
      <c r="P227" s="477">
        <v>71828.039999999994</v>
      </c>
      <c r="Q227" s="121">
        <v>0</v>
      </c>
      <c r="U227" s="122">
        <v>63199.66</v>
      </c>
      <c r="V227" s="122">
        <v>4312088</v>
      </c>
      <c r="W227" s="122"/>
      <c r="X227" s="122">
        <v>3220745.22</v>
      </c>
      <c r="Y227" s="122"/>
      <c r="Z227" s="122">
        <v>0</v>
      </c>
      <c r="AA227" s="122">
        <v>0</v>
      </c>
    </row>
    <row r="228" spans="1:27" x14ac:dyDescent="0.25">
      <c r="A228" s="443">
        <v>31004</v>
      </c>
      <c r="B228" s="19" t="s">
        <v>21</v>
      </c>
      <c r="C228" t="s">
        <v>260</v>
      </c>
      <c r="D228" s="477">
        <v>50747.98</v>
      </c>
      <c r="E228" s="121">
        <v>27260660.299999997</v>
      </c>
      <c r="F228" s="477">
        <v>146588.31</v>
      </c>
      <c r="G228" s="477">
        <v>75202794.820000008</v>
      </c>
      <c r="H228" s="477"/>
      <c r="I228" s="121">
        <v>0</v>
      </c>
      <c r="J228" s="379"/>
      <c r="K228" s="477">
        <v>146588.31</v>
      </c>
      <c r="L228" s="477">
        <v>75202794.820000008</v>
      </c>
      <c r="N228" s="121">
        <v>27260660.299999997</v>
      </c>
      <c r="P228" s="477">
        <v>50747.98</v>
      </c>
      <c r="Q228" s="121">
        <v>0</v>
      </c>
      <c r="U228" s="122">
        <v>134609.92000000001</v>
      </c>
      <c r="V228" s="122">
        <v>2300143.8199999998</v>
      </c>
      <c r="W228" s="122"/>
      <c r="X228" s="122">
        <v>1770795.83</v>
      </c>
      <c r="Y228" s="122"/>
      <c r="Z228" s="122">
        <v>0</v>
      </c>
      <c r="AA228" s="122">
        <v>0</v>
      </c>
    </row>
    <row r="229" spans="1:27" x14ac:dyDescent="0.25">
      <c r="A229" s="443">
        <v>31006</v>
      </c>
      <c r="B229" s="19" t="s">
        <v>21</v>
      </c>
      <c r="C229" t="s">
        <v>326</v>
      </c>
      <c r="D229" s="477">
        <v>137151.67999999999</v>
      </c>
      <c r="E229" s="121">
        <v>44999279.850000001</v>
      </c>
      <c r="F229" s="477">
        <v>175939.43</v>
      </c>
      <c r="G229" s="477">
        <v>148585786.69999999</v>
      </c>
      <c r="H229" s="477"/>
      <c r="I229" s="121">
        <v>0</v>
      </c>
      <c r="J229" s="379"/>
      <c r="K229" s="477">
        <v>175939.43</v>
      </c>
      <c r="L229" s="477">
        <v>148585786.69999999</v>
      </c>
      <c r="N229" s="121">
        <v>44999279.850000001</v>
      </c>
      <c r="P229" s="477">
        <v>137151.67999999999</v>
      </c>
      <c r="Q229" s="121">
        <v>0</v>
      </c>
      <c r="U229" s="122">
        <v>44375.5</v>
      </c>
      <c r="V229" s="122">
        <v>4056187.49</v>
      </c>
      <c r="W229" s="122"/>
      <c r="X229" s="122">
        <v>3701412.7399999998</v>
      </c>
      <c r="Y229" s="122"/>
      <c r="Z229" s="122">
        <v>0</v>
      </c>
      <c r="AA229" s="122">
        <v>0</v>
      </c>
    </row>
    <row r="230" spans="1:27" x14ac:dyDescent="0.25">
      <c r="A230" s="443">
        <v>31015</v>
      </c>
      <c r="B230" s="19" t="s">
        <v>21</v>
      </c>
      <c r="C230" t="s">
        <v>150</v>
      </c>
      <c r="D230" s="477">
        <v>11427.49</v>
      </c>
      <c r="E230" s="121">
        <v>61555938.240000002</v>
      </c>
      <c r="F230" s="477">
        <v>179128.04</v>
      </c>
      <c r="G230" s="477">
        <v>183510430.43000001</v>
      </c>
      <c r="H230" s="477"/>
      <c r="I230" s="121">
        <v>0</v>
      </c>
      <c r="J230" s="379"/>
      <c r="K230" s="477">
        <v>179128.04</v>
      </c>
      <c r="L230" s="477">
        <v>183510430.43000001</v>
      </c>
      <c r="N230" s="121">
        <v>61555938.240000002</v>
      </c>
      <c r="P230" s="477">
        <v>11427.49</v>
      </c>
      <c r="Q230" s="121">
        <v>0</v>
      </c>
      <c r="U230" s="122">
        <v>153055.19</v>
      </c>
      <c r="V230" s="122">
        <v>6527375.8499999996</v>
      </c>
      <c r="W230" s="122"/>
      <c r="X230" s="122">
        <v>9149667.1300000008</v>
      </c>
      <c r="Y230" s="122"/>
      <c r="Z230" s="122">
        <v>0</v>
      </c>
      <c r="AA230" s="122">
        <v>0</v>
      </c>
    </row>
    <row r="231" spans="1:27" x14ac:dyDescent="0.25">
      <c r="A231" s="443">
        <v>31016</v>
      </c>
      <c r="B231" s="19" t="s">
        <v>21</v>
      </c>
      <c r="C231" t="s">
        <v>22</v>
      </c>
      <c r="D231" s="477">
        <v>48163.86</v>
      </c>
      <c r="E231" s="121">
        <v>15098156.039999999</v>
      </c>
      <c r="F231" s="477">
        <v>0</v>
      </c>
      <c r="G231" s="477">
        <v>44168097.079999998</v>
      </c>
      <c r="H231" s="477"/>
      <c r="I231" s="121">
        <v>0</v>
      </c>
      <c r="J231" s="379"/>
      <c r="K231" s="477">
        <v>0</v>
      </c>
      <c r="L231" s="477">
        <v>44168097.079999998</v>
      </c>
      <c r="N231" s="121">
        <v>15098156.039999999</v>
      </c>
      <c r="P231" s="477">
        <v>48163.86</v>
      </c>
      <c r="Q231" s="121">
        <v>0</v>
      </c>
      <c r="U231" s="122">
        <v>113644.3</v>
      </c>
      <c r="V231" s="122">
        <v>1021125.0399999999</v>
      </c>
      <c r="W231" s="122"/>
      <c r="X231" s="122">
        <v>1658322.6400000001</v>
      </c>
      <c r="Y231" s="122"/>
      <c r="Z231" s="122">
        <v>0</v>
      </c>
      <c r="AA231" s="122">
        <v>0</v>
      </c>
    </row>
    <row r="232" spans="1:27" x14ac:dyDescent="0.25">
      <c r="A232" s="443">
        <v>31025</v>
      </c>
      <c r="B232" s="19" t="s">
        <v>21</v>
      </c>
      <c r="C232" t="s">
        <v>292</v>
      </c>
      <c r="D232" s="477">
        <v>40168.699999999997</v>
      </c>
      <c r="E232" s="121">
        <v>32238571.920000002</v>
      </c>
      <c r="F232" s="477">
        <v>69052.509999999995</v>
      </c>
      <c r="G232" s="477">
        <v>83877941.200000003</v>
      </c>
      <c r="H232" s="477"/>
      <c r="I232" s="121">
        <v>0</v>
      </c>
      <c r="J232" s="379"/>
      <c r="K232" s="477">
        <v>69052.509999999995</v>
      </c>
      <c r="L232" s="477">
        <v>83877941.200000003</v>
      </c>
      <c r="N232" s="121">
        <v>32238571.920000002</v>
      </c>
      <c r="P232" s="477">
        <v>40168.699999999997</v>
      </c>
      <c r="Q232" s="121">
        <v>0</v>
      </c>
      <c r="U232" s="122">
        <v>9276.0499999999993</v>
      </c>
      <c r="V232" s="122">
        <v>1801863.4</v>
      </c>
      <c r="W232" s="122"/>
      <c r="X232" s="122">
        <v>1739118.2999999998</v>
      </c>
      <c r="Y232" s="122"/>
      <c r="Z232" s="122">
        <v>0</v>
      </c>
      <c r="AA232" s="122">
        <v>0</v>
      </c>
    </row>
    <row r="233" spans="1:27" x14ac:dyDescent="0.25">
      <c r="A233" s="443">
        <v>31063</v>
      </c>
      <c r="B233" s="19" t="s">
        <v>21</v>
      </c>
      <c r="C233" t="s">
        <v>228</v>
      </c>
      <c r="D233" s="477"/>
      <c r="E233" s="121">
        <v>260761.16</v>
      </c>
      <c r="F233" s="477">
        <v>0</v>
      </c>
      <c r="G233" s="477">
        <v>246870.22</v>
      </c>
      <c r="H233" s="477"/>
      <c r="I233" s="121">
        <v>0</v>
      </c>
      <c r="J233" s="379"/>
      <c r="K233" s="477">
        <v>0</v>
      </c>
      <c r="L233" s="477">
        <v>246870.22</v>
      </c>
      <c r="N233" s="121">
        <v>260761.16</v>
      </c>
      <c r="P233" s="477"/>
      <c r="Q233" s="121">
        <v>0</v>
      </c>
      <c r="U233" s="122">
        <v>20014.34</v>
      </c>
      <c r="V233" s="122">
        <v>85229.16</v>
      </c>
      <c r="W233" s="122"/>
      <c r="X233" s="122">
        <v>40760.239999999998</v>
      </c>
      <c r="Y233" s="122"/>
      <c r="Z233" s="122"/>
      <c r="AA233" s="122">
        <v>0</v>
      </c>
    </row>
    <row r="234" spans="1:27" x14ac:dyDescent="0.25">
      <c r="A234" s="443">
        <v>31103</v>
      </c>
      <c r="B234" s="19" t="s">
        <v>21</v>
      </c>
      <c r="C234" t="s">
        <v>308</v>
      </c>
      <c r="D234" s="477"/>
      <c r="E234" s="121">
        <v>16282454.489999998</v>
      </c>
      <c r="F234" s="477">
        <v>0</v>
      </c>
      <c r="G234" s="477">
        <v>44258224.400000006</v>
      </c>
      <c r="H234" s="477"/>
      <c r="I234" s="121">
        <v>0</v>
      </c>
      <c r="J234" s="379"/>
      <c r="K234" s="477">
        <v>0</v>
      </c>
      <c r="L234" s="477">
        <v>44258224.400000006</v>
      </c>
      <c r="N234" s="121">
        <v>16282454.489999998</v>
      </c>
      <c r="P234" s="477"/>
      <c r="Q234" s="121">
        <v>0</v>
      </c>
      <c r="U234" s="122">
        <v>9052.5</v>
      </c>
      <c r="V234" s="122">
        <v>1276840.82</v>
      </c>
      <c r="W234" s="122"/>
      <c r="X234" s="122">
        <v>938694.16</v>
      </c>
      <c r="Y234" s="122"/>
      <c r="Z234" s="122"/>
      <c r="AA234" s="122">
        <v>0</v>
      </c>
    </row>
    <row r="235" spans="1:27" x14ac:dyDescent="0.25">
      <c r="A235" s="443">
        <v>31201</v>
      </c>
      <c r="B235" s="19" t="s">
        <v>21</v>
      </c>
      <c r="C235" t="s">
        <v>498</v>
      </c>
      <c r="D235" s="477">
        <v>109634.39</v>
      </c>
      <c r="E235" s="121">
        <v>23949594.100000001</v>
      </c>
      <c r="F235" s="477">
        <v>123712.3</v>
      </c>
      <c r="G235" s="477">
        <v>79012932.909999996</v>
      </c>
      <c r="H235" s="477"/>
      <c r="I235" s="121">
        <v>0</v>
      </c>
      <c r="J235" s="379"/>
      <c r="K235" s="477">
        <v>123712.3</v>
      </c>
      <c r="L235" s="477">
        <v>79012932.909999996</v>
      </c>
      <c r="N235" s="121">
        <v>23949594.100000001</v>
      </c>
      <c r="P235" s="477">
        <v>109634.39</v>
      </c>
      <c r="Q235" s="121">
        <v>0</v>
      </c>
      <c r="U235" s="122">
        <v>79675.460000000006</v>
      </c>
      <c r="V235" s="122">
        <v>1980136.25</v>
      </c>
      <c r="W235" s="122"/>
      <c r="X235" s="122">
        <v>2319681</v>
      </c>
      <c r="Y235" s="122"/>
      <c r="Z235" s="122">
        <v>0</v>
      </c>
      <c r="AA235" s="122">
        <v>0</v>
      </c>
    </row>
    <row r="236" spans="1:27" x14ac:dyDescent="0.25">
      <c r="A236" s="443">
        <v>31306</v>
      </c>
      <c r="B236" s="19" t="s">
        <v>21</v>
      </c>
      <c r="C236" t="s">
        <v>264</v>
      </c>
      <c r="D236" s="477"/>
      <c r="E236" s="121">
        <v>8438590.5099999998</v>
      </c>
      <c r="F236" s="477"/>
      <c r="G236" s="477">
        <v>20520959.890000001</v>
      </c>
      <c r="H236" s="477"/>
      <c r="I236" s="121">
        <v>0</v>
      </c>
      <c r="J236" s="379"/>
      <c r="K236" s="477"/>
      <c r="L236" s="477">
        <v>20520959.890000001</v>
      </c>
      <c r="N236" s="121">
        <v>8438590.5099999998</v>
      </c>
      <c r="P236" s="477"/>
      <c r="Q236" s="121">
        <v>0</v>
      </c>
      <c r="U236" s="122"/>
      <c r="V236" s="122">
        <v>430604</v>
      </c>
      <c r="W236" s="122"/>
      <c r="X236" s="122">
        <v>628594.62</v>
      </c>
      <c r="Y236" s="122"/>
      <c r="Z236" s="122"/>
      <c r="AA236" s="122">
        <v>0</v>
      </c>
    </row>
    <row r="237" spans="1:27" x14ac:dyDescent="0.25">
      <c r="A237" s="443">
        <v>31311</v>
      </c>
      <c r="B237" s="19" t="s">
        <v>21</v>
      </c>
      <c r="C237" t="s">
        <v>530</v>
      </c>
      <c r="D237" s="477"/>
      <c r="E237" s="121">
        <v>5524153.8300000001</v>
      </c>
      <c r="F237" s="477">
        <v>0</v>
      </c>
      <c r="G237" s="477">
        <v>14771667.309999999</v>
      </c>
      <c r="H237" s="477"/>
      <c r="I237" s="121">
        <v>0</v>
      </c>
      <c r="J237" s="379"/>
      <c r="K237" s="477">
        <v>0</v>
      </c>
      <c r="L237" s="477">
        <v>14771667.309999999</v>
      </c>
      <c r="N237" s="121">
        <v>5524153.8300000001</v>
      </c>
      <c r="P237" s="477"/>
      <c r="Q237" s="121">
        <v>0</v>
      </c>
      <c r="U237" s="122">
        <v>4725</v>
      </c>
      <c r="V237" s="122">
        <v>283130.42</v>
      </c>
      <c r="W237" s="122"/>
      <c r="X237" s="122">
        <v>212386.13</v>
      </c>
      <c r="Y237" s="122"/>
      <c r="Z237" s="122"/>
      <c r="AA237" s="122">
        <v>0</v>
      </c>
    </row>
    <row r="238" spans="1:27" x14ac:dyDescent="0.25">
      <c r="A238" s="443">
        <v>31330</v>
      </c>
      <c r="B238" s="19" t="s">
        <v>21</v>
      </c>
      <c r="C238" t="s">
        <v>128</v>
      </c>
      <c r="D238" s="477"/>
      <c r="E238" s="121">
        <v>1948100.6</v>
      </c>
      <c r="F238" s="477">
        <v>0</v>
      </c>
      <c r="G238" s="477">
        <v>3264375.6</v>
      </c>
      <c r="H238" s="477"/>
      <c r="I238" s="121">
        <v>0</v>
      </c>
      <c r="J238" s="379"/>
      <c r="K238" s="477">
        <v>0</v>
      </c>
      <c r="L238" s="477">
        <v>3264375.6</v>
      </c>
      <c r="N238" s="121">
        <v>1948100.6</v>
      </c>
      <c r="P238" s="477"/>
      <c r="Q238" s="121">
        <v>0</v>
      </c>
      <c r="U238" s="122">
        <v>860.11</v>
      </c>
      <c r="V238" s="122">
        <v>49439.35</v>
      </c>
      <c r="W238" s="122"/>
      <c r="X238" s="122">
        <v>135301.83000000002</v>
      </c>
      <c r="Y238" s="122"/>
      <c r="Z238" s="122"/>
      <c r="AA238" s="122">
        <v>0</v>
      </c>
    </row>
    <row r="239" spans="1:27" x14ac:dyDescent="0.25">
      <c r="A239" s="443">
        <v>31332</v>
      </c>
      <c r="B239" s="19" t="s">
        <v>21</v>
      </c>
      <c r="C239" t="s">
        <v>204</v>
      </c>
      <c r="D239" s="477"/>
      <c r="E239" s="121">
        <v>6074007.5999999996</v>
      </c>
      <c r="F239" s="477">
        <v>0</v>
      </c>
      <c r="G239" s="477">
        <v>16699021.119999999</v>
      </c>
      <c r="H239" s="477"/>
      <c r="I239" s="121">
        <v>0</v>
      </c>
      <c r="J239" s="379"/>
      <c r="K239" s="477">
        <v>0</v>
      </c>
      <c r="L239" s="477">
        <v>16699021.119999999</v>
      </c>
      <c r="N239" s="121">
        <v>6074007.5999999996</v>
      </c>
      <c r="P239" s="477"/>
      <c r="Q239" s="121">
        <v>0</v>
      </c>
      <c r="U239" s="122">
        <v>18207.88</v>
      </c>
      <c r="V239" s="122">
        <v>324601.04000000004</v>
      </c>
      <c r="W239" s="122"/>
      <c r="X239" s="122">
        <v>482297.08</v>
      </c>
      <c r="Y239" s="122"/>
      <c r="Z239" s="122"/>
      <c r="AA239" s="122">
        <v>0</v>
      </c>
    </row>
    <row r="240" spans="1:27" x14ac:dyDescent="0.25">
      <c r="A240" s="443">
        <v>31401</v>
      </c>
      <c r="B240" s="19" t="s">
        <v>21</v>
      </c>
      <c r="C240" t="s">
        <v>516</v>
      </c>
      <c r="D240" s="477"/>
      <c r="E240" s="121">
        <v>15720997</v>
      </c>
      <c r="F240" s="477">
        <v>0</v>
      </c>
      <c r="G240" s="477">
        <v>38200304.5</v>
      </c>
      <c r="H240" s="477"/>
      <c r="I240" s="121">
        <v>0</v>
      </c>
      <c r="J240" s="379"/>
      <c r="K240" s="477">
        <v>0</v>
      </c>
      <c r="L240" s="477">
        <v>38200304.5</v>
      </c>
      <c r="N240" s="121">
        <v>15720997</v>
      </c>
      <c r="P240" s="477"/>
      <c r="Q240" s="121">
        <v>0</v>
      </c>
      <c r="U240" s="122">
        <v>38397.5</v>
      </c>
      <c r="V240" s="122">
        <v>945175.5</v>
      </c>
      <c r="W240" s="122"/>
      <c r="X240" s="122">
        <v>1272006.7200000002</v>
      </c>
      <c r="Y240" s="122"/>
      <c r="Z240" s="122"/>
      <c r="AA240" s="122">
        <v>0</v>
      </c>
    </row>
    <row r="241" spans="1:27" x14ac:dyDescent="0.25">
      <c r="A241" s="443">
        <v>31801</v>
      </c>
      <c r="B241" s="19" t="s">
        <v>1039</v>
      </c>
      <c r="C241" t="s">
        <v>1036</v>
      </c>
      <c r="D241" s="477"/>
      <c r="E241" s="121">
        <v>0</v>
      </c>
      <c r="F241" s="477"/>
      <c r="G241" s="477">
        <v>0</v>
      </c>
      <c r="H241" s="477"/>
      <c r="I241" s="121">
        <v>9000876.7300000004</v>
      </c>
      <c r="J241" s="379"/>
      <c r="K241" s="477"/>
      <c r="L241" s="477">
        <v>0</v>
      </c>
      <c r="N241" s="121">
        <v>0</v>
      </c>
      <c r="P241" s="477"/>
      <c r="Q241" s="121">
        <v>9000876.7300000004</v>
      </c>
      <c r="U241" s="122"/>
      <c r="V241" s="122">
        <v>0</v>
      </c>
      <c r="W241" s="122"/>
      <c r="X241" s="122">
        <v>0</v>
      </c>
      <c r="Y241" s="122"/>
      <c r="Z241" s="122"/>
      <c r="AA241" s="122">
        <v>0</v>
      </c>
    </row>
    <row r="242" spans="1:27" x14ac:dyDescent="0.25">
      <c r="A242" s="443">
        <v>32081</v>
      </c>
      <c r="B242" s="19" t="s">
        <v>18</v>
      </c>
      <c r="C242" t="s">
        <v>512</v>
      </c>
      <c r="D242" s="477">
        <v>153514.26999999999</v>
      </c>
      <c r="E242" s="121">
        <v>78205869.359999999</v>
      </c>
      <c r="F242" s="477">
        <v>537556.49</v>
      </c>
      <c r="G242" s="477">
        <v>259080667.20000002</v>
      </c>
      <c r="H242" s="477"/>
      <c r="I242" s="121">
        <v>0</v>
      </c>
      <c r="J242" s="379"/>
      <c r="K242" s="477">
        <v>537556.49</v>
      </c>
      <c r="L242" s="477">
        <v>259080667.20000002</v>
      </c>
      <c r="N242" s="121">
        <v>78205869.359999999</v>
      </c>
      <c r="P242" s="477">
        <v>153514.26999999999</v>
      </c>
      <c r="Q242" s="121">
        <v>0</v>
      </c>
      <c r="U242" s="122">
        <v>291118.36</v>
      </c>
      <c r="V242" s="122">
        <v>7112961.2699999996</v>
      </c>
      <c r="W242" s="122"/>
      <c r="X242" s="122">
        <v>4747623.54</v>
      </c>
      <c r="Y242" s="122"/>
      <c r="Z242" s="122">
        <v>0</v>
      </c>
      <c r="AA242" s="122">
        <v>0</v>
      </c>
    </row>
    <row r="243" spans="1:27" x14ac:dyDescent="0.25">
      <c r="A243" s="443">
        <v>32123</v>
      </c>
      <c r="B243" s="19" t="s">
        <v>18</v>
      </c>
      <c r="C243" t="s">
        <v>390</v>
      </c>
      <c r="D243" s="477">
        <v>20971.25</v>
      </c>
      <c r="E243" s="121">
        <v>92737.919999999998</v>
      </c>
      <c r="F243" s="477"/>
      <c r="G243" s="477">
        <v>591716.79</v>
      </c>
      <c r="H243" s="477"/>
      <c r="I243" s="121">
        <v>0</v>
      </c>
      <c r="J243" s="379"/>
      <c r="K243" s="477"/>
      <c r="L243" s="477">
        <v>591716.79</v>
      </c>
      <c r="N243" s="121">
        <v>92737.919999999998</v>
      </c>
      <c r="P243" s="477">
        <v>20971.25</v>
      </c>
      <c r="Q243" s="121">
        <v>0</v>
      </c>
      <c r="U243" s="122"/>
      <c r="V243" s="122">
        <v>53464</v>
      </c>
      <c r="W243" s="122"/>
      <c r="X243" s="122">
        <v>2014.92</v>
      </c>
      <c r="Y243" s="122"/>
      <c r="Z243" s="122">
        <v>0</v>
      </c>
      <c r="AA243" s="122">
        <v>0</v>
      </c>
    </row>
    <row r="244" spans="1:27" x14ac:dyDescent="0.25">
      <c r="A244" s="443">
        <v>32312</v>
      </c>
      <c r="B244" s="19" t="s">
        <v>18</v>
      </c>
      <c r="C244" t="s">
        <v>208</v>
      </c>
      <c r="D244" s="477"/>
      <c r="E244" s="121">
        <v>121347.39</v>
      </c>
      <c r="F244" s="477">
        <v>0</v>
      </c>
      <c r="G244" s="477">
        <v>261442.75999999998</v>
      </c>
      <c r="H244" s="477"/>
      <c r="I244" s="121">
        <v>0</v>
      </c>
      <c r="J244" s="379"/>
      <c r="K244" s="477">
        <v>0</v>
      </c>
      <c r="L244" s="477">
        <v>261442.75999999998</v>
      </c>
      <c r="N244" s="121">
        <v>121347.39</v>
      </c>
      <c r="P244" s="477"/>
      <c r="Q244" s="121">
        <v>0</v>
      </c>
      <c r="U244" s="122">
        <v>1091.44</v>
      </c>
      <c r="V244" s="122">
        <v>99441.709999999992</v>
      </c>
      <c r="W244" s="122"/>
      <c r="X244" s="122">
        <v>10289.070000000002</v>
      </c>
      <c r="Y244" s="122"/>
      <c r="Z244" s="122"/>
      <c r="AA244" s="122">
        <v>0</v>
      </c>
    </row>
    <row r="245" spans="1:27" x14ac:dyDescent="0.25">
      <c r="A245" s="443">
        <v>32325</v>
      </c>
      <c r="B245" s="19" t="s">
        <v>18</v>
      </c>
      <c r="C245" t="s">
        <v>338</v>
      </c>
      <c r="D245" s="477"/>
      <c r="E245" s="121">
        <v>2525606.21</v>
      </c>
      <c r="F245" s="477"/>
      <c r="G245" s="477">
        <v>10079911.16</v>
      </c>
      <c r="H245" s="477"/>
      <c r="I245" s="121">
        <v>0</v>
      </c>
      <c r="J245" s="379"/>
      <c r="K245" s="477"/>
      <c r="L245" s="477">
        <v>10079911.16</v>
      </c>
      <c r="N245" s="121">
        <v>2525606.21</v>
      </c>
      <c r="P245" s="477"/>
      <c r="Q245" s="121">
        <v>0</v>
      </c>
      <c r="U245" s="122"/>
      <c r="V245" s="122">
        <v>159935.96</v>
      </c>
      <c r="W245" s="122"/>
      <c r="X245" s="122">
        <v>245745.44</v>
      </c>
      <c r="Y245" s="122"/>
      <c r="Z245" s="122"/>
      <c r="AA245" s="122">
        <v>0</v>
      </c>
    </row>
    <row r="246" spans="1:27" x14ac:dyDescent="0.25">
      <c r="A246" s="443">
        <v>32326</v>
      </c>
      <c r="B246" s="19" t="s">
        <v>18</v>
      </c>
      <c r="C246" t="s">
        <v>298</v>
      </c>
      <c r="D246" s="477">
        <v>30471.919999999998</v>
      </c>
      <c r="E246" s="121">
        <v>5050018.6999999993</v>
      </c>
      <c r="F246" s="477">
        <v>0</v>
      </c>
      <c r="G246" s="477">
        <v>13481191.02</v>
      </c>
      <c r="H246" s="477"/>
      <c r="I246" s="121">
        <v>0</v>
      </c>
      <c r="J246" s="379"/>
      <c r="K246" s="477">
        <v>0</v>
      </c>
      <c r="L246" s="477">
        <v>13481191.02</v>
      </c>
      <c r="N246" s="121">
        <v>5050018.6999999993</v>
      </c>
      <c r="P246" s="477">
        <v>30471.919999999998</v>
      </c>
      <c r="Q246" s="121">
        <v>0</v>
      </c>
      <c r="U246" s="122">
        <v>11700</v>
      </c>
      <c r="V246" s="122">
        <v>340925.67</v>
      </c>
      <c r="W246" s="122"/>
      <c r="X246" s="122">
        <v>399511.85</v>
      </c>
      <c r="Y246" s="122"/>
      <c r="Z246" s="122">
        <v>0</v>
      </c>
      <c r="AA246" s="122">
        <v>0</v>
      </c>
    </row>
    <row r="247" spans="1:27" x14ac:dyDescent="0.25">
      <c r="A247" s="443">
        <v>32354</v>
      </c>
      <c r="B247" s="19" t="s">
        <v>18</v>
      </c>
      <c r="C247" t="s">
        <v>296</v>
      </c>
      <c r="D247" s="477"/>
      <c r="E247" s="121">
        <v>22431523.82</v>
      </c>
      <c r="F247" s="477">
        <v>0</v>
      </c>
      <c r="G247" s="477">
        <v>72898078.210000008</v>
      </c>
      <c r="H247" s="477"/>
      <c r="I247" s="121">
        <v>0</v>
      </c>
      <c r="J247" s="379"/>
      <c r="K247" s="477">
        <v>0</v>
      </c>
      <c r="L247" s="477">
        <v>72898078.210000008</v>
      </c>
      <c r="N247" s="121">
        <v>22431523.82</v>
      </c>
      <c r="P247" s="477"/>
      <c r="Q247" s="121">
        <v>0</v>
      </c>
      <c r="U247" s="122">
        <v>42082.41</v>
      </c>
      <c r="V247" s="122">
        <v>2023962.44</v>
      </c>
      <c r="W247" s="122"/>
      <c r="X247" s="122">
        <v>2557529.5700000003</v>
      </c>
      <c r="Y247" s="122"/>
      <c r="Z247" s="122"/>
      <c r="AA247" s="122">
        <v>0</v>
      </c>
    </row>
    <row r="248" spans="1:27" x14ac:dyDescent="0.25">
      <c r="A248" s="443">
        <v>32356</v>
      </c>
      <c r="B248" s="19" t="s">
        <v>18</v>
      </c>
      <c r="C248" t="s">
        <v>78</v>
      </c>
      <c r="D248" s="477">
        <v>26257.99</v>
      </c>
      <c r="E248" s="121">
        <v>31487220.460000001</v>
      </c>
      <c r="F248" s="477">
        <v>18294.990000000002</v>
      </c>
      <c r="G248" s="477">
        <v>110298208.91000001</v>
      </c>
      <c r="H248" s="477"/>
      <c r="I248" s="121">
        <v>0</v>
      </c>
      <c r="J248" s="379"/>
      <c r="K248" s="477">
        <v>18294.990000000002</v>
      </c>
      <c r="L248" s="477">
        <v>110298208.91000001</v>
      </c>
      <c r="N248" s="121">
        <v>31487220.460000001</v>
      </c>
      <c r="P248" s="477">
        <v>26257.99</v>
      </c>
      <c r="Q248" s="121">
        <v>0</v>
      </c>
      <c r="U248" s="122">
        <v>33798.879999999997</v>
      </c>
      <c r="V248" s="122">
        <v>3643654.9000000004</v>
      </c>
      <c r="W248" s="122"/>
      <c r="X248" s="122">
        <v>1761557.15</v>
      </c>
      <c r="Y248" s="122"/>
      <c r="Z248" s="122">
        <v>0</v>
      </c>
      <c r="AA248" s="122">
        <v>0</v>
      </c>
    </row>
    <row r="249" spans="1:27" x14ac:dyDescent="0.25">
      <c r="A249" s="443">
        <v>32358</v>
      </c>
      <c r="B249" s="19" t="s">
        <v>18</v>
      </c>
      <c r="C249" t="s">
        <v>190</v>
      </c>
      <c r="D249" s="477"/>
      <c r="E249" s="121">
        <v>2112185.8899999997</v>
      </c>
      <c r="F249" s="477"/>
      <c r="G249" s="477">
        <v>5915002.8100000005</v>
      </c>
      <c r="H249" s="477"/>
      <c r="I249" s="121">
        <v>0</v>
      </c>
      <c r="J249" s="379"/>
      <c r="K249" s="477"/>
      <c r="L249" s="477">
        <v>5915002.8100000005</v>
      </c>
      <c r="N249" s="121">
        <v>2112185.8899999997</v>
      </c>
      <c r="P249" s="477"/>
      <c r="Q249" s="121">
        <v>0</v>
      </c>
      <c r="U249" s="122"/>
      <c r="V249" s="122">
        <v>132869.1</v>
      </c>
      <c r="W249" s="122"/>
      <c r="X249" s="122">
        <v>182000.85</v>
      </c>
      <c r="Y249" s="122"/>
      <c r="Z249" s="122"/>
      <c r="AA249" s="122">
        <v>0</v>
      </c>
    </row>
    <row r="250" spans="1:27" x14ac:dyDescent="0.25">
      <c r="A250" s="443">
        <v>32360</v>
      </c>
      <c r="B250" s="19" t="s">
        <v>18</v>
      </c>
      <c r="C250" t="s">
        <v>84</v>
      </c>
      <c r="D250" s="477">
        <v>30482.33</v>
      </c>
      <c r="E250" s="121">
        <v>12576512.689999999</v>
      </c>
      <c r="F250" s="477">
        <v>0</v>
      </c>
      <c r="G250" s="477">
        <v>36011423.18</v>
      </c>
      <c r="H250" s="477"/>
      <c r="I250" s="121">
        <v>0</v>
      </c>
      <c r="J250" s="379"/>
      <c r="K250" s="477">
        <v>0</v>
      </c>
      <c r="L250" s="477">
        <v>36011423.18</v>
      </c>
      <c r="N250" s="121">
        <v>12576512.689999999</v>
      </c>
      <c r="P250" s="477">
        <v>30482.33</v>
      </c>
      <c r="Q250" s="121">
        <v>0</v>
      </c>
      <c r="U250" s="122">
        <v>1466.15</v>
      </c>
      <c r="V250" s="122">
        <v>756815.1100000001</v>
      </c>
      <c r="W250" s="122"/>
      <c r="X250" s="122">
        <v>1105509.98</v>
      </c>
      <c r="Y250" s="122"/>
      <c r="Z250" s="122">
        <v>0</v>
      </c>
      <c r="AA250" s="122">
        <v>0</v>
      </c>
    </row>
    <row r="251" spans="1:27" x14ac:dyDescent="0.25">
      <c r="A251" s="443">
        <v>32361</v>
      </c>
      <c r="B251" s="19" t="s">
        <v>18</v>
      </c>
      <c r="C251" t="s">
        <v>142</v>
      </c>
      <c r="D251" s="477"/>
      <c r="E251" s="121">
        <v>10392601.050000001</v>
      </c>
      <c r="F251" s="477">
        <v>0</v>
      </c>
      <c r="G251" s="477">
        <v>27786758.959999997</v>
      </c>
      <c r="H251" s="477"/>
      <c r="I251" s="121">
        <v>0</v>
      </c>
      <c r="J251" s="379"/>
      <c r="K251" s="477">
        <v>0</v>
      </c>
      <c r="L251" s="477">
        <v>27786758.959999997</v>
      </c>
      <c r="N251" s="121">
        <v>10392601.050000001</v>
      </c>
      <c r="P251" s="477"/>
      <c r="Q251" s="121">
        <v>0</v>
      </c>
      <c r="U251" s="122">
        <v>17536.23</v>
      </c>
      <c r="V251" s="122">
        <v>1286229.74</v>
      </c>
      <c r="W251" s="122"/>
      <c r="X251" s="122">
        <v>650875.79999999993</v>
      </c>
      <c r="Y251" s="122"/>
      <c r="Z251" s="122"/>
      <c r="AA251" s="122">
        <v>0</v>
      </c>
    </row>
    <row r="252" spans="1:27" x14ac:dyDescent="0.25">
      <c r="A252" s="443">
        <v>32362</v>
      </c>
      <c r="B252" s="19" t="s">
        <v>18</v>
      </c>
      <c r="C252" t="s">
        <v>268</v>
      </c>
      <c r="D252" s="477"/>
      <c r="E252" s="121">
        <v>1356406.72</v>
      </c>
      <c r="F252" s="477">
        <v>0</v>
      </c>
      <c r="G252" s="477">
        <v>3975193.45</v>
      </c>
      <c r="H252" s="477"/>
      <c r="I252" s="121">
        <v>0</v>
      </c>
      <c r="J252" s="379"/>
      <c r="K252" s="477">
        <v>0</v>
      </c>
      <c r="L252" s="477">
        <v>3975193.45</v>
      </c>
      <c r="N252" s="121">
        <v>1356406.72</v>
      </c>
      <c r="P252" s="477"/>
      <c r="Q252" s="121">
        <v>0</v>
      </c>
      <c r="U252" s="122">
        <v>4890.17</v>
      </c>
      <c r="V252" s="122">
        <v>62916.83</v>
      </c>
      <c r="W252" s="122"/>
      <c r="X252" s="122">
        <v>107149.9</v>
      </c>
      <c r="Y252" s="122"/>
      <c r="Z252" s="122"/>
      <c r="AA252" s="122">
        <v>0</v>
      </c>
    </row>
    <row r="253" spans="1:27" x14ac:dyDescent="0.25">
      <c r="A253" s="443">
        <v>32363</v>
      </c>
      <c r="B253" s="19" t="s">
        <v>18</v>
      </c>
      <c r="C253" t="s">
        <v>600</v>
      </c>
      <c r="D253" s="477"/>
      <c r="E253" s="121">
        <v>8400039.7699999996</v>
      </c>
      <c r="F253" s="477"/>
      <c r="G253" s="477">
        <v>23322178.48</v>
      </c>
      <c r="H253" s="477"/>
      <c r="I253" s="121">
        <v>0</v>
      </c>
      <c r="J253" s="379"/>
      <c r="K253" s="477"/>
      <c r="L253" s="477">
        <v>23322178.48</v>
      </c>
      <c r="N253" s="121">
        <v>8400039.7699999996</v>
      </c>
      <c r="P253" s="477"/>
      <c r="Q253" s="121">
        <v>0</v>
      </c>
      <c r="U253" s="122"/>
      <c r="V253" s="122">
        <v>841764.32</v>
      </c>
      <c r="W253" s="122"/>
      <c r="X253" s="122">
        <v>496004.89</v>
      </c>
      <c r="Y253" s="122"/>
      <c r="Z253" s="122"/>
      <c r="AA253" s="122">
        <v>0</v>
      </c>
    </row>
    <row r="254" spans="1:27" x14ac:dyDescent="0.25">
      <c r="A254" s="443">
        <v>32414</v>
      </c>
      <c r="B254" s="19" t="s">
        <v>18</v>
      </c>
      <c r="C254" t="s">
        <v>134</v>
      </c>
      <c r="D254" s="477"/>
      <c r="E254" s="121">
        <v>5081079.66</v>
      </c>
      <c r="F254" s="477">
        <v>0</v>
      </c>
      <c r="G254" s="477">
        <v>16934988.600000001</v>
      </c>
      <c r="H254" s="477"/>
      <c r="I254" s="121">
        <v>0</v>
      </c>
      <c r="J254" s="379"/>
      <c r="K254" s="477">
        <v>0</v>
      </c>
      <c r="L254" s="477">
        <v>16934988.600000001</v>
      </c>
      <c r="N254" s="121">
        <v>5081079.66</v>
      </c>
      <c r="P254" s="477"/>
      <c r="Q254" s="121">
        <v>0</v>
      </c>
      <c r="U254" s="122">
        <v>40230.07</v>
      </c>
      <c r="V254" s="122">
        <v>216041.14</v>
      </c>
      <c r="W254" s="122"/>
      <c r="X254" s="122">
        <v>813049.11</v>
      </c>
      <c r="Y254" s="122"/>
      <c r="Z254" s="122"/>
      <c r="AA254" s="122">
        <v>0</v>
      </c>
    </row>
    <row r="255" spans="1:27" x14ac:dyDescent="0.25">
      <c r="A255" s="443">
        <v>32416</v>
      </c>
      <c r="B255" s="19" t="s">
        <v>18</v>
      </c>
      <c r="C255" t="s">
        <v>460</v>
      </c>
      <c r="D255" s="477"/>
      <c r="E255" s="121">
        <v>3480390.9000000004</v>
      </c>
      <c r="F255" s="477">
        <v>0</v>
      </c>
      <c r="G255" s="477">
        <v>9751049.8000000007</v>
      </c>
      <c r="H255" s="477"/>
      <c r="I255" s="121">
        <v>0</v>
      </c>
      <c r="J255" s="379"/>
      <c r="K255" s="477">
        <v>0</v>
      </c>
      <c r="L255" s="477">
        <v>9751049.8000000007</v>
      </c>
      <c r="N255" s="121">
        <v>3480390.9000000004</v>
      </c>
      <c r="P255" s="477"/>
      <c r="Q255" s="121">
        <v>0</v>
      </c>
      <c r="U255" s="122">
        <v>420</v>
      </c>
      <c r="V255" s="122">
        <v>269016.39</v>
      </c>
      <c r="W255" s="122"/>
      <c r="X255" s="122">
        <v>239002.96999999997</v>
      </c>
      <c r="Y255" s="122"/>
      <c r="Z255" s="122"/>
      <c r="AA255" s="122">
        <v>0</v>
      </c>
    </row>
    <row r="256" spans="1:27" x14ac:dyDescent="0.25">
      <c r="A256" s="443">
        <v>32801</v>
      </c>
      <c r="B256" s="19" t="s">
        <v>18</v>
      </c>
      <c r="C256" t="s">
        <v>356</v>
      </c>
      <c r="D256" s="477"/>
      <c r="E256" s="121">
        <v>14051841.42</v>
      </c>
      <c r="F256" s="477"/>
      <c r="G256" s="477">
        <v>1798752.0799999998</v>
      </c>
      <c r="H256" s="477"/>
      <c r="I256" s="121">
        <v>0</v>
      </c>
      <c r="J256" s="379"/>
      <c r="K256" s="477"/>
      <c r="L256" s="477">
        <v>1798752.0799999998</v>
      </c>
      <c r="N256" s="121">
        <v>14051841.42</v>
      </c>
      <c r="P256" s="477"/>
      <c r="Q256" s="121">
        <v>0</v>
      </c>
      <c r="U256" s="122"/>
      <c r="V256" s="122">
        <v>35112.28</v>
      </c>
      <c r="W256" s="122"/>
      <c r="X256" s="122">
        <v>117797.35999999999</v>
      </c>
      <c r="Y256" s="122"/>
      <c r="Z256" s="122"/>
      <c r="AA256" s="122">
        <v>0</v>
      </c>
    </row>
    <row r="257" spans="1:27" x14ac:dyDescent="0.25">
      <c r="A257" s="443">
        <v>32901</v>
      </c>
      <c r="B257" s="19" t="s">
        <v>1039</v>
      </c>
      <c r="C257" t="s">
        <v>1034</v>
      </c>
      <c r="D257" s="477"/>
      <c r="E257" s="121">
        <v>1392017.29</v>
      </c>
      <c r="F257" s="477"/>
      <c r="G257" s="477">
        <v>4393767.4700000007</v>
      </c>
      <c r="H257" s="477"/>
      <c r="I257" s="121">
        <v>0</v>
      </c>
      <c r="J257" s="379"/>
      <c r="K257" s="477"/>
      <c r="L257" s="477">
        <v>4393767.4700000007</v>
      </c>
      <c r="N257" s="121">
        <v>1392017.29</v>
      </c>
      <c r="P257" s="477"/>
      <c r="Q257" s="121">
        <v>0</v>
      </c>
      <c r="U257" s="122"/>
      <c r="V257" s="122">
        <v>83918.38</v>
      </c>
      <c r="W257" s="122"/>
      <c r="X257" s="122">
        <v>12274.7</v>
      </c>
      <c r="Y257" s="122"/>
      <c r="Z257" s="122"/>
      <c r="AA257" s="122">
        <v>0</v>
      </c>
    </row>
    <row r="258" spans="1:27" x14ac:dyDescent="0.25">
      <c r="A258" s="443">
        <v>32903</v>
      </c>
      <c r="B258" s="19" t="s">
        <v>1039</v>
      </c>
      <c r="C258" t="s">
        <v>1170</v>
      </c>
      <c r="D258" s="477"/>
      <c r="E258" s="121">
        <v>139662.18</v>
      </c>
      <c r="F258" s="477"/>
      <c r="G258" s="477">
        <v>834513.33000000007</v>
      </c>
      <c r="H258" s="477"/>
      <c r="I258" s="121">
        <v>0</v>
      </c>
      <c r="J258" s="379"/>
      <c r="K258" s="477"/>
      <c r="L258" s="477">
        <v>834513.33000000007</v>
      </c>
      <c r="N258" s="121">
        <v>139662.18</v>
      </c>
      <c r="P258" s="477"/>
      <c r="Q258" s="121">
        <v>0</v>
      </c>
      <c r="U258" s="122"/>
      <c r="V258" s="122">
        <v>0</v>
      </c>
      <c r="W258" s="122"/>
      <c r="X258" s="122">
        <v>17846</v>
      </c>
      <c r="Y258" s="122"/>
      <c r="Z258" s="122"/>
      <c r="AA258" s="122">
        <v>0</v>
      </c>
    </row>
    <row r="259" spans="1:27" x14ac:dyDescent="0.25">
      <c r="A259" s="443">
        <v>32907</v>
      </c>
      <c r="B259" s="19" t="s">
        <v>1039</v>
      </c>
      <c r="C259" t="s">
        <v>1037</v>
      </c>
      <c r="D259" s="477"/>
      <c r="E259" s="121">
        <v>560997.26</v>
      </c>
      <c r="F259" s="477"/>
      <c r="G259" s="477">
        <v>2798373.0700000003</v>
      </c>
      <c r="H259" s="477"/>
      <c r="I259" s="121">
        <v>0</v>
      </c>
      <c r="J259" s="379"/>
      <c r="K259" s="477"/>
      <c r="L259" s="477">
        <v>2798373.0700000003</v>
      </c>
      <c r="N259" s="121">
        <v>560997.26</v>
      </c>
      <c r="P259" s="477"/>
      <c r="Q259" s="121">
        <v>0</v>
      </c>
      <c r="U259" s="122"/>
      <c r="V259" s="122">
        <v>94197.02</v>
      </c>
      <c r="W259" s="122"/>
      <c r="X259" s="122">
        <v>3033.08</v>
      </c>
      <c r="Y259" s="122"/>
      <c r="Z259" s="122"/>
      <c r="AA259" s="122">
        <v>0</v>
      </c>
    </row>
    <row r="260" spans="1:27" x14ac:dyDescent="0.25">
      <c r="A260" s="443">
        <v>33030</v>
      </c>
      <c r="B260" s="19" t="s">
        <v>18</v>
      </c>
      <c r="C260" t="s">
        <v>386</v>
      </c>
      <c r="D260" s="477"/>
      <c r="E260" s="121">
        <v>220289.16</v>
      </c>
      <c r="F260" s="477"/>
      <c r="G260" s="477">
        <v>323301.13</v>
      </c>
      <c r="H260" s="477"/>
      <c r="I260" s="121">
        <v>0</v>
      </c>
      <c r="J260" s="379"/>
      <c r="K260" s="477"/>
      <c r="L260" s="477">
        <v>323301.13</v>
      </c>
      <c r="N260" s="121">
        <v>220289.16</v>
      </c>
      <c r="P260" s="477"/>
      <c r="Q260" s="121">
        <v>0</v>
      </c>
      <c r="U260" s="122"/>
      <c r="V260" s="122">
        <v>40705.33</v>
      </c>
      <c r="W260" s="122"/>
      <c r="X260" s="122">
        <v>57977.93</v>
      </c>
      <c r="Y260" s="122"/>
      <c r="Z260" s="122"/>
      <c r="AA260" s="122">
        <v>0</v>
      </c>
    </row>
    <row r="261" spans="1:27" x14ac:dyDescent="0.25">
      <c r="A261" s="443">
        <v>33036</v>
      </c>
      <c r="B261" s="19" t="s">
        <v>18</v>
      </c>
      <c r="C261" t="s">
        <v>86</v>
      </c>
      <c r="D261" s="477"/>
      <c r="E261" s="121">
        <v>2107371.87</v>
      </c>
      <c r="F261" s="477">
        <v>0</v>
      </c>
      <c r="G261" s="477">
        <v>5495677.9199999999</v>
      </c>
      <c r="H261" s="477"/>
      <c r="I261" s="121">
        <v>0</v>
      </c>
      <c r="J261" s="379"/>
      <c r="K261" s="477">
        <v>0</v>
      </c>
      <c r="L261" s="477">
        <v>5495677.9199999999</v>
      </c>
      <c r="N261" s="121">
        <v>2107371.87</v>
      </c>
      <c r="P261" s="477"/>
      <c r="Q261" s="121">
        <v>0</v>
      </c>
      <c r="U261" s="122">
        <v>7125.26</v>
      </c>
      <c r="V261" s="122">
        <v>55078.049999999996</v>
      </c>
      <c r="W261" s="122"/>
      <c r="X261" s="122">
        <v>235149.55000000002</v>
      </c>
      <c r="Y261" s="122"/>
      <c r="Z261" s="122"/>
      <c r="AA261" s="122">
        <v>0</v>
      </c>
    </row>
    <row r="262" spans="1:27" x14ac:dyDescent="0.25">
      <c r="A262" s="443">
        <v>33049</v>
      </c>
      <c r="B262" s="19" t="s">
        <v>18</v>
      </c>
      <c r="C262" t="s">
        <v>594</v>
      </c>
      <c r="D262" s="477"/>
      <c r="E262" s="121">
        <v>2192020.17</v>
      </c>
      <c r="F262" s="477"/>
      <c r="G262" s="477">
        <v>4189204.58</v>
      </c>
      <c r="H262" s="477"/>
      <c r="I262" s="121">
        <v>0</v>
      </c>
      <c r="J262" s="379"/>
      <c r="K262" s="477"/>
      <c r="L262" s="477">
        <v>4189204.58</v>
      </c>
      <c r="N262" s="121">
        <v>2192020.17</v>
      </c>
      <c r="P262" s="477"/>
      <c r="Q262" s="121">
        <v>0</v>
      </c>
      <c r="U262" s="122"/>
      <c r="V262" s="122">
        <v>118317.47</v>
      </c>
      <c r="W262" s="122"/>
      <c r="X262" s="122">
        <v>67667.009999999995</v>
      </c>
      <c r="Y262" s="122"/>
      <c r="Z262" s="122"/>
      <c r="AA262" s="122">
        <v>0</v>
      </c>
    </row>
    <row r="263" spans="1:27" x14ac:dyDescent="0.25">
      <c r="A263" s="443">
        <v>33070</v>
      </c>
      <c r="B263" s="19" t="s">
        <v>18</v>
      </c>
      <c r="C263" t="s">
        <v>570</v>
      </c>
      <c r="D263" s="477"/>
      <c r="E263" s="121">
        <v>3463731.89</v>
      </c>
      <c r="F263" s="477">
        <v>0</v>
      </c>
      <c r="G263" s="477">
        <v>4956710.5999999996</v>
      </c>
      <c r="H263" s="477"/>
      <c r="I263" s="121">
        <v>0</v>
      </c>
      <c r="J263" s="379"/>
      <c r="K263" s="477">
        <v>0</v>
      </c>
      <c r="L263" s="477">
        <v>4956710.5999999996</v>
      </c>
      <c r="N263" s="121">
        <v>3463731.89</v>
      </c>
      <c r="P263" s="477"/>
      <c r="Q263" s="121">
        <v>0</v>
      </c>
      <c r="U263" s="122">
        <v>15226.84</v>
      </c>
      <c r="V263" s="122">
        <v>75484.03</v>
      </c>
      <c r="W263" s="122"/>
      <c r="X263" s="122">
        <v>132866.06</v>
      </c>
      <c r="Y263" s="122"/>
      <c r="Z263" s="122"/>
      <c r="AA263" s="122">
        <v>0</v>
      </c>
    </row>
    <row r="264" spans="1:27" x14ac:dyDescent="0.25">
      <c r="A264" s="443">
        <v>33115</v>
      </c>
      <c r="B264" s="19" t="s">
        <v>18</v>
      </c>
      <c r="C264" t="s">
        <v>106</v>
      </c>
      <c r="D264" s="477"/>
      <c r="E264" s="121">
        <v>3617509.99</v>
      </c>
      <c r="F264" s="477">
        <v>0</v>
      </c>
      <c r="G264" s="477">
        <v>10208154.68</v>
      </c>
      <c r="H264" s="477"/>
      <c r="I264" s="121">
        <v>0</v>
      </c>
      <c r="J264" s="379"/>
      <c r="K264" s="477">
        <v>0</v>
      </c>
      <c r="L264" s="477">
        <v>10208154.68</v>
      </c>
      <c r="N264" s="121">
        <v>3617509.99</v>
      </c>
      <c r="P264" s="477"/>
      <c r="Q264" s="121">
        <v>0</v>
      </c>
      <c r="U264" s="122">
        <v>14313.1</v>
      </c>
      <c r="V264" s="122">
        <v>293799.03999999998</v>
      </c>
      <c r="W264" s="122"/>
      <c r="X264" s="122">
        <v>257944.75999999998</v>
      </c>
      <c r="Y264" s="122"/>
      <c r="Z264" s="122"/>
      <c r="AA264" s="122">
        <v>0</v>
      </c>
    </row>
    <row r="265" spans="1:27" x14ac:dyDescent="0.25">
      <c r="A265" s="443">
        <v>33183</v>
      </c>
      <c r="B265" s="19" t="s">
        <v>18</v>
      </c>
      <c r="C265" t="s">
        <v>274</v>
      </c>
      <c r="D265" s="477"/>
      <c r="E265" s="121">
        <v>501740.9</v>
      </c>
      <c r="F265" s="477"/>
      <c r="G265" s="477">
        <v>1150069.8600000001</v>
      </c>
      <c r="H265" s="477"/>
      <c r="I265" s="121">
        <v>0</v>
      </c>
      <c r="J265" s="379"/>
      <c r="K265" s="477"/>
      <c r="L265" s="477">
        <v>1150069.8600000001</v>
      </c>
      <c r="N265" s="121">
        <v>501740.9</v>
      </c>
      <c r="P265" s="477"/>
      <c r="Q265" s="121">
        <v>0</v>
      </c>
      <c r="U265" s="122"/>
      <c r="V265" s="122">
        <v>39616.75</v>
      </c>
      <c r="W265" s="122"/>
      <c r="X265" s="122">
        <v>100601.64</v>
      </c>
      <c r="Y265" s="122"/>
      <c r="Z265" s="122"/>
      <c r="AA265" s="122">
        <v>0</v>
      </c>
    </row>
    <row r="266" spans="1:27" x14ac:dyDescent="0.25">
      <c r="A266" s="443">
        <v>33202</v>
      </c>
      <c r="B266" s="19" t="s">
        <v>18</v>
      </c>
      <c r="C266" t="s">
        <v>532</v>
      </c>
      <c r="D266" s="477"/>
      <c r="E266" s="121">
        <v>173225.78999999998</v>
      </c>
      <c r="F266" s="477"/>
      <c r="G266" s="477">
        <v>475351.07999999996</v>
      </c>
      <c r="H266" s="477"/>
      <c r="I266" s="121">
        <v>0</v>
      </c>
      <c r="J266" s="379"/>
      <c r="K266" s="477"/>
      <c r="L266" s="477">
        <v>475351.07999999996</v>
      </c>
      <c r="N266" s="121">
        <v>173225.78999999998</v>
      </c>
      <c r="P266" s="477"/>
      <c r="Q266" s="121">
        <v>0</v>
      </c>
      <c r="U266" s="122"/>
      <c r="V266" s="122">
        <v>2925</v>
      </c>
      <c r="W266" s="122"/>
      <c r="X266" s="122">
        <v>12534.3</v>
      </c>
      <c r="Y266" s="122"/>
      <c r="Z266" s="122"/>
      <c r="AA266" s="122">
        <v>0</v>
      </c>
    </row>
    <row r="267" spans="1:27" x14ac:dyDescent="0.25">
      <c r="A267" s="443">
        <v>33205</v>
      </c>
      <c r="B267" s="19" t="s">
        <v>18</v>
      </c>
      <c r="C267" t="s">
        <v>178</v>
      </c>
      <c r="D267" s="477"/>
      <c r="E267" s="121">
        <v>101257.75</v>
      </c>
      <c r="F267" s="477">
        <v>0</v>
      </c>
      <c r="G267" s="477">
        <v>173218.97999999998</v>
      </c>
      <c r="H267" s="477"/>
      <c r="I267" s="121">
        <v>0</v>
      </c>
      <c r="J267" s="379"/>
      <c r="K267" s="477">
        <v>0</v>
      </c>
      <c r="L267" s="477">
        <v>173218.97999999998</v>
      </c>
      <c r="N267" s="121">
        <v>101257.75</v>
      </c>
      <c r="P267" s="477"/>
      <c r="Q267" s="121">
        <v>0</v>
      </c>
      <c r="U267" s="122">
        <v>46643.13</v>
      </c>
      <c r="V267" s="122">
        <v>11999.98</v>
      </c>
      <c r="W267" s="122"/>
      <c r="X267" s="122">
        <v>6404.91</v>
      </c>
      <c r="Y267" s="122"/>
      <c r="Z267" s="122"/>
      <c r="AA267" s="122">
        <v>0</v>
      </c>
    </row>
    <row r="268" spans="1:27" x14ac:dyDescent="0.25">
      <c r="A268" s="443">
        <v>33206</v>
      </c>
      <c r="B268" s="19" t="s">
        <v>18</v>
      </c>
      <c r="C268" t="s">
        <v>102</v>
      </c>
      <c r="D268" s="477"/>
      <c r="E268" s="121">
        <v>476761.79000000004</v>
      </c>
      <c r="F268" s="477">
        <v>0</v>
      </c>
      <c r="G268" s="477">
        <v>1140565.8599999999</v>
      </c>
      <c r="H268" s="477"/>
      <c r="I268" s="121">
        <v>0</v>
      </c>
      <c r="J268" s="379"/>
      <c r="K268" s="477">
        <v>0</v>
      </c>
      <c r="L268" s="477">
        <v>1140565.8599999999</v>
      </c>
      <c r="N268" s="121">
        <v>476761.79000000004</v>
      </c>
      <c r="P268" s="477"/>
      <c r="Q268" s="121">
        <v>0</v>
      </c>
      <c r="U268" s="122">
        <v>6268</v>
      </c>
      <c r="V268" s="122">
        <v>19353</v>
      </c>
      <c r="W268" s="122"/>
      <c r="X268" s="122">
        <v>67914.899999999994</v>
      </c>
      <c r="Y268" s="122"/>
      <c r="Z268" s="122"/>
      <c r="AA268" s="122">
        <v>0</v>
      </c>
    </row>
    <row r="269" spans="1:27" x14ac:dyDescent="0.25">
      <c r="A269" s="443">
        <v>33207</v>
      </c>
      <c r="B269" s="19" t="s">
        <v>18</v>
      </c>
      <c r="C269" t="s">
        <v>290</v>
      </c>
      <c r="D269" s="477"/>
      <c r="E269" s="121">
        <v>1258149.8500000001</v>
      </c>
      <c r="F269" s="477"/>
      <c r="G269" s="477">
        <v>3105523.6999999997</v>
      </c>
      <c r="H269" s="477"/>
      <c r="I269" s="121">
        <v>0</v>
      </c>
      <c r="J269" s="379"/>
      <c r="K269" s="477"/>
      <c r="L269" s="477">
        <v>3105523.6999999997</v>
      </c>
      <c r="N269" s="121">
        <v>1258149.8500000001</v>
      </c>
      <c r="P269" s="477"/>
      <c r="Q269" s="121">
        <v>0</v>
      </c>
      <c r="U269" s="122"/>
      <c r="V269" s="122">
        <v>20838.759999999998</v>
      </c>
      <c r="W269" s="122"/>
      <c r="X269" s="122">
        <v>86637.71</v>
      </c>
      <c r="Y269" s="122"/>
      <c r="Z269" s="122"/>
      <c r="AA269" s="122">
        <v>0</v>
      </c>
    </row>
    <row r="270" spans="1:27" x14ac:dyDescent="0.25">
      <c r="A270" s="443">
        <v>33211</v>
      </c>
      <c r="B270" s="19" t="s">
        <v>18</v>
      </c>
      <c r="C270" t="s">
        <v>358</v>
      </c>
      <c r="D270" s="477"/>
      <c r="E270" s="121">
        <v>822842.64</v>
      </c>
      <c r="F270" s="477"/>
      <c r="G270" s="477">
        <v>1730293.94</v>
      </c>
      <c r="H270" s="477"/>
      <c r="I270" s="121">
        <v>0</v>
      </c>
      <c r="J270" s="379"/>
      <c r="K270" s="477"/>
      <c r="L270" s="477">
        <v>1730293.94</v>
      </c>
      <c r="N270" s="121">
        <v>822842.64</v>
      </c>
      <c r="P270" s="477"/>
      <c r="Q270" s="121">
        <v>0</v>
      </c>
      <c r="U270" s="122"/>
      <c r="V270" s="122">
        <v>35755.69</v>
      </c>
      <c r="W270" s="122"/>
      <c r="X270" s="122">
        <v>98419.87000000001</v>
      </c>
      <c r="Y270" s="122"/>
      <c r="Z270" s="122"/>
      <c r="AA270" s="122">
        <v>0</v>
      </c>
    </row>
    <row r="271" spans="1:27" x14ac:dyDescent="0.25">
      <c r="A271" s="443">
        <v>33212</v>
      </c>
      <c r="B271" s="19" t="s">
        <v>18</v>
      </c>
      <c r="C271" t="s">
        <v>244</v>
      </c>
      <c r="D271" s="477"/>
      <c r="E271" s="121">
        <v>2968583.27</v>
      </c>
      <c r="F271" s="477">
        <v>0</v>
      </c>
      <c r="G271" s="477">
        <v>6314222.9900000002</v>
      </c>
      <c r="H271" s="477"/>
      <c r="I271" s="121">
        <v>0</v>
      </c>
      <c r="J271" s="379"/>
      <c r="K271" s="477">
        <v>0</v>
      </c>
      <c r="L271" s="477">
        <v>6314222.9900000002</v>
      </c>
      <c r="N271" s="121">
        <v>2968583.27</v>
      </c>
      <c r="P271" s="477"/>
      <c r="Q271" s="121">
        <v>0</v>
      </c>
      <c r="U271" s="122">
        <v>6195</v>
      </c>
      <c r="V271" s="122">
        <v>105988.81999999999</v>
      </c>
      <c r="W271" s="122"/>
      <c r="X271" s="122">
        <v>164865.92000000001</v>
      </c>
      <c r="Y271" s="122"/>
      <c r="Z271" s="122"/>
      <c r="AA271" s="122">
        <v>0</v>
      </c>
    </row>
    <row r="272" spans="1:27" x14ac:dyDescent="0.25">
      <c r="A272" s="443">
        <v>34002</v>
      </c>
      <c r="B272" s="19" t="s">
        <v>13</v>
      </c>
      <c r="C272" t="s">
        <v>624</v>
      </c>
      <c r="D272" s="477">
        <v>23630.46</v>
      </c>
      <c r="E272" s="121">
        <v>15784621.799999999</v>
      </c>
      <c r="F272" s="477">
        <v>0</v>
      </c>
      <c r="G272" s="477">
        <v>39373395.07</v>
      </c>
      <c r="H272" s="477"/>
      <c r="I272" s="121">
        <v>0</v>
      </c>
      <c r="J272" s="379"/>
      <c r="K272" s="477">
        <v>0</v>
      </c>
      <c r="L272" s="477">
        <v>39373395.07</v>
      </c>
      <c r="N272" s="121">
        <v>15784621.799999999</v>
      </c>
      <c r="P272" s="477">
        <v>23630.46</v>
      </c>
      <c r="Q272" s="121">
        <v>0</v>
      </c>
      <c r="U272" s="122">
        <v>44426.03</v>
      </c>
      <c r="V272" s="122">
        <v>1104698.08</v>
      </c>
      <c r="W272" s="122"/>
      <c r="X272" s="122">
        <v>1150581.32</v>
      </c>
      <c r="Y272" s="122"/>
      <c r="Z272" s="122">
        <v>0</v>
      </c>
      <c r="AA272" s="122">
        <v>0</v>
      </c>
    </row>
    <row r="273" spans="1:27" x14ac:dyDescent="0.25">
      <c r="A273" s="443">
        <v>34003</v>
      </c>
      <c r="B273" s="19" t="s">
        <v>13</v>
      </c>
      <c r="C273" t="s">
        <v>354</v>
      </c>
      <c r="D273" s="477">
        <v>96297.86</v>
      </c>
      <c r="E273" s="121">
        <v>41653630.519999996</v>
      </c>
      <c r="F273" s="477">
        <v>125144.82</v>
      </c>
      <c r="G273" s="477">
        <v>118328978.97999999</v>
      </c>
      <c r="H273" s="477"/>
      <c r="I273" s="121">
        <v>0</v>
      </c>
      <c r="J273" s="379"/>
      <c r="K273" s="477">
        <v>125144.82</v>
      </c>
      <c r="L273" s="477">
        <v>118328978.97999999</v>
      </c>
      <c r="N273" s="121">
        <v>41653630.519999996</v>
      </c>
      <c r="P273" s="477">
        <v>96297.86</v>
      </c>
      <c r="Q273" s="121">
        <v>0</v>
      </c>
      <c r="U273" s="122">
        <v>182397.28</v>
      </c>
      <c r="V273" s="122">
        <v>2647418.94</v>
      </c>
      <c r="W273" s="122"/>
      <c r="X273" s="122">
        <v>2741018.02</v>
      </c>
      <c r="Y273" s="122"/>
      <c r="Z273" s="122">
        <v>0</v>
      </c>
      <c r="AA273" s="122">
        <v>0</v>
      </c>
    </row>
    <row r="274" spans="1:27" x14ac:dyDescent="0.25">
      <c r="A274" s="443">
        <v>34033</v>
      </c>
      <c r="B274" s="19" t="s">
        <v>13</v>
      </c>
      <c r="C274" t="s">
        <v>564</v>
      </c>
      <c r="D274" s="477">
        <v>38752.03</v>
      </c>
      <c r="E274" s="121">
        <v>17573022.899999999</v>
      </c>
      <c r="F274" s="477">
        <v>240304.93</v>
      </c>
      <c r="G274" s="477">
        <v>45485937.200000003</v>
      </c>
      <c r="H274" s="477"/>
      <c r="I274" s="121">
        <v>0</v>
      </c>
      <c r="J274" s="379"/>
      <c r="K274" s="477">
        <v>240304.93</v>
      </c>
      <c r="L274" s="477">
        <v>45485937.200000003</v>
      </c>
      <c r="N274" s="121">
        <v>17573022.899999999</v>
      </c>
      <c r="P274" s="477">
        <v>38752.03</v>
      </c>
      <c r="Q274" s="121">
        <v>0</v>
      </c>
      <c r="U274" s="122">
        <v>106866.01</v>
      </c>
      <c r="V274" s="122">
        <v>1842385.3800000001</v>
      </c>
      <c r="W274" s="122"/>
      <c r="X274" s="122">
        <v>2262240.54</v>
      </c>
      <c r="Y274" s="122"/>
      <c r="Z274" s="122">
        <v>0</v>
      </c>
      <c r="AA274" s="122">
        <v>0</v>
      </c>
    </row>
    <row r="275" spans="1:27" x14ac:dyDescent="0.25">
      <c r="A275" s="443">
        <v>34111</v>
      </c>
      <c r="B275" s="19" t="s">
        <v>13</v>
      </c>
      <c r="C275" t="s">
        <v>378</v>
      </c>
      <c r="D275" s="477">
        <v>148939.6</v>
      </c>
      <c r="E275" s="121">
        <v>30025892.050000001</v>
      </c>
      <c r="F275" s="477">
        <v>0</v>
      </c>
      <c r="G275" s="477">
        <v>79642956.820000008</v>
      </c>
      <c r="H275" s="477"/>
      <c r="I275" s="121">
        <v>0</v>
      </c>
      <c r="J275" s="379"/>
      <c r="K275" s="477">
        <v>0</v>
      </c>
      <c r="L275" s="477">
        <v>79642956.820000008</v>
      </c>
      <c r="N275" s="121">
        <v>30025892.050000001</v>
      </c>
      <c r="P275" s="477">
        <v>148939.6</v>
      </c>
      <c r="Q275" s="121">
        <v>0</v>
      </c>
      <c r="U275" s="122">
        <v>166179.84</v>
      </c>
      <c r="V275" s="122">
        <v>2448737.12</v>
      </c>
      <c r="W275" s="122"/>
      <c r="X275" s="122">
        <v>2013001.88</v>
      </c>
      <c r="Y275" s="122"/>
      <c r="Z275" s="122">
        <v>0</v>
      </c>
      <c r="AA275" s="122">
        <v>0</v>
      </c>
    </row>
    <row r="276" spans="1:27" x14ac:dyDescent="0.25">
      <c r="A276" s="443">
        <v>34307</v>
      </c>
      <c r="B276" s="19" t="s">
        <v>13</v>
      </c>
      <c r="C276" t="s">
        <v>444</v>
      </c>
      <c r="D276" s="477"/>
      <c r="E276" s="121">
        <v>2098589.2599999998</v>
      </c>
      <c r="F276" s="477">
        <v>0</v>
      </c>
      <c r="G276" s="477">
        <v>6229232.2400000002</v>
      </c>
      <c r="H276" s="477"/>
      <c r="I276" s="121">
        <v>0</v>
      </c>
      <c r="J276" s="379"/>
      <c r="K276" s="477">
        <v>0</v>
      </c>
      <c r="L276" s="477">
        <v>6229232.2400000002</v>
      </c>
      <c r="N276" s="121">
        <v>2098589.2599999998</v>
      </c>
      <c r="P276" s="477"/>
      <c r="Q276" s="121">
        <v>0</v>
      </c>
      <c r="U276" s="122">
        <v>63521.09</v>
      </c>
      <c r="V276" s="122">
        <v>174590.11</v>
      </c>
      <c r="W276" s="122"/>
      <c r="X276" s="122">
        <v>203272.09</v>
      </c>
      <c r="Y276" s="122"/>
      <c r="Z276" s="122"/>
      <c r="AA276" s="122">
        <v>0</v>
      </c>
    </row>
    <row r="277" spans="1:27" x14ac:dyDescent="0.25">
      <c r="A277" s="443">
        <v>34324</v>
      </c>
      <c r="B277" s="19" t="s">
        <v>13</v>
      </c>
      <c r="C277" t="s">
        <v>212</v>
      </c>
      <c r="D277" s="477"/>
      <c r="E277" s="121">
        <v>1896998.7799999998</v>
      </c>
      <c r="F277" s="477">
        <v>0</v>
      </c>
      <c r="G277" s="477">
        <v>3969358.88</v>
      </c>
      <c r="H277" s="477"/>
      <c r="I277" s="121">
        <v>0</v>
      </c>
      <c r="J277" s="379"/>
      <c r="K277" s="477">
        <v>0</v>
      </c>
      <c r="L277" s="477">
        <v>3969358.88</v>
      </c>
      <c r="N277" s="121">
        <v>1896998.7799999998</v>
      </c>
      <c r="P277" s="477"/>
      <c r="Q277" s="121">
        <v>0</v>
      </c>
      <c r="U277" s="122">
        <v>2192.5</v>
      </c>
      <c r="V277" s="122">
        <v>186932.44</v>
      </c>
      <c r="W277" s="122"/>
      <c r="X277" s="122">
        <v>47504.87</v>
      </c>
      <c r="Y277" s="122"/>
      <c r="Z277" s="122"/>
      <c r="AA277" s="122">
        <v>0</v>
      </c>
    </row>
    <row r="278" spans="1:27" x14ac:dyDescent="0.25">
      <c r="A278" s="443">
        <v>34401</v>
      </c>
      <c r="B278" s="19" t="s">
        <v>13</v>
      </c>
      <c r="C278" t="s">
        <v>464</v>
      </c>
      <c r="D278" s="477"/>
      <c r="E278" s="121">
        <v>4236567.6899999995</v>
      </c>
      <c r="F278" s="477">
        <v>0</v>
      </c>
      <c r="G278" s="477">
        <v>15521521.82</v>
      </c>
      <c r="H278" s="477"/>
      <c r="I278" s="121">
        <v>0</v>
      </c>
      <c r="J278" s="379"/>
      <c r="K278" s="477">
        <v>0</v>
      </c>
      <c r="L278" s="477">
        <v>15521521.82</v>
      </c>
      <c r="N278" s="121">
        <v>4236567.6899999995</v>
      </c>
      <c r="P278" s="477"/>
      <c r="Q278" s="121">
        <v>0</v>
      </c>
      <c r="U278" s="122">
        <v>160</v>
      </c>
      <c r="V278" s="122">
        <v>130378.76999999999</v>
      </c>
      <c r="W278" s="122"/>
      <c r="X278" s="122">
        <v>291757.62</v>
      </c>
      <c r="Y278" s="122"/>
      <c r="Z278" s="122"/>
      <c r="AA278" s="122">
        <v>0</v>
      </c>
    </row>
    <row r="279" spans="1:27" x14ac:dyDescent="0.25">
      <c r="A279" s="443">
        <v>34402</v>
      </c>
      <c r="B279" s="19" t="s">
        <v>13</v>
      </c>
      <c r="C279" t="s">
        <v>546</v>
      </c>
      <c r="D279" s="477">
        <v>22637.16</v>
      </c>
      <c r="E279" s="121">
        <v>3150113.29</v>
      </c>
      <c r="F279" s="477"/>
      <c r="G279" s="477">
        <v>8326537.8799999999</v>
      </c>
      <c r="H279" s="477"/>
      <c r="I279" s="121">
        <v>0</v>
      </c>
      <c r="J279" s="379"/>
      <c r="K279" s="477"/>
      <c r="L279" s="477">
        <v>8326537.8799999999</v>
      </c>
      <c r="N279" s="121">
        <v>3150113.29</v>
      </c>
      <c r="P279" s="477">
        <v>22637.16</v>
      </c>
      <c r="Q279" s="121">
        <v>0</v>
      </c>
      <c r="U279" s="122"/>
      <c r="V279" s="122">
        <v>83718.16</v>
      </c>
      <c r="W279" s="122"/>
      <c r="X279" s="122">
        <v>289294.71000000002</v>
      </c>
      <c r="Y279" s="122"/>
      <c r="Z279" s="122">
        <v>0</v>
      </c>
      <c r="AA279" s="122">
        <v>0</v>
      </c>
    </row>
    <row r="280" spans="1:27" x14ac:dyDescent="0.25">
      <c r="A280" s="443">
        <v>34801</v>
      </c>
      <c r="B280" s="19">
        <v>113</v>
      </c>
      <c r="C280" t="s">
        <v>156</v>
      </c>
      <c r="D280" s="477"/>
      <c r="E280" s="121">
        <v>23714744.960000001</v>
      </c>
      <c r="F280" s="477">
        <v>0</v>
      </c>
      <c r="G280" s="477">
        <v>7002240.6099999994</v>
      </c>
      <c r="H280" s="477"/>
      <c r="I280" s="121">
        <v>0</v>
      </c>
      <c r="J280" s="379"/>
      <c r="K280" s="477">
        <v>0</v>
      </c>
      <c r="L280" s="477">
        <v>7002240.6099999994</v>
      </c>
      <c r="N280" s="121">
        <v>23714744.960000001</v>
      </c>
      <c r="P280" s="477"/>
      <c r="Q280" s="121">
        <v>0</v>
      </c>
      <c r="U280" s="122">
        <v>48607.69</v>
      </c>
      <c r="V280" s="122">
        <v>143984.72</v>
      </c>
      <c r="W280" s="122"/>
      <c r="X280" s="122">
        <v>461714.88</v>
      </c>
      <c r="Y280" s="122"/>
      <c r="Z280" s="122"/>
      <c r="AA280" s="122">
        <v>0</v>
      </c>
    </row>
    <row r="281" spans="1:27" x14ac:dyDescent="0.25">
      <c r="A281" s="443">
        <v>35200</v>
      </c>
      <c r="B281" s="19" t="s">
        <v>34</v>
      </c>
      <c r="C281" t="s">
        <v>576</v>
      </c>
      <c r="D281" s="477"/>
      <c r="E281" s="121">
        <v>1147577.0699999998</v>
      </c>
      <c r="F281" s="477"/>
      <c r="G281" s="477">
        <v>2381634.59</v>
      </c>
      <c r="H281" s="477"/>
      <c r="I281" s="121">
        <v>0</v>
      </c>
      <c r="J281" s="379"/>
      <c r="K281" s="477"/>
      <c r="L281" s="477">
        <v>2381634.59</v>
      </c>
      <c r="N281" s="121">
        <v>1147577.0699999998</v>
      </c>
      <c r="P281" s="477"/>
      <c r="Q281" s="121">
        <v>0</v>
      </c>
      <c r="U281" s="122"/>
      <c r="V281" s="122">
        <v>100006.17</v>
      </c>
      <c r="W281" s="122"/>
      <c r="X281" s="122">
        <v>115237.55</v>
      </c>
      <c r="Y281" s="122"/>
      <c r="Z281" s="122"/>
      <c r="AA281" s="122">
        <v>0</v>
      </c>
    </row>
    <row r="282" spans="1:27" x14ac:dyDescent="0.25">
      <c r="A282" s="443">
        <v>36101</v>
      </c>
      <c r="B282" s="19" t="s">
        <v>26</v>
      </c>
      <c r="C282" t="s">
        <v>138</v>
      </c>
      <c r="D282" s="477"/>
      <c r="E282" s="121">
        <v>212319.88</v>
      </c>
      <c r="F282" s="477"/>
      <c r="G282" s="477">
        <v>170118.41</v>
      </c>
      <c r="H282" s="477"/>
      <c r="I282" s="121">
        <v>0</v>
      </c>
      <c r="J282" s="379"/>
      <c r="K282" s="477"/>
      <c r="L282" s="477">
        <v>170118.41</v>
      </c>
      <c r="N282" s="121">
        <v>212319.88</v>
      </c>
      <c r="P282" s="477"/>
      <c r="Q282" s="121">
        <v>0</v>
      </c>
      <c r="U282" s="122"/>
      <c r="V282" s="122">
        <v>0</v>
      </c>
      <c r="W282" s="122"/>
      <c r="X282" s="122">
        <v>9475.5400000000009</v>
      </c>
      <c r="Y282" s="122"/>
      <c r="Z282" s="122"/>
      <c r="AA282" s="122">
        <v>0</v>
      </c>
    </row>
    <row r="283" spans="1:27" x14ac:dyDescent="0.25">
      <c r="A283" s="443">
        <v>36140</v>
      </c>
      <c r="B283" s="19" t="s">
        <v>26</v>
      </c>
      <c r="C283" t="s">
        <v>582</v>
      </c>
      <c r="D283" s="477">
        <v>38303.199999999997</v>
      </c>
      <c r="E283" s="121">
        <v>14892039.42</v>
      </c>
      <c r="F283" s="477">
        <v>0</v>
      </c>
      <c r="G283" s="477">
        <v>38145397.350000001</v>
      </c>
      <c r="H283" s="477"/>
      <c r="I283" s="121">
        <v>0</v>
      </c>
      <c r="J283" s="379"/>
      <c r="K283" s="477">
        <v>0</v>
      </c>
      <c r="L283" s="477">
        <v>38145397.350000001</v>
      </c>
      <c r="N283" s="121">
        <v>14892039.42</v>
      </c>
      <c r="P283" s="477">
        <v>38303.199999999997</v>
      </c>
      <c r="Q283" s="121">
        <v>0</v>
      </c>
      <c r="U283" s="122">
        <v>13984.96</v>
      </c>
      <c r="V283" s="122">
        <v>1611816.06</v>
      </c>
      <c r="W283" s="122"/>
      <c r="X283" s="122">
        <v>1095608</v>
      </c>
      <c r="Y283" s="122"/>
      <c r="Z283" s="122">
        <v>0</v>
      </c>
      <c r="AA283" s="122">
        <v>0</v>
      </c>
    </row>
    <row r="284" spans="1:27" x14ac:dyDescent="0.25">
      <c r="A284" s="443">
        <v>36250</v>
      </c>
      <c r="B284" s="19" t="s">
        <v>26</v>
      </c>
      <c r="C284" t="s">
        <v>98</v>
      </c>
      <c r="D284" s="477"/>
      <c r="E284" s="121">
        <v>3738180.24</v>
      </c>
      <c r="F284" s="477">
        <v>0</v>
      </c>
      <c r="G284" s="477">
        <v>10342233.93</v>
      </c>
      <c r="H284" s="477"/>
      <c r="I284" s="121">
        <v>0</v>
      </c>
      <c r="J284" s="379"/>
      <c r="K284" s="477">
        <v>0</v>
      </c>
      <c r="L284" s="477">
        <v>10342233.93</v>
      </c>
      <c r="N284" s="121">
        <v>3738180.24</v>
      </c>
      <c r="P284" s="477"/>
      <c r="Q284" s="121">
        <v>0</v>
      </c>
      <c r="U284" s="122">
        <v>21743.15</v>
      </c>
      <c r="V284" s="122">
        <v>486508.91</v>
      </c>
      <c r="W284" s="122"/>
      <c r="X284" s="122">
        <v>373973.77999999997</v>
      </c>
      <c r="Y284" s="122"/>
      <c r="Z284" s="122"/>
      <c r="AA284" s="122">
        <v>0</v>
      </c>
    </row>
    <row r="285" spans="1:27" x14ac:dyDescent="0.25">
      <c r="A285" s="443">
        <v>36300</v>
      </c>
      <c r="B285" s="19" t="s">
        <v>26</v>
      </c>
      <c r="C285" t="s">
        <v>556</v>
      </c>
      <c r="D285" s="477"/>
      <c r="E285" s="121">
        <v>734679.7300000001</v>
      </c>
      <c r="F285" s="477"/>
      <c r="G285" s="477">
        <v>2012767.77</v>
      </c>
      <c r="H285" s="477"/>
      <c r="I285" s="121">
        <v>0</v>
      </c>
      <c r="J285" s="379"/>
      <c r="K285" s="477"/>
      <c r="L285" s="477">
        <v>2012767.77</v>
      </c>
      <c r="N285" s="121">
        <v>734679.7300000001</v>
      </c>
      <c r="P285" s="477"/>
      <c r="Q285" s="121">
        <v>0</v>
      </c>
      <c r="U285" s="122"/>
      <c r="V285" s="122">
        <v>34749.050000000003</v>
      </c>
      <c r="W285" s="122"/>
      <c r="X285" s="122">
        <v>122275.4</v>
      </c>
      <c r="Y285" s="122"/>
      <c r="Z285" s="122"/>
      <c r="AA285" s="122">
        <v>0</v>
      </c>
    </row>
    <row r="286" spans="1:27" x14ac:dyDescent="0.25">
      <c r="A286" s="443">
        <v>36400</v>
      </c>
      <c r="B286" s="19" t="s">
        <v>26</v>
      </c>
      <c r="C286" t="s">
        <v>104</v>
      </c>
      <c r="D286" s="477">
        <v>41951.360000000001</v>
      </c>
      <c r="E286" s="121">
        <v>2106884.77</v>
      </c>
      <c r="F286" s="477"/>
      <c r="G286" s="477">
        <v>6099179.7699999996</v>
      </c>
      <c r="H286" s="477"/>
      <c r="I286" s="121">
        <v>0</v>
      </c>
      <c r="J286" s="379"/>
      <c r="K286" s="477"/>
      <c r="L286" s="477">
        <v>6099179.7699999996</v>
      </c>
      <c r="N286" s="121">
        <v>2106884.77</v>
      </c>
      <c r="P286" s="477">
        <v>41951.360000000001</v>
      </c>
      <c r="Q286" s="121">
        <v>0</v>
      </c>
      <c r="U286" s="122"/>
      <c r="V286" s="122">
        <v>59114.53</v>
      </c>
      <c r="W286" s="122"/>
      <c r="X286" s="122">
        <v>198195.47999999998</v>
      </c>
      <c r="Y286" s="122"/>
      <c r="Z286" s="122">
        <v>0</v>
      </c>
      <c r="AA286" s="122">
        <v>0</v>
      </c>
    </row>
    <row r="287" spans="1:27" x14ac:dyDescent="0.25">
      <c r="A287" s="443">
        <v>36401</v>
      </c>
      <c r="B287" s="19" t="s">
        <v>26</v>
      </c>
      <c r="C287" t="s">
        <v>580</v>
      </c>
      <c r="D287" s="477"/>
      <c r="E287" s="121">
        <v>906045.92999999993</v>
      </c>
      <c r="F287" s="477"/>
      <c r="G287" s="477">
        <v>1775987.67</v>
      </c>
      <c r="H287" s="477"/>
      <c r="I287" s="121">
        <v>0</v>
      </c>
      <c r="J287" s="379"/>
      <c r="K287" s="477"/>
      <c r="L287" s="477">
        <v>1775987.67</v>
      </c>
      <c r="N287" s="121">
        <v>906045.92999999993</v>
      </c>
      <c r="P287" s="477"/>
      <c r="Q287" s="121">
        <v>0</v>
      </c>
      <c r="U287" s="122"/>
      <c r="V287" s="122">
        <v>56339.23</v>
      </c>
      <c r="W287" s="122"/>
      <c r="X287" s="122">
        <v>80445.13</v>
      </c>
      <c r="Y287" s="122"/>
      <c r="Z287" s="122"/>
      <c r="AA287" s="122">
        <v>0</v>
      </c>
    </row>
    <row r="288" spans="1:27" x14ac:dyDescent="0.25">
      <c r="A288" s="443">
        <v>36402</v>
      </c>
      <c r="B288" s="19" t="s">
        <v>26</v>
      </c>
      <c r="C288" t="s">
        <v>424</v>
      </c>
      <c r="D288" s="477"/>
      <c r="E288" s="121">
        <v>1128895.08</v>
      </c>
      <c r="F288" s="477">
        <v>0</v>
      </c>
      <c r="G288" s="477">
        <v>2172195.09</v>
      </c>
      <c r="H288" s="477"/>
      <c r="I288" s="121">
        <v>0</v>
      </c>
      <c r="J288" s="379"/>
      <c r="K288" s="477">
        <v>0</v>
      </c>
      <c r="L288" s="477">
        <v>2172195.09</v>
      </c>
      <c r="N288" s="121">
        <v>1128895.08</v>
      </c>
      <c r="P288" s="477"/>
      <c r="Q288" s="121">
        <v>0</v>
      </c>
      <c r="U288" s="122">
        <v>14274.73</v>
      </c>
      <c r="V288" s="122">
        <v>72003.05</v>
      </c>
      <c r="W288" s="122"/>
      <c r="X288" s="122">
        <v>115598.27</v>
      </c>
      <c r="Y288" s="122"/>
      <c r="Z288" s="122"/>
      <c r="AA288" s="122">
        <v>0</v>
      </c>
    </row>
    <row r="289" spans="1:27" x14ac:dyDescent="0.25">
      <c r="A289" s="443">
        <v>37501</v>
      </c>
      <c r="B289" s="19" t="s">
        <v>21</v>
      </c>
      <c r="C289" t="s">
        <v>37</v>
      </c>
      <c r="D289" s="477"/>
      <c r="E289" s="121">
        <v>35007857.920000002</v>
      </c>
      <c r="F289" s="477">
        <v>0</v>
      </c>
      <c r="G289" s="477">
        <v>99497458.980000004</v>
      </c>
      <c r="H289" s="477"/>
      <c r="I289" s="121">
        <v>0</v>
      </c>
      <c r="J289" s="379"/>
      <c r="K289" s="477">
        <v>0</v>
      </c>
      <c r="L289" s="477">
        <v>99497458.980000004</v>
      </c>
      <c r="N289" s="121">
        <v>35007857.920000002</v>
      </c>
      <c r="P289" s="477"/>
      <c r="Q289" s="121">
        <v>0</v>
      </c>
      <c r="U289" s="122">
        <v>10602.5</v>
      </c>
      <c r="V289" s="122">
        <v>2066593.5699999998</v>
      </c>
      <c r="W289" s="122"/>
      <c r="X289" s="122">
        <v>3274784.54</v>
      </c>
      <c r="Y289" s="122"/>
      <c r="Z289" s="122"/>
      <c r="AA289" s="122">
        <v>0</v>
      </c>
    </row>
    <row r="290" spans="1:27" x14ac:dyDescent="0.25">
      <c r="A290" s="443">
        <v>37502</v>
      </c>
      <c r="B290" s="19" t="s">
        <v>21</v>
      </c>
      <c r="C290" t="s">
        <v>182</v>
      </c>
      <c r="D290" s="477">
        <v>9232.5499999999993</v>
      </c>
      <c r="E290" s="121">
        <v>15800411.859999999</v>
      </c>
      <c r="F290" s="477">
        <v>134380.87</v>
      </c>
      <c r="G290" s="477">
        <v>41903903.049999997</v>
      </c>
      <c r="H290" s="477"/>
      <c r="I290" s="121">
        <v>0</v>
      </c>
      <c r="J290" s="379"/>
      <c r="K290" s="477">
        <v>134380.87</v>
      </c>
      <c r="L290" s="477">
        <v>41903903.049999997</v>
      </c>
      <c r="N290" s="121">
        <v>15800411.859999999</v>
      </c>
      <c r="P290" s="477">
        <v>9232.5499999999993</v>
      </c>
      <c r="Q290" s="121">
        <v>0</v>
      </c>
      <c r="U290" s="122">
        <v>8471.39</v>
      </c>
      <c r="V290" s="122">
        <v>1088196.32</v>
      </c>
      <c r="W290" s="122"/>
      <c r="X290" s="122">
        <v>1776453.58</v>
      </c>
      <c r="Y290" s="122"/>
      <c r="Z290" s="122">
        <v>0</v>
      </c>
      <c r="AA290" s="122">
        <v>0</v>
      </c>
    </row>
    <row r="291" spans="1:27" x14ac:dyDescent="0.25">
      <c r="A291" s="443">
        <v>37503</v>
      </c>
      <c r="B291" s="19" t="s">
        <v>21</v>
      </c>
      <c r="C291" t="s">
        <v>46</v>
      </c>
      <c r="D291" s="477"/>
      <c r="E291" s="121">
        <v>6286960.3300000001</v>
      </c>
      <c r="F291" s="477">
        <v>0</v>
      </c>
      <c r="G291" s="477">
        <v>16323670.060000001</v>
      </c>
      <c r="H291" s="477"/>
      <c r="I291" s="121">
        <v>0</v>
      </c>
      <c r="J291" s="379"/>
      <c r="K291" s="477">
        <v>0</v>
      </c>
      <c r="L291" s="477">
        <v>16323670.060000001</v>
      </c>
      <c r="N291" s="121">
        <v>6286960.3300000001</v>
      </c>
      <c r="P291" s="477"/>
      <c r="Q291" s="121">
        <v>0</v>
      </c>
      <c r="U291" s="122">
        <v>9527.17</v>
      </c>
      <c r="V291" s="122">
        <v>503173.86000000004</v>
      </c>
      <c r="W291" s="122"/>
      <c r="X291" s="122">
        <v>630565.45000000007</v>
      </c>
      <c r="Y291" s="122"/>
      <c r="Z291" s="122"/>
      <c r="AA291" s="122">
        <v>0</v>
      </c>
    </row>
    <row r="292" spans="1:27" x14ac:dyDescent="0.25">
      <c r="A292" s="443">
        <v>37504</v>
      </c>
      <c r="B292" s="19" t="s">
        <v>21</v>
      </c>
      <c r="C292" t="s">
        <v>280</v>
      </c>
      <c r="D292" s="477"/>
      <c r="E292" s="121">
        <v>8237284.0899999999</v>
      </c>
      <c r="F292" s="477">
        <v>0</v>
      </c>
      <c r="G292" s="477">
        <v>25050101.77</v>
      </c>
      <c r="H292" s="477"/>
      <c r="I292" s="121">
        <v>0</v>
      </c>
      <c r="J292" s="379"/>
      <c r="K292" s="477">
        <v>0</v>
      </c>
      <c r="L292" s="477">
        <v>25050101.77</v>
      </c>
      <c r="N292" s="121">
        <v>8237284.0899999999</v>
      </c>
      <c r="P292" s="477"/>
      <c r="Q292" s="121">
        <v>0</v>
      </c>
      <c r="U292" s="122">
        <v>6205</v>
      </c>
      <c r="V292" s="122">
        <v>633416.49</v>
      </c>
      <c r="W292" s="122"/>
      <c r="X292" s="122">
        <v>779835.36</v>
      </c>
      <c r="Y292" s="122"/>
      <c r="Z292" s="122"/>
      <c r="AA292" s="122">
        <v>0</v>
      </c>
    </row>
    <row r="293" spans="1:27" x14ac:dyDescent="0.25">
      <c r="A293" s="443">
        <v>37505</v>
      </c>
      <c r="B293" s="19" t="s">
        <v>21</v>
      </c>
      <c r="C293" t="s">
        <v>302</v>
      </c>
      <c r="D293" s="477"/>
      <c r="E293" s="121">
        <v>5382855.4500000002</v>
      </c>
      <c r="F293" s="477">
        <v>0</v>
      </c>
      <c r="G293" s="477">
        <v>13065848.92</v>
      </c>
      <c r="H293" s="477"/>
      <c r="I293" s="121">
        <v>0</v>
      </c>
      <c r="J293" s="379"/>
      <c r="K293" s="477">
        <v>0</v>
      </c>
      <c r="L293" s="477">
        <v>13065848.92</v>
      </c>
      <c r="N293" s="121">
        <v>5382855.4500000002</v>
      </c>
      <c r="P293" s="477"/>
      <c r="Q293" s="121">
        <v>0</v>
      </c>
      <c r="U293" s="122">
        <v>1487.5</v>
      </c>
      <c r="V293" s="122">
        <v>369456.46</v>
      </c>
      <c r="W293" s="122"/>
      <c r="X293" s="122">
        <v>581170.75</v>
      </c>
      <c r="Y293" s="122"/>
      <c r="Z293" s="122"/>
      <c r="AA293" s="122">
        <v>0</v>
      </c>
    </row>
    <row r="294" spans="1:27" x14ac:dyDescent="0.25">
      <c r="A294" s="443">
        <v>37506</v>
      </c>
      <c r="B294" s="19" t="s">
        <v>21</v>
      </c>
      <c r="C294" t="s">
        <v>340</v>
      </c>
      <c r="D294" s="477"/>
      <c r="E294" s="121">
        <v>5613316.75</v>
      </c>
      <c r="F294" s="477"/>
      <c r="G294" s="477">
        <v>14749906.73</v>
      </c>
      <c r="H294" s="477"/>
      <c r="I294" s="121">
        <v>0</v>
      </c>
      <c r="J294" s="379"/>
      <c r="K294" s="477"/>
      <c r="L294" s="477">
        <v>14749906.73</v>
      </c>
      <c r="N294" s="121">
        <v>5613316.75</v>
      </c>
      <c r="P294" s="477"/>
      <c r="Q294" s="121">
        <v>0</v>
      </c>
      <c r="U294" s="122"/>
      <c r="V294" s="122">
        <v>441933.13</v>
      </c>
      <c r="W294" s="122"/>
      <c r="X294" s="122">
        <v>934462.35</v>
      </c>
      <c r="Y294" s="122"/>
      <c r="Z294" s="122"/>
      <c r="AA294" s="122">
        <v>0</v>
      </c>
    </row>
    <row r="295" spans="1:27" x14ac:dyDescent="0.25">
      <c r="A295" s="443">
        <v>37507</v>
      </c>
      <c r="B295" s="19" t="s">
        <v>21</v>
      </c>
      <c r="C295" t="s">
        <v>320</v>
      </c>
      <c r="D295" s="477">
        <v>19347.75</v>
      </c>
      <c r="E295" s="121">
        <v>5938788.2999999998</v>
      </c>
      <c r="F295" s="477">
        <v>0</v>
      </c>
      <c r="G295" s="477">
        <v>14115923.98</v>
      </c>
      <c r="H295" s="477"/>
      <c r="I295" s="121">
        <v>0</v>
      </c>
      <c r="J295" s="379"/>
      <c r="K295" s="477">
        <v>0</v>
      </c>
      <c r="L295" s="477">
        <v>14115923.98</v>
      </c>
      <c r="N295" s="121">
        <v>5938788.2999999998</v>
      </c>
      <c r="P295" s="477">
        <v>19347.75</v>
      </c>
      <c r="Q295" s="121">
        <v>0</v>
      </c>
      <c r="U295" s="122">
        <v>13952.08</v>
      </c>
      <c r="V295" s="122">
        <v>445418.91000000003</v>
      </c>
      <c r="W295" s="122"/>
      <c r="X295" s="122">
        <v>624483.38</v>
      </c>
      <c r="Y295" s="122"/>
      <c r="Z295" s="122">
        <v>0</v>
      </c>
      <c r="AA295" s="122">
        <v>0</v>
      </c>
    </row>
    <row r="296" spans="1:27" x14ac:dyDescent="0.25">
      <c r="A296" s="447">
        <v>37902</v>
      </c>
      <c r="B296" s="19" t="s">
        <v>1039</v>
      </c>
      <c r="C296" t="s">
        <v>1182</v>
      </c>
      <c r="D296" s="477"/>
      <c r="E296" s="121">
        <v>158455.32</v>
      </c>
      <c r="F296" s="477"/>
      <c r="G296" s="477">
        <v>719770.14</v>
      </c>
      <c r="H296" s="477"/>
      <c r="I296" s="121">
        <v>0</v>
      </c>
      <c r="J296" s="379"/>
      <c r="K296" s="477"/>
      <c r="L296" s="477">
        <v>719770.14</v>
      </c>
      <c r="N296" s="121">
        <v>158455.32</v>
      </c>
      <c r="P296" s="477"/>
      <c r="Q296" s="121">
        <v>0</v>
      </c>
      <c r="U296" s="122"/>
      <c r="V296" s="122">
        <v>7120</v>
      </c>
      <c r="W296" s="122"/>
      <c r="X296" s="122">
        <v>45489.08</v>
      </c>
      <c r="Y296" s="122"/>
      <c r="Z296" s="122"/>
      <c r="AA296" s="122">
        <v>0</v>
      </c>
    </row>
    <row r="297" spans="1:27" x14ac:dyDescent="0.25">
      <c r="A297" s="443">
        <v>38126</v>
      </c>
      <c r="B297" s="19" t="s">
        <v>18</v>
      </c>
      <c r="C297" t="s">
        <v>256</v>
      </c>
      <c r="D297" s="477"/>
      <c r="E297" s="121">
        <v>540941.48</v>
      </c>
      <c r="F297" s="477">
        <v>0</v>
      </c>
      <c r="G297" s="477">
        <v>1119737.3999999999</v>
      </c>
      <c r="H297" s="477"/>
      <c r="I297" s="121">
        <v>0</v>
      </c>
      <c r="J297" s="379"/>
      <c r="K297" s="477">
        <v>0</v>
      </c>
      <c r="L297" s="477">
        <v>1119737.3999999999</v>
      </c>
      <c r="N297" s="121">
        <v>540941.48</v>
      </c>
      <c r="P297" s="477"/>
      <c r="Q297" s="121">
        <v>0</v>
      </c>
      <c r="U297" s="122">
        <v>82459.19</v>
      </c>
      <c r="V297" s="122">
        <v>33371.43</v>
      </c>
      <c r="W297" s="122"/>
      <c r="X297" s="122">
        <v>23434.23</v>
      </c>
      <c r="Y297" s="122"/>
      <c r="Z297" s="122"/>
      <c r="AA297" s="122">
        <v>0</v>
      </c>
    </row>
    <row r="298" spans="1:27" x14ac:dyDescent="0.25">
      <c r="A298" s="443">
        <v>38264</v>
      </c>
      <c r="B298" s="19" t="s">
        <v>18</v>
      </c>
      <c r="C298" t="s">
        <v>266</v>
      </c>
      <c r="D298" s="477"/>
      <c r="E298" s="121">
        <v>142608.68</v>
      </c>
      <c r="F298" s="477">
        <v>0</v>
      </c>
      <c r="G298" s="477">
        <v>421208.49</v>
      </c>
      <c r="H298" s="477"/>
      <c r="I298" s="121">
        <v>0</v>
      </c>
      <c r="J298" s="379"/>
      <c r="K298" s="477">
        <v>0</v>
      </c>
      <c r="L298" s="477">
        <v>421208.49</v>
      </c>
      <c r="N298" s="121">
        <v>142608.68</v>
      </c>
      <c r="P298" s="477"/>
      <c r="Q298" s="121">
        <v>0</v>
      </c>
      <c r="U298" s="122">
        <v>1200</v>
      </c>
      <c r="V298" s="122">
        <v>1155</v>
      </c>
      <c r="W298" s="122"/>
      <c r="X298" s="122">
        <v>22201.35</v>
      </c>
      <c r="Y298" s="122"/>
      <c r="Z298" s="122"/>
      <c r="AA298" s="122">
        <v>0</v>
      </c>
    </row>
    <row r="299" spans="1:27" x14ac:dyDescent="0.25">
      <c r="A299" s="443">
        <v>38265</v>
      </c>
      <c r="B299" s="19" t="s">
        <v>18</v>
      </c>
      <c r="C299" t="s">
        <v>544</v>
      </c>
      <c r="D299" s="477"/>
      <c r="E299" s="121">
        <v>605167.51</v>
      </c>
      <c r="F299" s="477">
        <v>0</v>
      </c>
      <c r="G299" s="477">
        <v>1632254.44</v>
      </c>
      <c r="H299" s="477"/>
      <c r="I299" s="121">
        <v>0</v>
      </c>
      <c r="J299" s="379"/>
      <c r="K299" s="477">
        <v>0</v>
      </c>
      <c r="L299" s="477">
        <v>1632254.44</v>
      </c>
      <c r="N299" s="121">
        <v>605167.51</v>
      </c>
      <c r="P299" s="477"/>
      <c r="Q299" s="121">
        <v>0</v>
      </c>
      <c r="U299" s="122">
        <v>240</v>
      </c>
      <c r="V299" s="122">
        <v>33863.760000000002</v>
      </c>
      <c r="W299" s="122"/>
      <c r="X299" s="122">
        <v>131073.22</v>
      </c>
      <c r="Y299" s="122"/>
      <c r="Z299" s="122"/>
      <c r="AA299" s="122">
        <v>0</v>
      </c>
    </row>
    <row r="300" spans="1:27" x14ac:dyDescent="0.25">
      <c r="A300" s="443">
        <v>38267</v>
      </c>
      <c r="B300" s="19" t="s">
        <v>18</v>
      </c>
      <c r="C300" t="s">
        <v>430</v>
      </c>
      <c r="D300" s="477"/>
      <c r="E300" s="121">
        <v>6650746.0800000001</v>
      </c>
      <c r="F300" s="477">
        <v>0</v>
      </c>
      <c r="G300" s="477">
        <v>19271501.060000002</v>
      </c>
      <c r="H300" s="477"/>
      <c r="I300" s="121">
        <v>0</v>
      </c>
      <c r="J300" s="379"/>
      <c r="K300" s="477">
        <v>0</v>
      </c>
      <c r="L300" s="477">
        <v>19271501.060000002</v>
      </c>
      <c r="N300" s="121">
        <v>6650746.0800000001</v>
      </c>
      <c r="P300" s="477"/>
      <c r="Q300" s="121">
        <v>0</v>
      </c>
      <c r="U300" s="122">
        <v>16404.88</v>
      </c>
      <c r="V300" s="122">
        <v>550955.83000000007</v>
      </c>
      <c r="W300" s="122"/>
      <c r="X300" s="122">
        <v>519807.69</v>
      </c>
      <c r="Y300" s="122"/>
      <c r="Z300" s="122"/>
      <c r="AA300" s="122">
        <v>0</v>
      </c>
    </row>
    <row r="301" spans="1:27" x14ac:dyDescent="0.25">
      <c r="A301" s="443">
        <v>38300</v>
      </c>
      <c r="B301" s="19" t="s">
        <v>18</v>
      </c>
      <c r="C301" t="s">
        <v>96</v>
      </c>
      <c r="D301" s="477"/>
      <c r="E301" s="121">
        <v>1242008.1800000002</v>
      </c>
      <c r="F301" s="477"/>
      <c r="G301" s="477">
        <v>3574671.93</v>
      </c>
      <c r="H301" s="477"/>
      <c r="I301" s="121">
        <v>0</v>
      </c>
      <c r="J301" s="379"/>
      <c r="K301" s="477"/>
      <c r="L301" s="477">
        <v>3574671.93</v>
      </c>
      <c r="N301" s="121">
        <v>1242008.1800000002</v>
      </c>
      <c r="P301" s="477"/>
      <c r="Q301" s="121">
        <v>0</v>
      </c>
      <c r="U301" s="122"/>
      <c r="V301" s="122">
        <v>35521.93</v>
      </c>
      <c r="W301" s="122"/>
      <c r="X301" s="122">
        <v>217745.68</v>
      </c>
      <c r="Y301" s="122"/>
      <c r="Z301" s="122"/>
      <c r="AA301" s="122">
        <v>0</v>
      </c>
    </row>
    <row r="302" spans="1:27" x14ac:dyDescent="0.25">
      <c r="A302" s="443">
        <v>38301</v>
      </c>
      <c r="B302" s="19" t="s">
        <v>18</v>
      </c>
      <c r="C302" t="s">
        <v>404</v>
      </c>
      <c r="D302" s="477"/>
      <c r="E302" s="121">
        <v>504610.83999999997</v>
      </c>
      <c r="F302" s="477">
        <v>0</v>
      </c>
      <c r="G302" s="477">
        <v>1729205.75</v>
      </c>
      <c r="H302" s="477"/>
      <c r="I302" s="121">
        <v>0</v>
      </c>
      <c r="J302" s="379"/>
      <c r="K302" s="477">
        <v>0</v>
      </c>
      <c r="L302" s="477">
        <v>1729205.75</v>
      </c>
      <c r="N302" s="121">
        <v>504610.83999999997</v>
      </c>
      <c r="P302" s="477"/>
      <c r="Q302" s="121">
        <v>0</v>
      </c>
      <c r="U302" s="122">
        <v>10125</v>
      </c>
      <c r="V302" s="122">
        <v>80438.289999999994</v>
      </c>
      <c r="W302" s="122"/>
      <c r="X302" s="122">
        <v>51736.32</v>
      </c>
      <c r="Y302" s="122"/>
      <c r="Z302" s="122"/>
      <c r="AA302" s="122">
        <v>0</v>
      </c>
    </row>
    <row r="303" spans="1:27" x14ac:dyDescent="0.25">
      <c r="A303" s="443">
        <v>38302</v>
      </c>
      <c r="B303" s="19" t="s">
        <v>18</v>
      </c>
      <c r="C303" t="s">
        <v>192</v>
      </c>
      <c r="D303" s="477"/>
      <c r="E303" s="121">
        <v>601995.55000000005</v>
      </c>
      <c r="F303" s="477">
        <v>0</v>
      </c>
      <c r="G303" s="477">
        <v>1114755.83</v>
      </c>
      <c r="H303" s="477"/>
      <c r="I303" s="121">
        <v>0</v>
      </c>
      <c r="J303" s="379"/>
      <c r="K303" s="477">
        <v>0</v>
      </c>
      <c r="L303" s="477">
        <v>1114755.83</v>
      </c>
      <c r="N303" s="121">
        <v>601995.55000000005</v>
      </c>
      <c r="P303" s="477"/>
      <c r="Q303" s="121">
        <v>0</v>
      </c>
      <c r="U303" s="122">
        <v>4455</v>
      </c>
      <c r="V303" s="122">
        <v>19766.02</v>
      </c>
      <c r="W303" s="122"/>
      <c r="X303" s="122">
        <v>94733.78</v>
      </c>
      <c r="Y303" s="122"/>
      <c r="Z303" s="122"/>
      <c r="AA303" s="122">
        <v>0</v>
      </c>
    </row>
    <row r="304" spans="1:27" x14ac:dyDescent="0.25">
      <c r="A304" s="443">
        <v>38304</v>
      </c>
      <c r="B304" s="19" t="s">
        <v>18</v>
      </c>
      <c r="C304" t="s">
        <v>526</v>
      </c>
      <c r="D304" s="477"/>
      <c r="E304" s="121">
        <v>105543.33</v>
      </c>
      <c r="F304" s="477"/>
      <c r="G304" s="477">
        <v>373679.42</v>
      </c>
      <c r="H304" s="477"/>
      <c r="I304" s="121">
        <v>0</v>
      </c>
      <c r="J304" s="379"/>
      <c r="K304" s="477"/>
      <c r="L304" s="477">
        <v>373679.42</v>
      </c>
      <c r="N304" s="121">
        <v>105543.33</v>
      </c>
      <c r="P304" s="477"/>
      <c r="Q304" s="121">
        <v>0</v>
      </c>
      <c r="U304" s="122"/>
      <c r="V304" s="122">
        <v>6436.28</v>
      </c>
      <c r="W304" s="122"/>
      <c r="X304" s="122">
        <v>12128.92</v>
      </c>
      <c r="Y304" s="122"/>
      <c r="Z304" s="122"/>
      <c r="AA304" s="122">
        <v>0</v>
      </c>
    </row>
    <row r="305" spans="1:27" x14ac:dyDescent="0.25">
      <c r="A305" s="443">
        <v>38306</v>
      </c>
      <c r="B305" s="19" t="s">
        <v>18</v>
      </c>
      <c r="C305" t="s">
        <v>100</v>
      </c>
      <c r="D305" s="477"/>
      <c r="E305" s="121">
        <v>555467.65</v>
      </c>
      <c r="F305" s="477">
        <v>0</v>
      </c>
      <c r="G305" s="477">
        <v>1303196.03</v>
      </c>
      <c r="H305" s="477"/>
      <c r="I305" s="121">
        <v>0</v>
      </c>
      <c r="J305" s="379"/>
      <c r="K305" s="477">
        <v>0</v>
      </c>
      <c r="L305" s="477">
        <v>1303196.03</v>
      </c>
      <c r="N305" s="121">
        <v>555467.65</v>
      </c>
      <c r="P305" s="477"/>
      <c r="Q305" s="121">
        <v>0</v>
      </c>
      <c r="U305" s="122">
        <v>3762.5</v>
      </c>
      <c r="V305" s="122">
        <v>60423.199999999997</v>
      </c>
      <c r="W305" s="122"/>
      <c r="X305" s="122">
        <v>92654.33</v>
      </c>
      <c r="Y305" s="122"/>
      <c r="Z305" s="122"/>
      <c r="AA305" s="122">
        <v>0</v>
      </c>
    </row>
    <row r="306" spans="1:27" x14ac:dyDescent="0.25">
      <c r="A306" s="443">
        <v>38308</v>
      </c>
      <c r="B306" s="19" t="s">
        <v>18</v>
      </c>
      <c r="C306" t="s">
        <v>164</v>
      </c>
      <c r="D306" s="477"/>
      <c r="E306" s="121">
        <v>522437.63</v>
      </c>
      <c r="F306" s="477"/>
      <c r="G306" s="477">
        <v>1158534.81</v>
      </c>
      <c r="H306" s="477"/>
      <c r="I306" s="121">
        <v>0</v>
      </c>
      <c r="J306" s="379"/>
      <c r="K306" s="477"/>
      <c r="L306" s="477">
        <v>1158534.81</v>
      </c>
      <c r="N306" s="121">
        <v>522437.63</v>
      </c>
      <c r="P306" s="477"/>
      <c r="Q306" s="121">
        <v>0</v>
      </c>
      <c r="U306" s="122"/>
      <c r="V306" s="122">
        <v>19671.2</v>
      </c>
      <c r="W306" s="122"/>
      <c r="X306" s="122">
        <v>58928.22</v>
      </c>
      <c r="Y306" s="122"/>
      <c r="Z306" s="122"/>
      <c r="AA306" s="122">
        <v>0</v>
      </c>
    </row>
    <row r="307" spans="1:27" x14ac:dyDescent="0.25">
      <c r="A307" s="443">
        <v>38320</v>
      </c>
      <c r="B307" s="19" t="s">
        <v>18</v>
      </c>
      <c r="C307" t="s">
        <v>468</v>
      </c>
      <c r="D307" s="477">
        <v>10872.7</v>
      </c>
      <c r="E307" s="121">
        <v>703849.22</v>
      </c>
      <c r="F307" s="477"/>
      <c r="G307" s="477">
        <v>1673020.85</v>
      </c>
      <c r="H307" s="477"/>
      <c r="I307" s="121">
        <v>0</v>
      </c>
      <c r="J307" s="379"/>
      <c r="K307" s="477"/>
      <c r="L307" s="477">
        <v>1673020.85</v>
      </c>
      <c r="N307" s="121">
        <v>703849.22</v>
      </c>
      <c r="P307" s="477">
        <v>10872.7</v>
      </c>
      <c r="Q307" s="121">
        <v>0</v>
      </c>
      <c r="U307" s="122"/>
      <c r="V307" s="122">
        <v>7560</v>
      </c>
      <c r="W307" s="122"/>
      <c r="X307" s="122">
        <v>68382.100000000006</v>
      </c>
      <c r="Y307" s="122"/>
      <c r="Z307" s="122">
        <v>0</v>
      </c>
      <c r="AA307" s="122">
        <v>0</v>
      </c>
    </row>
    <row r="308" spans="1:27" x14ac:dyDescent="0.25">
      <c r="A308" s="443">
        <v>38322</v>
      </c>
      <c r="B308" s="19" t="s">
        <v>18</v>
      </c>
      <c r="C308" t="s">
        <v>472</v>
      </c>
      <c r="D308" s="477">
        <v>11982.55</v>
      </c>
      <c r="E308" s="121">
        <v>479011.65</v>
      </c>
      <c r="F308" s="477">
        <v>0</v>
      </c>
      <c r="G308" s="477">
        <v>1138982.45</v>
      </c>
      <c r="H308" s="477"/>
      <c r="I308" s="121">
        <v>0</v>
      </c>
      <c r="J308" s="379"/>
      <c r="K308" s="477">
        <v>0</v>
      </c>
      <c r="L308" s="477">
        <v>1138982.45</v>
      </c>
      <c r="N308" s="121">
        <v>479011.65</v>
      </c>
      <c r="P308" s="477">
        <v>11982.55</v>
      </c>
      <c r="Q308" s="121">
        <v>0</v>
      </c>
      <c r="U308" s="122">
        <v>161855.67000000001</v>
      </c>
      <c r="V308" s="122">
        <v>58285.61</v>
      </c>
      <c r="W308" s="122"/>
      <c r="X308" s="122">
        <v>143950.69999999998</v>
      </c>
      <c r="Y308" s="122"/>
      <c r="Z308" s="122">
        <v>0</v>
      </c>
      <c r="AA308" s="122">
        <v>0</v>
      </c>
    </row>
    <row r="309" spans="1:27" x14ac:dyDescent="0.25">
      <c r="A309" s="443">
        <v>38324</v>
      </c>
      <c r="B309" s="19" t="s">
        <v>18</v>
      </c>
      <c r="C309" t="s">
        <v>366</v>
      </c>
      <c r="D309" s="477"/>
      <c r="E309" s="121">
        <v>809684.29</v>
      </c>
      <c r="F309" s="477">
        <v>50701.120000000003</v>
      </c>
      <c r="G309" s="477">
        <v>1135987.21</v>
      </c>
      <c r="H309" s="477"/>
      <c r="I309" s="121">
        <v>0</v>
      </c>
      <c r="J309" s="379"/>
      <c r="K309" s="477">
        <v>50701.120000000003</v>
      </c>
      <c r="L309" s="477">
        <v>1135987.21</v>
      </c>
      <c r="N309" s="121">
        <v>809684.29</v>
      </c>
      <c r="P309" s="477"/>
      <c r="Q309" s="121">
        <v>0</v>
      </c>
      <c r="U309" s="122">
        <v>11452.82</v>
      </c>
      <c r="V309" s="122">
        <v>13486.74</v>
      </c>
      <c r="W309" s="122"/>
      <c r="X309" s="122">
        <v>103894.68000000001</v>
      </c>
      <c r="Y309" s="122"/>
      <c r="Z309" s="122"/>
      <c r="AA309" s="122">
        <v>0</v>
      </c>
    </row>
    <row r="310" spans="1:27" x14ac:dyDescent="0.25">
      <c r="A310" s="447">
        <v>38901</v>
      </c>
      <c r="B310" s="19" t="s">
        <v>1039</v>
      </c>
      <c r="C310" t="s">
        <v>1184</v>
      </c>
      <c r="D310" s="477"/>
      <c r="E310" s="121">
        <v>588062.03</v>
      </c>
      <c r="F310" s="477"/>
      <c r="G310" s="477">
        <v>501304.27</v>
      </c>
      <c r="H310" s="477"/>
      <c r="I310" s="121">
        <v>0</v>
      </c>
      <c r="J310" s="379"/>
      <c r="K310" s="477"/>
      <c r="L310" s="477">
        <v>501304.27</v>
      </c>
      <c r="N310" s="121">
        <v>588062.03</v>
      </c>
      <c r="P310" s="477"/>
      <c r="Q310" s="121">
        <v>0</v>
      </c>
      <c r="U310" s="122"/>
      <c r="V310" s="122">
        <v>29129.39</v>
      </c>
      <c r="W310" s="122"/>
      <c r="X310" s="122">
        <v>367.29</v>
      </c>
      <c r="Y310" s="122"/>
      <c r="Z310" s="122"/>
      <c r="AA310" s="122">
        <v>0</v>
      </c>
    </row>
    <row r="311" spans="1:27" x14ac:dyDescent="0.25">
      <c r="A311" s="443">
        <v>39002</v>
      </c>
      <c r="B311" s="19" t="s">
        <v>45</v>
      </c>
      <c r="C311" t="s">
        <v>566</v>
      </c>
      <c r="D311" s="477"/>
      <c r="E311" s="121">
        <v>1694307</v>
      </c>
      <c r="F311" s="477"/>
      <c r="G311" s="477">
        <v>3706691.46</v>
      </c>
      <c r="H311" s="477"/>
      <c r="I311" s="121">
        <v>0</v>
      </c>
      <c r="J311" s="379"/>
      <c r="K311" s="477"/>
      <c r="L311" s="477">
        <v>3706691.46</v>
      </c>
      <c r="N311" s="121">
        <v>1694307</v>
      </c>
      <c r="P311" s="477"/>
      <c r="Q311" s="121">
        <v>0</v>
      </c>
      <c r="U311" s="122"/>
      <c r="V311" s="122">
        <v>121778.03</v>
      </c>
      <c r="W311" s="122"/>
      <c r="X311" s="122">
        <v>109207.8</v>
      </c>
      <c r="Y311" s="122"/>
      <c r="Z311" s="122"/>
      <c r="AA311" s="122">
        <v>0</v>
      </c>
    </row>
    <row r="312" spans="1:27" x14ac:dyDescent="0.25">
      <c r="A312" s="443">
        <v>39003</v>
      </c>
      <c r="B312" s="19" t="s">
        <v>45</v>
      </c>
      <c r="C312" t="s">
        <v>328</v>
      </c>
      <c r="D312" s="477"/>
      <c r="E312" s="121">
        <v>3333556.9800000004</v>
      </c>
      <c r="F312" s="477">
        <v>107119.55</v>
      </c>
      <c r="G312" s="477">
        <v>8404080.379999999</v>
      </c>
      <c r="H312" s="477"/>
      <c r="I312" s="121">
        <v>0</v>
      </c>
      <c r="J312" s="379"/>
      <c r="K312" s="477">
        <v>107119.55</v>
      </c>
      <c r="L312" s="477">
        <v>8404080.379999999</v>
      </c>
      <c r="N312" s="121">
        <v>3333556.9800000004</v>
      </c>
      <c r="P312" s="477"/>
      <c r="Q312" s="121">
        <v>0</v>
      </c>
      <c r="U312" s="122">
        <v>20651.490000000002</v>
      </c>
      <c r="V312" s="122">
        <v>223787.88</v>
      </c>
      <c r="W312" s="122"/>
      <c r="X312" s="122">
        <v>429772.62</v>
      </c>
      <c r="Y312" s="122"/>
      <c r="Z312" s="122"/>
      <c r="AA312" s="122">
        <v>0</v>
      </c>
    </row>
    <row r="313" spans="1:27" x14ac:dyDescent="0.25">
      <c r="A313" s="443">
        <v>39007</v>
      </c>
      <c r="B313" s="19" t="s">
        <v>45</v>
      </c>
      <c r="C313" t="s">
        <v>622</v>
      </c>
      <c r="D313" s="477">
        <v>153042.57999999999</v>
      </c>
      <c r="E313" s="121">
        <v>47429667.18</v>
      </c>
      <c r="F313" s="477">
        <v>121053.94</v>
      </c>
      <c r="G313" s="477">
        <v>120307692.47</v>
      </c>
      <c r="H313" s="477"/>
      <c r="I313" s="121">
        <v>0</v>
      </c>
      <c r="J313" s="379"/>
      <c r="K313" s="477">
        <v>121053.94</v>
      </c>
      <c r="L313" s="477">
        <v>120307692.47</v>
      </c>
      <c r="N313" s="121">
        <v>47429667.18</v>
      </c>
      <c r="P313" s="477">
        <v>153042.57999999999</v>
      </c>
      <c r="Q313" s="121">
        <v>0</v>
      </c>
      <c r="U313" s="122">
        <v>63726.54</v>
      </c>
      <c r="V313" s="122">
        <v>4340709.25</v>
      </c>
      <c r="W313" s="122"/>
      <c r="X313" s="122">
        <v>2583837.2999999998</v>
      </c>
      <c r="Y313" s="122"/>
      <c r="Z313" s="122">
        <v>0</v>
      </c>
      <c r="AA313" s="122">
        <v>0</v>
      </c>
    </row>
    <row r="314" spans="1:27" x14ac:dyDescent="0.25">
      <c r="A314" s="443">
        <v>39090</v>
      </c>
      <c r="B314" s="19" t="s">
        <v>45</v>
      </c>
      <c r="C314" t="s">
        <v>140</v>
      </c>
      <c r="D314" s="477"/>
      <c r="E314" s="121">
        <v>7399762.8800000008</v>
      </c>
      <c r="F314" s="477">
        <v>0</v>
      </c>
      <c r="G314" s="477">
        <v>22884636.57</v>
      </c>
      <c r="H314" s="477"/>
      <c r="I314" s="121">
        <v>0</v>
      </c>
      <c r="J314" s="379"/>
      <c r="K314" s="477">
        <v>0</v>
      </c>
      <c r="L314" s="477">
        <v>22884636.57</v>
      </c>
      <c r="N314" s="121">
        <v>7399762.8800000008</v>
      </c>
      <c r="P314" s="477"/>
      <c r="Q314" s="121">
        <v>0</v>
      </c>
      <c r="U314" s="122">
        <v>1140</v>
      </c>
      <c r="V314" s="122">
        <v>698386.73</v>
      </c>
      <c r="W314" s="122"/>
      <c r="X314" s="122">
        <v>605168.39</v>
      </c>
      <c r="Y314" s="122"/>
      <c r="Z314" s="122"/>
      <c r="AA314" s="122">
        <v>0</v>
      </c>
    </row>
    <row r="315" spans="1:27" x14ac:dyDescent="0.25">
      <c r="A315" s="443">
        <v>39119</v>
      </c>
      <c r="B315" s="19" t="s">
        <v>45</v>
      </c>
      <c r="C315" t="s">
        <v>482</v>
      </c>
      <c r="D315" s="477"/>
      <c r="E315" s="121">
        <v>9873817.4499999993</v>
      </c>
      <c r="F315" s="477">
        <v>0</v>
      </c>
      <c r="G315" s="477">
        <v>28715016.41</v>
      </c>
      <c r="H315" s="477"/>
      <c r="I315" s="121">
        <v>0</v>
      </c>
      <c r="J315" s="379"/>
      <c r="K315" s="477">
        <v>0</v>
      </c>
      <c r="L315" s="477">
        <v>28715016.41</v>
      </c>
      <c r="N315" s="121">
        <v>9873817.4499999993</v>
      </c>
      <c r="P315" s="477"/>
      <c r="Q315" s="121">
        <v>0</v>
      </c>
      <c r="U315" s="122">
        <v>6745</v>
      </c>
      <c r="V315" s="122">
        <v>1134965.7</v>
      </c>
      <c r="W315" s="122"/>
      <c r="X315" s="122">
        <v>1111844.27</v>
      </c>
      <c r="Y315" s="122"/>
      <c r="Z315" s="122"/>
      <c r="AA315" s="122">
        <v>0</v>
      </c>
    </row>
    <row r="316" spans="1:27" x14ac:dyDescent="0.25">
      <c r="A316" s="443">
        <v>39120</v>
      </c>
      <c r="B316" s="19" t="s">
        <v>45</v>
      </c>
      <c r="C316" t="s">
        <v>282</v>
      </c>
      <c r="D316" s="477"/>
      <c r="E316" s="121">
        <v>2683984.0099999998</v>
      </c>
      <c r="F316" s="477"/>
      <c r="G316" s="477">
        <v>5598679.8300000001</v>
      </c>
      <c r="H316" s="477"/>
      <c r="I316" s="121">
        <v>0</v>
      </c>
      <c r="J316" s="379"/>
      <c r="K316" s="477"/>
      <c r="L316" s="477">
        <v>5598679.8300000001</v>
      </c>
      <c r="N316" s="121">
        <v>2683984.0099999998</v>
      </c>
      <c r="P316" s="477"/>
      <c r="Q316" s="121">
        <v>0</v>
      </c>
      <c r="U316" s="122"/>
      <c r="V316" s="122">
        <v>254922.91</v>
      </c>
      <c r="W316" s="122"/>
      <c r="X316" s="122">
        <v>-216117.97</v>
      </c>
      <c r="Y316" s="122"/>
      <c r="Z316" s="122"/>
      <c r="AA316" s="122">
        <v>0</v>
      </c>
    </row>
    <row r="317" spans="1:27" x14ac:dyDescent="0.25">
      <c r="A317" s="443">
        <v>39200</v>
      </c>
      <c r="B317" s="19" t="s">
        <v>45</v>
      </c>
      <c r="C317" t="s">
        <v>200</v>
      </c>
      <c r="D317" s="477">
        <v>40841.71</v>
      </c>
      <c r="E317" s="121">
        <v>10662993.869999999</v>
      </c>
      <c r="F317" s="477">
        <v>0</v>
      </c>
      <c r="G317" s="477">
        <v>24452246.32</v>
      </c>
      <c r="H317" s="477"/>
      <c r="I317" s="121">
        <v>0</v>
      </c>
      <c r="J317" s="379"/>
      <c r="K317" s="477">
        <v>0</v>
      </c>
      <c r="L317" s="477">
        <v>24452246.32</v>
      </c>
      <c r="N317" s="121">
        <v>10662993.869999999</v>
      </c>
      <c r="P317" s="477">
        <v>40841.71</v>
      </c>
      <c r="Q317" s="121">
        <v>0</v>
      </c>
      <c r="U317" s="122">
        <v>27852.92</v>
      </c>
      <c r="V317" s="122">
        <v>771761.44</v>
      </c>
      <c r="W317" s="122"/>
      <c r="X317" s="122">
        <v>458149.41000000003</v>
      </c>
      <c r="Y317" s="122"/>
      <c r="Z317" s="122">
        <v>0</v>
      </c>
      <c r="AA317" s="122">
        <v>0</v>
      </c>
    </row>
    <row r="318" spans="1:27" x14ac:dyDescent="0.25">
      <c r="A318" s="443">
        <v>39201</v>
      </c>
      <c r="B318" s="19" t="s">
        <v>45</v>
      </c>
      <c r="C318" t="s">
        <v>536</v>
      </c>
      <c r="D318" s="477">
        <v>137469.51</v>
      </c>
      <c r="E318" s="121">
        <v>19344234.710000001</v>
      </c>
      <c r="F318" s="477">
        <v>118579.54</v>
      </c>
      <c r="G318" s="477">
        <v>43959320.789999999</v>
      </c>
      <c r="H318" s="477"/>
      <c r="I318" s="121">
        <v>0</v>
      </c>
      <c r="J318" s="379"/>
      <c r="K318" s="477">
        <v>118579.54</v>
      </c>
      <c r="L318" s="477">
        <v>43959320.789999999</v>
      </c>
      <c r="N318" s="121">
        <v>19344234.710000001</v>
      </c>
      <c r="P318" s="477">
        <v>137469.51</v>
      </c>
      <c r="Q318" s="121">
        <v>0</v>
      </c>
      <c r="U318" s="122">
        <v>161</v>
      </c>
      <c r="V318" s="122">
        <v>1136500.4100000001</v>
      </c>
      <c r="W318" s="122"/>
      <c r="X318" s="122">
        <v>1125175.96</v>
      </c>
      <c r="Y318" s="122"/>
      <c r="Z318" s="122">
        <v>0</v>
      </c>
      <c r="AA318" s="122">
        <v>0</v>
      </c>
    </row>
    <row r="319" spans="1:27" x14ac:dyDescent="0.25">
      <c r="A319" s="443">
        <v>39202</v>
      </c>
      <c r="B319" s="19" t="s">
        <v>45</v>
      </c>
      <c r="C319" t="s">
        <v>554</v>
      </c>
      <c r="D319" s="477">
        <v>6489.13</v>
      </c>
      <c r="E319" s="121">
        <v>12149074.359999999</v>
      </c>
      <c r="F319" s="477">
        <v>0</v>
      </c>
      <c r="G319" s="477">
        <v>26348868.049999997</v>
      </c>
      <c r="H319" s="477"/>
      <c r="I319" s="121">
        <v>0</v>
      </c>
      <c r="J319" s="379"/>
      <c r="K319" s="477">
        <v>0</v>
      </c>
      <c r="L319" s="477">
        <v>26348868.049999997</v>
      </c>
      <c r="N319" s="121">
        <v>12149074.359999999</v>
      </c>
      <c r="P319" s="477">
        <v>6489.13</v>
      </c>
      <c r="Q319" s="121">
        <v>0</v>
      </c>
      <c r="U319" s="122">
        <v>19294.98</v>
      </c>
      <c r="V319" s="122">
        <v>988603.12</v>
      </c>
      <c r="W319" s="122"/>
      <c r="X319" s="122">
        <v>1224858.6100000001</v>
      </c>
      <c r="Y319" s="122"/>
      <c r="Z319" s="122">
        <v>0</v>
      </c>
      <c r="AA319" s="122">
        <v>0</v>
      </c>
    </row>
    <row r="320" spans="1:27" x14ac:dyDescent="0.25">
      <c r="A320" s="443">
        <v>39203</v>
      </c>
      <c r="B320" s="19" t="s">
        <v>45</v>
      </c>
      <c r="C320" t="s">
        <v>216</v>
      </c>
      <c r="D320" s="477">
        <v>25931</v>
      </c>
      <c r="E320" s="121">
        <v>2998935.06</v>
      </c>
      <c r="F320" s="477"/>
      <c r="G320" s="477">
        <v>7527418.9299999997</v>
      </c>
      <c r="H320" s="477"/>
      <c r="I320" s="121">
        <v>0</v>
      </c>
      <c r="J320" s="379"/>
      <c r="K320" s="477"/>
      <c r="L320" s="477">
        <v>7527418.9299999997</v>
      </c>
      <c r="N320" s="121">
        <v>2998935.06</v>
      </c>
      <c r="P320" s="477">
        <v>25931</v>
      </c>
      <c r="Q320" s="121">
        <v>0</v>
      </c>
      <c r="U320" s="122"/>
      <c r="V320" s="122">
        <v>245229.92</v>
      </c>
      <c r="W320" s="122"/>
      <c r="X320" s="122">
        <v>78939.840000000011</v>
      </c>
      <c r="Y320" s="122"/>
      <c r="Z320" s="122">
        <v>0</v>
      </c>
      <c r="AA320" s="122">
        <v>0</v>
      </c>
    </row>
    <row r="321" spans="1:27" x14ac:dyDescent="0.25">
      <c r="A321" s="443">
        <v>39204</v>
      </c>
      <c r="B321" s="19" t="s">
        <v>45</v>
      </c>
      <c r="C321" t="s">
        <v>202</v>
      </c>
      <c r="D321" s="477"/>
      <c r="E321" s="121">
        <v>4383544.66</v>
      </c>
      <c r="F321" s="477"/>
      <c r="G321" s="477">
        <v>10739821.75</v>
      </c>
      <c r="H321" s="477"/>
      <c r="I321" s="121">
        <v>0</v>
      </c>
      <c r="J321" s="379"/>
      <c r="K321" s="477"/>
      <c r="L321" s="477">
        <v>10739821.75</v>
      </c>
      <c r="N321" s="121">
        <v>4383544.66</v>
      </c>
      <c r="P321" s="477"/>
      <c r="Q321" s="121">
        <v>0</v>
      </c>
      <c r="U321" s="122"/>
      <c r="V321" s="122">
        <v>217485.38</v>
      </c>
      <c r="W321" s="122"/>
      <c r="X321" s="122">
        <v>418521.37</v>
      </c>
      <c r="Y321" s="122"/>
      <c r="Z321" s="122"/>
      <c r="AA321" s="122">
        <v>0</v>
      </c>
    </row>
    <row r="322" spans="1:27" x14ac:dyDescent="0.25">
      <c r="A322" s="443">
        <v>39205</v>
      </c>
      <c r="B322" s="19" t="s">
        <v>45</v>
      </c>
      <c r="C322" t="s">
        <v>626</v>
      </c>
      <c r="D322" s="477"/>
      <c r="E322" s="121">
        <v>2930386.2800000003</v>
      </c>
      <c r="F322" s="477">
        <v>0</v>
      </c>
      <c r="G322" s="477">
        <v>8779261.5800000001</v>
      </c>
      <c r="H322" s="477"/>
      <c r="I322" s="121">
        <v>0</v>
      </c>
      <c r="J322" s="379"/>
      <c r="K322" s="477">
        <v>0</v>
      </c>
      <c r="L322" s="477">
        <v>8779261.5800000001</v>
      </c>
      <c r="N322" s="121">
        <v>2930386.2800000003</v>
      </c>
      <c r="P322" s="477"/>
      <c r="Q322" s="121">
        <v>0</v>
      </c>
      <c r="U322" s="122">
        <v>4880</v>
      </c>
      <c r="V322" s="122">
        <v>222870.87</v>
      </c>
      <c r="W322" s="122"/>
      <c r="X322" s="122">
        <v>224749.63999999998</v>
      </c>
      <c r="Y322" s="122"/>
      <c r="Z322" s="122"/>
      <c r="AA322" s="122">
        <v>0</v>
      </c>
    </row>
    <row r="323" spans="1:27" x14ac:dyDescent="0.25">
      <c r="A323" s="443">
        <v>39207</v>
      </c>
      <c r="B323" s="19" t="s">
        <v>45</v>
      </c>
      <c r="C323" t="s">
        <v>584</v>
      </c>
      <c r="D323" s="477">
        <v>39484.239999999998</v>
      </c>
      <c r="E323" s="121">
        <v>9722347.7899999991</v>
      </c>
      <c r="F323" s="477">
        <v>0</v>
      </c>
      <c r="G323" s="477">
        <v>25243299.91</v>
      </c>
      <c r="H323" s="477"/>
      <c r="I323" s="121">
        <v>0</v>
      </c>
      <c r="J323" s="379"/>
      <c r="K323" s="477">
        <v>0</v>
      </c>
      <c r="L323" s="477">
        <v>25243299.91</v>
      </c>
      <c r="N323" s="121">
        <v>9722347.7899999991</v>
      </c>
      <c r="P323" s="477">
        <v>39484.239999999998</v>
      </c>
      <c r="Q323" s="121">
        <v>0</v>
      </c>
      <c r="U323" s="122">
        <v>1572.6</v>
      </c>
      <c r="V323" s="122">
        <v>1022052.7</v>
      </c>
      <c r="W323" s="122"/>
      <c r="X323" s="122">
        <v>571617.83000000007</v>
      </c>
      <c r="Y323" s="122"/>
      <c r="Z323" s="122">
        <v>0</v>
      </c>
      <c r="AA323" s="122">
        <v>0</v>
      </c>
    </row>
    <row r="324" spans="1:27" x14ac:dyDescent="0.25">
      <c r="A324" s="443">
        <v>39208</v>
      </c>
      <c r="B324" s="19" t="s">
        <v>45</v>
      </c>
      <c r="C324" t="s">
        <v>598</v>
      </c>
      <c r="D324" s="477">
        <v>14746.41</v>
      </c>
      <c r="E324" s="121">
        <v>13765222.899999999</v>
      </c>
      <c r="F324" s="477">
        <v>0</v>
      </c>
      <c r="G324" s="477">
        <v>34633355.839999996</v>
      </c>
      <c r="H324" s="477"/>
      <c r="I324" s="121">
        <v>0</v>
      </c>
      <c r="J324" s="379"/>
      <c r="K324" s="477">
        <v>0</v>
      </c>
      <c r="L324" s="477">
        <v>34633355.839999996</v>
      </c>
      <c r="N324" s="121">
        <v>13765222.899999999</v>
      </c>
      <c r="P324" s="477">
        <v>14746.41</v>
      </c>
      <c r="Q324" s="121">
        <v>0</v>
      </c>
      <c r="U324" s="122">
        <v>5851.51</v>
      </c>
      <c r="V324" s="122">
        <v>801851.82000000007</v>
      </c>
      <c r="W324" s="122"/>
      <c r="X324" s="122">
        <v>1321181.67</v>
      </c>
      <c r="Y324" s="122"/>
      <c r="Z324" s="122">
        <v>0</v>
      </c>
      <c r="AA324" s="122">
        <v>0</v>
      </c>
    </row>
    <row r="325" spans="1:27" x14ac:dyDescent="0.25">
      <c r="A325" s="443">
        <v>39209</v>
      </c>
      <c r="B325" s="19" t="s">
        <v>45</v>
      </c>
      <c r="C325" t="s">
        <v>318</v>
      </c>
      <c r="D325" s="477"/>
      <c r="E325" s="121">
        <v>3443092.1500000004</v>
      </c>
      <c r="F325" s="477"/>
      <c r="G325" s="477">
        <v>7265234.3399999999</v>
      </c>
      <c r="H325" s="477"/>
      <c r="I325" s="121">
        <v>0</v>
      </c>
      <c r="J325" s="379"/>
      <c r="K325" s="477"/>
      <c r="L325" s="477">
        <v>7265234.3399999999</v>
      </c>
      <c r="N325" s="121">
        <v>3443092.1500000004</v>
      </c>
      <c r="P325" s="477"/>
      <c r="Q325" s="121">
        <v>0</v>
      </c>
      <c r="U325" s="122"/>
      <c r="V325" s="122">
        <v>221655.39</v>
      </c>
      <c r="W325" s="122"/>
      <c r="X325" s="122">
        <v>201834.74</v>
      </c>
      <c r="Y325" s="122"/>
      <c r="Z325" s="122"/>
      <c r="AA325" s="122">
        <v>0</v>
      </c>
    </row>
    <row r="326" spans="1:27" x14ac:dyDescent="0.25">
      <c r="A326" s="443">
        <v>39801</v>
      </c>
      <c r="B326" s="19" t="s">
        <v>45</v>
      </c>
      <c r="C326" t="s">
        <v>152</v>
      </c>
      <c r="D326" s="477"/>
      <c r="E326" s="121">
        <v>19740614.439999998</v>
      </c>
      <c r="F326" s="477">
        <v>114545.84</v>
      </c>
      <c r="G326" s="477">
        <v>1757970.9000000001</v>
      </c>
      <c r="H326" s="477"/>
      <c r="I326" s="121">
        <v>0</v>
      </c>
      <c r="J326" s="379"/>
      <c r="K326" s="477">
        <v>114545.84</v>
      </c>
      <c r="L326" s="477">
        <v>1757970.9000000001</v>
      </c>
      <c r="N326" s="121">
        <v>19740614.439999998</v>
      </c>
      <c r="P326" s="477"/>
      <c r="Q326" s="121">
        <v>0</v>
      </c>
      <c r="U326" s="122">
        <v>5040</v>
      </c>
      <c r="V326" s="122">
        <v>652992.76</v>
      </c>
      <c r="W326" s="122"/>
      <c r="X326" s="122">
        <v>619907.94999999995</v>
      </c>
      <c r="Y326" s="122"/>
      <c r="Z326" s="122"/>
      <c r="AA326" s="122">
        <v>0</v>
      </c>
    </row>
    <row r="327" spans="1:27" x14ac:dyDescent="0.25">
      <c r="A327" s="447">
        <v>99999</v>
      </c>
      <c r="B327" s="19" t="s">
        <v>1039</v>
      </c>
      <c r="C327" t="s">
        <v>1186</v>
      </c>
      <c r="D327" s="477"/>
      <c r="E327" s="121">
        <v>3828782.75</v>
      </c>
      <c r="F327" s="477"/>
      <c r="G327" s="477">
        <v>0</v>
      </c>
      <c r="H327" s="477"/>
      <c r="I327" s="121">
        <v>0</v>
      </c>
      <c r="J327" s="379"/>
      <c r="K327" s="477"/>
      <c r="L327" s="477">
        <v>0</v>
      </c>
      <c r="N327" s="121">
        <v>3828782.75</v>
      </c>
      <c r="P327" s="477"/>
      <c r="Q327" s="121">
        <v>0</v>
      </c>
      <c r="U327" s="122"/>
      <c r="V327" s="122">
        <v>0</v>
      </c>
      <c r="W327" s="122"/>
      <c r="X327" s="122">
        <v>0</v>
      </c>
      <c r="Y327" s="122"/>
      <c r="Z327" s="122"/>
      <c r="AA327" s="122">
        <v>0</v>
      </c>
    </row>
  </sheetData>
  <mergeCells count="2">
    <mergeCell ref="K3:R3"/>
    <mergeCell ref="U3:A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6C8-C558-41B9-A592-1FD4C4F9AFB7}">
  <dimension ref="A1:C3"/>
  <sheetViews>
    <sheetView workbookViewId="0">
      <selection activeCell="B1" sqref="B1"/>
    </sheetView>
  </sheetViews>
  <sheetFormatPr defaultRowHeight="15" x14ac:dyDescent="0.25"/>
  <sheetData>
    <row r="1" spans="1:3" ht="16.5" x14ac:dyDescent="0.3">
      <c r="A1" s="331">
        <f>+A2</f>
        <v>1109</v>
      </c>
      <c r="B1" s="332" t="str">
        <f>VLOOKUP('2024Comp&amp;Contr'!$A$4,'Collective NPL'!$A$7:$BB$335,3,FALSE)</f>
        <v xml:space="preserve"> Washtucna School District 109 </v>
      </c>
      <c r="C1" s="333"/>
    </row>
    <row r="2" spans="1:3" ht="16.5" x14ac:dyDescent="0.3">
      <c r="A2" s="331">
        <f>+'Do not delete'!A3</f>
        <v>1109</v>
      </c>
      <c r="B2" s="334" t="str">
        <f>+'Do not delete'!B3</f>
        <v xml:space="preserve"> Washtucna School District 109 </v>
      </c>
      <c r="C2" s="333"/>
    </row>
    <row r="3" spans="1:3" ht="16.5" x14ac:dyDescent="0.3">
      <c r="A3" s="331">
        <f>+'2024Comp&amp;Contr'!A4</f>
        <v>1109</v>
      </c>
      <c r="B3" s="334" t="str">
        <f>+'Do not delete'!B1</f>
        <v xml:space="preserve"> Washtucna School District 109 </v>
      </c>
      <c r="C3" s="3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'Collective NPL'!$A$7:$A$325</xm:f>
          </x14:formula1>
          <xm:sqref>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BEC7-03FF-4B50-9C70-711E2F6B408F}">
  <dimension ref="A1:BZ355"/>
  <sheetViews>
    <sheetView workbookViewId="0">
      <pane xSplit="3" ySplit="6" topLeftCell="BR42" activePane="bottomRight" state="frozen"/>
      <selection pane="topRight" activeCell="D1" sqref="D1"/>
      <selection pane="bottomLeft" activeCell="A7" sqref="A7"/>
      <selection pane="bottomRight" activeCell="BW2" sqref="BW2"/>
    </sheetView>
  </sheetViews>
  <sheetFormatPr defaultColWidth="9.140625" defaultRowHeight="15" x14ac:dyDescent="0.25"/>
  <cols>
    <col min="1" max="1" width="11.28515625" bestFit="1" customWidth="1"/>
    <col min="2" max="2" width="6.5703125" customWidth="1"/>
    <col min="3" max="3" width="49.42578125" customWidth="1"/>
    <col min="4" max="4" width="13.5703125" bestFit="1" customWidth="1"/>
    <col min="5" max="5" width="13.140625" bestFit="1" customWidth="1"/>
    <col min="6" max="6" width="15.5703125" bestFit="1" customWidth="1"/>
    <col min="7" max="7" width="13.140625" bestFit="1" customWidth="1"/>
    <col min="8" max="8" width="15.5703125" bestFit="1" customWidth="1"/>
    <col min="9" max="9" width="13.140625" bestFit="1" customWidth="1"/>
    <col min="10" max="10" width="13.5703125" bestFit="1" customWidth="1"/>
    <col min="11" max="11" width="13.140625" bestFit="1" customWidth="1"/>
    <col min="12" max="12" width="15.5703125" bestFit="1" customWidth="1"/>
    <col min="13" max="13" width="13.140625" bestFit="1" customWidth="1"/>
    <col min="14" max="14" width="15.5703125" bestFit="1" customWidth="1"/>
    <col min="15" max="15" width="13.140625" bestFit="1" customWidth="1"/>
    <col min="16" max="16" width="17.140625" customWidth="1"/>
    <col min="17" max="17" width="3" bestFit="1" customWidth="1"/>
    <col min="18" max="18" width="13.5703125" bestFit="1" customWidth="1"/>
    <col min="19" max="19" width="12.85546875" bestFit="1" customWidth="1"/>
    <col min="20" max="20" width="1.7109375" customWidth="1"/>
    <col min="21" max="21" width="7.42578125" customWidth="1"/>
    <col min="22" max="22" width="7.140625" bestFit="1" customWidth="1"/>
    <col min="23" max="23" width="4.28515625" bestFit="1" customWidth="1"/>
    <col min="24" max="24" width="13.42578125" customWidth="1"/>
    <col min="25" max="25" width="11.7109375" bestFit="1" customWidth="1"/>
    <col min="26" max="27" width="14.5703125" bestFit="1" customWidth="1"/>
    <col min="28" max="28" width="11" bestFit="1" customWidth="1"/>
    <col min="29" max="29" width="11.7109375" bestFit="1" customWidth="1"/>
    <col min="30" max="30" width="14.5703125" bestFit="1" customWidth="1"/>
    <col min="31" max="31" width="3" bestFit="1" customWidth="1"/>
    <col min="32" max="32" width="7" bestFit="1" customWidth="1"/>
    <col min="33" max="33" width="6" bestFit="1" customWidth="1"/>
    <col min="34" max="34" width="4" bestFit="1" customWidth="1"/>
    <col min="35" max="35" width="7.28515625" customWidth="1"/>
    <col min="36" max="36" width="13.5703125" bestFit="1" customWidth="1"/>
    <col min="37" max="38" width="15.5703125" bestFit="1" customWidth="1"/>
    <col min="39" max="39" width="13.5703125" bestFit="1" customWidth="1"/>
    <col min="40" max="40" width="16.85546875" bestFit="1" customWidth="1"/>
    <col min="41" max="41" width="17.140625" bestFit="1" customWidth="1"/>
    <col min="42" max="42" width="4" bestFit="1" customWidth="1"/>
    <col min="43" max="43" width="5.28515625" bestFit="1" customWidth="1"/>
    <col min="44" max="44" width="14.5703125" bestFit="1" customWidth="1"/>
    <col min="45" max="45" width="15.5703125" bestFit="1" customWidth="1"/>
    <col min="46" max="46" width="5.28515625" bestFit="1" customWidth="1"/>
    <col min="47" max="47" width="11.7109375" bestFit="1" customWidth="1"/>
    <col min="48" max="48" width="15.5703125" bestFit="1" customWidth="1"/>
    <col min="49" max="49" width="5.140625" bestFit="1" customWidth="1"/>
    <col min="50" max="51" width="3" bestFit="1" customWidth="1"/>
    <col min="52" max="52" width="10.7109375" bestFit="1" customWidth="1"/>
    <col min="53" max="53" width="14.5703125" bestFit="1" customWidth="1"/>
    <col min="54" max="54" width="10.7109375" bestFit="1" customWidth="1"/>
    <col min="55" max="56" width="8.28515625" bestFit="1" customWidth="1"/>
    <col min="57" max="57" width="16.42578125" customWidth="1"/>
    <col min="58" max="58" width="4" bestFit="1" customWidth="1"/>
    <col min="59" max="60" width="12.5703125" customWidth="1"/>
    <col min="61" max="61" width="18.140625" bestFit="1" customWidth="1"/>
    <col min="62" max="62" width="4" bestFit="1" customWidth="1"/>
    <col min="63" max="64" width="13.140625" customWidth="1"/>
    <col min="65" max="65" width="18.140625" bestFit="1" customWidth="1"/>
    <col min="66" max="66" width="3" bestFit="1" customWidth="1"/>
    <col min="67" max="67" width="14.28515625" bestFit="1" customWidth="1"/>
    <col min="68" max="68" width="16.85546875" bestFit="1" customWidth="1"/>
    <col min="69" max="69" width="14.28515625" bestFit="1" customWidth="1"/>
    <col min="70" max="70" width="10.5703125" bestFit="1" customWidth="1"/>
    <col min="71" max="71" width="13.28515625" bestFit="1" customWidth="1"/>
    <col min="72" max="72" width="16" customWidth="1"/>
    <col min="78" max="78" width="46.28515625" bestFit="1" customWidth="1"/>
  </cols>
  <sheetData>
    <row r="1" spans="1:78" x14ac:dyDescent="0.25">
      <c r="A1" s="420">
        <v>1</v>
      </c>
      <c r="B1" s="420">
        <v>2</v>
      </c>
      <c r="C1" s="420">
        <v>3</v>
      </c>
      <c r="D1" s="544">
        <v>4</v>
      </c>
      <c r="E1" s="476">
        <v>5</v>
      </c>
      <c r="F1" s="476">
        <v>6</v>
      </c>
      <c r="G1" s="476">
        <v>7</v>
      </c>
      <c r="H1" s="476">
        <v>8</v>
      </c>
      <c r="I1" s="476">
        <v>9</v>
      </c>
      <c r="J1" s="476">
        <v>10</v>
      </c>
      <c r="K1" s="476">
        <v>11</v>
      </c>
      <c r="L1" s="476">
        <v>12</v>
      </c>
      <c r="M1" s="476">
        <v>13</v>
      </c>
      <c r="N1" s="476">
        <v>14</v>
      </c>
      <c r="O1" s="476">
        <v>15</v>
      </c>
      <c r="P1" s="476">
        <v>16</v>
      </c>
      <c r="Q1" s="476">
        <v>17</v>
      </c>
      <c r="R1" s="476">
        <v>18</v>
      </c>
      <c r="S1" s="476">
        <v>19</v>
      </c>
      <c r="T1" s="476"/>
      <c r="U1" s="476">
        <v>21</v>
      </c>
      <c r="V1" s="476">
        <v>22</v>
      </c>
      <c r="W1" s="476">
        <v>23</v>
      </c>
      <c r="X1" s="476">
        <v>24</v>
      </c>
      <c r="Y1" s="476">
        <v>25</v>
      </c>
      <c r="Z1" s="476">
        <v>26</v>
      </c>
      <c r="AA1" s="476">
        <v>27</v>
      </c>
      <c r="AB1" s="476">
        <v>28</v>
      </c>
      <c r="AC1" s="476">
        <v>29</v>
      </c>
      <c r="AD1" s="476">
        <v>30</v>
      </c>
      <c r="AE1" s="476">
        <v>31</v>
      </c>
      <c r="AF1" s="476">
        <v>32</v>
      </c>
      <c r="AG1" s="476">
        <v>33</v>
      </c>
      <c r="AH1" s="476">
        <v>34</v>
      </c>
      <c r="AI1" s="476">
        <v>35</v>
      </c>
      <c r="AJ1" s="476">
        <v>36</v>
      </c>
      <c r="AK1" s="476">
        <v>37</v>
      </c>
      <c r="AL1" s="476">
        <v>38</v>
      </c>
      <c r="AM1" s="476">
        <v>39</v>
      </c>
      <c r="AN1" s="476">
        <v>40</v>
      </c>
      <c r="AO1" s="476">
        <v>41</v>
      </c>
      <c r="AP1" s="476">
        <v>42</v>
      </c>
      <c r="AQ1" s="476">
        <v>43</v>
      </c>
      <c r="AR1" s="476">
        <v>44</v>
      </c>
      <c r="AS1" s="476">
        <v>45</v>
      </c>
      <c r="AT1" s="476">
        <v>46</v>
      </c>
      <c r="AU1" s="476">
        <v>47</v>
      </c>
      <c r="AV1" s="476">
        <v>48</v>
      </c>
      <c r="AW1" s="476">
        <v>49</v>
      </c>
      <c r="AX1" s="476">
        <v>50</v>
      </c>
      <c r="AY1" s="476">
        <v>51</v>
      </c>
      <c r="AZ1" s="476">
        <v>52</v>
      </c>
      <c r="BA1" s="476">
        <v>53</v>
      </c>
      <c r="BB1" s="476">
        <v>54</v>
      </c>
      <c r="BC1" s="476">
        <v>55</v>
      </c>
      <c r="BD1" s="476">
        <v>56</v>
      </c>
      <c r="BE1" s="476">
        <v>57</v>
      </c>
      <c r="BF1" s="476">
        <v>58</v>
      </c>
      <c r="BG1" s="476">
        <v>59</v>
      </c>
      <c r="BH1" s="476">
        <v>60</v>
      </c>
      <c r="BI1" s="476">
        <v>61</v>
      </c>
      <c r="BJ1" s="476">
        <v>62</v>
      </c>
      <c r="BK1" s="476">
        <v>63</v>
      </c>
      <c r="BL1" s="476">
        <v>64</v>
      </c>
      <c r="BM1" s="476">
        <v>65</v>
      </c>
      <c r="BN1" s="476">
        <v>66</v>
      </c>
      <c r="BO1" s="476">
        <v>67</v>
      </c>
      <c r="BP1" s="476">
        <v>68</v>
      </c>
      <c r="BQ1" s="476">
        <v>69</v>
      </c>
      <c r="BR1" s="476">
        <v>70</v>
      </c>
      <c r="BS1" s="476">
        <v>71</v>
      </c>
      <c r="BT1" s="476">
        <v>72</v>
      </c>
    </row>
    <row r="2" spans="1:78" ht="23.25" x14ac:dyDescent="0.35">
      <c r="C2" s="217"/>
      <c r="D2" s="260">
        <f>+D3/E2</f>
        <v>9.7008948938929443E-4</v>
      </c>
      <c r="E2" s="545">
        <v>598621463.64000046</v>
      </c>
      <c r="F2" s="260">
        <f>+F3/G2</f>
        <v>0.17653028912032259</v>
      </c>
      <c r="G2" s="545">
        <v>598621463.64000046</v>
      </c>
      <c r="H2" s="260">
        <f>+H3/I2</f>
        <v>1.0000000000000002</v>
      </c>
      <c r="I2" s="545">
        <v>260054587.27000007</v>
      </c>
      <c r="J2" s="260">
        <f>+J3/K2</f>
        <v>3.4665730464063902E-3</v>
      </c>
      <c r="K2" s="545">
        <v>222935789.79999983</v>
      </c>
      <c r="L2" s="260">
        <f>+L3/M2</f>
        <v>0.98223534259100898</v>
      </c>
      <c r="M2" s="545">
        <v>222935789.79999983</v>
      </c>
      <c r="N2" s="260">
        <f>+N3/O2</f>
        <v>0.98365480376303327</v>
      </c>
      <c r="O2" s="545">
        <v>709690571.5800004</v>
      </c>
      <c r="R2" s="260">
        <f>+R3/S2</f>
        <v>5.8191648311327327E-4</v>
      </c>
      <c r="S2" s="545">
        <v>984284096.81000042</v>
      </c>
      <c r="U2" s="353"/>
      <c r="V2" s="353"/>
      <c r="W2" s="353"/>
      <c r="Y2" s="116" t="s">
        <v>1028</v>
      </c>
      <c r="Z2" s="116" t="s">
        <v>1040</v>
      </c>
      <c r="AA2" s="116" t="s">
        <v>1027</v>
      </c>
      <c r="AB2" s="116" t="s">
        <v>725</v>
      </c>
      <c r="AC2" s="116" t="s">
        <v>1064</v>
      </c>
      <c r="AG2" s="353"/>
      <c r="AH2" s="353"/>
      <c r="AJ2" s="124">
        <f>SUM(AJ7:AJ327)</f>
        <v>772823.20000000007</v>
      </c>
      <c r="AK2" s="124">
        <f t="shared" ref="AK2:AN2" si="0">SUM(AK7:AK327)</f>
        <v>698090539.9200002</v>
      </c>
      <c r="AL2" s="124">
        <f t="shared" si="0"/>
        <v>260054587.2700001</v>
      </c>
      <c r="AM2" s="124">
        <f t="shared" si="0"/>
        <v>580716.39000000013</v>
      </c>
      <c r="AN2" s="124">
        <f t="shared" si="0"/>
        <v>572771.14</v>
      </c>
      <c r="AO2" s="124">
        <f>SUM(AO7:AO327)</f>
        <v>960071437.92000031</v>
      </c>
      <c r="AQ2" s="353"/>
      <c r="AR2" s="563">
        <f>SUM(AR7:AR327)</f>
        <v>218975411.87</v>
      </c>
      <c r="AS2" s="563">
        <f>SUM(AS7:AS327)</f>
        <v>105408967.75999995</v>
      </c>
      <c r="AU2" s="563">
        <f>SUM(AU7:AU327)</f>
        <v>265852.28999999998</v>
      </c>
      <c r="AV2" s="563">
        <f>SUM(AV7:AV327)</f>
        <v>324650231.92000002</v>
      </c>
      <c r="AZ2" s="354" t="s">
        <v>1044</v>
      </c>
      <c r="BA2" s="355"/>
      <c r="BB2" s="355"/>
      <c r="BC2" s="355"/>
      <c r="BD2" s="356"/>
      <c r="BE2" s="19"/>
      <c r="BF2" s="19"/>
      <c r="BG2" s="357" t="s">
        <v>1045</v>
      </c>
      <c r="BH2" s="228"/>
      <c r="BI2" s="19"/>
      <c r="BJ2" s="19"/>
      <c r="BK2" s="227" t="s">
        <v>1046</v>
      </c>
      <c r="BL2" s="227"/>
      <c r="BO2" s="227" t="s">
        <v>1047</v>
      </c>
      <c r="BP2" s="227"/>
      <c r="BQ2" s="227"/>
      <c r="BR2" s="227"/>
      <c r="BS2" s="227"/>
    </row>
    <row r="3" spans="1:78" ht="16.5" thickBot="1" x14ac:dyDescent="0.3">
      <c r="C3" s="134" t="s">
        <v>1195</v>
      </c>
      <c r="D3" s="460">
        <f>SUM(D7:D333)</f>
        <v>580716.39000000013</v>
      </c>
      <c r="E3" s="358"/>
      <c r="F3" s="424">
        <f>SUM(F7:F333)</f>
        <v>105674820.04999995</v>
      </c>
      <c r="G3" s="358"/>
      <c r="H3" s="359">
        <f>SUM(H7:H333)</f>
        <v>260054587.2700001</v>
      </c>
      <c r="I3" s="360"/>
      <c r="J3" s="361">
        <f>SUM(J7:J333)</f>
        <v>772823.20000000007</v>
      </c>
      <c r="K3" s="362"/>
      <c r="L3" s="361">
        <f>SUM(L7:L333)</f>
        <v>218975411.87</v>
      </c>
      <c r="M3" s="362"/>
      <c r="N3" s="363">
        <f>SUM(N7:N333)</f>
        <v>698090539.9200002</v>
      </c>
      <c r="O3" s="364"/>
      <c r="P3" s="365">
        <f>SUM(P7:P334)</f>
        <v>1284721669.8399992</v>
      </c>
      <c r="R3" s="366">
        <f>SUM(R7:R333)</f>
        <v>572771.14</v>
      </c>
      <c r="S3" s="367"/>
      <c r="U3" s="368" t="s">
        <v>1067</v>
      </c>
      <c r="V3" s="368"/>
      <c r="W3" s="368"/>
      <c r="X3" s="369"/>
      <c r="AI3" s="370" t="s">
        <v>1068</v>
      </c>
      <c r="AO3" s="124">
        <f>SUM(AJ7:AN327)</f>
        <v>960071437.91999972</v>
      </c>
      <c r="AQ3" s="368" t="s">
        <v>1095</v>
      </c>
      <c r="AR3" s="370"/>
      <c r="AS3" s="370"/>
      <c r="AZ3" s="37">
        <f>SUM(AZ7:AZ330)</f>
        <v>14094.7</v>
      </c>
      <c r="BA3" s="37">
        <f t="shared" ref="BA3:BD3" si="1">SUM(BA7:BA330)</f>
        <v>16951677.910000008</v>
      </c>
      <c r="BB3" s="37">
        <f t="shared" si="1"/>
        <v>6569079.5499999989</v>
      </c>
      <c r="BC3" s="37">
        <f t="shared" si="1"/>
        <v>11971.520000000004</v>
      </c>
      <c r="BD3" s="37">
        <f t="shared" si="1"/>
        <v>17702.489999999998</v>
      </c>
      <c r="BE3" s="37">
        <f>SUM(BE7:BE330)</f>
        <v>23563472.70999999</v>
      </c>
      <c r="BF3" s="122"/>
      <c r="BG3" s="37">
        <f>SUM(BG7:BG322)</f>
        <v>0</v>
      </c>
      <c r="BH3" s="37">
        <f>SUM(BH7:BH322)</f>
        <v>0</v>
      </c>
      <c r="BI3" s="37">
        <f>SUM(BI7:BI322)</f>
        <v>0</v>
      </c>
      <c r="BJ3" s="121"/>
      <c r="BK3" s="37">
        <f>SUM(BK7:BK322)</f>
        <v>0</v>
      </c>
      <c r="BL3" s="37">
        <f>SUM(BL7:BL322)</f>
        <v>0</v>
      </c>
      <c r="BM3" s="37">
        <f>SUM(BM7:BM322)</f>
        <v>0</v>
      </c>
      <c r="BN3" s="124"/>
      <c r="BO3" s="37">
        <f>SUM(BO7:BO327)</f>
        <v>1220211.1300000001</v>
      </c>
      <c r="BP3" s="37">
        <f t="shared" ref="BP3:BT3" si="2">SUM(BP7:BP327)</f>
        <v>1608906478.470001</v>
      </c>
      <c r="BQ3" s="37">
        <f t="shared" si="2"/>
        <v>615106524.57000005</v>
      </c>
      <c r="BR3" s="37">
        <f t="shared" si="2"/>
        <v>961192.65999999957</v>
      </c>
      <c r="BS3" s="37">
        <f t="shared" si="2"/>
        <v>1477153.35</v>
      </c>
      <c r="BT3" s="37">
        <f t="shared" si="2"/>
        <v>2227671560.1800013</v>
      </c>
    </row>
    <row r="4" spans="1:78" ht="23.25" x14ac:dyDescent="0.35">
      <c r="D4" s="640"/>
      <c r="E4" s="641"/>
      <c r="F4" s="641"/>
      <c r="G4" s="641"/>
      <c r="H4" s="641"/>
      <c r="I4" s="641"/>
      <c r="J4" s="641"/>
      <c r="K4" s="641"/>
      <c r="L4" s="641"/>
      <c r="M4" s="641"/>
      <c r="N4" s="641"/>
      <c r="O4" s="642"/>
      <c r="S4" s="371"/>
      <c r="X4" s="372"/>
      <c r="Y4" s="561">
        <f>SUM(Y7:Y327)</f>
        <v>433293.22999999992</v>
      </c>
      <c r="Z4" s="561">
        <f t="shared" ref="Z4:AD4" si="3">SUM(Z7:Z327)</f>
        <v>674888848.77000022</v>
      </c>
      <c r="AA4" s="561">
        <f t="shared" si="3"/>
        <v>243073889.99000001</v>
      </c>
      <c r="AB4" s="561">
        <f t="shared" si="3"/>
        <v>368504.74999999988</v>
      </c>
      <c r="AC4" s="561">
        <f t="shared" si="3"/>
        <v>620827.42999999993</v>
      </c>
      <c r="AD4" s="561">
        <f t="shared" si="3"/>
        <v>919385364.16999984</v>
      </c>
      <c r="AO4" s="124"/>
      <c r="BE4" s="352"/>
      <c r="BF4" s="122"/>
      <c r="BH4" s="122"/>
      <c r="BK4" s="353"/>
      <c r="BL4" s="122"/>
      <c r="BM4" s="373"/>
      <c r="BO4" s="461"/>
      <c r="BP4" s="462"/>
      <c r="BQ4" s="418"/>
      <c r="BR4" s="418"/>
      <c r="BS4" s="462"/>
      <c r="BT4" s="419"/>
      <c r="BU4" s="462"/>
      <c r="BV4" s="462"/>
      <c r="BW4" s="462"/>
      <c r="BX4" s="462"/>
      <c r="BY4" s="462"/>
      <c r="BZ4" s="419"/>
    </row>
    <row r="5" spans="1:78" ht="30.75" thickBot="1" x14ac:dyDescent="0.3">
      <c r="C5" s="448" t="s">
        <v>1194</v>
      </c>
      <c r="D5" s="162" t="s">
        <v>0</v>
      </c>
      <c r="E5" s="162" t="s">
        <v>0</v>
      </c>
      <c r="F5" s="162" t="s">
        <v>1</v>
      </c>
      <c r="G5" s="162" t="s">
        <v>1</v>
      </c>
      <c r="H5" s="161" t="s">
        <v>2</v>
      </c>
      <c r="I5" s="161" t="s">
        <v>2</v>
      </c>
      <c r="J5" s="159" t="s">
        <v>3</v>
      </c>
      <c r="K5" s="159" t="s">
        <v>3</v>
      </c>
      <c r="L5" s="159" t="s">
        <v>4</v>
      </c>
      <c r="M5" s="159" t="s">
        <v>4</v>
      </c>
      <c r="N5" s="164" t="s">
        <v>5</v>
      </c>
      <c r="O5" s="164" t="s">
        <v>5</v>
      </c>
      <c r="P5" s="116" t="s">
        <v>1171</v>
      </c>
      <c r="R5" s="374" t="s">
        <v>710</v>
      </c>
      <c r="S5" s="374" t="s">
        <v>710</v>
      </c>
      <c r="U5" t="s">
        <v>1043</v>
      </c>
      <c r="AJ5" s="375" t="s">
        <v>1094</v>
      </c>
      <c r="AK5" s="375"/>
      <c r="AL5" s="375"/>
      <c r="AM5" s="375"/>
      <c r="AN5" s="375"/>
      <c r="AO5" s="124"/>
      <c r="AQ5" s="375" t="s">
        <v>1095</v>
      </c>
      <c r="AR5" s="375"/>
      <c r="AS5" s="375"/>
      <c r="AT5" s="375"/>
      <c r="AU5" s="375"/>
      <c r="AX5" s="19"/>
      <c r="AY5" s="19"/>
      <c r="BE5" s="40" t="s">
        <v>1048</v>
      </c>
      <c r="BF5" s="127"/>
      <c r="BI5" s="40" t="s">
        <v>1049</v>
      </c>
      <c r="BM5" s="40" t="s">
        <v>1050</v>
      </c>
      <c r="BN5" s="40"/>
      <c r="BT5" s="40" t="s">
        <v>1051</v>
      </c>
      <c r="BW5" s="376"/>
      <c r="BX5" s="376"/>
      <c r="BY5" s="376"/>
      <c r="BZ5" s="376"/>
    </row>
    <row r="6" spans="1:78" ht="30.75" thickBot="1" x14ac:dyDescent="0.3">
      <c r="A6" s="19" t="s">
        <v>7</v>
      </c>
      <c r="B6" s="19" t="s">
        <v>8</v>
      </c>
      <c r="C6" s="119" t="s">
        <v>6</v>
      </c>
      <c r="D6" s="377" t="s">
        <v>9</v>
      </c>
      <c r="E6" s="1" t="s">
        <v>10</v>
      </c>
      <c r="F6" s="377" t="s">
        <v>9</v>
      </c>
      <c r="G6" s="1" t="s">
        <v>10</v>
      </c>
      <c r="H6" s="132" t="s">
        <v>9</v>
      </c>
      <c r="I6" s="422" t="s">
        <v>10</v>
      </c>
      <c r="J6" s="132" t="s">
        <v>9</v>
      </c>
      <c r="K6" s="422" t="s">
        <v>10</v>
      </c>
      <c r="L6" s="132" t="s">
        <v>9</v>
      </c>
      <c r="M6" s="422" t="s">
        <v>10</v>
      </c>
      <c r="N6" s="132" t="s">
        <v>9</v>
      </c>
      <c r="O6" s="422" t="s">
        <v>10</v>
      </c>
      <c r="P6" s="423" t="s">
        <v>1176</v>
      </c>
      <c r="R6" s="132" t="s">
        <v>9</v>
      </c>
      <c r="S6" s="422" t="s">
        <v>10</v>
      </c>
      <c r="U6" s="547" t="s">
        <v>1038</v>
      </c>
      <c r="V6" s="546" t="s">
        <v>7</v>
      </c>
      <c r="W6" s="449" t="s">
        <v>8</v>
      </c>
      <c r="X6" s="449" t="s">
        <v>6</v>
      </c>
      <c r="Y6" s="116" t="s">
        <v>1028</v>
      </c>
      <c r="Z6" s="116" t="s">
        <v>1040</v>
      </c>
      <c r="AA6" s="116" t="s">
        <v>1027</v>
      </c>
      <c r="AB6" s="116" t="s">
        <v>725</v>
      </c>
      <c r="AC6" s="116" t="s">
        <v>1064</v>
      </c>
      <c r="AD6" s="19" t="s">
        <v>628</v>
      </c>
      <c r="AF6" s="547" t="s">
        <v>1038</v>
      </c>
      <c r="AG6" s="546" t="s">
        <v>7</v>
      </c>
      <c r="AH6" s="449" t="s">
        <v>8</v>
      </c>
      <c r="AI6" s="449" t="s">
        <v>6</v>
      </c>
      <c r="AJ6" s="116" t="s">
        <v>1028</v>
      </c>
      <c r="AK6" s="116" t="s">
        <v>1040</v>
      </c>
      <c r="AL6" s="116" t="s">
        <v>1027</v>
      </c>
      <c r="AM6" s="116" t="s">
        <v>725</v>
      </c>
      <c r="AN6" s="116" t="s">
        <v>1064</v>
      </c>
      <c r="AO6" s="19" t="s">
        <v>628</v>
      </c>
      <c r="AQ6" s="116" t="s">
        <v>1028</v>
      </c>
      <c r="AR6" s="166" t="s">
        <v>1040</v>
      </c>
      <c r="AS6" s="167" t="s">
        <v>1027</v>
      </c>
      <c r="AT6" s="116" t="s">
        <v>725</v>
      </c>
      <c r="AU6" s="167" t="s">
        <v>1064</v>
      </c>
      <c r="AV6" t="s">
        <v>628</v>
      </c>
      <c r="AW6" s="378"/>
      <c r="AX6" s="19"/>
      <c r="AY6" s="119"/>
      <c r="AZ6" s="116" t="s">
        <v>1028</v>
      </c>
      <c r="BA6" s="116" t="s">
        <v>1040</v>
      </c>
      <c r="BB6" s="165" t="s">
        <v>1027</v>
      </c>
      <c r="BC6" s="165" t="s">
        <v>725</v>
      </c>
      <c r="BD6" s="116" t="s">
        <v>1064</v>
      </c>
      <c r="BF6" s="122"/>
      <c r="BG6" s="116" t="s">
        <v>1028</v>
      </c>
      <c r="BH6" s="165" t="s">
        <v>725</v>
      </c>
      <c r="BK6" s="116" t="s">
        <v>1028</v>
      </c>
      <c r="BL6" s="165" t="s">
        <v>725</v>
      </c>
      <c r="BO6" s="116" t="s">
        <v>1028</v>
      </c>
      <c r="BP6" s="116" t="s">
        <v>1040</v>
      </c>
      <c r="BQ6" s="165" t="s">
        <v>1027</v>
      </c>
      <c r="BR6" s="165" t="s">
        <v>725</v>
      </c>
      <c r="BS6" s="116" t="s">
        <v>1064</v>
      </c>
      <c r="BW6" s="378" t="s">
        <v>1112</v>
      </c>
      <c r="BX6" s="19" t="s">
        <v>7</v>
      </c>
      <c r="BY6" s="19" t="s">
        <v>8</v>
      </c>
      <c r="BZ6" s="119" t="s">
        <v>6</v>
      </c>
    </row>
    <row r="7" spans="1:78" x14ac:dyDescent="0.25">
      <c r="A7" s="443">
        <v>1109</v>
      </c>
      <c r="B7" s="19" t="s">
        <v>18</v>
      </c>
      <c r="C7" t="s">
        <v>590</v>
      </c>
      <c r="D7" s="379"/>
      <c r="E7" s="120"/>
      <c r="F7" s="379">
        <v>11262.24</v>
      </c>
      <c r="G7" s="120">
        <v>1.8813625444564589E-5</v>
      </c>
      <c r="H7" s="379">
        <v>27346.93</v>
      </c>
      <c r="I7" s="120">
        <v>1.0515842188012328E-4</v>
      </c>
      <c r="J7" s="379"/>
      <c r="K7" s="120"/>
      <c r="L7" s="379">
        <v>31079.68</v>
      </c>
      <c r="M7" s="120">
        <v>1.3941090404498164E-4</v>
      </c>
      <c r="N7" s="379">
        <v>83539.55</v>
      </c>
      <c r="O7" s="120">
        <v>1.1771263892376931E-4</v>
      </c>
      <c r="P7" s="383">
        <f>+D7+F7+H7+J7+L7+N7+R7</f>
        <v>153228.40000000002</v>
      </c>
      <c r="R7" s="379"/>
      <c r="S7" s="120"/>
      <c r="T7" s="380"/>
      <c r="U7" s="549">
        <v>1064</v>
      </c>
      <c r="V7" s="548" t="s">
        <v>591</v>
      </c>
      <c r="W7" s="449" t="s">
        <v>18</v>
      </c>
      <c r="X7" s="562" t="s">
        <v>590</v>
      </c>
      <c r="Y7" s="379"/>
      <c r="Z7" s="379">
        <v>98130.5</v>
      </c>
      <c r="AA7" s="379">
        <v>26913.360000000001</v>
      </c>
      <c r="AB7" s="379"/>
      <c r="AC7" s="379">
        <v>0</v>
      </c>
      <c r="AD7" s="379">
        <v>125043.86</v>
      </c>
      <c r="AE7" s="124"/>
      <c r="AF7" s="549">
        <v>1064</v>
      </c>
      <c r="AG7" s="548" t="s">
        <v>591</v>
      </c>
      <c r="AH7" s="449" t="s">
        <v>18</v>
      </c>
      <c r="AI7" s="562" t="s">
        <v>590</v>
      </c>
      <c r="AJ7" s="383">
        <f t="shared" ref="AJ7:AJ70" si="4">+J7</f>
        <v>0</v>
      </c>
      <c r="AK7" s="383">
        <f t="shared" ref="AK7:AK70" si="5">+N7</f>
        <v>83539.55</v>
      </c>
      <c r="AL7" s="383">
        <f t="shared" ref="AL7:AL70" si="6">+H7</f>
        <v>27346.93</v>
      </c>
      <c r="AM7" s="383">
        <f t="shared" ref="AM7:AM70" si="7">+D7</f>
        <v>0</v>
      </c>
      <c r="AN7" s="383">
        <f t="shared" ref="AN7:AN70" si="8">+R7</f>
        <v>0</v>
      </c>
      <c r="AO7" s="124">
        <f t="shared" ref="AO7:AO71" si="9">SUM(AJ7:AN7)</f>
        <v>110886.48000000001</v>
      </c>
      <c r="AR7" s="124">
        <f t="shared" ref="AR7:AR70" si="10">+L7</f>
        <v>31079.68</v>
      </c>
      <c r="AS7" s="124">
        <f t="shared" ref="AS7:AS70" si="11">+F7</f>
        <v>11262.24</v>
      </c>
      <c r="AV7" s="379">
        <f t="shared" ref="AV7:AV71" si="12">SUM(AQ7:AU7)</f>
        <v>42341.919999999998</v>
      </c>
      <c r="AW7" s="124">
        <f t="shared" ref="AW7:AW70" si="13">+AV7+AO7-P7</f>
        <v>0</v>
      </c>
      <c r="AZ7" s="379"/>
      <c r="BA7" s="379">
        <v>2009.26</v>
      </c>
      <c r="BB7" s="379">
        <v>686.61</v>
      </c>
      <c r="BC7" s="379"/>
      <c r="BD7" s="379">
        <v>0</v>
      </c>
      <c r="BE7" s="379">
        <f>SUM(AZ7:BD7)</f>
        <v>2695.87</v>
      </c>
      <c r="BF7" s="379"/>
      <c r="BO7" s="477"/>
      <c r="BP7" s="477">
        <v>214758.99000000002</v>
      </c>
      <c r="BQ7" s="477">
        <v>66209.14</v>
      </c>
      <c r="BR7" s="477"/>
      <c r="BS7" s="477">
        <v>0</v>
      </c>
      <c r="BT7" s="477">
        <v>280968.13</v>
      </c>
      <c r="BW7" s="126">
        <v>1064</v>
      </c>
      <c r="BX7" s="125">
        <v>1109</v>
      </c>
      <c r="BY7" s="19" t="s">
        <v>18</v>
      </c>
      <c r="BZ7" t="s">
        <v>1004</v>
      </c>
    </row>
    <row r="8" spans="1:78" x14ac:dyDescent="0.25">
      <c r="A8" s="443">
        <v>1122</v>
      </c>
      <c r="B8" s="19" t="s">
        <v>18</v>
      </c>
      <c r="C8" t="s">
        <v>39</v>
      </c>
      <c r="D8" s="379"/>
      <c r="E8" s="120"/>
      <c r="F8" s="379">
        <v>2184.86</v>
      </c>
      <c r="G8" s="120">
        <v>3.6498190136963331E-6</v>
      </c>
      <c r="H8" s="379">
        <v>5285.2</v>
      </c>
      <c r="I8" s="120">
        <v>2.032342538342796E-5</v>
      </c>
      <c r="J8" s="379"/>
      <c r="K8" s="120"/>
      <c r="L8" s="379">
        <v>4383.83</v>
      </c>
      <c r="M8" s="120">
        <v>1.9664092535042569E-5</v>
      </c>
      <c r="N8" s="379">
        <v>13103.9</v>
      </c>
      <c r="O8" s="120">
        <v>1.8464244171690901E-5</v>
      </c>
      <c r="P8" s="383">
        <f t="shared" ref="P8:P71" si="14">+D8+F8+H8+J8+L8+N8+R8</f>
        <v>24957.79</v>
      </c>
      <c r="R8" s="379"/>
      <c r="S8" s="120"/>
      <c r="T8" s="380"/>
      <c r="U8" s="551">
        <v>57</v>
      </c>
      <c r="V8" s="550" t="s">
        <v>40</v>
      </c>
      <c r="W8" s="449" t="s">
        <v>18</v>
      </c>
      <c r="X8" s="562" t="s">
        <v>39</v>
      </c>
      <c r="Y8" s="379"/>
      <c r="Z8" s="379">
        <v>12247.8</v>
      </c>
      <c r="AA8" s="379">
        <v>5108.07</v>
      </c>
      <c r="AB8" s="379"/>
      <c r="AC8" s="379">
        <v>0</v>
      </c>
      <c r="AD8" s="379">
        <v>17355.87</v>
      </c>
      <c r="AE8" s="124"/>
      <c r="AF8" s="551">
        <v>57</v>
      </c>
      <c r="AG8" s="550" t="s">
        <v>40</v>
      </c>
      <c r="AH8" s="449" t="s">
        <v>18</v>
      </c>
      <c r="AI8" s="562" t="s">
        <v>39</v>
      </c>
      <c r="AJ8" s="383">
        <f t="shared" si="4"/>
        <v>0</v>
      </c>
      <c r="AK8" s="383">
        <f t="shared" si="5"/>
        <v>13103.9</v>
      </c>
      <c r="AL8" s="383">
        <f t="shared" si="6"/>
        <v>5285.2</v>
      </c>
      <c r="AM8" s="383">
        <f t="shared" si="7"/>
        <v>0</v>
      </c>
      <c r="AN8" s="383">
        <f t="shared" si="8"/>
        <v>0</v>
      </c>
      <c r="AO8" s="124">
        <f t="shared" si="9"/>
        <v>18389.099999999999</v>
      </c>
      <c r="AR8" s="124">
        <f t="shared" si="10"/>
        <v>4383.83</v>
      </c>
      <c r="AS8" s="124">
        <f t="shared" si="11"/>
        <v>2184.86</v>
      </c>
      <c r="AV8" s="379">
        <f t="shared" si="12"/>
        <v>6568.6900000000005</v>
      </c>
      <c r="AW8" s="124">
        <f t="shared" si="13"/>
        <v>0</v>
      </c>
      <c r="AZ8" s="379"/>
      <c r="BA8" s="379">
        <v>317.06</v>
      </c>
      <c r="BB8" s="379">
        <v>132.44999999999999</v>
      </c>
      <c r="BC8" s="379"/>
      <c r="BD8" s="379">
        <v>0</v>
      </c>
      <c r="BE8" s="379">
        <f t="shared" ref="BE8:BE72" si="15">SUM(AZ8:BD8)</f>
        <v>449.51</v>
      </c>
      <c r="BF8" s="379"/>
      <c r="BO8" s="477"/>
      <c r="BP8" s="477">
        <v>30052.59</v>
      </c>
      <c r="BQ8" s="477">
        <v>12710.58</v>
      </c>
      <c r="BR8" s="477"/>
      <c r="BS8" s="477">
        <v>0</v>
      </c>
      <c r="BT8" s="477">
        <v>42763.17</v>
      </c>
      <c r="BW8" s="126">
        <v>57</v>
      </c>
      <c r="BX8" s="125">
        <v>1122</v>
      </c>
      <c r="BY8" s="19" t="s">
        <v>18</v>
      </c>
      <c r="BZ8" t="s">
        <v>742</v>
      </c>
    </row>
    <row r="9" spans="1:78" x14ac:dyDescent="0.25">
      <c r="A9" s="443">
        <v>1147</v>
      </c>
      <c r="B9" s="19" t="s">
        <v>26</v>
      </c>
      <c r="C9" t="s">
        <v>400</v>
      </c>
      <c r="D9" s="379"/>
      <c r="E9" s="120"/>
      <c r="F9" s="379">
        <v>385568.39</v>
      </c>
      <c r="G9" s="120">
        <v>6.4409382793510024E-4</v>
      </c>
      <c r="H9" s="379">
        <v>935532.32</v>
      </c>
      <c r="I9" s="120">
        <v>3.5974459432576342E-3</v>
      </c>
      <c r="J9" s="379">
        <v>0</v>
      </c>
      <c r="K9" s="120">
        <v>0</v>
      </c>
      <c r="L9" s="379">
        <v>918084.73</v>
      </c>
      <c r="M9" s="120">
        <v>4.1181576579679352E-3</v>
      </c>
      <c r="N9" s="379">
        <v>2606633.9900000002</v>
      </c>
      <c r="O9" s="120">
        <v>3.6729161896526153E-3</v>
      </c>
      <c r="P9" s="383">
        <f t="shared" si="14"/>
        <v>4845819.43</v>
      </c>
      <c r="R9" s="379"/>
      <c r="S9" s="120"/>
      <c r="T9" s="380"/>
      <c r="U9" s="551">
        <v>695</v>
      </c>
      <c r="V9" s="550" t="s">
        <v>401</v>
      </c>
      <c r="W9" s="449" t="s">
        <v>26</v>
      </c>
      <c r="X9" s="562" t="s">
        <v>400</v>
      </c>
      <c r="Y9" s="379">
        <v>0</v>
      </c>
      <c r="Z9" s="379">
        <v>2497933.4699999997</v>
      </c>
      <c r="AA9" s="379">
        <v>809803.81</v>
      </c>
      <c r="AB9" s="379"/>
      <c r="AC9" s="379">
        <v>0</v>
      </c>
      <c r="AD9" s="379">
        <v>3307737.28</v>
      </c>
      <c r="AE9" s="124"/>
      <c r="AF9" s="551">
        <v>695</v>
      </c>
      <c r="AG9" s="550" t="s">
        <v>401</v>
      </c>
      <c r="AH9" s="449" t="s">
        <v>26</v>
      </c>
      <c r="AI9" s="562" t="s">
        <v>400</v>
      </c>
      <c r="AJ9" s="383">
        <f t="shared" si="4"/>
        <v>0</v>
      </c>
      <c r="AK9" s="383">
        <f t="shared" si="5"/>
        <v>2606633.9900000002</v>
      </c>
      <c r="AL9" s="383">
        <f t="shared" si="6"/>
        <v>935532.32</v>
      </c>
      <c r="AM9" s="383">
        <f t="shared" si="7"/>
        <v>0</v>
      </c>
      <c r="AN9" s="383">
        <f t="shared" si="8"/>
        <v>0</v>
      </c>
      <c r="AO9" s="124">
        <f t="shared" si="9"/>
        <v>3542166.31</v>
      </c>
      <c r="AR9" s="124">
        <f t="shared" si="10"/>
        <v>918084.73</v>
      </c>
      <c r="AS9" s="124">
        <f t="shared" si="11"/>
        <v>385568.39</v>
      </c>
      <c r="AV9" s="379">
        <f t="shared" si="12"/>
        <v>1303653.1200000001</v>
      </c>
      <c r="AW9" s="124">
        <f t="shared" si="13"/>
        <v>0</v>
      </c>
      <c r="AZ9" s="379">
        <v>0</v>
      </c>
      <c r="BA9" s="379">
        <v>62901.100000000006</v>
      </c>
      <c r="BB9" s="379">
        <v>23482.5</v>
      </c>
      <c r="BC9" s="379"/>
      <c r="BD9" s="379">
        <v>0</v>
      </c>
      <c r="BE9" s="379">
        <f t="shared" si="15"/>
        <v>86383.6</v>
      </c>
      <c r="BF9" s="379"/>
      <c r="BO9" s="477">
        <v>0</v>
      </c>
      <c r="BP9" s="477">
        <v>6085553.2899999991</v>
      </c>
      <c r="BQ9" s="477">
        <v>2154387.02</v>
      </c>
      <c r="BR9" s="477"/>
      <c r="BS9" s="477">
        <v>0</v>
      </c>
      <c r="BT9" s="477">
        <v>8239940.3099999987</v>
      </c>
      <c r="BW9" s="126">
        <v>695</v>
      </c>
      <c r="BX9" s="125">
        <v>1147</v>
      </c>
      <c r="BY9" s="19" t="s">
        <v>26</v>
      </c>
      <c r="BZ9" t="s">
        <v>914</v>
      </c>
    </row>
    <row r="10" spans="1:78" x14ac:dyDescent="0.25">
      <c r="A10" s="443">
        <v>1158</v>
      </c>
      <c r="B10" s="19" t="s">
        <v>18</v>
      </c>
      <c r="C10" t="s">
        <v>270</v>
      </c>
      <c r="D10" s="379"/>
      <c r="E10" s="120"/>
      <c r="F10" s="379">
        <v>37376.35</v>
      </c>
      <c r="G10" s="120">
        <v>6.2437370308655442E-5</v>
      </c>
      <c r="H10" s="379">
        <v>92358.47</v>
      </c>
      <c r="I10" s="120">
        <v>3.5515032043679893E-4</v>
      </c>
      <c r="J10" s="379">
        <v>0</v>
      </c>
      <c r="K10" s="120">
        <v>0</v>
      </c>
      <c r="L10" s="379">
        <v>46187.74</v>
      </c>
      <c r="M10" s="120">
        <v>2.0717956520770357E-4</v>
      </c>
      <c r="N10" s="379">
        <v>151904.18</v>
      </c>
      <c r="O10" s="120">
        <v>2.1404283230339711E-4</v>
      </c>
      <c r="P10" s="383">
        <f t="shared" si="14"/>
        <v>327826.74</v>
      </c>
      <c r="R10" s="379"/>
      <c r="S10" s="120"/>
      <c r="T10" s="380"/>
      <c r="U10" s="551">
        <v>543</v>
      </c>
      <c r="V10" s="550" t="s">
        <v>271</v>
      </c>
      <c r="W10" s="449" t="s">
        <v>18</v>
      </c>
      <c r="X10" s="562" t="s">
        <v>270</v>
      </c>
      <c r="Y10" s="379">
        <v>0</v>
      </c>
      <c r="Z10" s="379">
        <v>140253.18</v>
      </c>
      <c r="AA10" s="379">
        <v>82928.36</v>
      </c>
      <c r="AB10" s="379"/>
      <c r="AC10" s="379">
        <v>0</v>
      </c>
      <c r="AD10" s="379">
        <v>223181.53999999998</v>
      </c>
      <c r="AE10" s="124"/>
      <c r="AF10" s="551">
        <v>543</v>
      </c>
      <c r="AG10" s="550" t="s">
        <v>271</v>
      </c>
      <c r="AH10" s="449" t="s">
        <v>18</v>
      </c>
      <c r="AI10" s="562" t="s">
        <v>270</v>
      </c>
      <c r="AJ10" s="383">
        <f t="shared" si="4"/>
        <v>0</v>
      </c>
      <c r="AK10" s="383">
        <f t="shared" si="5"/>
        <v>151904.18</v>
      </c>
      <c r="AL10" s="383">
        <f t="shared" si="6"/>
        <v>92358.47</v>
      </c>
      <c r="AM10" s="383">
        <f t="shared" si="7"/>
        <v>0</v>
      </c>
      <c r="AN10" s="383">
        <f t="shared" si="8"/>
        <v>0</v>
      </c>
      <c r="AO10" s="124">
        <f t="shared" si="9"/>
        <v>244262.65</v>
      </c>
      <c r="AR10" s="124">
        <f t="shared" si="10"/>
        <v>46187.74</v>
      </c>
      <c r="AS10" s="124">
        <f t="shared" si="11"/>
        <v>37376.35</v>
      </c>
      <c r="AV10" s="379">
        <f t="shared" si="12"/>
        <v>83564.09</v>
      </c>
      <c r="AW10" s="124">
        <f t="shared" si="13"/>
        <v>0</v>
      </c>
      <c r="AZ10" s="379">
        <v>0</v>
      </c>
      <c r="BA10" s="379">
        <v>3694.27</v>
      </c>
      <c r="BB10" s="379">
        <v>2334.17</v>
      </c>
      <c r="BC10" s="379"/>
      <c r="BD10" s="379">
        <v>0</v>
      </c>
      <c r="BE10" s="379">
        <f t="shared" si="15"/>
        <v>6028.4400000000005</v>
      </c>
      <c r="BF10" s="379"/>
      <c r="BO10" s="477">
        <v>0</v>
      </c>
      <c r="BP10" s="477">
        <v>342039.37</v>
      </c>
      <c r="BQ10" s="477">
        <v>214997.34999999998</v>
      </c>
      <c r="BR10" s="477"/>
      <c r="BS10" s="477">
        <v>0</v>
      </c>
      <c r="BT10" s="477">
        <v>557036.72</v>
      </c>
      <c r="BW10" s="126">
        <v>543</v>
      </c>
      <c r="BX10" s="125">
        <v>1158</v>
      </c>
      <c r="BY10" s="19" t="s">
        <v>18</v>
      </c>
      <c r="BZ10" t="s">
        <v>854</v>
      </c>
    </row>
    <row r="11" spans="1:78" x14ac:dyDescent="0.25">
      <c r="A11" s="443">
        <v>1160</v>
      </c>
      <c r="B11" s="19" t="s">
        <v>18</v>
      </c>
      <c r="C11" t="s">
        <v>458</v>
      </c>
      <c r="D11" s="379"/>
      <c r="E11" s="120"/>
      <c r="F11" s="379">
        <v>24458.44</v>
      </c>
      <c r="G11" s="120">
        <v>4.0857940260406127E-5</v>
      </c>
      <c r="H11" s="379">
        <v>60608.53</v>
      </c>
      <c r="I11" s="120">
        <v>2.3306079941236944E-4</v>
      </c>
      <c r="J11" s="379"/>
      <c r="K11" s="120"/>
      <c r="L11" s="379">
        <v>62491.16</v>
      </c>
      <c r="M11" s="120">
        <v>2.8031012901096779E-4</v>
      </c>
      <c r="N11" s="379">
        <v>210924.9</v>
      </c>
      <c r="O11" s="120">
        <v>2.9720685105117452E-4</v>
      </c>
      <c r="P11" s="383">
        <f t="shared" si="14"/>
        <v>358483.03</v>
      </c>
      <c r="R11" s="379"/>
      <c r="S11" s="120"/>
      <c r="T11" s="380"/>
      <c r="U11" s="551">
        <v>814</v>
      </c>
      <c r="V11" s="550" t="s">
        <v>459</v>
      </c>
      <c r="W11" s="449" t="s">
        <v>18</v>
      </c>
      <c r="X11" s="562" t="s">
        <v>458</v>
      </c>
      <c r="Y11" s="379"/>
      <c r="Z11" s="379">
        <v>200937.99</v>
      </c>
      <c r="AA11" s="379">
        <v>53833.24</v>
      </c>
      <c r="AB11" s="379"/>
      <c r="AC11" s="379">
        <v>0</v>
      </c>
      <c r="AD11" s="379">
        <v>254771.22999999998</v>
      </c>
      <c r="AE11" s="124"/>
      <c r="AF11" s="551">
        <v>814</v>
      </c>
      <c r="AG11" s="550" t="s">
        <v>459</v>
      </c>
      <c r="AH11" s="449" t="s">
        <v>18</v>
      </c>
      <c r="AI11" s="562" t="s">
        <v>458</v>
      </c>
      <c r="AJ11" s="383">
        <f t="shared" si="4"/>
        <v>0</v>
      </c>
      <c r="AK11" s="383">
        <f t="shared" si="5"/>
        <v>210924.9</v>
      </c>
      <c r="AL11" s="383">
        <f t="shared" si="6"/>
        <v>60608.53</v>
      </c>
      <c r="AM11" s="383">
        <f t="shared" si="7"/>
        <v>0</v>
      </c>
      <c r="AN11" s="383">
        <f t="shared" si="8"/>
        <v>0</v>
      </c>
      <c r="AO11" s="124">
        <f t="shared" si="9"/>
        <v>271533.43</v>
      </c>
      <c r="AR11" s="124">
        <f t="shared" si="10"/>
        <v>62491.16</v>
      </c>
      <c r="AS11" s="124">
        <f t="shared" si="11"/>
        <v>24458.44</v>
      </c>
      <c r="AV11" s="379">
        <f t="shared" si="12"/>
        <v>86949.6</v>
      </c>
      <c r="AW11" s="124">
        <f t="shared" si="13"/>
        <v>0</v>
      </c>
      <c r="AZ11" s="379"/>
      <c r="BA11" s="379">
        <v>5136.1499999999996</v>
      </c>
      <c r="BB11" s="379">
        <v>1533.87</v>
      </c>
      <c r="BC11" s="379"/>
      <c r="BD11" s="379">
        <v>0</v>
      </c>
      <c r="BE11" s="379">
        <f t="shared" si="15"/>
        <v>6670.0199999999995</v>
      </c>
      <c r="BF11" s="379"/>
      <c r="BO11" s="477"/>
      <c r="BP11" s="477">
        <v>479490.19999999995</v>
      </c>
      <c r="BQ11" s="477">
        <v>140434.08000000002</v>
      </c>
      <c r="BR11" s="477"/>
      <c r="BS11" s="477">
        <v>0</v>
      </c>
      <c r="BT11" s="477">
        <v>619924.28</v>
      </c>
      <c r="BW11" s="126">
        <v>814</v>
      </c>
      <c r="BX11" s="125">
        <v>1160</v>
      </c>
      <c r="BY11" s="19" t="s">
        <v>18</v>
      </c>
      <c r="BZ11" t="s">
        <v>942</v>
      </c>
    </row>
    <row r="12" spans="1:78" x14ac:dyDescent="0.25">
      <c r="A12" s="443">
        <v>2250</v>
      </c>
      <c r="B12" s="19" t="s">
        <v>26</v>
      </c>
      <c r="C12" t="s">
        <v>90</v>
      </c>
      <c r="D12" s="379">
        <v>3751.46</v>
      </c>
      <c r="E12" s="120">
        <v>6.266831759069801E-6</v>
      </c>
      <c r="F12" s="379">
        <v>223860.14</v>
      </c>
      <c r="G12" s="120">
        <v>3.7395942778060064E-4</v>
      </c>
      <c r="H12" s="379">
        <v>540528.25</v>
      </c>
      <c r="I12" s="120">
        <v>2.0785184205914429E-3</v>
      </c>
      <c r="J12" s="379">
        <v>26100.99</v>
      </c>
      <c r="K12" s="120">
        <v>1.1707850957181753E-4</v>
      </c>
      <c r="L12" s="379">
        <v>528133.22</v>
      </c>
      <c r="M12" s="120">
        <v>2.3689925268338408E-3</v>
      </c>
      <c r="N12" s="379">
        <v>1433771.33</v>
      </c>
      <c r="O12" s="120">
        <v>2.0202767056746473E-3</v>
      </c>
      <c r="P12" s="383">
        <f t="shared" si="14"/>
        <v>2756145.39</v>
      </c>
      <c r="R12" s="379"/>
      <c r="S12" s="120"/>
      <c r="T12" s="380"/>
      <c r="U12" s="551">
        <v>156</v>
      </c>
      <c r="V12" s="550" t="s">
        <v>91</v>
      </c>
      <c r="W12" s="449" t="s">
        <v>26</v>
      </c>
      <c r="X12" s="562" t="s">
        <v>90</v>
      </c>
      <c r="Y12" s="379">
        <v>14377.38</v>
      </c>
      <c r="Z12" s="379">
        <v>1431692.99</v>
      </c>
      <c r="AA12" s="379">
        <v>517147.41</v>
      </c>
      <c r="AB12" s="379">
        <v>2362.9499999999998</v>
      </c>
      <c r="AC12" s="379">
        <v>0</v>
      </c>
      <c r="AD12" s="379">
        <v>1965580.7299999997</v>
      </c>
      <c r="AE12" s="124"/>
      <c r="AF12" s="551">
        <v>156</v>
      </c>
      <c r="AG12" s="550" t="s">
        <v>91</v>
      </c>
      <c r="AH12" s="449" t="s">
        <v>26</v>
      </c>
      <c r="AI12" s="562" t="s">
        <v>90</v>
      </c>
      <c r="AJ12" s="383">
        <f t="shared" si="4"/>
        <v>26100.99</v>
      </c>
      <c r="AK12" s="383">
        <f t="shared" si="5"/>
        <v>1433771.33</v>
      </c>
      <c r="AL12" s="383">
        <f t="shared" si="6"/>
        <v>540528.25</v>
      </c>
      <c r="AM12" s="383">
        <f t="shared" si="7"/>
        <v>3751.46</v>
      </c>
      <c r="AN12" s="383">
        <f t="shared" si="8"/>
        <v>0</v>
      </c>
      <c r="AO12" s="124">
        <f t="shared" si="9"/>
        <v>2004152.03</v>
      </c>
      <c r="AR12" s="124">
        <f t="shared" si="10"/>
        <v>528133.22</v>
      </c>
      <c r="AS12" s="124">
        <f t="shared" si="11"/>
        <v>223860.14</v>
      </c>
      <c r="AV12" s="379">
        <f t="shared" si="12"/>
        <v>751993.36</v>
      </c>
      <c r="AW12" s="124">
        <f t="shared" si="13"/>
        <v>0</v>
      </c>
      <c r="AZ12" s="379">
        <v>465.86</v>
      </c>
      <c r="BA12" s="379">
        <v>34506.44</v>
      </c>
      <c r="BB12" s="379">
        <v>13553.849999999999</v>
      </c>
      <c r="BC12" s="379">
        <v>76.22</v>
      </c>
      <c r="BD12" s="379">
        <v>0</v>
      </c>
      <c r="BE12" s="379">
        <f t="shared" si="15"/>
        <v>48602.37</v>
      </c>
      <c r="BF12" s="379"/>
      <c r="BO12" s="477">
        <v>40944.230000000003</v>
      </c>
      <c r="BP12" s="477">
        <v>3428103.98</v>
      </c>
      <c r="BQ12" s="477">
        <v>1295089.6499999999</v>
      </c>
      <c r="BR12" s="477">
        <v>6190.63</v>
      </c>
      <c r="BS12" s="477">
        <v>0</v>
      </c>
      <c r="BT12" s="477">
        <v>4770328.4899999993</v>
      </c>
      <c r="BW12" s="126">
        <v>156</v>
      </c>
      <c r="BX12" s="125">
        <v>2250</v>
      </c>
      <c r="BY12" s="19" t="s">
        <v>26</v>
      </c>
      <c r="BZ12" t="s">
        <v>766</v>
      </c>
    </row>
    <row r="13" spans="1:78" x14ac:dyDescent="0.25">
      <c r="A13" s="443">
        <v>2420</v>
      </c>
      <c r="B13" s="19" t="s">
        <v>26</v>
      </c>
      <c r="C13" t="s">
        <v>24</v>
      </c>
      <c r="D13" s="379"/>
      <c r="E13" s="120"/>
      <c r="F13" s="379">
        <v>55272.02</v>
      </c>
      <c r="G13" s="120">
        <v>9.2332172094049036E-5</v>
      </c>
      <c r="H13" s="379">
        <v>135103.19</v>
      </c>
      <c r="I13" s="120">
        <v>5.1951858038070287E-4</v>
      </c>
      <c r="J13" s="379"/>
      <c r="K13" s="120"/>
      <c r="L13" s="379">
        <v>123915.95</v>
      </c>
      <c r="M13" s="120">
        <v>5.5583695247482415E-4</v>
      </c>
      <c r="N13" s="379">
        <v>381857.27</v>
      </c>
      <c r="O13" s="120">
        <v>5.3806163600266324E-4</v>
      </c>
      <c r="P13" s="383">
        <f t="shared" si="14"/>
        <v>696148.42999999993</v>
      </c>
      <c r="R13" s="379"/>
      <c r="S13" s="120"/>
      <c r="T13" s="380"/>
      <c r="U13" s="551">
        <v>29</v>
      </c>
      <c r="V13" s="550" t="s">
        <v>25</v>
      </c>
      <c r="W13" s="449" t="s">
        <v>26</v>
      </c>
      <c r="X13" s="562" t="s">
        <v>24</v>
      </c>
      <c r="Y13" s="379"/>
      <c r="Z13" s="379">
        <v>371727.95</v>
      </c>
      <c r="AA13" s="379">
        <v>129003.36</v>
      </c>
      <c r="AB13" s="379"/>
      <c r="AC13" s="379">
        <v>0</v>
      </c>
      <c r="AD13" s="379">
        <v>500731.31</v>
      </c>
      <c r="AE13" s="124"/>
      <c r="AF13" s="551">
        <v>29</v>
      </c>
      <c r="AG13" s="550" t="s">
        <v>25</v>
      </c>
      <c r="AH13" s="449" t="s">
        <v>26</v>
      </c>
      <c r="AI13" s="562" t="s">
        <v>24</v>
      </c>
      <c r="AJ13" s="383">
        <f t="shared" si="4"/>
        <v>0</v>
      </c>
      <c r="AK13" s="383">
        <f t="shared" si="5"/>
        <v>381857.27</v>
      </c>
      <c r="AL13" s="383">
        <f t="shared" si="6"/>
        <v>135103.19</v>
      </c>
      <c r="AM13" s="383">
        <f t="shared" si="7"/>
        <v>0</v>
      </c>
      <c r="AN13" s="383">
        <f t="shared" si="8"/>
        <v>0</v>
      </c>
      <c r="AO13" s="124">
        <f t="shared" si="9"/>
        <v>516960.46</v>
      </c>
      <c r="AR13" s="124">
        <f t="shared" si="10"/>
        <v>123915.95</v>
      </c>
      <c r="AS13" s="124">
        <f t="shared" si="11"/>
        <v>55272.02</v>
      </c>
      <c r="AV13" s="379">
        <f t="shared" si="12"/>
        <v>179187.97</v>
      </c>
      <c r="AW13" s="124">
        <f t="shared" si="13"/>
        <v>0</v>
      </c>
      <c r="AZ13" s="379"/>
      <c r="BA13" s="379">
        <v>9256.17</v>
      </c>
      <c r="BB13" s="379">
        <v>3400.8999999999996</v>
      </c>
      <c r="BC13" s="379"/>
      <c r="BD13" s="379">
        <v>0</v>
      </c>
      <c r="BE13" s="379">
        <f t="shared" si="15"/>
        <v>12657.07</v>
      </c>
      <c r="BF13" s="379"/>
      <c r="BO13" s="477"/>
      <c r="BP13" s="477">
        <v>886757.34000000008</v>
      </c>
      <c r="BQ13" s="477">
        <v>322779.46999999997</v>
      </c>
      <c r="BR13" s="477"/>
      <c r="BS13" s="477">
        <v>0</v>
      </c>
      <c r="BT13" s="477">
        <v>1209536.81</v>
      </c>
      <c r="BW13" s="126">
        <v>29</v>
      </c>
      <c r="BX13" s="125">
        <v>2420</v>
      </c>
      <c r="BY13" s="19" t="s">
        <v>26</v>
      </c>
      <c r="BZ13" t="s">
        <v>736</v>
      </c>
    </row>
    <row r="14" spans="1:78" x14ac:dyDescent="0.25">
      <c r="A14" s="443">
        <v>3017</v>
      </c>
      <c r="B14" s="19" t="s">
        <v>26</v>
      </c>
      <c r="C14" t="s">
        <v>240</v>
      </c>
      <c r="D14" s="379">
        <v>6457.57</v>
      </c>
      <c r="E14" s="120">
        <v>1.0787401375042349E-5</v>
      </c>
      <c r="F14" s="379">
        <v>1336415.8899999999</v>
      </c>
      <c r="G14" s="120">
        <v>2.2324890956527681E-3</v>
      </c>
      <c r="H14" s="379">
        <v>3312879.86</v>
      </c>
      <c r="I14" s="120">
        <v>1.2739171013201253E-2</v>
      </c>
      <c r="J14" s="379">
        <v>0</v>
      </c>
      <c r="K14" s="120">
        <v>0</v>
      </c>
      <c r="L14" s="379">
        <v>3355643.18</v>
      </c>
      <c r="M14" s="120">
        <v>1.5052061326763245E-2</v>
      </c>
      <c r="N14" s="379">
        <v>11045234.01</v>
      </c>
      <c r="O14" s="120">
        <v>1.5563450399812622E-2</v>
      </c>
      <c r="P14" s="383">
        <f t="shared" si="14"/>
        <v>19056630.509999998</v>
      </c>
      <c r="R14" s="379"/>
      <c r="S14" s="120"/>
      <c r="T14" s="380"/>
      <c r="U14" s="551">
        <v>433</v>
      </c>
      <c r="V14" s="550" t="s">
        <v>241</v>
      </c>
      <c r="W14" s="449" t="s">
        <v>26</v>
      </c>
      <c r="X14" s="562" t="s">
        <v>240</v>
      </c>
      <c r="Y14" s="379">
        <v>0</v>
      </c>
      <c r="Z14" s="379">
        <v>10385225.210000001</v>
      </c>
      <c r="AA14" s="379">
        <v>3085007.68</v>
      </c>
      <c r="AB14" s="379">
        <v>4129.09</v>
      </c>
      <c r="AC14" s="379">
        <v>0</v>
      </c>
      <c r="AD14" s="379">
        <v>13474361.98</v>
      </c>
      <c r="AE14" s="124"/>
      <c r="AF14" s="551">
        <v>433</v>
      </c>
      <c r="AG14" s="550" t="s">
        <v>241</v>
      </c>
      <c r="AH14" s="449" t="s">
        <v>26</v>
      </c>
      <c r="AI14" s="562" t="s">
        <v>240</v>
      </c>
      <c r="AJ14" s="383">
        <f t="shared" si="4"/>
        <v>0</v>
      </c>
      <c r="AK14" s="383">
        <f t="shared" si="5"/>
        <v>11045234.01</v>
      </c>
      <c r="AL14" s="383">
        <f t="shared" si="6"/>
        <v>3312879.86</v>
      </c>
      <c r="AM14" s="383">
        <f t="shared" si="7"/>
        <v>6457.57</v>
      </c>
      <c r="AN14" s="383">
        <f t="shared" si="8"/>
        <v>0</v>
      </c>
      <c r="AO14" s="124">
        <f t="shared" si="9"/>
        <v>14364571.439999999</v>
      </c>
      <c r="AR14" s="124">
        <f t="shared" si="10"/>
        <v>3355643.18</v>
      </c>
      <c r="AS14" s="124">
        <f t="shared" si="11"/>
        <v>1336415.8899999999</v>
      </c>
      <c r="AV14" s="379">
        <f t="shared" si="12"/>
        <v>4692059.07</v>
      </c>
      <c r="AW14" s="124">
        <f t="shared" si="13"/>
        <v>0</v>
      </c>
      <c r="AZ14" s="379">
        <v>0</v>
      </c>
      <c r="BA14" s="379">
        <v>268638.98</v>
      </c>
      <c r="BB14" s="379">
        <v>83826.579999999987</v>
      </c>
      <c r="BC14" s="379">
        <v>134.74</v>
      </c>
      <c r="BD14" s="379">
        <v>0</v>
      </c>
      <c r="BE14" s="379">
        <f t="shared" si="15"/>
        <v>352600.29999999993</v>
      </c>
      <c r="BF14" s="379"/>
      <c r="BO14" s="477">
        <v>0</v>
      </c>
      <c r="BP14" s="477">
        <v>25054741.380000003</v>
      </c>
      <c r="BQ14" s="477">
        <v>7818130.0099999998</v>
      </c>
      <c r="BR14" s="477">
        <v>10721.4</v>
      </c>
      <c r="BS14" s="477">
        <v>0</v>
      </c>
      <c r="BT14" s="477">
        <v>32883592.789999999</v>
      </c>
      <c r="BW14" s="126">
        <v>433</v>
      </c>
      <c r="BX14" s="125">
        <v>3017</v>
      </c>
      <c r="BY14" s="19" t="s">
        <v>26</v>
      </c>
      <c r="BZ14" t="s">
        <v>840</v>
      </c>
    </row>
    <row r="15" spans="1:78" x14ac:dyDescent="0.25">
      <c r="A15" s="443">
        <v>3050</v>
      </c>
      <c r="B15" s="19" t="s">
        <v>26</v>
      </c>
      <c r="C15" t="s">
        <v>410</v>
      </c>
      <c r="D15" s="379"/>
      <c r="E15" s="120"/>
      <c r="F15" s="379">
        <v>14192.89</v>
      </c>
      <c r="G15" s="120">
        <v>2.3709290197678821E-5</v>
      </c>
      <c r="H15" s="379">
        <v>34579.699999999997</v>
      </c>
      <c r="I15" s="120">
        <v>1.3297092876926584E-4</v>
      </c>
      <c r="J15" s="379"/>
      <c r="K15" s="120"/>
      <c r="L15" s="379">
        <v>29478.06</v>
      </c>
      <c r="M15" s="120">
        <v>1.3222668296752771E-4</v>
      </c>
      <c r="N15" s="379">
        <v>86739.83</v>
      </c>
      <c r="O15" s="120">
        <v>1.2222204080700858E-4</v>
      </c>
      <c r="P15" s="383">
        <f t="shared" si="14"/>
        <v>164990.47999999998</v>
      </c>
      <c r="R15" s="379"/>
      <c r="S15" s="120"/>
      <c r="T15" s="380"/>
      <c r="U15" s="551">
        <v>712</v>
      </c>
      <c r="V15" s="550" t="s">
        <v>411</v>
      </c>
      <c r="W15" s="449" t="s">
        <v>26</v>
      </c>
      <c r="X15" s="562" t="s">
        <v>410</v>
      </c>
      <c r="Y15" s="379"/>
      <c r="Z15" s="379">
        <v>90555.03</v>
      </c>
      <c r="AA15" s="379">
        <v>31331.77</v>
      </c>
      <c r="AB15" s="379"/>
      <c r="AC15" s="379">
        <v>0</v>
      </c>
      <c r="AD15" s="379">
        <v>121886.8</v>
      </c>
      <c r="AE15" s="124"/>
      <c r="AF15" s="551">
        <v>712</v>
      </c>
      <c r="AG15" s="550" t="s">
        <v>411</v>
      </c>
      <c r="AH15" s="449" t="s">
        <v>26</v>
      </c>
      <c r="AI15" s="562" t="s">
        <v>410</v>
      </c>
      <c r="AJ15" s="383">
        <f t="shared" si="4"/>
        <v>0</v>
      </c>
      <c r="AK15" s="383">
        <f t="shared" si="5"/>
        <v>86739.83</v>
      </c>
      <c r="AL15" s="383">
        <f t="shared" si="6"/>
        <v>34579.699999999997</v>
      </c>
      <c r="AM15" s="383">
        <f t="shared" si="7"/>
        <v>0</v>
      </c>
      <c r="AN15" s="383">
        <f t="shared" si="8"/>
        <v>0</v>
      </c>
      <c r="AO15" s="124">
        <f t="shared" si="9"/>
        <v>121319.53</v>
      </c>
      <c r="AR15" s="124">
        <f t="shared" si="10"/>
        <v>29478.06</v>
      </c>
      <c r="AS15" s="124">
        <f t="shared" si="11"/>
        <v>14192.89</v>
      </c>
      <c r="AV15" s="379">
        <f t="shared" si="12"/>
        <v>43670.95</v>
      </c>
      <c r="AW15" s="124">
        <f t="shared" si="13"/>
        <v>0</v>
      </c>
      <c r="AZ15" s="379"/>
      <c r="BA15" s="379">
        <v>2096.75</v>
      </c>
      <c r="BB15" s="379">
        <v>869.31999999999994</v>
      </c>
      <c r="BC15" s="379"/>
      <c r="BD15" s="379">
        <v>0</v>
      </c>
      <c r="BE15" s="379">
        <f t="shared" si="15"/>
        <v>2966.0699999999997</v>
      </c>
      <c r="BF15" s="379"/>
      <c r="BO15" s="477"/>
      <c r="BP15" s="477">
        <v>208869.66999999998</v>
      </c>
      <c r="BQ15" s="477">
        <v>80973.679999999993</v>
      </c>
      <c r="BR15" s="477"/>
      <c r="BS15" s="477">
        <v>0</v>
      </c>
      <c r="BT15" s="477">
        <v>289843.34999999998</v>
      </c>
      <c r="BW15" s="126">
        <v>712</v>
      </c>
      <c r="BX15" s="125">
        <v>3050</v>
      </c>
      <c r="BY15" s="19" t="s">
        <v>26</v>
      </c>
      <c r="BZ15" t="s">
        <v>919</v>
      </c>
    </row>
    <row r="16" spans="1:78" x14ac:dyDescent="0.25">
      <c r="A16" s="443">
        <v>3052</v>
      </c>
      <c r="B16" s="19" t="s">
        <v>26</v>
      </c>
      <c r="C16" t="s">
        <v>246</v>
      </c>
      <c r="D16" s="379"/>
      <c r="E16" s="120"/>
      <c r="F16" s="379">
        <v>120107.91</v>
      </c>
      <c r="G16" s="120">
        <v>2.0064083447604328E-4</v>
      </c>
      <c r="H16" s="379">
        <v>297526.87</v>
      </c>
      <c r="I16" s="120">
        <v>1.1440939116797607E-3</v>
      </c>
      <c r="J16" s="379">
        <v>0</v>
      </c>
      <c r="K16" s="120">
        <v>0</v>
      </c>
      <c r="L16" s="379">
        <v>244180.78</v>
      </c>
      <c r="M16" s="120">
        <v>1.0952964538312098E-3</v>
      </c>
      <c r="N16" s="379">
        <v>787658.62</v>
      </c>
      <c r="O16" s="120">
        <v>1.109862032190195E-3</v>
      </c>
      <c r="P16" s="383">
        <f t="shared" si="14"/>
        <v>1449474.1800000002</v>
      </c>
      <c r="R16" s="379"/>
      <c r="S16" s="120"/>
      <c r="T16" s="380"/>
      <c r="U16" s="551">
        <v>483</v>
      </c>
      <c r="V16" s="550" t="s">
        <v>247</v>
      </c>
      <c r="W16" s="449" t="s">
        <v>26</v>
      </c>
      <c r="X16" s="562" t="s">
        <v>246</v>
      </c>
      <c r="Y16" s="379">
        <v>0</v>
      </c>
      <c r="Z16" s="379">
        <v>766271.11</v>
      </c>
      <c r="AA16" s="379">
        <v>276867.02</v>
      </c>
      <c r="AB16" s="379"/>
      <c r="AC16" s="379">
        <v>0</v>
      </c>
      <c r="AD16" s="379">
        <v>1043138.13</v>
      </c>
      <c r="AE16" s="124"/>
      <c r="AF16" s="551">
        <v>483</v>
      </c>
      <c r="AG16" s="550" t="s">
        <v>247</v>
      </c>
      <c r="AH16" s="449" t="s">
        <v>26</v>
      </c>
      <c r="AI16" s="562" t="s">
        <v>246</v>
      </c>
      <c r="AJ16" s="383">
        <f t="shared" si="4"/>
        <v>0</v>
      </c>
      <c r="AK16" s="383">
        <f t="shared" si="5"/>
        <v>787658.62</v>
      </c>
      <c r="AL16" s="383">
        <f t="shared" si="6"/>
        <v>297526.87</v>
      </c>
      <c r="AM16" s="383">
        <f t="shared" si="7"/>
        <v>0</v>
      </c>
      <c r="AN16" s="383">
        <f t="shared" si="8"/>
        <v>0</v>
      </c>
      <c r="AO16" s="124">
        <f t="shared" si="9"/>
        <v>1085185.49</v>
      </c>
      <c r="AR16" s="124">
        <f t="shared" si="10"/>
        <v>244180.78</v>
      </c>
      <c r="AS16" s="124">
        <f t="shared" si="11"/>
        <v>120107.91</v>
      </c>
      <c r="AV16" s="379">
        <f t="shared" si="12"/>
        <v>364288.69</v>
      </c>
      <c r="AW16" s="124">
        <f t="shared" si="13"/>
        <v>0</v>
      </c>
      <c r="AZ16" s="379">
        <v>0</v>
      </c>
      <c r="BA16" s="379">
        <v>19138.690000000002</v>
      </c>
      <c r="BB16" s="379">
        <v>7526.32</v>
      </c>
      <c r="BC16" s="379"/>
      <c r="BD16" s="379">
        <v>0</v>
      </c>
      <c r="BE16" s="379">
        <f t="shared" si="15"/>
        <v>26665.010000000002</v>
      </c>
      <c r="BF16" s="379"/>
      <c r="BO16" s="477">
        <v>0</v>
      </c>
      <c r="BP16" s="477">
        <v>1817249.2000000002</v>
      </c>
      <c r="BQ16" s="477">
        <v>702028.12</v>
      </c>
      <c r="BR16" s="477"/>
      <c r="BS16" s="477">
        <v>0</v>
      </c>
      <c r="BT16" s="477">
        <v>2519277.3200000003</v>
      </c>
      <c r="BW16" s="126">
        <v>483</v>
      </c>
      <c r="BX16" s="125">
        <v>3052</v>
      </c>
      <c r="BY16" s="19" t="s">
        <v>26</v>
      </c>
      <c r="BZ16" t="s">
        <v>843</v>
      </c>
    </row>
    <row r="17" spans="1:78" x14ac:dyDescent="0.25">
      <c r="A17" s="443">
        <v>3053</v>
      </c>
      <c r="B17" s="19" t="s">
        <v>26</v>
      </c>
      <c r="C17" t="s">
        <v>186</v>
      </c>
      <c r="D17" s="379"/>
      <c r="E17" s="120"/>
      <c r="F17" s="379">
        <v>64861.67</v>
      </c>
      <c r="G17" s="120">
        <v>1.0835172799451545E-4</v>
      </c>
      <c r="H17" s="379">
        <v>161303.42000000001</v>
      </c>
      <c r="I17" s="120">
        <v>6.2026754341590513E-4</v>
      </c>
      <c r="J17" s="379"/>
      <c r="K17" s="120"/>
      <c r="L17" s="379">
        <v>138697.31</v>
      </c>
      <c r="M17" s="120">
        <v>6.2214016925872702E-4</v>
      </c>
      <c r="N17" s="379">
        <v>478916.58</v>
      </c>
      <c r="O17" s="120">
        <v>6.7482449278391467E-4</v>
      </c>
      <c r="P17" s="383">
        <f t="shared" si="14"/>
        <v>843778.98</v>
      </c>
      <c r="R17" s="379"/>
      <c r="S17" s="120"/>
      <c r="T17" s="380"/>
      <c r="U17" s="551">
        <v>305</v>
      </c>
      <c r="V17" s="550" t="s">
        <v>187</v>
      </c>
      <c r="W17" s="449" t="s">
        <v>26</v>
      </c>
      <c r="X17" s="562" t="s">
        <v>186</v>
      </c>
      <c r="Y17" s="379"/>
      <c r="Z17" s="379">
        <v>450121.35</v>
      </c>
      <c r="AA17" s="379">
        <v>150129.12</v>
      </c>
      <c r="AB17" s="379"/>
      <c r="AC17" s="379">
        <v>0</v>
      </c>
      <c r="AD17" s="379">
        <v>600250.47</v>
      </c>
      <c r="AE17" s="124"/>
      <c r="AF17" s="551">
        <v>305</v>
      </c>
      <c r="AG17" s="550" t="s">
        <v>187</v>
      </c>
      <c r="AH17" s="449" t="s">
        <v>26</v>
      </c>
      <c r="AI17" s="562" t="s">
        <v>186</v>
      </c>
      <c r="AJ17" s="383">
        <f t="shared" si="4"/>
        <v>0</v>
      </c>
      <c r="AK17" s="383">
        <f t="shared" si="5"/>
        <v>478916.58</v>
      </c>
      <c r="AL17" s="383">
        <f t="shared" si="6"/>
        <v>161303.42000000001</v>
      </c>
      <c r="AM17" s="383">
        <f t="shared" si="7"/>
        <v>0</v>
      </c>
      <c r="AN17" s="383">
        <f t="shared" si="8"/>
        <v>0</v>
      </c>
      <c r="AO17" s="124">
        <f t="shared" si="9"/>
        <v>640220</v>
      </c>
      <c r="AR17" s="124">
        <f t="shared" si="10"/>
        <v>138697.31</v>
      </c>
      <c r="AS17" s="124">
        <f t="shared" si="11"/>
        <v>64861.67</v>
      </c>
      <c r="AV17" s="379">
        <f t="shared" si="12"/>
        <v>203558.97999999998</v>
      </c>
      <c r="AW17" s="124">
        <f t="shared" si="13"/>
        <v>0</v>
      </c>
      <c r="AZ17" s="379"/>
      <c r="BA17" s="379">
        <v>11674.66</v>
      </c>
      <c r="BB17" s="379">
        <v>4086.12</v>
      </c>
      <c r="BC17" s="379"/>
      <c r="BD17" s="379">
        <v>0</v>
      </c>
      <c r="BE17" s="379">
        <f t="shared" si="15"/>
        <v>15760.779999999999</v>
      </c>
      <c r="BF17" s="379"/>
      <c r="BO17" s="477"/>
      <c r="BP17" s="477">
        <v>1079409.8999999999</v>
      </c>
      <c r="BQ17" s="477">
        <v>380380.32999999996</v>
      </c>
      <c r="BR17" s="477"/>
      <c r="BS17" s="477">
        <v>0</v>
      </c>
      <c r="BT17" s="477">
        <v>1459790.23</v>
      </c>
      <c r="BW17" s="126">
        <v>305</v>
      </c>
      <c r="BX17" s="125">
        <v>3053</v>
      </c>
      <c r="BY17" s="19" t="s">
        <v>26</v>
      </c>
      <c r="BZ17" t="s">
        <v>813</v>
      </c>
    </row>
    <row r="18" spans="1:78" x14ac:dyDescent="0.25">
      <c r="A18" s="443">
        <v>3116</v>
      </c>
      <c r="B18" s="19" t="s">
        <v>26</v>
      </c>
      <c r="C18" t="s">
        <v>426</v>
      </c>
      <c r="D18" s="379"/>
      <c r="E18" s="120"/>
      <c r="F18" s="379">
        <v>222083.71</v>
      </c>
      <c r="G18" s="120">
        <v>3.7099189302299571E-4</v>
      </c>
      <c r="H18" s="379">
        <v>550324.43000000005</v>
      </c>
      <c r="I18" s="120">
        <v>2.1161881271820411E-3</v>
      </c>
      <c r="J18" s="379">
        <v>0</v>
      </c>
      <c r="K18" s="120">
        <v>0</v>
      </c>
      <c r="L18" s="379">
        <v>411008.3</v>
      </c>
      <c r="M18" s="120">
        <v>1.8436173948055781E-3</v>
      </c>
      <c r="N18" s="379">
        <v>1384785.63</v>
      </c>
      <c r="O18" s="120">
        <v>1.9512526803294294E-3</v>
      </c>
      <c r="P18" s="383">
        <f t="shared" si="14"/>
        <v>2568202.0699999998</v>
      </c>
      <c r="R18" s="379"/>
      <c r="S18" s="120"/>
      <c r="T18" s="380"/>
      <c r="U18" s="551">
        <v>767</v>
      </c>
      <c r="V18" s="550" t="s">
        <v>427</v>
      </c>
      <c r="W18" s="449" t="s">
        <v>26</v>
      </c>
      <c r="X18" s="562" t="s">
        <v>426</v>
      </c>
      <c r="Y18" s="379">
        <v>0</v>
      </c>
      <c r="Z18" s="379">
        <v>1297327.5</v>
      </c>
      <c r="AA18" s="379">
        <v>503291.27</v>
      </c>
      <c r="AB18" s="379"/>
      <c r="AC18" s="379">
        <v>0</v>
      </c>
      <c r="AD18" s="379">
        <v>1800618.77</v>
      </c>
      <c r="AE18" s="124"/>
      <c r="AF18" s="551">
        <v>767</v>
      </c>
      <c r="AG18" s="550" t="s">
        <v>427</v>
      </c>
      <c r="AH18" s="449" t="s">
        <v>26</v>
      </c>
      <c r="AI18" s="562" t="s">
        <v>426</v>
      </c>
      <c r="AJ18" s="383">
        <f t="shared" si="4"/>
        <v>0</v>
      </c>
      <c r="AK18" s="383">
        <f t="shared" si="5"/>
        <v>1384785.63</v>
      </c>
      <c r="AL18" s="383">
        <f t="shared" si="6"/>
        <v>550324.43000000005</v>
      </c>
      <c r="AM18" s="383">
        <f t="shared" si="7"/>
        <v>0</v>
      </c>
      <c r="AN18" s="383">
        <f t="shared" si="8"/>
        <v>0</v>
      </c>
      <c r="AO18" s="124">
        <f t="shared" si="9"/>
        <v>1935110.06</v>
      </c>
      <c r="AR18" s="124">
        <f t="shared" si="10"/>
        <v>411008.3</v>
      </c>
      <c r="AS18" s="124">
        <f t="shared" si="11"/>
        <v>222083.71</v>
      </c>
      <c r="AV18" s="379">
        <f t="shared" si="12"/>
        <v>633092.01</v>
      </c>
      <c r="AW18" s="124">
        <f t="shared" si="13"/>
        <v>0</v>
      </c>
      <c r="AZ18" s="379">
        <v>0</v>
      </c>
      <c r="BA18" s="379">
        <v>33718.29</v>
      </c>
      <c r="BB18" s="379">
        <v>13923.15</v>
      </c>
      <c r="BC18" s="379"/>
      <c r="BD18" s="379">
        <v>0</v>
      </c>
      <c r="BE18" s="379">
        <f t="shared" si="15"/>
        <v>47641.440000000002</v>
      </c>
      <c r="BF18" s="379"/>
      <c r="BO18" s="477">
        <v>0</v>
      </c>
      <c r="BP18" s="477">
        <v>3126839.7199999997</v>
      </c>
      <c r="BQ18" s="477">
        <v>1289622.56</v>
      </c>
      <c r="BR18" s="477"/>
      <c r="BS18" s="477">
        <v>0</v>
      </c>
      <c r="BT18" s="477">
        <v>4416462.2799999993</v>
      </c>
      <c r="BW18" s="126">
        <v>767</v>
      </c>
      <c r="BX18" s="125">
        <v>3116</v>
      </c>
      <c r="BY18" s="19" t="s">
        <v>26</v>
      </c>
      <c r="BZ18" t="s">
        <v>927</v>
      </c>
    </row>
    <row r="19" spans="1:78" x14ac:dyDescent="0.25">
      <c r="A19" s="443">
        <v>3400</v>
      </c>
      <c r="B19" s="19" t="s">
        <v>26</v>
      </c>
      <c r="C19" t="s">
        <v>454</v>
      </c>
      <c r="D19" s="379">
        <v>15392.85</v>
      </c>
      <c r="E19" s="120">
        <v>2.5713829080570655E-5</v>
      </c>
      <c r="F19" s="379">
        <v>931139.14</v>
      </c>
      <c r="G19" s="120">
        <v>1.5554723586723414E-3</v>
      </c>
      <c r="H19" s="379">
        <v>2291307.08</v>
      </c>
      <c r="I19" s="120">
        <v>8.8108696872209579E-3</v>
      </c>
      <c r="J19" s="379">
        <v>0</v>
      </c>
      <c r="K19" s="120">
        <v>0</v>
      </c>
      <c r="L19" s="379">
        <v>2659233.4500000002</v>
      </c>
      <c r="M19" s="120">
        <v>1.1928248274472437E-2</v>
      </c>
      <c r="N19" s="379">
        <v>7873384.4900000002</v>
      </c>
      <c r="O19" s="120">
        <v>1.1094108905056055E-2</v>
      </c>
      <c r="P19" s="383">
        <f t="shared" si="14"/>
        <v>13770457.010000002</v>
      </c>
      <c r="R19" s="379"/>
      <c r="S19" s="120"/>
      <c r="T19" s="380"/>
      <c r="U19" s="551">
        <v>810</v>
      </c>
      <c r="V19" s="550" t="s">
        <v>455</v>
      </c>
      <c r="W19" s="449" t="s">
        <v>26</v>
      </c>
      <c r="X19" s="562" t="s">
        <v>454</v>
      </c>
      <c r="Y19" s="379">
        <v>0</v>
      </c>
      <c r="Z19" s="379">
        <v>7580931.3600000003</v>
      </c>
      <c r="AA19" s="379">
        <v>2131776.25</v>
      </c>
      <c r="AB19" s="379">
        <v>9889.69</v>
      </c>
      <c r="AC19" s="379">
        <v>0</v>
      </c>
      <c r="AD19" s="379">
        <v>9722597.2999999989</v>
      </c>
      <c r="AE19" s="124"/>
      <c r="AF19" s="551">
        <v>810</v>
      </c>
      <c r="AG19" s="550" t="s">
        <v>455</v>
      </c>
      <c r="AH19" s="449" t="s">
        <v>26</v>
      </c>
      <c r="AI19" s="562" t="s">
        <v>454</v>
      </c>
      <c r="AJ19" s="383">
        <f t="shared" si="4"/>
        <v>0</v>
      </c>
      <c r="AK19" s="383">
        <f t="shared" si="5"/>
        <v>7873384.4900000002</v>
      </c>
      <c r="AL19" s="383">
        <f t="shared" si="6"/>
        <v>2291307.08</v>
      </c>
      <c r="AM19" s="383">
        <f t="shared" si="7"/>
        <v>15392.85</v>
      </c>
      <c r="AN19" s="383">
        <f t="shared" si="8"/>
        <v>0</v>
      </c>
      <c r="AO19" s="124">
        <f t="shared" si="9"/>
        <v>10180084.42</v>
      </c>
      <c r="AR19" s="124">
        <f t="shared" si="10"/>
        <v>2659233.4500000002</v>
      </c>
      <c r="AS19" s="124">
        <f t="shared" si="11"/>
        <v>931139.14</v>
      </c>
      <c r="AV19" s="379">
        <f t="shared" si="12"/>
        <v>3590372.5900000003</v>
      </c>
      <c r="AW19" s="124">
        <f t="shared" si="13"/>
        <v>0</v>
      </c>
      <c r="AZ19" s="379">
        <v>0</v>
      </c>
      <c r="BA19" s="379">
        <v>190477.93</v>
      </c>
      <c r="BB19" s="379">
        <v>57822.22</v>
      </c>
      <c r="BC19" s="379">
        <v>323.20999999999998</v>
      </c>
      <c r="BD19" s="379">
        <v>0</v>
      </c>
      <c r="BE19" s="379">
        <f t="shared" si="15"/>
        <v>248623.35999999999</v>
      </c>
      <c r="BF19" s="379"/>
      <c r="BO19" s="477">
        <v>0</v>
      </c>
      <c r="BP19" s="477">
        <v>18304027.23</v>
      </c>
      <c r="BQ19" s="477">
        <v>5412044.6899999995</v>
      </c>
      <c r="BR19" s="477">
        <v>25605.75</v>
      </c>
      <c r="BS19" s="477">
        <v>0</v>
      </c>
      <c r="BT19" s="477">
        <v>23741677.670000002</v>
      </c>
      <c r="BW19" s="126">
        <v>810</v>
      </c>
      <c r="BX19" s="125">
        <v>3400</v>
      </c>
      <c r="BY19" s="19" t="s">
        <v>26</v>
      </c>
      <c r="BZ19" t="s">
        <v>940</v>
      </c>
    </row>
    <row r="20" spans="1:78" x14ac:dyDescent="0.25">
      <c r="A20" s="443">
        <v>4019</v>
      </c>
      <c r="B20" s="19" t="s">
        <v>55</v>
      </c>
      <c r="C20" t="s">
        <v>286</v>
      </c>
      <c r="D20" s="379"/>
      <c r="E20" s="120"/>
      <c r="F20" s="379">
        <v>61178.74</v>
      </c>
      <c r="G20" s="120">
        <v>1.0219937592613915E-4</v>
      </c>
      <c r="H20" s="379">
        <v>149920.84</v>
      </c>
      <c r="I20" s="120">
        <v>5.7649757911920868E-4</v>
      </c>
      <c r="J20" s="379"/>
      <c r="K20" s="120"/>
      <c r="L20" s="379">
        <v>118708.92</v>
      </c>
      <c r="M20" s="120">
        <v>5.3248031689526415E-4</v>
      </c>
      <c r="N20" s="379">
        <v>392256.43</v>
      </c>
      <c r="O20" s="120">
        <v>5.5271472625979898E-4</v>
      </c>
      <c r="P20" s="383">
        <f t="shared" si="14"/>
        <v>722064.92999999993</v>
      </c>
      <c r="R20" s="379"/>
      <c r="S20" s="120"/>
      <c r="T20" s="380"/>
      <c r="U20" s="551">
        <v>564</v>
      </c>
      <c r="V20" s="550" t="s">
        <v>287</v>
      </c>
      <c r="W20" s="449" t="s">
        <v>55</v>
      </c>
      <c r="X20" s="562" t="s">
        <v>286</v>
      </c>
      <c r="Y20" s="379"/>
      <c r="Z20" s="379">
        <v>359637.61</v>
      </c>
      <c r="AA20" s="379">
        <v>134849.09</v>
      </c>
      <c r="AB20" s="379"/>
      <c r="AC20" s="379">
        <v>0</v>
      </c>
      <c r="AD20" s="379">
        <v>494486.69999999995</v>
      </c>
      <c r="AE20" s="124"/>
      <c r="AF20" s="551">
        <v>564</v>
      </c>
      <c r="AG20" s="550" t="s">
        <v>287</v>
      </c>
      <c r="AH20" s="449" t="s">
        <v>55</v>
      </c>
      <c r="AI20" s="562" t="s">
        <v>286</v>
      </c>
      <c r="AJ20" s="383">
        <f t="shared" si="4"/>
        <v>0</v>
      </c>
      <c r="AK20" s="383">
        <f t="shared" si="5"/>
        <v>392256.43</v>
      </c>
      <c r="AL20" s="383">
        <f t="shared" si="6"/>
        <v>149920.84</v>
      </c>
      <c r="AM20" s="383">
        <f t="shared" si="7"/>
        <v>0</v>
      </c>
      <c r="AN20" s="383">
        <f t="shared" si="8"/>
        <v>0</v>
      </c>
      <c r="AO20" s="124">
        <f t="shared" si="9"/>
        <v>542177.27</v>
      </c>
      <c r="AR20" s="124">
        <f t="shared" si="10"/>
        <v>118708.92</v>
      </c>
      <c r="AS20" s="124">
        <f t="shared" si="11"/>
        <v>61178.74</v>
      </c>
      <c r="AV20" s="379">
        <f t="shared" si="12"/>
        <v>179887.66</v>
      </c>
      <c r="AW20" s="124">
        <f t="shared" si="13"/>
        <v>0</v>
      </c>
      <c r="AZ20" s="379"/>
      <c r="BA20" s="379">
        <v>9541.9700000000012</v>
      </c>
      <c r="BB20" s="379">
        <v>3777.4399999999996</v>
      </c>
      <c r="BC20" s="379"/>
      <c r="BD20" s="379">
        <v>0</v>
      </c>
      <c r="BE20" s="379">
        <f t="shared" si="15"/>
        <v>13319.41</v>
      </c>
      <c r="BF20" s="379"/>
      <c r="BO20" s="477"/>
      <c r="BP20" s="477">
        <v>880144.92999999993</v>
      </c>
      <c r="BQ20" s="477">
        <v>349726.11</v>
      </c>
      <c r="BR20" s="477"/>
      <c r="BS20" s="477">
        <v>0</v>
      </c>
      <c r="BT20" s="477">
        <v>1229871.04</v>
      </c>
      <c r="BW20" s="126">
        <v>564</v>
      </c>
      <c r="BX20" s="125">
        <v>4019</v>
      </c>
      <c r="BY20" s="19" t="s">
        <v>55</v>
      </c>
      <c r="BZ20" t="s">
        <v>862</v>
      </c>
    </row>
    <row r="21" spans="1:78" x14ac:dyDescent="0.25">
      <c r="A21" s="443">
        <v>4069</v>
      </c>
      <c r="B21" s="19" t="s">
        <v>55</v>
      </c>
      <c r="C21" t="s">
        <v>522</v>
      </c>
      <c r="D21" s="379"/>
      <c r="E21" s="120"/>
      <c r="F21" s="379">
        <v>0</v>
      </c>
      <c r="G21" s="120">
        <v>0</v>
      </c>
      <c r="H21" s="379">
        <v>0</v>
      </c>
      <c r="I21" s="120">
        <v>0</v>
      </c>
      <c r="J21" s="379">
        <v>0</v>
      </c>
      <c r="K21" s="120">
        <v>0</v>
      </c>
      <c r="L21" s="379">
        <v>3178.92</v>
      </c>
      <c r="M21" s="120">
        <v>1.4259352447858957E-5</v>
      </c>
      <c r="N21" s="379">
        <v>13323.85</v>
      </c>
      <c r="O21" s="120">
        <v>1.8774167973426523E-5</v>
      </c>
      <c r="P21" s="383">
        <f t="shared" si="14"/>
        <v>16502.77</v>
      </c>
      <c r="R21" s="379"/>
      <c r="S21" s="120"/>
      <c r="T21" s="380"/>
      <c r="U21" s="551">
        <v>1412</v>
      </c>
      <c r="V21" s="550" t="s">
        <v>523</v>
      </c>
      <c r="W21" s="449" t="s">
        <v>55</v>
      </c>
      <c r="X21" s="562" t="s">
        <v>522</v>
      </c>
      <c r="Y21" s="379">
        <v>0</v>
      </c>
      <c r="Z21" s="379">
        <v>10797.29</v>
      </c>
      <c r="AA21" s="379">
        <v>0</v>
      </c>
      <c r="AB21" s="379"/>
      <c r="AC21" s="379">
        <v>0</v>
      </c>
      <c r="AD21" s="379">
        <v>10797.29</v>
      </c>
      <c r="AE21" s="124"/>
      <c r="AF21" s="551">
        <v>1412</v>
      </c>
      <c r="AG21" s="550" t="s">
        <v>523</v>
      </c>
      <c r="AH21" s="449" t="s">
        <v>55</v>
      </c>
      <c r="AI21" s="562" t="s">
        <v>522</v>
      </c>
      <c r="AJ21" s="383">
        <f t="shared" si="4"/>
        <v>0</v>
      </c>
      <c r="AK21" s="383">
        <f t="shared" si="5"/>
        <v>13323.85</v>
      </c>
      <c r="AL21" s="383">
        <f t="shared" si="6"/>
        <v>0</v>
      </c>
      <c r="AM21" s="383">
        <f t="shared" si="7"/>
        <v>0</v>
      </c>
      <c r="AN21" s="383">
        <f t="shared" si="8"/>
        <v>0</v>
      </c>
      <c r="AO21" s="124">
        <f t="shared" si="9"/>
        <v>13323.85</v>
      </c>
      <c r="AR21" s="124">
        <f t="shared" si="10"/>
        <v>3178.92</v>
      </c>
      <c r="AS21" s="124">
        <f t="shared" si="11"/>
        <v>0</v>
      </c>
      <c r="AV21" s="379">
        <f t="shared" si="12"/>
        <v>3178.92</v>
      </c>
      <c r="AW21" s="124">
        <f t="shared" si="13"/>
        <v>0</v>
      </c>
      <c r="AZ21" s="379">
        <v>0</v>
      </c>
      <c r="BA21" s="379">
        <v>327.39999999999998</v>
      </c>
      <c r="BB21" s="379">
        <v>0</v>
      </c>
      <c r="BC21" s="379"/>
      <c r="BD21" s="379">
        <v>0</v>
      </c>
      <c r="BE21" s="379">
        <f t="shared" si="15"/>
        <v>327.39999999999998</v>
      </c>
      <c r="BF21" s="379"/>
      <c r="BO21" s="477">
        <v>0</v>
      </c>
      <c r="BP21" s="477">
        <v>27627.46</v>
      </c>
      <c r="BQ21" s="477">
        <v>0</v>
      </c>
      <c r="BR21" s="477"/>
      <c r="BS21" s="477">
        <v>0</v>
      </c>
      <c r="BT21" s="477">
        <v>27627.46</v>
      </c>
      <c r="BW21" s="126">
        <v>1412</v>
      </c>
      <c r="BX21" s="125">
        <v>4069</v>
      </c>
      <c r="BY21" s="19" t="s">
        <v>55</v>
      </c>
      <c r="BZ21" t="s">
        <v>1029</v>
      </c>
    </row>
    <row r="22" spans="1:78" x14ac:dyDescent="0.25">
      <c r="A22" s="443">
        <v>4127</v>
      </c>
      <c r="B22" s="19" t="s">
        <v>55</v>
      </c>
      <c r="C22" t="s">
        <v>166</v>
      </c>
      <c r="D22" s="379"/>
      <c r="E22" s="120"/>
      <c r="F22" s="379">
        <v>30708.52</v>
      </c>
      <c r="G22" s="120">
        <v>5.1298728604338086E-5</v>
      </c>
      <c r="H22" s="379">
        <v>76221.710000000006</v>
      </c>
      <c r="I22" s="120">
        <v>2.9309888666129662E-4</v>
      </c>
      <c r="J22" s="379"/>
      <c r="K22" s="120"/>
      <c r="L22" s="379">
        <v>70422.64</v>
      </c>
      <c r="M22" s="120">
        <v>3.1588754799387531E-4</v>
      </c>
      <c r="N22" s="379">
        <v>226663.7</v>
      </c>
      <c r="O22" s="120">
        <v>3.1938384005211388E-4</v>
      </c>
      <c r="P22" s="383">
        <f t="shared" si="14"/>
        <v>404016.57</v>
      </c>
      <c r="R22" s="379"/>
      <c r="S22" s="120"/>
      <c r="T22" s="380"/>
      <c r="U22" s="551">
        <v>278</v>
      </c>
      <c r="V22" s="550" t="s">
        <v>167</v>
      </c>
      <c r="W22" s="449" t="s">
        <v>55</v>
      </c>
      <c r="X22" s="562" t="s">
        <v>166</v>
      </c>
      <c r="Y22" s="379"/>
      <c r="Z22" s="379">
        <v>226359.11</v>
      </c>
      <c r="AA22" s="379">
        <v>72006.33</v>
      </c>
      <c r="AB22" s="379"/>
      <c r="AC22" s="379">
        <v>0</v>
      </c>
      <c r="AD22" s="379">
        <v>298365.44</v>
      </c>
      <c r="AE22" s="124"/>
      <c r="AF22" s="551">
        <v>278</v>
      </c>
      <c r="AG22" s="550" t="s">
        <v>167</v>
      </c>
      <c r="AH22" s="449" t="s">
        <v>55</v>
      </c>
      <c r="AI22" s="562" t="s">
        <v>166</v>
      </c>
      <c r="AJ22" s="383">
        <f t="shared" si="4"/>
        <v>0</v>
      </c>
      <c r="AK22" s="383">
        <f t="shared" si="5"/>
        <v>226663.7</v>
      </c>
      <c r="AL22" s="383">
        <f t="shared" si="6"/>
        <v>76221.710000000006</v>
      </c>
      <c r="AM22" s="383">
        <f t="shared" si="7"/>
        <v>0</v>
      </c>
      <c r="AN22" s="383">
        <f t="shared" si="8"/>
        <v>0</v>
      </c>
      <c r="AO22" s="124">
        <f t="shared" si="9"/>
        <v>302885.41000000003</v>
      </c>
      <c r="AR22" s="124">
        <f t="shared" si="10"/>
        <v>70422.64</v>
      </c>
      <c r="AS22" s="124">
        <f t="shared" si="11"/>
        <v>30708.52</v>
      </c>
      <c r="AV22" s="379">
        <f t="shared" si="12"/>
        <v>101131.16</v>
      </c>
      <c r="AW22" s="124">
        <f t="shared" si="13"/>
        <v>0</v>
      </c>
      <c r="AZ22" s="379"/>
      <c r="BA22" s="379">
        <v>5506.57</v>
      </c>
      <c r="BB22" s="379">
        <v>1929.43</v>
      </c>
      <c r="BC22" s="379"/>
      <c r="BD22" s="379">
        <v>0</v>
      </c>
      <c r="BE22" s="379">
        <f t="shared" si="15"/>
        <v>7436</v>
      </c>
      <c r="BF22" s="379"/>
      <c r="BO22" s="477"/>
      <c r="BP22" s="477">
        <v>528952.02</v>
      </c>
      <c r="BQ22" s="477">
        <v>180865.99</v>
      </c>
      <c r="BR22" s="477"/>
      <c r="BS22" s="477">
        <v>0</v>
      </c>
      <c r="BT22" s="477">
        <v>709818.01</v>
      </c>
      <c r="BW22" s="126">
        <v>278</v>
      </c>
      <c r="BX22" s="125">
        <v>4127</v>
      </c>
      <c r="BY22" s="19" t="s">
        <v>55</v>
      </c>
      <c r="BZ22" t="s">
        <v>804</v>
      </c>
    </row>
    <row r="23" spans="1:78" x14ac:dyDescent="0.25">
      <c r="A23" s="443">
        <v>4129</v>
      </c>
      <c r="B23" s="19" t="s">
        <v>55</v>
      </c>
      <c r="C23" t="s">
        <v>258</v>
      </c>
      <c r="D23" s="379">
        <v>3106.76</v>
      </c>
      <c r="E23" s="120">
        <v>5.1898573450890306E-6</v>
      </c>
      <c r="F23" s="379">
        <v>135438.64000000001</v>
      </c>
      <c r="G23" s="120">
        <v>2.2625089180138442E-4</v>
      </c>
      <c r="H23" s="379">
        <v>328826.09999999998</v>
      </c>
      <c r="I23" s="120">
        <v>1.2644502965779196E-3</v>
      </c>
      <c r="J23" s="379">
        <v>0</v>
      </c>
      <c r="K23" s="120">
        <v>0</v>
      </c>
      <c r="L23" s="379">
        <v>304698.28000000003</v>
      </c>
      <c r="M23" s="120">
        <v>1.3667535404402798E-3</v>
      </c>
      <c r="N23" s="379">
        <v>862815.38</v>
      </c>
      <c r="O23" s="120">
        <v>1.2157627768382138E-3</v>
      </c>
      <c r="P23" s="383">
        <f t="shared" si="14"/>
        <v>1634885.1600000001</v>
      </c>
      <c r="R23" s="379"/>
      <c r="S23" s="120"/>
      <c r="T23" s="380"/>
      <c r="U23" s="551">
        <v>514</v>
      </c>
      <c r="V23" s="550" t="s">
        <v>259</v>
      </c>
      <c r="W23" s="449" t="s">
        <v>55</v>
      </c>
      <c r="X23" s="562" t="s">
        <v>258</v>
      </c>
      <c r="Y23" s="379">
        <v>0</v>
      </c>
      <c r="Z23" s="379">
        <v>821745.88</v>
      </c>
      <c r="AA23" s="379">
        <v>296918.36</v>
      </c>
      <c r="AB23" s="379">
        <v>1968.76</v>
      </c>
      <c r="AC23" s="379">
        <v>0</v>
      </c>
      <c r="AD23" s="379">
        <v>1120633</v>
      </c>
      <c r="AE23" s="124"/>
      <c r="AF23" s="551">
        <v>514</v>
      </c>
      <c r="AG23" s="550" t="s">
        <v>259</v>
      </c>
      <c r="AH23" s="449" t="s">
        <v>55</v>
      </c>
      <c r="AI23" s="562" t="s">
        <v>258</v>
      </c>
      <c r="AJ23" s="383">
        <f t="shared" si="4"/>
        <v>0</v>
      </c>
      <c r="AK23" s="383">
        <f t="shared" si="5"/>
        <v>862815.38</v>
      </c>
      <c r="AL23" s="383">
        <f t="shared" si="6"/>
        <v>328826.09999999998</v>
      </c>
      <c r="AM23" s="383">
        <f t="shared" si="7"/>
        <v>3106.76</v>
      </c>
      <c r="AN23" s="383">
        <f t="shared" si="8"/>
        <v>0</v>
      </c>
      <c r="AO23" s="124">
        <f t="shared" si="9"/>
        <v>1194748.24</v>
      </c>
      <c r="AR23" s="124">
        <f t="shared" si="10"/>
        <v>304698.28000000003</v>
      </c>
      <c r="AS23" s="124">
        <f t="shared" si="11"/>
        <v>135438.64000000001</v>
      </c>
      <c r="AV23" s="379">
        <f t="shared" si="12"/>
        <v>440136.92000000004</v>
      </c>
      <c r="AW23" s="124">
        <f t="shared" si="13"/>
        <v>0</v>
      </c>
      <c r="AZ23" s="379">
        <v>0</v>
      </c>
      <c r="BA23" s="379">
        <v>20817.310000000001</v>
      </c>
      <c r="BB23" s="379">
        <v>8256.83</v>
      </c>
      <c r="BC23" s="379">
        <v>64.41</v>
      </c>
      <c r="BD23" s="379">
        <v>0</v>
      </c>
      <c r="BE23" s="379">
        <f t="shared" si="15"/>
        <v>29138.55</v>
      </c>
      <c r="BF23" s="379"/>
      <c r="BO23" s="477">
        <v>0</v>
      </c>
      <c r="BP23" s="477">
        <v>2010076.85</v>
      </c>
      <c r="BQ23" s="477">
        <v>769439.92999999993</v>
      </c>
      <c r="BR23" s="477">
        <v>5139.93</v>
      </c>
      <c r="BS23" s="477">
        <v>0</v>
      </c>
      <c r="BT23" s="477">
        <v>2784656.7100000004</v>
      </c>
      <c r="BW23" s="126">
        <v>514</v>
      </c>
      <c r="BX23" s="125">
        <v>4129</v>
      </c>
      <c r="BY23" s="19" t="s">
        <v>55</v>
      </c>
      <c r="BZ23" t="s">
        <v>848</v>
      </c>
    </row>
    <row r="24" spans="1:78" x14ac:dyDescent="0.25">
      <c r="A24" s="443">
        <v>4222</v>
      </c>
      <c r="B24" s="19" t="s">
        <v>55</v>
      </c>
      <c r="C24" t="s">
        <v>70</v>
      </c>
      <c r="D24" s="379"/>
      <c r="E24" s="120"/>
      <c r="F24" s="379">
        <v>113869.65</v>
      </c>
      <c r="G24" s="120">
        <v>1.9021979149828666E-4</v>
      </c>
      <c r="H24" s="379">
        <v>282056.09999999998</v>
      </c>
      <c r="I24" s="120">
        <v>1.084603440227559E-3</v>
      </c>
      <c r="J24" s="379">
        <v>0</v>
      </c>
      <c r="K24" s="120">
        <v>0</v>
      </c>
      <c r="L24" s="379">
        <v>286608.15999999997</v>
      </c>
      <c r="M24" s="120">
        <v>1.2856085613580559E-3</v>
      </c>
      <c r="N24" s="379">
        <v>933562.92</v>
      </c>
      <c r="O24" s="120">
        <v>1.3154506448093118E-3</v>
      </c>
      <c r="P24" s="383">
        <f t="shared" si="14"/>
        <v>1616096.83</v>
      </c>
      <c r="R24" s="379"/>
      <c r="S24" s="120"/>
      <c r="T24" s="380"/>
      <c r="U24" s="551">
        <v>106</v>
      </c>
      <c r="V24" s="550" t="s">
        <v>71</v>
      </c>
      <c r="W24" s="449" t="s">
        <v>55</v>
      </c>
      <c r="X24" s="562" t="s">
        <v>70</v>
      </c>
      <c r="Y24" s="379">
        <v>0</v>
      </c>
      <c r="Z24" s="379">
        <v>887563.25</v>
      </c>
      <c r="AA24" s="379">
        <v>277656.27</v>
      </c>
      <c r="AB24" s="379"/>
      <c r="AC24" s="379">
        <v>0</v>
      </c>
      <c r="AD24" s="379">
        <v>1165219.52</v>
      </c>
      <c r="AE24" s="124"/>
      <c r="AF24" s="551">
        <v>106</v>
      </c>
      <c r="AG24" s="550" t="s">
        <v>71</v>
      </c>
      <c r="AH24" s="449" t="s">
        <v>55</v>
      </c>
      <c r="AI24" s="562" t="s">
        <v>70</v>
      </c>
      <c r="AJ24" s="383">
        <f t="shared" si="4"/>
        <v>0</v>
      </c>
      <c r="AK24" s="383">
        <f t="shared" si="5"/>
        <v>933562.92</v>
      </c>
      <c r="AL24" s="383">
        <f t="shared" si="6"/>
        <v>282056.09999999998</v>
      </c>
      <c r="AM24" s="383">
        <f t="shared" si="7"/>
        <v>0</v>
      </c>
      <c r="AN24" s="383">
        <f t="shared" si="8"/>
        <v>0</v>
      </c>
      <c r="AO24" s="124">
        <f t="shared" si="9"/>
        <v>1215619.02</v>
      </c>
      <c r="AR24" s="124">
        <f t="shared" si="10"/>
        <v>286608.15999999997</v>
      </c>
      <c r="AS24" s="124">
        <f t="shared" si="11"/>
        <v>113869.65</v>
      </c>
      <c r="AV24" s="379">
        <f t="shared" si="12"/>
        <v>400477.80999999994</v>
      </c>
      <c r="AW24" s="124">
        <f t="shared" si="13"/>
        <v>0</v>
      </c>
      <c r="AZ24" s="379">
        <v>0</v>
      </c>
      <c r="BA24" s="379">
        <v>22693.7</v>
      </c>
      <c r="BB24" s="379">
        <v>7134.87</v>
      </c>
      <c r="BC24" s="379"/>
      <c r="BD24" s="379">
        <v>0</v>
      </c>
      <c r="BE24" s="379">
        <f t="shared" si="15"/>
        <v>29828.57</v>
      </c>
      <c r="BF24" s="379"/>
      <c r="BO24" s="477">
        <v>0</v>
      </c>
      <c r="BP24" s="477">
        <v>2130428.0299999998</v>
      </c>
      <c r="BQ24" s="477">
        <v>680716.89</v>
      </c>
      <c r="BR24" s="477"/>
      <c r="BS24" s="477">
        <v>0</v>
      </c>
      <c r="BT24" s="477">
        <v>2811144.92</v>
      </c>
      <c r="BW24" s="126">
        <v>106</v>
      </c>
      <c r="BX24" s="125">
        <v>4222</v>
      </c>
      <c r="BY24" s="19" t="s">
        <v>55</v>
      </c>
      <c r="BZ24" t="s">
        <v>756</v>
      </c>
    </row>
    <row r="25" spans="1:78" x14ac:dyDescent="0.25">
      <c r="A25" s="443">
        <v>4228</v>
      </c>
      <c r="B25" s="19" t="s">
        <v>55</v>
      </c>
      <c r="C25" t="s">
        <v>68</v>
      </c>
      <c r="D25" s="379"/>
      <c r="E25" s="120"/>
      <c r="F25" s="379">
        <v>106821.65</v>
      </c>
      <c r="G25" s="120">
        <v>1.7844607400218542E-4</v>
      </c>
      <c r="H25" s="379">
        <v>264285.65000000002</v>
      </c>
      <c r="I25" s="120">
        <v>1.0162699023094223E-3</v>
      </c>
      <c r="J25" s="379">
        <v>0</v>
      </c>
      <c r="K25" s="120">
        <v>0</v>
      </c>
      <c r="L25" s="379">
        <v>247156.24</v>
      </c>
      <c r="M25" s="120">
        <v>1.1086431668137656E-3</v>
      </c>
      <c r="N25" s="379">
        <v>794220.74</v>
      </c>
      <c r="O25" s="120">
        <v>1.1191084844650093E-3</v>
      </c>
      <c r="P25" s="383">
        <f t="shared" si="14"/>
        <v>1412484.28</v>
      </c>
      <c r="R25" s="379"/>
      <c r="S25" s="120"/>
      <c r="T25" s="380"/>
      <c r="U25" s="551">
        <v>103</v>
      </c>
      <c r="V25" s="550" t="s">
        <v>69</v>
      </c>
      <c r="W25" s="449" t="s">
        <v>55</v>
      </c>
      <c r="X25" s="562" t="s">
        <v>68</v>
      </c>
      <c r="Y25" s="379">
        <v>0</v>
      </c>
      <c r="Z25" s="379">
        <v>850576.74</v>
      </c>
      <c r="AA25" s="379">
        <v>256276.33000000002</v>
      </c>
      <c r="AB25" s="379"/>
      <c r="AC25" s="379">
        <v>0</v>
      </c>
      <c r="AD25" s="379">
        <v>1106853.07</v>
      </c>
      <c r="AE25" s="124"/>
      <c r="AF25" s="551">
        <v>103</v>
      </c>
      <c r="AG25" s="550" t="s">
        <v>69</v>
      </c>
      <c r="AH25" s="449" t="s">
        <v>55</v>
      </c>
      <c r="AI25" s="562" t="s">
        <v>68</v>
      </c>
      <c r="AJ25" s="383">
        <f t="shared" si="4"/>
        <v>0</v>
      </c>
      <c r="AK25" s="383">
        <f t="shared" si="5"/>
        <v>794220.74</v>
      </c>
      <c r="AL25" s="383">
        <f t="shared" si="6"/>
        <v>264285.65000000002</v>
      </c>
      <c r="AM25" s="383">
        <f t="shared" si="7"/>
        <v>0</v>
      </c>
      <c r="AN25" s="383">
        <f t="shared" si="8"/>
        <v>0</v>
      </c>
      <c r="AO25" s="124">
        <f t="shared" si="9"/>
        <v>1058506.3900000001</v>
      </c>
      <c r="AR25" s="124">
        <f t="shared" si="10"/>
        <v>247156.24</v>
      </c>
      <c r="AS25" s="124">
        <f t="shared" si="11"/>
        <v>106821.65</v>
      </c>
      <c r="AV25" s="379">
        <f t="shared" si="12"/>
        <v>353977.89</v>
      </c>
      <c r="AW25" s="124">
        <f t="shared" si="13"/>
        <v>0</v>
      </c>
      <c r="AZ25" s="379">
        <v>0</v>
      </c>
      <c r="BA25" s="379">
        <v>19292.82</v>
      </c>
      <c r="BB25" s="379">
        <v>6682.4400000000005</v>
      </c>
      <c r="BC25" s="379"/>
      <c r="BD25" s="379">
        <v>0</v>
      </c>
      <c r="BE25" s="379">
        <f t="shared" si="15"/>
        <v>25975.260000000002</v>
      </c>
      <c r="BF25" s="379"/>
      <c r="BO25" s="477">
        <v>0</v>
      </c>
      <c r="BP25" s="477">
        <v>1911246.54</v>
      </c>
      <c r="BQ25" s="477">
        <v>634066.07000000007</v>
      </c>
      <c r="BR25" s="477"/>
      <c r="BS25" s="477">
        <v>0</v>
      </c>
      <c r="BT25" s="477">
        <v>2545312.6100000003</v>
      </c>
      <c r="BW25" s="126">
        <v>103</v>
      </c>
      <c r="BX25" s="125">
        <v>4228</v>
      </c>
      <c r="BY25" s="19" t="s">
        <v>55</v>
      </c>
      <c r="BZ25" t="s">
        <v>755</v>
      </c>
    </row>
    <row r="26" spans="1:78" x14ac:dyDescent="0.25">
      <c r="A26" s="443">
        <v>4246</v>
      </c>
      <c r="B26" s="19" t="s">
        <v>55</v>
      </c>
      <c r="C26" t="s">
        <v>596</v>
      </c>
      <c r="D26" s="379"/>
      <c r="E26" s="120"/>
      <c r="F26" s="379">
        <v>550631.71</v>
      </c>
      <c r="G26" s="120">
        <v>9.1983288846979902E-4</v>
      </c>
      <c r="H26" s="379">
        <v>1362539.56</v>
      </c>
      <c r="I26" s="120">
        <v>5.2394367440454035E-3</v>
      </c>
      <c r="J26" s="379">
        <v>915.54</v>
      </c>
      <c r="K26" s="120">
        <v>4.1067430259688156E-6</v>
      </c>
      <c r="L26" s="379">
        <v>1300189.6499999999</v>
      </c>
      <c r="M26" s="120">
        <v>5.8321261524065969E-3</v>
      </c>
      <c r="N26" s="379">
        <v>4023384.2</v>
      </c>
      <c r="O26" s="120">
        <v>5.6692090343579589E-3</v>
      </c>
      <c r="P26" s="383">
        <f t="shared" si="14"/>
        <v>7237660.6600000001</v>
      </c>
      <c r="R26" s="379"/>
      <c r="S26" s="120"/>
      <c r="T26" s="380"/>
      <c r="U26" s="551">
        <v>1073</v>
      </c>
      <c r="V26" s="550" t="s">
        <v>597</v>
      </c>
      <c r="W26" s="449" t="s">
        <v>55</v>
      </c>
      <c r="X26" s="562" t="s">
        <v>596</v>
      </c>
      <c r="Y26" s="379">
        <v>554.14</v>
      </c>
      <c r="Z26" s="379">
        <v>3778918</v>
      </c>
      <c r="AA26" s="379">
        <v>1256633.5699999998</v>
      </c>
      <c r="AB26" s="379"/>
      <c r="AC26" s="379">
        <v>0</v>
      </c>
      <c r="AD26" s="379">
        <v>5036105.71</v>
      </c>
      <c r="AE26" s="124"/>
      <c r="AF26" s="551">
        <v>1073</v>
      </c>
      <c r="AG26" s="550" t="s">
        <v>597</v>
      </c>
      <c r="AH26" s="449" t="s">
        <v>55</v>
      </c>
      <c r="AI26" s="562" t="s">
        <v>596</v>
      </c>
      <c r="AJ26" s="383">
        <f t="shared" si="4"/>
        <v>915.54</v>
      </c>
      <c r="AK26" s="383">
        <f t="shared" si="5"/>
        <v>4023384.2</v>
      </c>
      <c r="AL26" s="383">
        <f t="shared" si="6"/>
        <v>1362539.56</v>
      </c>
      <c r="AM26" s="383">
        <f t="shared" si="7"/>
        <v>0</v>
      </c>
      <c r="AN26" s="383">
        <f t="shared" si="8"/>
        <v>0</v>
      </c>
      <c r="AO26" s="124">
        <f t="shared" si="9"/>
        <v>5386839.3000000007</v>
      </c>
      <c r="AR26" s="124">
        <f t="shared" si="10"/>
        <v>1300189.6499999999</v>
      </c>
      <c r="AS26" s="124">
        <f t="shared" si="11"/>
        <v>550631.71</v>
      </c>
      <c r="AV26" s="379">
        <f t="shared" si="12"/>
        <v>1850821.3599999999</v>
      </c>
      <c r="AW26" s="124">
        <f t="shared" si="13"/>
        <v>0</v>
      </c>
      <c r="AZ26" s="379">
        <v>18.309999999999999</v>
      </c>
      <c r="BA26" s="379">
        <v>97548.739999999991</v>
      </c>
      <c r="BB26" s="379">
        <v>34454.699999999997</v>
      </c>
      <c r="BC26" s="379"/>
      <c r="BD26" s="379">
        <v>0</v>
      </c>
      <c r="BE26" s="379">
        <f t="shared" si="15"/>
        <v>132021.75</v>
      </c>
      <c r="BF26" s="379"/>
      <c r="BO26" s="477">
        <v>1487.99</v>
      </c>
      <c r="BP26" s="477">
        <v>9200040.5899999999</v>
      </c>
      <c r="BQ26" s="477">
        <v>3204259.54</v>
      </c>
      <c r="BR26" s="477"/>
      <c r="BS26" s="477">
        <v>0</v>
      </c>
      <c r="BT26" s="477">
        <v>12405788.120000001</v>
      </c>
      <c r="BW26" s="126">
        <v>1073</v>
      </c>
      <c r="BX26" s="125">
        <v>4246</v>
      </c>
      <c r="BY26" s="19" t="s">
        <v>55</v>
      </c>
      <c r="BZ26" t="s">
        <v>1007</v>
      </c>
    </row>
    <row r="27" spans="1:78" x14ac:dyDescent="0.25">
      <c r="A27" s="443">
        <v>4801</v>
      </c>
      <c r="B27" s="19">
        <v>171</v>
      </c>
      <c r="C27" t="s">
        <v>344</v>
      </c>
      <c r="D27" s="379"/>
      <c r="E27" s="120"/>
      <c r="F27" s="379">
        <v>245458.67</v>
      </c>
      <c r="G27" s="120">
        <v>4.1003987479408917E-4</v>
      </c>
      <c r="H27" s="379">
        <v>610424.13</v>
      </c>
      <c r="I27" s="120">
        <v>2.3472922989288825E-3</v>
      </c>
      <c r="J27" s="379"/>
      <c r="K27" s="120"/>
      <c r="L27" s="379">
        <v>157591.16</v>
      </c>
      <c r="M27" s="120">
        <v>7.0689035682147791E-4</v>
      </c>
      <c r="N27" s="379">
        <v>563638.54</v>
      </c>
      <c r="O27" s="120">
        <v>7.9420322401234518E-4</v>
      </c>
      <c r="P27" s="383">
        <f t="shared" si="14"/>
        <v>1577112.5</v>
      </c>
      <c r="R27" s="379"/>
      <c r="S27" s="120"/>
      <c r="T27" s="380"/>
      <c r="U27" s="551">
        <v>266</v>
      </c>
      <c r="V27" s="550" t="s">
        <v>345</v>
      </c>
      <c r="W27" s="449">
        <v>171</v>
      </c>
      <c r="X27" s="562" t="s">
        <v>344</v>
      </c>
      <c r="Y27" s="379"/>
      <c r="Z27" s="379">
        <v>578956.87</v>
      </c>
      <c r="AA27" s="379">
        <v>569207.9</v>
      </c>
      <c r="AB27" s="379"/>
      <c r="AC27" s="379">
        <v>0</v>
      </c>
      <c r="AD27" s="379">
        <v>1148164.77</v>
      </c>
      <c r="AE27" s="124"/>
      <c r="AF27" s="551">
        <v>266</v>
      </c>
      <c r="AG27" s="550" t="s">
        <v>345</v>
      </c>
      <c r="AH27" s="449">
        <v>171</v>
      </c>
      <c r="AI27" s="562" t="s">
        <v>344</v>
      </c>
      <c r="AJ27" s="383">
        <f t="shared" si="4"/>
        <v>0</v>
      </c>
      <c r="AK27" s="383">
        <f t="shared" si="5"/>
        <v>563638.54</v>
      </c>
      <c r="AL27" s="383">
        <f t="shared" si="6"/>
        <v>610424.13</v>
      </c>
      <c r="AM27" s="383">
        <f t="shared" si="7"/>
        <v>0</v>
      </c>
      <c r="AN27" s="383">
        <f t="shared" si="8"/>
        <v>0</v>
      </c>
      <c r="AO27" s="124">
        <f t="shared" si="9"/>
        <v>1174062.67</v>
      </c>
      <c r="AR27" s="124">
        <f t="shared" si="10"/>
        <v>157591.16</v>
      </c>
      <c r="AS27" s="124">
        <f t="shared" si="11"/>
        <v>245458.67</v>
      </c>
      <c r="AV27" s="379">
        <f t="shared" si="12"/>
        <v>403049.83</v>
      </c>
      <c r="AW27" s="124">
        <f t="shared" si="13"/>
        <v>0</v>
      </c>
      <c r="AZ27" s="379"/>
      <c r="BA27" s="379">
        <v>13762.18</v>
      </c>
      <c r="BB27" s="379">
        <v>15463.59</v>
      </c>
      <c r="BC27" s="379"/>
      <c r="BD27" s="379">
        <v>0</v>
      </c>
      <c r="BE27" s="379">
        <f t="shared" si="15"/>
        <v>29225.77</v>
      </c>
      <c r="BF27" s="379"/>
      <c r="BO27" s="477"/>
      <c r="BP27" s="477">
        <v>1313948.75</v>
      </c>
      <c r="BQ27" s="477">
        <v>1440554.29</v>
      </c>
      <c r="BR27" s="477"/>
      <c r="BS27" s="477">
        <v>0</v>
      </c>
      <c r="BT27" s="477">
        <v>2754503.04</v>
      </c>
      <c r="BW27" s="126">
        <v>266</v>
      </c>
      <c r="BX27" s="125">
        <v>4801</v>
      </c>
      <c r="BY27" s="19">
        <v>171</v>
      </c>
      <c r="BZ27" t="s">
        <v>1118</v>
      </c>
    </row>
    <row r="28" spans="1:78" x14ac:dyDescent="0.25">
      <c r="A28" s="543">
        <v>4901</v>
      </c>
      <c r="B28" s="19" t="s">
        <v>1039</v>
      </c>
      <c r="C28" t="s">
        <v>1178</v>
      </c>
      <c r="D28" s="379"/>
      <c r="E28" s="120"/>
      <c r="F28" s="379">
        <v>20149.16</v>
      </c>
      <c r="G28" s="120">
        <v>3.3659267540258689E-5</v>
      </c>
      <c r="H28" s="379">
        <v>50130</v>
      </c>
      <c r="I28" s="120">
        <v>1.9276722062953978E-4</v>
      </c>
      <c r="J28" s="379"/>
      <c r="K28" s="120"/>
      <c r="L28" s="379">
        <v>29560.35</v>
      </c>
      <c r="M28" s="120">
        <v>1.3259580270408425E-4</v>
      </c>
      <c r="N28" s="379">
        <v>99830.1</v>
      </c>
      <c r="O28" s="120">
        <v>1.4066707942553895E-4</v>
      </c>
      <c r="P28" s="383">
        <f t="shared" si="14"/>
        <v>199669.61000000002</v>
      </c>
      <c r="R28" s="379"/>
      <c r="S28" s="120"/>
      <c r="T28" s="380"/>
      <c r="U28" s="554">
        <v>4281</v>
      </c>
      <c r="V28" s="552" t="s">
        <v>1177</v>
      </c>
      <c r="W28" s="449" t="s">
        <v>1039</v>
      </c>
      <c r="X28" s="562" t="s">
        <v>1178</v>
      </c>
      <c r="Y28" s="379"/>
      <c r="Z28" s="379">
        <v>102307.92</v>
      </c>
      <c r="AA28" s="379">
        <v>44598.3</v>
      </c>
      <c r="AB28" s="379"/>
      <c r="AC28" s="379">
        <v>0</v>
      </c>
      <c r="AD28" s="379">
        <v>146906.22</v>
      </c>
      <c r="AE28" s="124"/>
      <c r="AF28" s="554">
        <v>4281</v>
      </c>
      <c r="AG28" s="552" t="s">
        <v>1177</v>
      </c>
      <c r="AH28" s="449" t="s">
        <v>1039</v>
      </c>
      <c r="AI28" s="562" t="s">
        <v>1178</v>
      </c>
      <c r="AJ28" s="383">
        <f t="shared" si="4"/>
        <v>0</v>
      </c>
      <c r="AK28" s="383">
        <f t="shared" si="5"/>
        <v>99830.1</v>
      </c>
      <c r="AL28" s="383">
        <f t="shared" si="6"/>
        <v>50130</v>
      </c>
      <c r="AM28" s="383">
        <f t="shared" si="7"/>
        <v>0</v>
      </c>
      <c r="AN28" s="383">
        <f t="shared" si="8"/>
        <v>0</v>
      </c>
      <c r="AO28" s="124">
        <f t="shared" si="9"/>
        <v>149960.1</v>
      </c>
      <c r="AR28" s="124">
        <f t="shared" si="10"/>
        <v>29560.35</v>
      </c>
      <c r="AS28" s="124">
        <f t="shared" si="11"/>
        <v>20149.16</v>
      </c>
      <c r="AV28" s="379">
        <f t="shared" si="12"/>
        <v>49709.509999999995</v>
      </c>
      <c r="AW28" s="124">
        <f t="shared" si="13"/>
        <v>0</v>
      </c>
      <c r="AZ28" s="379"/>
      <c r="BA28" s="379">
        <v>2430.91</v>
      </c>
      <c r="BB28" s="379">
        <v>1269.99</v>
      </c>
      <c r="BC28" s="379"/>
      <c r="BD28" s="379">
        <v>0</v>
      </c>
      <c r="BE28" s="379">
        <f t="shared" si="15"/>
        <v>3700.8999999999996</v>
      </c>
      <c r="BF28" s="379"/>
      <c r="BO28" s="477"/>
      <c r="BP28" s="477">
        <v>234129.28</v>
      </c>
      <c r="BQ28" s="477">
        <v>116147.45</v>
      </c>
      <c r="BR28" s="477"/>
      <c r="BS28" s="477">
        <v>0</v>
      </c>
      <c r="BT28" s="477">
        <v>350276.73</v>
      </c>
      <c r="BW28" s="126">
        <v>753</v>
      </c>
      <c r="BX28" s="125">
        <v>5121</v>
      </c>
      <c r="BY28" s="19" t="s">
        <v>52</v>
      </c>
      <c r="BZ28" t="s">
        <v>924</v>
      </c>
    </row>
    <row r="29" spans="1:78" x14ac:dyDescent="0.25">
      <c r="A29" s="443">
        <v>5121</v>
      </c>
      <c r="B29" s="19" t="s">
        <v>52</v>
      </c>
      <c r="C29" t="s">
        <v>420</v>
      </c>
      <c r="D29" s="379"/>
      <c r="E29" s="120"/>
      <c r="F29" s="379">
        <v>271836.09999999998</v>
      </c>
      <c r="G29" s="120">
        <v>4.5410349696962628E-4</v>
      </c>
      <c r="H29" s="379">
        <v>674277.23</v>
      </c>
      <c r="I29" s="120">
        <v>2.59282959427259E-3</v>
      </c>
      <c r="J29" s="379">
        <v>0</v>
      </c>
      <c r="K29" s="120">
        <v>0</v>
      </c>
      <c r="L29" s="379">
        <v>585824.4</v>
      </c>
      <c r="M29" s="120">
        <v>2.6277718823234006E-3</v>
      </c>
      <c r="N29" s="379">
        <v>1860801.55</v>
      </c>
      <c r="O29" s="120">
        <v>2.6219899552240855E-3</v>
      </c>
      <c r="P29" s="383">
        <f t="shared" si="14"/>
        <v>3392739.2800000003</v>
      </c>
      <c r="R29" s="379"/>
      <c r="S29" s="120"/>
      <c r="T29" s="380"/>
      <c r="U29" s="551">
        <v>753</v>
      </c>
      <c r="V29" s="550" t="s">
        <v>421</v>
      </c>
      <c r="W29" s="449" t="s">
        <v>52</v>
      </c>
      <c r="X29" s="562" t="s">
        <v>420</v>
      </c>
      <c r="Y29" s="379">
        <v>0</v>
      </c>
      <c r="Z29" s="379">
        <v>1885758.3800000001</v>
      </c>
      <c r="AA29" s="379">
        <v>606185.67000000004</v>
      </c>
      <c r="AB29" s="379"/>
      <c r="AC29" s="379">
        <v>0</v>
      </c>
      <c r="AD29" s="379">
        <v>2491944.0500000003</v>
      </c>
      <c r="AE29" s="124"/>
      <c r="AF29" s="551">
        <v>753</v>
      </c>
      <c r="AG29" s="550" t="s">
        <v>421</v>
      </c>
      <c r="AH29" s="449" t="s">
        <v>52</v>
      </c>
      <c r="AI29" s="562" t="s">
        <v>420</v>
      </c>
      <c r="AJ29" s="383">
        <f t="shared" si="4"/>
        <v>0</v>
      </c>
      <c r="AK29" s="383">
        <f t="shared" si="5"/>
        <v>1860801.55</v>
      </c>
      <c r="AL29" s="383">
        <f t="shared" si="6"/>
        <v>674277.23</v>
      </c>
      <c r="AM29" s="383">
        <f t="shared" si="7"/>
        <v>0</v>
      </c>
      <c r="AN29" s="383">
        <f t="shared" si="8"/>
        <v>0</v>
      </c>
      <c r="AO29" s="124">
        <f t="shared" si="9"/>
        <v>2535078.7800000003</v>
      </c>
      <c r="AR29" s="124">
        <f t="shared" si="10"/>
        <v>585824.4</v>
      </c>
      <c r="AS29" s="124">
        <f t="shared" si="11"/>
        <v>271836.09999999998</v>
      </c>
      <c r="AV29" s="379">
        <f t="shared" si="12"/>
        <v>857660.5</v>
      </c>
      <c r="AW29" s="124">
        <f t="shared" si="13"/>
        <v>0</v>
      </c>
      <c r="AZ29" s="379">
        <v>0</v>
      </c>
      <c r="BA29" s="379">
        <v>45176.259999999995</v>
      </c>
      <c r="BB29" s="379">
        <v>17065.04</v>
      </c>
      <c r="BC29" s="379"/>
      <c r="BD29" s="379">
        <v>0</v>
      </c>
      <c r="BE29" s="379">
        <f t="shared" si="15"/>
        <v>62241.299999999996</v>
      </c>
      <c r="BF29" s="379"/>
      <c r="BO29" s="477">
        <v>0</v>
      </c>
      <c r="BP29" s="477">
        <v>4377560.59</v>
      </c>
      <c r="BQ29" s="477">
        <v>1569364.04</v>
      </c>
      <c r="BR29" s="477"/>
      <c r="BS29" s="477">
        <v>0</v>
      </c>
      <c r="BT29" s="477">
        <v>5946924.6299999999</v>
      </c>
      <c r="BW29" s="126">
        <v>210</v>
      </c>
      <c r="BX29" s="125">
        <v>5313</v>
      </c>
      <c r="BY29" s="19" t="s">
        <v>52</v>
      </c>
      <c r="BZ29" t="s">
        <v>780</v>
      </c>
    </row>
    <row r="30" spans="1:78" x14ac:dyDescent="0.25">
      <c r="A30" s="443">
        <v>5313</v>
      </c>
      <c r="B30" s="19" t="s">
        <v>52</v>
      </c>
      <c r="C30" t="s">
        <v>118</v>
      </c>
      <c r="D30" s="379"/>
      <c r="E30" s="120"/>
      <c r="F30" s="379">
        <v>31279.75</v>
      </c>
      <c r="G30" s="120">
        <v>5.2252971034147669E-5</v>
      </c>
      <c r="H30" s="379">
        <v>77577.03</v>
      </c>
      <c r="I30" s="120">
        <v>2.9831056169548026E-4</v>
      </c>
      <c r="J30" s="379">
        <v>0</v>
      </c>
      <c r="K30" s="120">
        <v>0</v>
      </c>
      <c r="L30" s="379">
        <v>59876.26</v>
      </c>
      <c r="M30" s="120">
        <v>2.6858074270495622E-4</v>
      </c>
      <c r="N30" s="379">
        <v>196501.32</v>
      </c>
      <c r="O30" s="120">
        <v>2.7688309225036583E-4</v>
      </c>
      <c r="P30" s="383">
        <f t="shared" si="14"/>
        <v>365234.36</v>
      </c>
      <c r="R30" s="379"/>
      <c r="S30" s="120"/>
      <c r="T30" s="380"/>
      <c r="U30" s="551">
        <v>210</v>
      </c>
      <c r="V30" s="550" t="s">
        <v>119</v>
      </c>
      <c r="W30" s="449" t="s">
        <v>52</v>
      </c>
      <c r="X30" s="562" t="s">
        <v>118</v>
      </c>
      <c r="Y30" s="379">
        <v>0</v>
      </c>
      <c r="Z30" s="379">
        <v>192559.74</v>
      </c>
      <c r="AA30" s="379">
        <v>73825.489999999991</v>
      </c>
      <c r="AB30" s="379"/>
      <c r="AC30" s="379">
        <v>0</v>
      </c>
      <c r="AD30" s="379">
        <v>266385.23</v>
      </c>
      <c r="AE30" s="124"/>
      <c r="AF30" s="551">
        <v>210</v>
      </c>
      <c r="AG30" s="550" t="s">
        <v>119</v>
      </c>
      <c r="AH30" s="449" t="s">
        <v>52</v>
      </c>
      <c r="AI30" s="562" t="s">
        <v>118</v>
      </c>
      <c r="AJ30" s="383">
        <f t="shared" si="4"/>
        <v>0</v>
      </c>
      <c r="AK30" s="383">
        <f t="shared" si="5"/>
        <v>196501.32</v>
      </c>
      <c r="AL30" s="383">
        <f t="shared" si="6"/>
        <v>77577.03</v>
      </c>
      <c r="AM30" s="383">
        <f t="shared" si="7"/>
        <v>0</v>
      </c>
      <c r="AN30" s="383">
        <f t="shared" si="8"/>
        <v>0</v>
      </c>
      <c r="AO30" s="124">
        <f t="shared" si="9"/>
        <v>274078.34999999998</v>
      </c>
      <c r="AR30" s="124">
        <f t="shared" si="10"/>
        <v>59876.26</v>
      </c>
      <c r="AS30" s="124">
        <f t="shared" si="11"/>
        <v>31279.75</v>
      </c>
      <c r="AV30" s="379">
        <f t="shared" si="12"/>
        <v>91156.010000000009</v>
      </c>
      <c r="AW30" s="124">
        <f t="shared" si="13"/>
        <v>0</v>
      </c>
      <c r="AZ30" s="379">
        <v>0</v>
      </c>
      <c r="BA30" s="379">
        <v>4778.3999999999996</v>
      </c>
      <c r="BB30" s="379">
        <v>1963.1799999999998</v>
      </c>
      <c r="BC30" s="379"/>
      <c r="BD30" s="379">
        <v>0</v>
      </c>
      <c r="BE30" s="379">
        <f t="shared" si="15"/>
        <v>6741.58</v>
      </c>
      <c r="BF30" s="379"/>
      <c r="BO30" s="477">
        <v>0</v>
      </c>
      <c r="BP30" s="477">
        <v>453715.72</v>
      </c>
      <c r="BQ30" s="477">
        <v>184645.45</v>
      </c>
      <c r="BR30" s="477"/>
      <c r="BS30" s="477">
        <v>0</v>
      </c>
      <c r="BT30" s="477">
        <v>638361.16999999993</v>
      </c>
      <c r="BW30" s="126">
        <v>857</v>
      </c>
      <c r="BX30" s="125">
        <v>5323</v>
      </c>
      <c r="BY30" s="19" t="s">
        <v>52</v>
      </c>
      <c r="BZ30" t="s">
        <v>955</v>
      </c>
    </row>
    <row r="31" spans="1:78" x14ac:dyDescent="0.25">
      <c r="A31" s="443">
        <v>5323</v>
      </c>
      <c r="B31" s="19" t="s">
        <v>52</v>
      </c>
      <c r="C31" t="s">
        <v>486</v>
      </c>
      <c r="D31" s="379"/>
      <c r="E31" s="120"/>
      <c r="F31" s="379">
        <v>244517.22</v>
      </c>
      <c r="G31" s="120">
        <v>4.0846717809478374E-4</v>
      </c>
      <c r="H31" s="379">
        <v>608530.71</v>
      </c>
      <c r="I31" s="120">
        <v>2.340011442936774E-3</v>
      </c>
      <c r="J31" s="379">
        <v>0</v>
      </c>
      <c r="K31" s="120">
        <v>0</v>
      </c>
      <c r="L31" s="379">
        <v>452200.7</v>
      </c>
      <c r="M31" s="120">
        <v>2.028389880358277E-3</v>
      </c>
      <c r="N31" s="379">
        <v>1547021.25</v>
      </c>
      <c r="O31" s="120">
        <v>2.1798531810220219E-3</v>
      </c>
      <c r="P31" s="383">
        <f t="shared" si="14"/>
        <v>2852269.88</v>
      </c>
      <c r="R31" s="379"/>
      <c r="S31" s="120"/>
      <c r="T31" s="380"/>
      <c r="U31" s="551">
        <v>857</v>
      </c>
      <c r="V31" s="550" t="s">
        <v>487</v>
      </c>
      <c r="W31" s="449" t="s">
        <v>52</v>
      </c>
      <c r="X31" s="562" t="s">
        <v>486</v>
      </c>
      <c r="Y31" s="379">
        <v>0</v>
      </c>
      <c r="Z31" s="379">
        <v>1476772.4300000002</v>
      </c>
      <c r="AA31" s="379">
        <v>591477.03</v>
      </c>
      <c r="AB31" s="379"/>
      <c r="AC31" s="379">
        <v>0</v>
      </c>
      <c r="AD31" s="379">
        <v>2068249.4600000002</v>
      </c>
      <c r="AE31" s="124"/>
      <c r="AF31" s="551">
        <v>857</v>
      </c>
      <c r="AG31" s="550" t="s">
        <v>487</v>
      </c>
      <c r="AH31" s="449" t="s">
        <v>52</v>
      </c>
      <c r="AI31" s="562" t="s">
        <v>486</v>
      </c>
      <c r="AJ31" s="383">
        <f t="shared" si="4"/>
        <v>0</v>
      </c>
      <c r="AK31" s="383">
        <f t="shared" si="5"/>
        <v>1547021.25</v>
      </c>
      <c r="AL31" s="383">
        <f t="shared" si="6"/>
        <v>608530.71</v>
      </c>
      <c r="AM31" s="383">
        <f t="shared" si="7"/>
        <v>0</v>
      </c>
      <c r="AN31" s="383">
        <f t="shared" si="8"/>
        <v>0</v>
      </c>
      <c r="AO31" s="124">
        <f t="shared" si="9"/>
        <v>2155551.96</v>
      </c>
      <c r="AR31" s="124">
        <f t="shared" si="10"/>
        <v>452200.7</v>
      </c>
      <c r="AS31" s="124">
        <f t="shared" si="11"/>
        <v>244517.22</v>
      </c>
      <c r="AV31" s="379">
        <f t="shared" si="12"/>
        <v>696717.92</v>
      </c>
      <c r="AW31" s="124">
        <f t="shared" si="13"/>
        <v>0</v>
      </c>
      <c r="AZ31" s="379">
        <v>0</v>
      </c>
      <c r="BA31" s="379">
        <v>37695.919999999998</v>
      </c>
      <c r="BB31" s="379">
        <v>15419.68</v>
      </c>
      <c r="BC31" s="379"/>
      <c r="BD31" s="379">
        <v>0</v>
      </c>
      <c r="BE31" s="379">
        <f t="shared" si="15"/>
        <v>53115.6</v>
      </c>
      <c r="BF31" s="379"/>
      <c r="BO31" s="477">
        <v>0</v>
      </c>
      <c r="BP31" s="477">
        <v>3513690.3</v>
      </c>
      <c r="BQ31" s="477">
        <v>1459944.6400000001</v>
      </c>
      <c r="BR31" s="477"/>
      <c r="BS31" s="477">
        <v>0</v>
      </c>
      <c r="BT31" s="477">
        <v>4973634.9399999995</v>
      </c>
      <c r="BW31" s="126">
        <v>98</v>
      </c>
      <c r="BX31" s="125">
        <v>5401</v>
      </c>
      <c r="BY31" s="19" t="s">
        <v>52</v>
      </c>
      <c r="BZ31" t="s">
        <v>753</v>
      </c>
    </row>
    <row r="32" spans="1:78" x14ac:dyDescent="0.25">
      <c r="A32" s="443">
        <v>5401</v>
      </c>
      <c r="B32" s="19" t="s">
        <v>52</v>
      </c>
      <c r="C32" t="s">
        <v>64</v>
      </c>
      <c r="D32" s="379">
        <v>2539.6999999999998</v>
      </c>
      <c r="E32" s="120">
        <v>4.2425809200976613E-6</v>
      </c>
      <c r="F32" s="379">
        <v>74575.490000000005</v>
      </c>
      <c r="G32" s="120">
        <v>1.2457871047010828E-4</v>
      </c>
      <c r="H32" s="379">
        <v>180688.89</v>
      </c>
      <c r="I32" s="120">
        <v>6.9481139285730391E-4</v>
      </c>
      <c r="J32" s="379"/>
      <c r="K32" s="120"/>
      <c r="L32" s="379">
        <v>117188.39</v>
      </c>
      <c r="M32" s="120">
        <v>5.2565983283855836E-4</v>
      </c>
      <c r="N32" s="379">
        <v>362693.25</v>
      </c>
      <c r="O32" s="120">
        <v>5.1105829008342028E-4</v>
      </c>
      <c r="P32" s="383">
        <f t="shared" si="14"/>
        <v>737685.72</v>
      </c>
      <c r="R32" s="379"/>
      <c r="S32" s="120"/>
      <c r="T32" s="380"/>
      <c r="U32" s="551">
        <v>98</v>
      </c>
      <c r="V32" s="550" t="s">
        <v>65</v>
      </c>
      <c r="W32" s="449" t="s">
        <v>52</v>
      </c>
      <c r="X32" s="562" t="s">
        <v>64</v>
      </c>
      <c r="Y32" s="379"/>
      <c r="Z32" s="379">
        <v>374221.65</v>
      </c>
      <c r="AA32" s="379">
        <v>166927.91999999998</v>
      </c>
      <c r="AB32" s="379">
        <v>1597.71</v>
      </c>
      <c r="AC32" s="379">
        <v>0</v>
      </c>
      <c r="AD32" s="379">
        <v>542747.28</v>
      </c>
      <c r="AE32" s="124"/>
      <c r="AF32" s="551">
        <v>98</v>
      </c>
      <c r="AG32" s="550" t="s">
        <v>65</v>
      </c>
      <c r="AH32" s="449" t="s">
        <v>52</v>
      </c>
      <c r="AI32" s="562" t="s">
        <v>64</v>
      </c>
      <c r="AJ32" s="383">
        <f t="shared" si="4"/>
        <v>0</v>
      </c>
      <c r="AK32" s="383">
        <f t="shared" si="5"/>
        <v>362693.25</v>
      </c>
      <c r="AL32" s="383">
        <f t="shared" si="6"/>
        <v>180688.89</v>
      </c>
      <c r="AM32" s="383">
        <f t="shared" si="7"/>
        <v>2539.6999999999998</v>
      </c>
      <c r="AN32" s="383">
        <f t="shared" si="8"/>
        <v>0</v>
      </c>
      <c r="AO32" s="124">
        <f t="shared" si="9"/>
        <v>545921.84</v>
      </c>
      <c r="AR32" s="124">
        <f t="shared" si="10"/>
        <v>117188.39</v>
      </c>
      <c r="AS32" s="124">
        <f t="shared" si="11"/>
        <v>74575.490000000005</v>
      </c>
      <c r="AV32" s="379">
        <f t="shared" si="12"/>
        <v>191763.88</v>
      </c>
      <c r="AW32" s="124">
        <f t="shared" si="13"/>
        <v>0</v>
      </c>
      <c r="AZ32" s="379"/>
      <c r="BA32" s="379">
        <v>8793.64</v>
      </c>
      <c r="BB32" s="379">
        <v>4533.6000000000004</v>
      </c>
      <c r="BC32" s="379">
        <v>51.8</v>
      </c>
      <c r="BD32" s="379">
        <v>0</v>
      </c>
      <c r="BE32" s="379">
        <f t="shared" si="15"/>
        <v>13379.039999999999</v>
      </c>
      <c r="BF32" s="379"/>
      <c r="BO32" s="477"/>
      <c r="BP32" s="477">
        <v>862896.93</v>
      </c>
      <c r="BQ32" s="477">
        <v>426725.9</v>
      </c>
      <c r="BR32" s="477">
        <v>4189.21</v>
      </c>
      <c r="BS32" s="477">
        <v>0</v>
      </c>
      <c r="BT32" s="477">
        <v>1293812.04</v>
      </c>
      <c r="BW32" s="126">
        <v>787</v>
      </c>
      <c r="BX32" s="125">
        <v>5402</v>
      </c>
      <c r="BY32" s="19" t="s">
        <v>52</v>
      </c>
      <c r="BZ32" t="s">
        <v>932</v>
      </c>
    </row>
    <row r="33" spans="1:78" x14ac:dyDescent="0.25">
      <c r="A33" s="443">
        <v>5402</v>
      </c>
      <c r="B33" s="19" t="s">
        <v>52</v>
      </c>
      <c r="C33" t="s">
        <v>438</v>
      </c>
      <c r="D33" s="379"/>
      <c r="E33" s="120"/>
      <c r="F33" s="379">
        <v>144172.04999999999</v>
      </c>
      <c r="G33" s="120">
        <v>2.4084009471251171E-4</v>
      </c>
      <c r="H33" s="379">
        <v>350266</v>
      </c>
      <c r="I33" s="120">
        <v>1.3468941412532692E-3</v>
      </c>
      <c r="J33" s="379">
        <v>0</v>
      </c>
      <c r="K33" s="120">
        <v>0</v>
      </c>
      <c r="L33" s="379">
        <v>221334.95</v>
      </c>
      <c r="M33" s="120">
        <v>9.9281927858494074E-4</v>
      </c>
      <c r="N33" s="379">
        <v>648040.93000000005</v>
      </c>
      <c r="O33" s="120">
        <v>9.1313166040412795E-4</v>
      </c>
      <c r="P33" s="383">
        <f t="shared" si="14"/>
        <v>1363813.9300000002</v>
      </c>
      <c r="R33" s="379"/>
      <c r="S33" s="120"/>
      <c r="T33" s="380"/>
      <c r="U33" s="551">
        <v>787</v>
      </c>
      <c r="V33" s="550" t="s">
        <v>439</v>
      </c>
      <c r="W33" s="449" t="s">
        <v>52</v>
      </c>
      <c r="X33" s="562" t="s">
        <v>438</v>
      </c>
      <c r="Y33" s="379">
        <v>0</v>
      </c>
      <c r="Z33" s="379">
        <v>648551.21</v>
      </c>
      <c r="AA33" s="379">
        <v>334702.11</v>
      </c>
      <c r="AB33" s="379"/>
      <c r="AC33" s="379">
        <v>0</v>
      </c>
      <c r="AD33" s="379">
        <v>983253.32</v>
      </c>
      <c r="AE33" s="124"/>
      <c r="AF33" s="551">
        <v>787</v>
      </c>
      <c r="AG33" s="550" t="s">
        <v>439</v>
      </c>
      <c r="AH33" s="449" t="s">
        <v>52</v>
      </c>
      <c r="AI33" s="562" t="s">
        <v>438</v>
      </c>
      <c r="AJ33" s="383">
        <f t="shared" si="4"/>
        <v>0</v>
      </c>
      <c r="AK33" s="383">
        <f t="shared" si="5"/>
        <v>648040.93000000005</v>
      </c>
      <c r="AL33" s="383">
        <f t="shared" si="6"/>
        <v>350266</v>
      </c>
      <c r="AM33" s="383">
        <f t="shared" si="7"/>
        <v>0</v>
      </c>
      <c r="AN33" s="383">
        <f t="shared" si="8"/>
        <v>0</v>
      </c>
      <c r="AO33" s="124">
        <f t="shared" si="9"/>
        <v>998306.93</v>
      </c>
      <c r="AR33" s="124">
        <f t="shared" si="10"/>
        <v>221334.95</v>
      </c>
      <c r="AS33" s="124">
        <f t="shared" si="11"/>
        <v>144172.04999999999</v>
      </c>
      <c r="AV33" s="379">
        <f t="shared" si="12"/>
        <v>365507</v>
      </c>
      <c r="AW33" s="124">
        <f t="shared" si="13"/>
        <v>0</v>
      </c>
      <c r="AZ33" s="379">
        <v>0</v>
      </c>
      <c r="BA33" s="379">
        <v>15665.12</v>
      </c>
      <c r="BB33" s="379">
        <v>8797.44</v>
      </c>
      <c r="BC33" s="379"/>
      <c r="BD33" s="379">
        <v>0</v>
      </c>
      <c r="BE33" s="379">
        <f t="shared" si="15"/>
        <v>24462.560000000001</v>
      </c>
      <c r="BF33" s="379"/>
      <c r="BO33" s="477">
        <v>0</v>
      </c>
      <c r="BP33" s="477">
        <v>1533592.21</v>
      </c>
      <c r="BQ33" s="477">
        <v>837937.60000000009</v>
      </c>
      <c r="BR33" s="477"/>
      <c r="BS33" s="477">
        <v>0</v>
      </c>
      <c r="BT33" s="477">
        <v>2371529.81</v>
      </c>
      <c r="BW33" s="126">
        <v>2901</v>
      </c>
      <c r="BX33" s="125">
        <v>5903</v>
      </c>
      <c r="BY33" s="19" t="s">
        <v>1039</v>
      </c>
      <c r="BZ33" t="s">
        <v>1102</v>
      </c>
    </row>
    <row r="34" spans="1:78" x14ac:dyDescent="0.25">
      <c r="A34" s="443">
        <v>5903</v>
      </c>
      <c r="B34" s="19" t="s">
        <v>52</v>
      </c>
      <c r="C34" t="s">
        <v>1086</v>
      </c>
      <c r="D34" s="379"/>
      <c r="E34" s="120"/>
      <c r="F34" s="379">
        <v>42798.7</v>
      </c>
      <c r="G34" s="120">
        <v>7.149543175374405E-5</v>
      </c>
      <c r="H34" s="379">
        <v>101712.52</v>
      </c>
      <c r="I34" s="120">
        <v>3.9111988397419668E-4</v>
      </c>
      <c r="J34" s="379">
        <v>0</v>
      </c>
      <c r="K34" s="120">
        <v>0</v>
      </c>
      <c r="L34" s="379">
        <v>48281.7</v>
      </c>
      <c r="M34" s="120">
        <v>2.16572224869387E-4</v>
      </c>
      <c r="N34" s="379">
        <v>106196.82</v>
      </c>
      <c r="O34" s="120">
        <v>1.4963820043934308E-4</v>
      </c>
      <c r="P34" s="383">
        <f t="shared" si="14"/>
        <v>298989.74</v>
      </c>
      <c r="R34" s="379"/>
      <c r="S34" s="120"/>
      <c r="T34" s="380"/>
      <c r="U34" s="555">
        <v>2901</v>
      </c>
      <c r="V34" s="550" t="s">
        <v>1114</v>
      </c>
      <c r="W34" s="449" t="s">
        <v>52</v>
      </c>
      <c r="X34" s="562" t="s">
        <v>1086</v>
      </c>
      <c r="Y34" s="379">
        <v>0</v>
      </c>
      <c r="Z34" s="379">
        <v>109077.73000000001</v>
      </c>
      <c r="AA34" s="379">
        <v>93396.06</v>
      </c>
      <c r="AB34" s="379"/>
      <c r="AC34" s="379">
        <v>0</v>
      </c>
      <c r="AD34" s="379">
        <v>202473.79</v>
      </c>
      <c r="AE34" s="124"/>
      <c r="AF34" s="555">
        <v>2901</v>
      </c>
      <c r="AG34" s="550" t="s">
        <v>1114</v>
      </c>
      <c r="AH34" s="449" t="s">
        <v>52</v>
      </c>
      <c r="AI34" s="562" t="s">
        <v>1086</v>
      </c>
      <c r="AJ34" s="383">
        <f t="shared" si="4"/>
        <v>0</v>
      </c>
      <c r="AK34" s="383">
        <f t="shared" si="5"/>
        <v>106196.82</v>
      </c>
      <c r="AL34" s="383">
        <f t="shared" si="6"/>
        <v>101712.52</v>
      </c>
      <c r="AM34" s="383">
        <f t="shared" si="7"/>
        <v>0</v>
      </c>
      <c r="AN34" s="383">
        <f t="shared" si="8"/>
        <v>0</v>
      </c>
      <c r="AO34" s="124">
        <f t="shared" si="9"/>
        <v>207909.34000000003</v>
      </c>
      <c r="AR34" s="124">
        <f t="shared" si="10"/>
        <v>48281.7</v>
      </c>
      <c r="AS34" s="124">
        <f t="shared" si="11"/>
        <v>42798.7</v>
      </c>
      <c r="AV34" s="379">
        <f t="shared" si="12"/>
        <v>91080.4</v>
      </c>
      <c r="AW34" s="124">
        <f t="shared" si="13"/>
        <v>0</v>
      </c>
      <c r="AZ34" s="379">
        <v>0</v>
      </c>
      <c r="BA34" s="379">
        <v>2519.5299999999997</v>
      </c>
      <c r="BB34" s="379">
        <v>2533.19</v>
      </c>
      <c r="BC34" s="379"/>
      <c r="BD34" s="379">
        <v>0</v>
      </c>
      <c r="BE34" s="379">
        <f t="shared" si="15"/>
        <v>5052.7199999999993</v>
      </c>
      <c r="BF34" s="379"/>
      <c r="BO34" s="477">
        <v>0</v>
      </c>
      <c r="BP34" s="477">
        <v>266075.78000000003</v>
      </c>
      <c r="BQ34" s="477">
        <v>240440.46999999997</v>
      </c>
      <c r="BR34" s="477"/>
      <c r="BS34" s="477">
        <v>0</v>
      </c>
      <c r="BT34" s="477">
        <v>506516.25</v>
      </c>
      <c r="BW34" s="126">
        <v>1031</v>
      </c>
      <c r="BX34" s="125">
        <v>6037</v>
      </c>
      <c r="BY34" s="19" t="s">
        <v>34</v>
      </c>
      <c r="BZ34" t="s">
        <v>995</v>
      </c>
    </row>
    <row r="35" spans="1:78" x14ac:dyDescent="0.25">
      <c r="A35" s="443">
        <v>6037</v>
      </c>
      <c r="B35" s="19" t="s">
        <v>34</v>
      </c>
      <c r="C35" t="s">
        <v>572</v>
      </c>
      <c r="D35" s="379">
        <v>21639.9</v>
      </c>
      <c r="E35" s="120">
        <v>3.6149555795102334E-5</v>
      </c>
      <c r="F35" s="379">
        <v>2170146.4700000002</v>
      </c>
      <c r="G35" s="120">
        <v>3.6252399919042772E-3</v>
      </c>
      <c r="H35" s="379">
        <v>5411469.3300000001</v>
      </c>
      <c r="I35" s="120">
        <v>2.0808974711073167E-2</v>
      </c>
      <c r="J35" s="379">
        <v>0</v>
      </c>
      <c r="K35" s="120">
        <v>0</v>
      </c>
      <c r="L35" s="379">
        <v>4289928.96</v>
      </c>
      <c r="M35" s="120">
        <v>1.9242890358020029E-2</v>
      </c>
      <c r="N35" s="379">
        <v>14552816.75</v>
      </c>
      <c r="O35" s="120">
        <v>2.0505861755498227E-2</v>
      </c>
      <c r="P35" s="383">
        <f t="shared" si="14"/>
        <v>26446001.41</v>
      </c>
      <c r="R35" s="379"/>
      <c r="S35" s="120"/>
      <c r="T35" s="380"/>
      <c r="U35" s="551">
        <v>1031</v>
      </c>
      <c r="V35" s="550" t="s">
        <v>573</v>
      </c>
      <c r="W35" s="449" t="s">
        <v>34</v>
      </c>
      <c r="X35" s="562" t="s">
        <v>572</v>
      </c>
      <c r="Y35" s="379">
        <v>0</v>
      </c>
      <c r="Z35" s="379">
        <v>13346411.670000002</v>
      </c>
      <c r="AA35" s="379">
        <v>5071723.21</v>
      </c>
      <c r="AB35" s="379">
        <v>13949.81</v>
      </c>
      <c r="AC35" s="379">
        <v>0</v>
      </c>
      <c r="AD35" s="379">
        <v>18432084.690000001</v>
      </c>
      <c r="AE35" s="124"/>
      <c r="AF35" s="551">
        <v>1031</v>
      </c>
      <c r="AG35" s="550" t="s">
        <v>573</v>
      </c>
      <c r="AH35" s="449" t="s">
        <v>34</v>
      </c>
      <c r="AI35" s="562" t="s">
        <v>572</v>
      </c>
      <c r="AJ35" s="383">
        <f t="shared" si="4"/>
        <v>0</v>
      </c>
      <c r="AK35" s="383">
        <f t="shared" si="5"/>
        <v>14552816.75</v>
      </c>
      <c r="AL35" s="383">
        <f t="shared" si="6"/>
        <v>5411469.3300000001</v>
      </c>
      <c r="AM35" s="383">
        <f t="shared" si="7"/>
        <v>21639.9</v>
      </c>
      <c r="AN35" s="383">
        <f t="shared" si="8"/>
        <v>0</v>
      </c>
      <c r="AO35" s="124">
        <f t="shared" si="9"/>
        <v>19985925.979999997</v>
      </c>
      <c r="AR35" s="124">
        <f t="shared" si="10"/>
        <v>4289928.96</v>
      </c>
      <c r="AS35" s="124">
        <f t="shared" si="11"/>
        <v>2170146.4700000002</v>
      </c>
      <c r="AV35" s="379">
        <f t="shared" si="12"/>
        <v>6460075.4299999997</v>
      </c>
      <c r="AW35" s="124">
        <f t="shared" si="13"/>
        <v>0</v>
      </c>
      <c r="AZ35" s="379">
        <v>0</v>
      </c>
      <c r="BA35" s="379">
        <v>354464.91</v>
      </c>
      <c r="BB35" s="379">
        <v>137221.69</v>
      </c>
      <c r="BC35" s="379">
        <v>456.26</v>
      </c>
      <c r="BD35" s="379">
        <v>0</v>
      </c>
      <c r="BE35" s="379">
        <f t="shared" si="15"/>
        <v>492142.86</v>
      </c>
      <c r="BF35" s="379"/>
      <c r="BO35" s="477">
        <v>0</v>
      </c>
      <c r="BP35" s="477">
        <v>32543622.289999999</v>
      </c>
      <c r="BQ35" s="477">
        <v>12790560.699999999</v>
      </c>
      <c r="BR35" s="477">
        <v>36045.97</v>
      </c>
      <c r="BS35" s="477">
        <v>0</v>
      </c>
      <c r="BT35" s="477">
        <v>45370228.959999993</v>
      </c>
      <c r="BW35" s="126">
        <v>381</v>
      </c>
      <c r="BX35" s="125">
        <v>6098</v>
      </c>
      <c r="BY35" s="19" t="s">
        <v>34</v>
      </c>
      <c r="BZ35" t="s">
        <v>830</v>
      </c>
    </row>
    <row r="36" spans="1:78" x14ac:dyDescent="0.25">
      <c r="A36" s="443">
        <v>6098</v>
      </c>
      <c r="B36" s="19" t="s">
        <v>34</v>
      </c>
      <c r="C36" t="s">
        <v>220</v>
      </c>
      <c r="D36" s="379"/>
      <c r="E36" s="120"/>
      <c r="F36" s="379">
        <v>122208.91</v>
      </c>
      <c r="G36" s="120">
        <v>2.0415056496118924E-4</v>
      </c>
      <c r="H36" s="379">
        <v>303375.34999999998</v>
      </c>
      <c r="I36" s="120">
        <v>1.1665833438462767E-3</v>
      </c>
      <c r="J36" s="379">
        <v>0</v>
      </c>
      <c r="K36" s="120">
        <v>0</v>
      </c>
      <c r="L36" s="379">
        <v>299586.84999999998</v>
      </c>
      <c r="M36" s="120">
        <v>1.3438257278867835E-3</v>
      </c>
      <c r="N36" s="379">
        <v>1040986.08</v>
      </c>
      <c r="O36" s="120">
        <v>1.4668168377697751E-3</v>
      </c>
      <c r="P36" s="383">
        <f t="shared" si="14"/>
        <v>1766157.19</v>
      </c>
      <c r="R36" s="379"/>
      <c r="S36" s="120"/>
      <c r="T36" s="380"/>
      <c r="U36" s="551">
        <v>381</v>
      </c>
      <c r="V36" s="550" t="s">
        <v>221</v>
      </c>
      <c r="W36" s="449" t="s">
        <v>34</v>
      </c>
      <c r="X36" s="562" t="s">
        <v>220</v>
      </c>
      <c r="Y36" s="379">
        <v>0</v>
      </c>
      <c r="Z36" s="379">
        <v>1082541.57</v>
      </c>
      <c r="AA36" s="379">
        <v>313808.7</v>
      </c>
      <c r="AB36" s="379"/>
      <c r="AC36" s="379">
        <v>0</v>
      </c>
      <c r="AD36" s="379">
        <v>1396350.27</v>
      </c>
      <c r="AE36" s="124"/>
      <c r="AF36" s="551">
        <v>381</v>
      </c>
      <c r="AG36" s="550" t="s">
        <v>221</v>
      </c>
      <c r="AH36" s="449" t="s">
        <v>34</v>
      </c>
      <c r="AI36" s="562" t="s">
        <v>220</v>
      </c>
      <c r="AJ36" s="383">
        <f t="shared" si="4"/>
        <v>0</v>
      </c>
      <c r="AK36" s="383">
        <f t="shared" si="5"/>
        <v>1040986.08</v>
      </c>
      <c r="AL36" s="383">
        <f t="shared" si="6"/>
        <v>303375.34999999998</v>
      </c>
      <c r="AM36" s="383">
        <f t="shared" si="7"/>
        <v>0</v>
      </c>
      <c r="AN36" s="383">
        <f t="shared" si="8"/>
        <v>0</v>
      </c>
      <c r="AO36" s="124">
        <f t="shared" si="9"/>
        <v>1344361.43</v>
      </c>
      <c r="AR36" s="124">
        <f t="shared" si="10"/>
        <v>299586.84999999998</v>
      </c>
      <c r="AS36" s="124">
        <f t="shared" si="11"/>
        <v>122208.91</v>
      </c>
      <c r="AV36" s="379">
        <f t="shared" si="12"/>
        <v>421795.76</v>
      </c>
      <c r="AW36" s="124">
        <f t="shared" si="13"/>
        <v>0</v>
      </c>
      <c r="AZ36" s="379">
        <v>0</v>
      </c>
      <c r="BA36" s="379">
        <v>25383.919999999998</v>
      </c>
      <c r="BB36" s="379">
        <v>7680.2999999999993</v>
      </c>
      <c r="BC36" s="379"/>
      <c r="BD36" s="379">
        <v>0</v>
      </c>
      <c r="BE36" s="379">
        <f t="shared" si="15"/>
        <v>33064.22</v>
      </c>
      <c r="BF36" s="379"/>
      <c r="BO36" s="477">
        <v>0</v>
      </c>
      <c r="BP36" s="477">
        <v>2448498.42</v>
      </c>
      <c r="BQ36" s="477">
        <v>747073.26</v>
      </c>
      <c r="BR36" s="477"/>
      <c r="BS36" s="477">
        <v>0</v>
      </c>
      <c r="BT36" s="477">
        <v>3195571.6799999997</v>
      </c>
      <c r="BW36" s="126">
        <v>506</v>
      </c>
      <c r="BX36" s="125">
        <v>6101</v>
      </c>
      <c r="BY36" s="19" t="s">
        <v>34</v>
      </c>
      <c r="BZ36" t="s">
        <v>846</v>
      </c>
    </row>
    <row r="37" spans="1:78" x14ac:dyDescent="0.25">
      <c r="A37" s="443">
        <v>6101</v>
      </c>
      <c r="B37" s="19" t="s">
        <v>34</v>
      </c>
      <c r="C37" t="s">
        <v>252</v>
      </c>
      <c r="D37" s="379"/>
      <c r="E37" s="120"/>
      <c r="F37" s="379">
        <v>108557.39</v>
      </c>
      <c r="G37" s="120">
        <v>1.813456359214083E-4</v>
      </c>
      <c r="H37" s="379">
        <v>268830.17</v>
      </c>
      <c r="I37" s="120">
        <v>1.0337451564385934E-3</v>
      </c>
      <c r="J37" s="379">
        <v>10457.799999999999</v>
      </c>
      <c r="K37" s="120">
        <v>4.6909471150333884E-5</v>
      </c>
      <c r="L37" s="379">
        <v>282095.46999999997</v>
      </c>
      <c r="M37" s="120">
        <v>1.2653664548571283E-3</v>
      </c>
      <c r="N37" s="379">
        <v>964531.6</v>
      </c>
      <c r="O37" s="120">
        <v>1.3590875215555446E-3</v>
      </c>
      <c r="P37" s="383">
        <f t="shared" si="14"/>
        <v>1634472.43</v>
      </c>
      <c r="R37" s="379"/>
      <c r="S37" s="120"/>
      <c r="T37" s="380"/>
      <c r="U37" s="551">
        <v>506</v>
      </c>
      <c r="V37" s="550" t="s">
        <v>253</v>
      </c>
      <c r="W37" s="449" t="s">
        <v>34</v>
      </c>
      <c r="X37" s="562" t="s">
        <v>252</v>
      </c>
      <c r="Y37" s="379">
        <v>5985.6</v>
      </c>
      <c r="Z37" s="379">
        <v>957749.87000000011</v>
      </c>
      <c r="AA37" s="379">
        <v>266339.87</v>
      </c>
      <c r="AB37" s="379"/>
      <c r="AC37" s="379">
        <v>0</v>
      </c>
      <c r="AD37" s="379">
        <v>1230075.3400000001</v>
      </c>
      <c r="AE37" s="124"/>
      <c r="AF37" s="551">
        <v>506</v>
      </c>
      <c r="AG37" s="550" t="s">
        <v>253</v>
      </c>
      <c r="AH37" s="449" t="s">
        <v>34</v>
      </c>
      <c r="AI37" s="562" t="s">
        <v>252</v>
      </c>
      <c r="AJ37" s="383">
        <f t="shared" si="4"/>
        <v>10457.799999999999</v>
      </c>
      <c r="AK37" s="383">
        <f t="shared" si="5"/>
        <v>964531.6</v>
      </c>
      <c r="AL37" s="383">
        <f t="shared" si="6"/>
        <v>268830.17</v>
      </c>
      <c r="AM37" s="383">
        <f t="shared" si="7"/>
        <v>0</v>
      </c>
      <c r="AN37" s="383">
        <f t="shared" si="8"/>
        <v>0</v>
      </c>
      <c r="AO37" s="124">
        <f t="shared" si="9"/>
        <v>1243819.57</v>
      </c>
      <c r="AR37" s="124">
        <f t="shared" si="10"/>
        <v>282095.46999999997</v>
      </c>
      <c r="AS37" s="124">
        <f t="shared" si="11"/>
        <v>108557.39</v>
      </c>
      <c r="AV37" s="379">
        <f t="shared" si="12"/>
        <v>390652.86</v>
      </c>
      <c r="AW37" s="124">
        <f t="shared" si="13"/>
        <v>0</v>
      </c>
      <c r="AZ37" s="379">
        <v>195.55</v>
      </c>
      <c r="BA37" s="379">
        <v>23501.87</v>
      </c>
      <c r="BB37" s="379">
        <v>6799.66</v>
      </c>
      <c r="BC37" s="379"/>
      <c r="BD37" s="379">
        <v>0</v>
      </c>
      <c r="BE37" s="379">
        <f t="shared" si="15"/>
        <v>30497.079999999998</v>
      </c>
      <c r="BF37" s="379"/>
      <c r="BO37" s="477">
        <v>16638.95</v>
      </c>
      <c r="BP37" s="477">
        <v>2227878.81</v>
      </c>
      <c r="BQ37" s="477">
        <v>650527.09</v>
      </c>
      <c r="BR37" s="477"/>
      <c r="BS37" s="477">
        <v>0</v>
      </c>
      <c r="BT37" s="477">
        <v>2895044.85</v>
      </c>
      <c r="BW37" s="126">
        <v>366</v>
      </c>
      <c r="BX37" s="125">
        <v>6103</v>
      </c>
      <c r="BY37" s="19" t="s">
        <v>34</v>
      </c>
      <c r="BZ37" t="s">
        <v>825</v>
      </c>
    </row>
    <row r="38" spans="1:78" x14ac:dyDescent="0.25">
      <c r="A38" s="443">
        <v>6103</v>
      </c>
      <c r="B38" s="19" t="s">
        <v>34</v>
      </c>
      <c r="C38" t="s">
        <v>210</v>
      </c>
      <c r="D38" s="379"/>
      <c r="E38" s="120"/>
      <c r="F38" s="379">
        <v>14476.61</v>
      </c>
      <c r="G38" s="120">
        <v>2.4183245806077494E-5</v>
      </c>
      <c r="H38" s="379">
        <v>35916.550000000003</v>
      </c>
      <c r="I38" s="120">
        <v>1.3811158025337918E-4</v>
      </c>
      <c r="J38" s="379"/>
      <c r="K38" s="120"/>
      <c r="L38" s="379">
        <v>23718.41</v>
      </c>
      <c r="M38" s="120">
        <v>1.0639121704629949E-4</v>
      </c>
      <c r="N38" s="379">
        <v>81727.5</v>
      </c>
      <c r="O38" s="120">
        <v>1.1515934306136861E-4</v>
      </c>
      <c r="P38" s="383">
        <f t="shared" si="14"/>
        <v>155839.07</v>
      </c>
      <c r="R38" s="379"/>
      <c r="S38" s="120"/>
      <c r="T38" s="380"/>
      <c r="U38" s="551">
        <v>366</v>
      </c>
      <c r="V38" s="550" t="s">
        <v>211</v>
      </c>
      <c r="W38" s="449" t="s">
        <v>34</v>
      </c>
      <c r="X38" s="562" t="s">
        <v>210</v>
      </c>
      <c r="Y38" s="379"/>
      <c r="Z38" s="379">
        <v>77852.41</v>
      </c>
      <c r="AA38" s="379">
        <v>34116.42</v>
      </c>
      <c r="AB38" s="379"/>
      <c r="AC38" s="379">
        <v>0</v>
      </c>
      <c r="AD38" s="379">
        <v>111968.83</v>
      </c>
      <c r="AE38" s="124"/>
      <c r="AF38" s="551">
        <v>366</v>
      </c>
      <c r="AG38" s="550" t="s">
        <v>211</v>
      </c>
      <c r="AH38" s="449" t="s">
        <v>34</v>
      </c>
      <c r="AI38" s="562" t="s">
        <v>210</v>
      </c>
      <c r="AJ38" s="383">
        <f t="shared" si="4"/>
        <v>0</v>
      </c>
      <c r="AK38" s="383">
        <f t="shared" si="5"/>
        <v>81727.5</v>
      </c>
      <c r="AL38" s="383">
        <f t="shared" si="6"/>
        <v>35916.550000000003</v>
      </c>
      <c r="AM38" s="383">
        <f t="shared" si="7"/>
        <v>0</v>
      </c>
      <c r="AN38" s="383">
        <f t="shared" si="8"/>
        <v>0</v>
      </c>
      <c r="AO38" s="124">
        <f t="shared" si="9"/>
        <v>117644.05</v>
      </c>
      <c r="AR38" s="124">
        <f t="shared" si="10"/>
        <v>23718.41</v>
      </c>
      <c r="AS38" s="124">
        <f t="shared" si="11"/>
        <v>14476.61</v>
      </c>
      <c r="AV38" s="379">
        <f t="shared" si="12"/>
        <v>38195.020000000004</v>
      </c>
      <c r="AW38" s="124">
        <f t="shared" si="13"/>
        <v>0</v>
      </c>
      <c r="AZ38" s="379"/>
      <c r="BA38" s="379">
        <v>1992</v>
      </c>
      <c r="BB38" s="379">
        <v>908.96</v>
      </c>
      <c r="BC38" s="379"/>
      <c r="BD38" s="379">
        <v>0</v>
      </c>
      <c r="BE38" s="379">
        <f t="shared" si="15"/>
        <v>2900.96</v>
      </c>
      <c r="BF38" s="379"/>
      <c r="BO38" s="477"/>
      <c r="BP38" s="477">
        <v>185290.32</v>
      </c>
      <c r="BQ38" s="477">
        <v>85418.540000000008</v>
      </c>
      <c r="BR38" s="477"/>
      <c r="BS38" s="477">
        <v>0</v>
      </c>
      <c r="BT38" s="477">
        <v>270708.86</v>
      </c>
      <c r="BW38" s="126">
        <v>1063</v>
      </c>
      <c r="BX38" s="125">
        <v>6112</v>
      </c>
      <c r="BY38" s="19" t="s">
        <v>34</v>
      </c>
      <c r="BZ38" t="s">
        <v>1003</v>
      </c>
    </row>
    <row r="39" spans="1:78" x14ac:dyDescent="0.25">
      <c r="A39" s="443">
        <v>6112</v>
      </c>
      <c r="B39" s="19" t="s">
        <v>34</v>
      </c>
      <c r="C39" t="s">
        <v>588</v>
      </c>
      <c r="D39" s="379"/>
      <c r="E39" s="120"/>
      <c r="F39" s="379">
        <v>265743.78999999998</v>
      </c>
      <c r="G39" s="120">
        <v>4.4392626416050703E-4</v>
      </c>
      <c r="H39" s="379">
        <v>658580.30000000005</v>
      </c>
      <c r="I39" s="120">
        <v>2.5324694592533115E-3</v>
      </c>
      <c r="J39" s="379">
        <v>0</v>
      </c>
      <c r="K39" s="120">
        <v>0</v>
      </c>
      <c r="L39" s="379">
        <v>504610.06</v>
      </c>
      <c r="M39" s="120">
        <v>2.2634771225055225E-3</v>
      </c>
      <c r="N39" s="379">
        <v>1690143.84</v>
      </c>
      <c r="O39" s="120">
        <v>2.3815221840092857E-3</v>
      </c>
      <c r="P39" s="383">
        <f t="shared" si="14"/>
        <v>3119077.99</v>
      </c>
      <c r="R39" s="379"/>
      <c r="S39" s="120"/>
      <c r="T39" s="380"/>
      <c r="U39" s="551">
        <v>1063</v>
      </c>
      <c r="V39" s="550" t="s">
        <v>589</v>
      </c>
      <c r="W39" s="449" t="s">
        <v>34</v>
      </c>
      <c r="X39" s="562" t="s">
        <v>588</v>
      </c>
      <c r="Y39" s="379">
        <v>0</v>
      </c>
      <c r="Z39" s="379">
        <v>1637489.92</v>
      </c>
      <c r="AA39" s="379">
        <v>619603.32000000007</v>
      </c>
      <c r="AB39" s="379"/>
      <c r="AC39" s="379">
        <v>0</v>
      </c>
      <c r="AD39" s="379">
        <v>2257093.2400000002</v>
      </c>
      <c r="AE39" s="124"/>
      <c r="AF39" s="551">
        <v>1063</v>
      </c>
      <c r="AG39" s="550" t="s">
        <v>589</v>
      </c>
      <c r="AH39" s="449" t="s">
        <v>34</v>
      </c>
      <c r="AI39" s="562" t="s">
        <v>588</v>
      </c>
      <c r="AJ39" s="383">
        <f t="shared" si="4"/>
        <v>0</v>
      </c>
      <c r="AK39" s="383">
        <f t="shared" si="5"/>
        <v>1690143.84</v>
      </c>
      <c r="AL39" s="383">
        <f t="shared" si="6"/>
        <v>658580.30000000005</v>
      </c>
      <c r="AM39" s="383">
        <f t="shared" si="7"/>
        <v>0</v>
      </c>
      <c r="AN39" s="383">
        <f t="shared" si="8"/>
        <v>0</v>
      </c>
      <c r="AO39" s="124">
        <f t="shared" si="9"/>
        <v>2348724.14</v>
      </c>
      <c r="AR39" s="124">
        <f t="shared" si="10"/>
        <v>504610.06</v>
      </c>
      <c r="AS39" s="124">
        <f t="shared" si="11"/>
        <v>265743.78999999998</v>
      </c>
      <c r="AV39" s="379">
        <f t="shared" si="12"/>
        <v>770353.85</v>
      </c>
      <c r="AW39" s="124">
        <f t="shared" si="13"/>
        <v>0</v>
      </c>
      <c r="AZ39" s="379">
        <v>0</v>
      </c>
      <c r="BA39" s="379">
        <v>41141.81</v>
      </c>
      <c r="BB39" s="379">
        <v>16662.759999999998</v>
      </c>
      <c r="BC39" s="379"/>
      <c r="BD39" s="379">
        <v>0</v>
      </c>
      <c r="BE39" s="379">
        <f t="shared" si="15"/>
        <v>57804.569999999992</v>
      </c>
      <c r="BF39" s="379"/>
      <c r="BO39" s="477">
        <v>0</v>
      </c>
      <c r="BP39" s="477">
        <v>3873385.63</v>
      </c>
      <c r="BQ39" s="477">
        <v>1560590.17</v>
      </c>
      <c r="BR39" s="477"/>
      <c r="BS39" s="477">
        <v>0</v>
      </c>
      <c r="BT39" s="477">
        <v>5433975.7999999998</v>
      </c>
      <c r="BW39" s="126">
        <v>291</v>
      </c>
      <c r="BX39" s="125">
        <v>6114</v>
      </c>
      <c r="BY39" s="19" t="s">
        <v>34</v>
      </c>
      <c r="BZ39" t="s">
        <v>809</v>
      </c>
    </row>
    <row r="40" spans="1:78" x14ac:dyDescent="0.25">
      <c r="A40" s="443">
        <v>6114</v>
      </c>
      <c r="B40" s="19" t="s">
        <v>34</v>
      </c>
      <c r="C40" t="s">
        <v>176</v>
      </c>
      <c r="D40" s="379">
        <v>2521.7800000000002</v>
      </c>
      <c r="E40" s="120">
        <v>4.2126454749316385E-6</v>
      </c>
      <c r="F40" s="379">
        <v>2005672.19</v>
      </c>
      <c r="G40" s="120">
        <v>3.3504849254890308E-3</v>
      </c>
      <c r="H40" s="379">
        <v>4901389.7</v>
      </c>
      <c r="I40" s="120">
        <v>1.8847541785183601E-2</v>
      </c>
      <c r="J40" s="379">
        <v>16022.66</v>
      </c>
      <c r="K40" s="120">
        <v>7.1871187727974215E-5</v>
      </c>
      <c r="L40" s="379">
        <v>5595620.3700000001</v>
      </c>
      <c r="M40" s="120">
        <v>2.509969518586468E-2</v>
      </c>
      <c r="N40" s="379">
        <v>16654127.050000001</v>
      </c>
      <c r="O40" s="120">
        <v>2.3466744123319186E-2</v>
      </c>
      <c r="P40" s="383">
        <f t="shared" si="14"/>
        <v>29175353.75</v>
      </c>
      <c r="R40" s="379"/>
      <c r="S40" s="120"/>
      <c r="T40" s="380"/>
      <c r="U40" s="551">
        <v>291</v>
      </c>
      <c r="V40" s="550" t="s">
        <v>177</v>
      </c>
      <c r="W40" s="449" t="s">
        <v>34</v>
      </c>
      <c r="X40" s="562" t="s">
        <v>176</v>
      </c>
      <c r="Y40" s="379">
        <v>8790.6</v>
      </c>
      <c r="Z40" s="379">
        <v>16091870.1</v>
      </c>
      <c r="AA40" s="379">
        <v>4578637.3499999996</v>
      </c>
      <c r="AB40" s="379">
        <v>1621.69</v>
      </c>
      <c r="AC40" s="379">
        <v>0</v>
      </c>
      <c r="AD40" s="379">
        <v>20680919.739999998</v>
      </c>
      <c r="AE40" s="124"/>
      <c r="AF40" s="551">
        <v>291</v>
      </c>
      <c r="AG40" s="550" t="s">
        <v>177</v>
      </c>
      <c r="AH40" s="449" t="s">
        <v>34</v>
      </c>
      <c r="AI40" s="562" t="s">
        <v>176</v>
      </c>
      <c r="AJ40" s="383">
        <f t="shared" si="4"/>
        <v>16022.66</v>
      </c>
      <c r="AK40" s="383">
        <f t="shared" si="5"/>
        <v>16654127.050000001</v>
      </c>
      <c r="AL40" s="383">
        <f t="shared" si="6"/>
        <v>4901389.7</v>
      </c>
      <c r="AM40" s="383">
        <f t="shared" si="7"/>
        <v>2521.7800000000002</v>
      </c>
      <c r="AN40" s="383">
        <f t="shared" si="8"/>
        <v>0</v>
      </c>
      <c r="AO40" s="124">
        <f t="shared" si="9"/>
        <v>21574061.190000001</v>
      </c>
      <c r="AR40" s="124">
        <f t="shared" si="10"/>
        <v>5595620.3700000001</v>
      </c>
      <c r="AS40" s="124">
        <f t="shared" si="11"/>
        <v>2005672.19</v>
      </c>
      <c r="AV40" s="379">
        <f t="shared" si="12"/>
        <v>7601292.5600000005</v>
      </c>
      <c r="AW40" s="124">
        <f t="shared" si="13"/>
        <v>0</v>
      </c>
      <c r="AZ40" s="379">
        <v>284.58</v>
      </c>
      <c r="BA40" s="379">
        <v>402953.32</v>
      </c>
      <c r="BB40" s="379">
        <v>123375.13</v>
      </c>
      <c r="BC40" s="379">
        <v>53.95</v>
      </c>
      <c r="BD40" s="379">
        <v>0</v>
      </c>
      <c r="BE40" s="379">
        <f t="shared" si="15"/>
        <v>526666.98</v>
      </c>
      <c r="BF40" s="379"/>
      <c r="BO40" s="477">
        <v>25097.84</v>
      </c>
      <c r="BP40" s="477">
        <v>38744570.840000004</v>
      </c>
      <c r="BQ40" s="477">
        <v>11609074.370000001</v>
      </c>
      <c r="BR40" s="477">
        <v>4197.42</v>
      </c>
      <c r="BS40" s="477">
        <v>0</v>
      </c>
      <c r="BT40" s="477">
        <v>50382940.470000014</v>
      </c>
      <c r="BW40" s="126">
        <v>96</v>
      </c>
      <c r="BX40" s="125">
        <v>6117</v>
      </c>
      <c r="BY40" s="19" t="s">
        <v>34</v>
      </c>
      <c r="BZ40" t="s">
        <v>752</v>
      </c>
    </row>
    <row r="41" spans="1:78" x14ac:dyDescent="0.25">
      <c r="A41" s="443">
        <v>6117</v>
      </c>
      <c r="B41" s="19" t="s">
        <v>34</v>
      </c>
      <c r="C41" t="s">
        <v>62</v>
      </c>
      <c r="D41" s="379"/>
      <c r="E41" s="120"/>
      <c r="F41" s="379">
        <v>618560.93999999994</v>
      </c>
      <c r="G41" s="120">
        <v>1.0333089900231027E-3</v>
      </c>
      <c r="H41" s="379">
        <v>1538582.1</v>
      </c>
      <c r="I41" s="120">
        <v>5.9163813111382541E-3</v>
      </c>
      <c r="J41" s="379">
        <v>0</v>
      </c>
      <c r="K41" s="120">
        <v>0</v>
      </c>
      <c r="L41" s="379">
        <v>1299130.07</v>
      </c>
      <c r="M41" s="120">
        <v>5.8273733040597681E-3</v>
      </c>
      <c r="N41" s="379">
        <v>4367161.91</v>
      </c>
      <c r="O41" s="120">
        <v>6.1536141029424835E-3</v>
      </c>
      <c r="P41" s="383">
        <f t="shared" si="14"/>
        <v>7823435.0200000005</v>
      </c>
      <c r="R41" s="379"/>
      <c r="S41" s="120"/>
      <c r="T41" s="380"/>
      <c r="U41" s="551">
        <v>96</v>
      </c>
      <c r="V41" s="550" t="s">
        <v>63</v>
      </c>
      <c r="W41" s="449" t="s">
        <v>34</v>
      </c>
      <c r="X41" s="562" t="s">
        <v>62</v>
      </c>
      <c r="Y41" s="379">
        <v>0</v>
      </c>
      <c r="Z41" s="379">
        <v>4381267.0999999996</v>
      </c>
      <c r="AA41" s="379">
        <v>1508296.8</v>
      </c>
      <c r="AB41" s="379"/>
      <c r="AC41" s="379">
        <v>0</v>
      </c>
      <c r="AD41" s="379">
        <v>5889563.8999999994</v>
      </c>
      <c r="AE41" s="124"/>
      <c r="AF41" s="551">
        <v>96</v>
      </c>
      <c r="AG41" s="550" t="s">
        <v>63</v>
      </c>
      <c r="AH41" s="449" t="s">
        <v>34</v>
      </c>
      <c r="AI41" s="562" t="s">
        <v>62</v>
      </c>
      <c r="AJ41" s="383">
        <f t="shared" si="4"/>
        <v>0</v>
      </c>
      <c r="AK41" s="383">
        <f t="shared" si="5"/>
        <v>4367161.91</v>
      </c>
      <c r="AL41" s="383">
        <f t="shared" si="6"/>
        <v>1538582.1</v>
      </c>
      <c r="AM41" s="383">
        <f t="shared" si="7"/>
        <v>0</v>
      </c>
      <c r="AN41" s="383">
        <f t="shared" si="8"/>
        <v>0</v>
      </c>
      <c r="AO41" s="124">
        <f t="shared" si="9"/>
        <v>5905744.0099999998</v>
      </c>
      <c r="AR41" s="124">
        <f t="shared" si="10"/>
        <v>1299130.07</v>
      </c>
      <c r="AS41" s="124">
        <f t="shared" si="11"/>
        <v>618560.93999999994</v>
      </c>
      <c r="AV41" s="379">
        <f t="shared" si="12"/>
        <v>1917691.01</v>
      </c>
      <c r="AW41" s="124">
        <f t="shared" si="13"/>
        <v>0</v>
      </c>
      <c r="AZ41" s="379">
        <v>0</v>
      </c>
      <c r="BA41" s="379">
        <v>106323.76000000001</v>
      </c>
      <c r="BB41" s="379">
        <v>38978.65</v>
      </c>
      <c r="BC41" s="379"/>
      <c r="BD41" s="379">
        <v>0</v>
      </c>
      <c r="BE41" s="379">
        <f t="shared" si="15"/>
        <v>145302.41</v>
      </c>
      <c r="BF41" s="379"/>
      <c r="BO41" s="477">
        <v>0</v>
      </c>
      <c r="BP41" s="477">
        <v>10153882.84</v>
      </c>
      <c r="BQ41" s="477">
        <v>3704418.49</v>
      </c>
      <c r="BR41" s="477"/>
      <c r="BS41" s="477">
        <v>0</v>
      </c>
      <c r="BT41" s="477">
        <v>13858301.33</v>
      </c>
      <c r="BW41" s="126">
        <v>45</v>
      </c>
      <c r="BX41" s="125">
        <v>6119</v>
      </c>
      <c r="BY41" s="19" t="s">
        <v>34</v>
      </c>
      <c r="BZ41" t="s">
        <v>739</v>
      </c>
    </row>
    <row r="42" spans="1:78" x14ac:dyDescent="0.25">
      <c r="A42" s="443">
        <v>6119</v>
      </c>
      <c r="B42" s="19" t="s">
        <v>34</v>
      </c>
      <c r="C42" t="s">
        <v>32</v>
      </c>
      <c r="D42" s="379">
        <v>2323.7600000000002</v>
      </c>
      <c r="E42" s="120">
        <v>3.8818521238280672E-6</v>
      </c>
      <c r="F42" s="379">
        <v>962956.28</v>
      </c>
      <c r="G42" s="120">
        <v>1.6086230422554717E-3</v>
      </c>
      <c r="H42" s="379">
        <v>2400542.98</v>
      </c>
      <c r="I42" s="120">
        <v>9.2309195742340498E-3</v>
      </c>
      <c r="J42" s="379">
        <v>2736.51</v>
      </c>
      <c r="K42" s="120">
        <v>1.2274879697221231E-5</v>
      </c>
      <c r="L42" s="379">
        <v>2156396.5099999998</v>
      </c>
      <c r="M42" s="120">
        <v>9.6727246528453079E-3</v>
      </c>
      <c r="N42" s="379">
        <v>7401065.0899999999</v>
      </c>
      <c r="O42" s="120">
        <v>1.0428580266358678E-2</v>
      </c>
      <c r="P42" s="383">
        <f t="shared" si="14"/>
        <v>12926021.129999999</v>
      </c>
      <c r="R42" s="379"/>
      <c r="S42" s="120"/>
      <c r="T42" s="380"/>
      <c r="U42" s="551">
        <v>45</v>
      </c>
      <c r="V42" s="550" t="s">
        <v>33</v>
      </c>
      <c r="W42" s="449" t="s">
        <v>34</v>
      </c>
      <c r="X42" s="562" t="s">
        <v>32</v>
      </c>
      <c r="Y42" s="379">
        <v>1131.5899999999999</v>
      </c>
      <c r="Z42" s="379">
        <v>7220003.7300000004</v>
      </c>
      <c r="AA42" s="379">
        <v>2306865.27</v>
      </c>
      <c r="AB42" s="379">
        <v>1452.84</v>
      </c>
      <c r="AC42" s="379">
        <v>0</v>
      </c>
      <c r="AD42" s="379">
        <v>9529453.4299999997</v>
      </c>
      <c r="AE42" s="124"/>
      <c r="AF42" s="551">
        <v>45</v>
      </c>
      <c r="AG42" s="550" t="s">
        <v>33</v>
      </c>
      <c r="AH42" s="449" t="s">
        <v>34</v>
      </c>
      <c r="AI42" s="562" t="s">
        <v>32</v>
      </c>
      <c r="AJ42" s="383">
        <f t="shared" si="4"/>
        <v>2736.51</v>
      </c>
      <c r="AK42" s="383">
        <f t="shared" si="5"/>
        <v>7401065.0899999999</v>
      </c>
      <c r="AL42" s="383">
        <f t="shared" si="6"/>
        <v>2400542.98</v>
      </c>
      <c r="AM42" s="383">
        <f t="shared" si="7"/>
        <v>2323.7600000000002</v>
      </c>
      <c r="AN42" s="383">
        <f t="shared" si="8"/>
        <v>0</v>
      </c>
      <c r="AO42" s="124">
        <f t="shared" si="9"/>
        <v>9806668.3399999999</v>
      </c>
      <c r="AR42" s="124">
        <f t="shared" si="10"/>
        <v>2156396.5099999998</v>
      </c>
      <c r="AS42" s="124">
        <f t="shared" si="11"/>
        <v>962956.28</v>
      </c>
      <c r="AV42" s="379">
        <f t="shared" si="12"/>
        <v>3119352.79</v>
      </c>
      <c r="AW42" s="124">
        <f t="shared" si="13"/>
        <v>0</v>
      </c>
      <c r="AZ42" s="379">
        <v>33.94</v>
      </c>
      <c r="BA42" s="379">
        <v>180367.84</v>
      </c>
      <c r="BB42" s="379">
        <v>60864.729999999996</v>
      </c>
      <c r="BC42" s="379">
        <v>46.78</v>
      </c>
      <c r="BD42" s="379">
        <v>0</v>
      </c>
      <c r="BE42" s="379">
        <f t="shared" si="15"/>
        <v>241313.29</v>
      </c>
      <c r="BF42" s="379"/>
      <c r="BO42" s="477">
        <v>3902.04</v>
      </c>
      <c r="BP42" s="477">
        <v>16957833.170000002</v>
      </c>
      <c r="BQ42" s="477">
        <v>5731229.2599999998</v>
      </c>
      <c r="BR42" s="477">
        <v>3823.38</v>
      </c>
      <c r="BS42" s="477">
        <v>0</v>
      </c>
      <c r="BT42" s="477">
        <v>22696787.849999998</v>
      </c>
      <c r="BW42" s="126">
        <v>812</v>
      </c>
      <c r="BX42" s="125">
        <v>6122</v>
      </c>
      <c r="BY42" s="19" t="s">
        <v>34</v>
      </c>
      <c r="BZ42" t="s">
        <v>941</v>
      </c>
    </row>
    <row r="43" spans="1:78" x14ac:dyDescent="0.25">
      <c r="A43" s="443">
        <v>6122</v>
      </c>
      <c r="B43" s="19" t="s">
        <v>34</v>
      </c>
      <c r="C43" t="s">
        <v>456</v>
      </c>
      <c r="D43" s="379"/>
      <c r="E43" s="120"/>
      <c r="F43" s="379">
        <v>212421.83</v>
      </c>
      <c r="G43" s="120">
        <v>3.5485167656425129E-4</v>
      </c>
      <c r="H43" s="379">
        <v>528657.53</v>
      </c>
      <c r="I43" s="120">
        <v>2.0328713888485448E-3</v>
      </c>
      <c r="J43" s="379">
        <v>0</v>
      </c>
      <c r="K43" s="120">
        <v>0</v>
      </c>
      <c r="L43" s="379">
        <v>623760.26</v>
      </c>
      <c r="M43" s="120">
        <v>2.7979368434273713E-3</v>
      </c>
      <c r="N43" s="379">
        <v>2000652.64</v>
      </c>
      <c r="O43" s="120">
        <v>2.8190492027333858E-3</v>
      </c>
      <c r="P43" s="383">
        <f t="shared" si="14"/>
        <v>3365492.26</v>
      </c>
      <c r="R43" s="379"/>
      <c r="S43" s="120"/>
      <c r="T43" s="380"/>
      <c r="U43" s="551">
        <v>812</v>
      </c>
      <c r="V43" s="550" t="s">
        <v>457</v>
      </c>
      <c r="W43" s="449" t="s">
        <v>34</v>
      </c>
      <c r="X43" s="562" t="s">
        <v>456</v>
      </c>
      <c r="Y43" s="379">
        <v>0</v>
      </c>
      <c r="Z43" s="379">
        <v>1913493.0899999999</v>
      </c>
      <c r="AA43" s="379">
        <v>522938.57</v>
      </c>
      <c r="AB43" s="379"/>
      <c r="AC43" s="379">
        <v>0</v>
      </c>
      <c r="AD43" s="379">
        <v>2436431.6599999997</v>
      </c>
      <c r="AE43" s="124"/>
      <c r="AF43" s="551">
        <v>812</v>
      </c>
      <c r="AG43" s="550" t="s">
        <v>457</v>
      </c>
      <c r="AH43" s="449" t="s">
        <v>34</v>
      </c>
      <c r="AI43" s="562" t="s">
        <v>456</v>
      </c>
      <c r="AJ43" s="383">
        <f t="shared" si="4"/>
        <v>0</v>
      </c>
      <c r="AK43" s="383">
        <f t="shared" si="5"/>
        <v>2000652.64</v>
      </c>
      <c r="AL43" s="383">
        <f t="shared" si="6"/>
        <v>528657.53</v>
      </c>
      <c r="AM43" s="383">
        <f t="shared" si="7"/>
        <v>0</v>
      </c>
      <c r="AN43" s="383">
        <f t="shared" si="8"/>
        <v>0</v>
      </c>
      <c r="AO43" s="124">
        <f t="shared" si="9"/>
        <v>2529310.17</v>
      </c>
      <c r="AR43" s="124">
        <f t="shared" si="10"/>
        <v>623760.26</v>
      </c>
      <c r="AS43" s="124">
        <f t="shared" si="11"/>
        <v>212421.83</v>
      </c>
      <c r="AV43" s="379">
        <f t="shared" si="12"/>
        <v>836182.09</v>
      </c>
      <c r="AW43" s="124">
        <f t="shared" si="13"/>
        <v>0</v>
      </c>
      <c r="AZ43" s="379">
        <v>0</v>
      </c>
      <c r="BA43" s="379">
        <v>48596.270000000004</v>
      </c>
      <c r="BB43" s="379">
        <v>13395.79</v>
      </c>
      <c r="BC43" s="379"/>
      <c r="BD43" s="379">
        <v>0</v>
      </c>
      <c r="BE43" s="379">
        <f t="shared" si="15"/>
        <v>61992.060000000005</v>
      </c>
      <c r="BF43" s="379"/>
      <c r="BO43" s="477">
        <v>0</v>
      </c>
      <c r="BP43" s="477">
        <v>4586502.26</v>
      </c>
      <c r="BQ43" s="477">
        <v>1277413.72</v>
      </c>
      <c r="BR43" s="477"/>
      <c r="BS43" s="477">
        <v>0</v>
      </c>
      <c r="BT43" s="477">
        <v>5863915.9799999995</v>
      </c>
      <c r="BW43" s="126">
        <v>261</v>
      </c>
      <c r="BX43" s="125">
        <v>6801</v>
      </c>
      <c r="BY43" s="19" t="s">
        <v>34</v>
      </c>
      <c r="BZ43" t="s">
        <v>798</v>
      </c>
    </row>
    <row r="44" spans="1:78" x14ac:dyDescent="0.25">
      <c r="A44" s="443">
        <v>6801</v>
      </c>
      <c r="B44" s="19" t="s">
        <v>34</v>
      </c>
      <c r="C44" t="s">
        <v>154</v>
      </c>
      <c r="D44" s="379">
        <v>3194.71</v>
      </c>
      <c r="E44" s="120">
        <v>5.3367782380774107E-6</v>
      </c>
      <c r="F44" s="379">
        <v>1018320.49</v>
      </c>
      <c r="G44" s="120">
        <v>1.70110921818266E-3</v>
      </c>
      <c r="H44" s="379">
        <v>2551342.69</v>
      </c>
      <c r="I44" s="120">
        <v>9.8107967130419606E-3</v>
      </c>
      <c r="J44" s="379"/>
      <c r="K44" s="120"/>
      <c r="L44" s="379">
        <v>287146.77</v>
      </c>
      <c r="M44" s="120">
        <v>1.2880245484926619E-3</v>
      </c>
      <c r="N44" s="379">
        <v>974182.45</v>
      </c>
      <c r="O44" s="120">
        <v>1.3726861945356772E-3</v>
      </c>
      <c r="P44" s="383">
        <f t="shared" si="14"/>
        <v>4834187.1099999994</v>
      </c>
      <c r="R44" s="379"/>
      <c r="S44" s="120"/>
      <c r="T44" s="380"/>
      <c r="U44" s="551">
        <v>261</v>
      </c>
      <c r="V44" s="550" t="s">
        <v>155</v>
      </c>
      <c r="W44" s="449" t="s">
        <v>34</v>
      </c>
      <c r="X44" s="562" t="s">
        <v>154</v>
      </c>
      <c r="Y44" s="379"/>
      <c r="Z44" s="379">
        <v>943770.07000000007</v>
      </c>
      <c r="AA44" s="379">
        <v>2449816.64</v>
      </c>
      <c r="AB44" s="379">
        <v>2056.91</v>
      </c>
      <c r="AC44" s="379">
        <v>0</v>
      </c>
      <c r="AD44" s="379">
        <v>3395643.62</v>
      </c>
      <c r="AE44" s="124"/>
      <c r="AF44" s="551">
        <v>261</v>
      </c>
      <c r="AG44" s="550" t="s">
        <v>155</v>
      </c>
      <c r="AH44" s="449" t="s">
        <v>34</v>
      </c>
      <c r="AI44" s="562" t="s">
        <v>154</v>
      </c>
      <c r="AJ44" s="383">
        <f t="shared" si="4"/>
        <v>0</v>
      </c>
      <c r="AK44" s="383">
        <f t="shared" si="5"/>
        <v>974182.45</v>
      </c>
      <c r="AL44" s="383">
        <f t="shared" si="6"/>
        <v>2551342.69</v>
      </c>
      <c r="AM44" s="383">
        <f t="shared" si="7"/>
        <v>3194.71</v>
      </c>
      <c r="AN44" s="383">
        <f t="shared" si="8"/>
        <v>0</v>
      </c>
      <c r="AO44" s="124">
        <f t="shared" si="9"/>
        <v>3528719.8499999996</v>
      </c>
      <c r="AR44" s="124">
        <f t="shared" si="10"/>
        <v>287146.77</v>
      </c>
      <c r="AS44" s="124">
        <f t="shared" si="11"/>
        <v>1018320.49</v>
      </c>
      <c r="AV44" s="379">
        <f t="shared" si="12"/>
        <v>1305467.26</v>
      </c>
      <c r="AW44" s="124">
        <f t="shared" si="13"/>
        <v>0</v>
      </c>
      <c r="AZ44" s="379"/>
      <c r="BA44" s="379">
        <v>23728.260000000002</v>
      </c>
      <c r="BB44" s="379">
        <v>64805.36</v>
      </c>
      <c r="BC44" s="379">
        <v>67.31</v>
      </c>
      <c r="BD44" s="379">
        <v>0</v>
      </c>
      <c r="BE44" s="379">
        <f t="shared" si="15"/>
        <v>88600.93</v>
      </c>
      <c r="BF44" s="379"/>
      <c r="BO44" s="477"/>
      <c r="BP44" s="477">
        <v>2228827.5499999998</v>
      </c>
      <c r="BQ44" s="477">
        <v>6084285.1799999997</v>
      </c>
      <c r="BR44" s="477">
        <v>5318.93</v>
      </c>
      <c r="BS44" s="477">
        <v>0</v>
      </c>
      <c r="BT44" s="477">
        <v>8318431.6599999992</v>
      </c>
      <c r="BW44" s="126">
        <v>225</v>
      </c>
      <c r="BX44" s="125">
        <v>7002</v>
      </c>
      <c r="BY44" s="19" t="s">
        <v>26</v>
      </c>
      <c r="BZ44" t="s">
        <v>787</v>
      </c>
    </row>
    <row r="45" spans="1:78" x14ac:dyDescent="0.25">
      <c r="A45" s="542">
        <v>6901</v>
      </c>
      <c r="B45" s="19" t="s">
        <v>1039</v>
      </c>
      <c r="C45" s="268" t="s">
        <v>1207</v>
      </c>
      <c r="D45" s="379"/>
      <c r="E45" s="120"/>
      <c r="F45" s="379">
        <v>5023.87</v>
      </c>
      <c r="G45" s="120">
        <v>8.3923987112852066E-6</v>
      </c>
      <c r="H45" s="379">
        <v>13126.76</v>
      </c>
      <c r="I45" s="120">
        <v>5.0476940775404305E-5</v>
      </c>
      <c r="J45" s="379"/>
      <c r="K45" s="120"/>
      <c r="L45" s="379">
        <v>5149.9799999999996</v>
      </c>
      <c r="M45" s="120">
        <v>2.3100732298838809E-5</v>
      </c>
      <c r="N45" s="379">
        <v>28826.06</v>
      </c>
      <c r="O45" s="120">
        <v>4.0617786334435724E-5</v>
      </c>
      <c r="P45" s="383">
        <f t="shared" si="14"/>
        <v>52126.67</v>
      </c>
      <c r="R45" s="379"/>
      <c r="S45" s="120"/>
      <c r="T45" s="380"/>
      <c r="U45" s="557">
        <v>4309</v>
      </c>
      <c r="V45" s="556">
        <v>6901</v>
      </c>
      <c r="W45" s="553" t="s">
        <v>1039</v>
      </c>
      <c r="X45" s="560" t="s">
        <v>1206</v>
      </c>
      <c r="Y45" s="379"/>
      <c r="Z45" s="379">
        <v>33126.18</v>
      </c>
      <c r="AA45" s="379">
        <v>12962.460000000001</v>
      </c>
      <c r="AB45" s="379"/>
      <c r="AC45" s="379">
        <v>0</v>
      </c>
      <c r="AD45" s="379">
        <v>46088.639999999999</v>
      </c>
      <c r="AE45" s="124"/>
      <c r="AF45" s="557">
        <v>4309</v>
      </c>
      <c r="AG45" s="556">
        <v>6901</v>
      </c>
      <c r="AH45" s="553" t="s">
        <v>1039</v>
      </c>
      <c r="AI45" s="560" t="s">
        <v>1206</v>
      </c>
      <c r="AJ45" s="383">
        <f t="shared" si="4"/>
        <v>0</v>
      </c>
      <c r="AK45" s="383">
        <f t="shared" si="5"/>
        <v>28826.06</v>
      </c>
      <c r="AL45" s="383">
        <f t="shared" si="6"/>
        <v>13126.76</v>
      </c>
      <c r="AM45" s="383">
        <f t="shared" si="7"/>
        <v>0</v>
      </c>
      <c r="AN45" s="383">
        <f t="shared" si="8"/>
        <v>0</v>
      </c>
      <c r="AO45" s="124">
        <f t="shared" ref="AO45" si="16">SUM(AJ45:AN45)</f>
        <v>41952.82</v>
      </c>
      <c r="AR45" s="124">
        <f t="shared" si="10"/>
        <v>5149.9799999999996</v>
      </c>
      <c r="AS45" s="124">
        <f t="shared" si="11"/>
        <v>5023.87</v>
      </c>
      <c r="AV45" s="379">
        <f t="shared" ref="AV45" si="17">SUM(AQ45:AU45)</f>
        <v>10173.849999999999</v>
      </c>
      <c r="AW45" s="124">
        <f t="shared" si="13"/>
        <v>0</v>
      </c>
      <c r="AZ45" s="379"/>
      <c r="BA45" s="379">
        <v>715.22</v>
      </c>
      <c r="BB45" s="379">
        <v>338.24</v>
      </c>
      <c r="BC45" s="379"/>
      <c r="BD45" s="379">
        <v>0</v>
      </c>
      <c r="BE45" s="379"/>
      <c r="BF45" s="379"/>
      <c r="BO45" s="477"/>
      <c r="BP45" s="477">
        <v>67817.440000000002</v>
      </c>
      <c r="BQ45" s="477">
        <v>31451.33</v>
      </c>
      <c r="BR45" s="477"/>
      <c r="BS45" s="477">
        <v>0</v>
      </c>
      <c r="BT45" s="477">
        <v>99268.77</v>
      </c>
      <c r="BW45" s="429">
        <v>4309</v>
      </c>
      <c r="BX45" s="443">
        <v>6901</v>
      </c>
      <c r="BY45" s="432" t="s">
        <v>1039</v>
      </c>
      <c r="BZ45" s="529" t="s">
        <v>1206</v>
      </c>
    </row>
    <row r="46" spans="1:78" x14ac:dyDescent="0.25">
      <c r="A46" s="443">
        <v>7002</v>
      </c>
      <c r="B46" s="19" t="s">
        <v>26</v>
      </c>
      <c r="C46" t="s">
        <v>132</v>
      </c>
      <c r="D46" s="379"/>
      <c r="E46" s="120"/>
      <c r="F46" s="379">
        <v>37444.1</v>
      </c>
      <c r="G46" s="120">
        <v>6.2550547005641943E-5</v>
      </c>
      <c r="H46" s="379">
        <v>93084.22</v>
      </c>
      <c r="I46" s="120">
        <v>3.5794108066763655E-4</v>
      </c>
      <c r="J46" s="379">
        <v>0</v>
      </c>
      <c r="K46" s="120">
        <v>0</v>
      </c>
      <c r="L46" s="379">
        <v>64149.27</v>
      </c>
      <c r="M46" s="120">
        <v>2.8774774143509906E-4</v>
      </c>
      <c r="N46" s="379">
        <v>210172.43</v>
      </c>
      <c r="O46" s="120">
        <v>2.9614657206462306E-4</v>
      </c>
      <c r="P46" s="383">
        <f t="shared" si="14"/>
        <v>404850.02</v>
      </c>
      <c r="R46" s="379"/>
      <c r="S46" s="120"/>
      <c r="T46" s="380"/>
      <c r="U46" s="551">
        <v>225</v>
      </c>
      <c r="V46" s="550" t="s">
        <v>133</v>
      </c>
      <c r="W46" s="449" t="s">
        <v>26</v>
      </c>
      <c r="X46" s="562" t="s">
        <v>132</v>
      </c>
      <c r="Y46" s="379">
        <v>0</v>
      </c>
      <c r="Z46" s="379">
        <v>200497.03999999998</v>
      </c>
      <c r="AA46" s="379">
        <v>84750.55</v>
      </c>
      <c r="AB46" s="379"/>
      <c r="AC46" s="379">
        <v>0</v>
      </c>
      <c r="AD46" s="379">
        <v>285247.58999999997</v>
      </c>
      <c r="AE46" s="124"/>
      <c r="AF46" s="551">
        <v>225</v>
      </c>
      <c r="AG46" s="550" t="s">
        <v>133</v>
      </c>
      <c r="AH46" s="449" t="s">
        <v>26</v>
      </c>
      <c r="AI46" s="562" t="s">
        <v>132</v>
      </c>
      <c r="AJ46" s="383">
        <f t="shared" si="4"/>
        <v>0</v>
      </c>
      <c r="AK46" s="383">
        <f t="shared" si="5"/>
        <v>210172.43</v>
      </c>
      <c r="AL46" s="383">
        <f t="shared" si="6"/>
        <v>93084.22</v>
      </c>
      <c r="AM46" s="383">
        <f t="shared" si="7"/>
        <v>0</v>
      </c>
      <c r="AN46" s="383">
        <f t="shared" si="8"/>
        <v>0</v>
      </c>
      <c r="AO46" s="124">
        <f t="shared" si="9"/>
        <v>303256.65000000002</v>
      </c>
      <c r="AR46" s="124">
        <f t="shared" si="10"/>
        <v>64149.27</v>
      </c>
      <c r="AS46" s="124">
        <f t="shared" si="11"/>
        <v>37444.1</v>
      </c>
      <c r="AV46" s="379">
        <f t="shared" si="12"/>
        <v>101593.37</v>
      </c>
      <c r="AW46" s="124">
        <f t="shared" si="13"/>
        <v>0</v>
      </c>
      <c r="AZ46" s="379">
        <v>0</v>
      </c>
      <c r="BA46" s="379">
        <v>5110.47</v>
      </c>
      <c r="BB46" s="379">
        <v>2357.61</v>
      </c>
      <c r="BC46" s="379"/>
      <c r="BD46" s="379">
        <v>0</v>
      </c>
      <c r="BE46" s="379">
        <f t="shared" si="15"/>
        <v>7468.08</v>
      </c>
      <c r="BF46" s="379"/>
      <c r="BO46" s="477">
        <v>0</v>
      </c>
      <c r="BP46" s="477">
        <v>479929.20999999996</v>
      </c>
      <c r="BQ46" s="477">
        <v>217636.47999999998</v>
      </c>
      <c r="BR46" s="477"/>
      <c r="BS46" s="477">
        <v>0</v>
      </c>
      <c r="BT46" s="477">
        <v>697565.69</v>
      </c>
      <c r="BW46" s="126">
        <v>933</v>
      </c>
      <c r="BX46" s="125">
        <v>7035</v>
      </c>
      <c r="BY46" s="19" t="s">
        <v>26</v>
      </c>
      <c r="BZ46" t="s">
        <v>972</v>
      </c>
    </row>
    <row r="47" spans="1:78" x14ac:dyDescent="0.25">
      <c r="A47" s="443">
        <v>7035</v>
      </c>
      <c r="B47" s="19" t="s">
        <v>26</v>
      </c>
      <c r="C47" t="s">
        <v>520</v>
      </c>
      <c r="D47" s="379"/>
      <c r="E47" s="120"/>
      <c r="F47" s="379">
        <v>3815.4</v>
      </c>
      <c r="G47" s="120">
        <v>6.3736438329490166E-6</v>
      </c>
      <c r="H47" s="379">
        <v>9490.14</v>
      </c>
      <c r="I47" s="120">
        <v>3.649287674416957E-5</v>
      </c>
      <c r="J47" s="379"/>
      <c r="K47" s="120"/>
      <c r="L47" s="379">
        <v>8727.6</v>
      </c>
      <c r="M47" s="120">
        <v>3.9148492074016908E-5</v>
      </c>
      <c r="N47" s="379">
        <v>29092.36</v>
      </c>
      <c r="O47" s="120">
        <v>4.0993020289435475E-5</v>
      </c>
      <c r="P47" s="383">
        <f t="shared" si="14"/>
        <v>51125.5</v>
      </c>
      <c r="R47" s="379"/>
      <c r="S47" s="120"/>
      <c r="T47" s="380"/>
      <c r="U47" s="551">
        <v>933</v>
      </c>
      <c r="V47" s="550" t="s">
        <v>521</v>
      </c>
      <c r="W47" s="449" t="s">
        <v>26</v>
      </c>
      <c r="X47" s="562" t="s">
        <v>520</v>
      </c>
      <c r="Y47" s="379"/>
      <c r="Z47" s="379">
        <v>23711.97</v>
      </c>
      <c r="AA47" s="379">
        <v>9061.93</v>
      </c>
      <c r="AB47" s="379"/>
      <c r="AC47" s="379">
        <v>0</v>
      </c>
      <c r="AD47" s="379">
        <v>32773.9</v>
      </c>
      <c r="AE47" s="124"/>
      <c r="AF47" s="551">
        <v>933</v>
      </c>
      <c r="AG47" s="550" t="s">
        <v>521</v>
      </c>
      <c r="AH47" s="449" t="s">
        <v>26</v>
      </c>
      <c r="AI47" s="562" t="s">
        <v>520</v>
      </c>
      <c r="AJ47" s="383">
        <f t="shared" si="4"/>
        <v>0</v>
      </c>
      <c r="AK47" s="383">
        <f t="shared" si="5"/>
        <v>29092.36</v>
      </c>
      <c r="AL47" s="383">
        <f t="shared" si="6"/>
        <v>9490.14</v>
      </c>
      <c r="AM47" s="383">
        <f t="shared" si="7"/>
        <v>0</v>
      </c>
      <c r="AN47" s="383">
        <f t="shared" si="8"/>
        <v>0</v>
      </c>
      <c r="AO47" s="124">
        <f t="shared" si="9"/>
        <v>38582.5</v>
      </c>
      <c r="AR47" s="124">
        <f t="shared" si="10"/>
        <v>8727.6</v>
      </c>
      <c r="AS47" s="124">
        <f t="shared" si="11"/>
        <v>3815.4</v>
      </c>
      <c r="AV47" s="379">
        <f t="shared" si="12"/>
        <v>12543</v>
      </c>
      <c r="AW47" s="124">
        <f t="shared" si="13"/>
        <v>0</v>
      </c>
      <c r="AZ47" s="379"/>
      <c r="BA47" s="379">
        <v>707.81</v>
      </c>
      <c r="BB47" s="379">
        <v>240.28</v>
      </c>
      <c r="BC47" s="379"/>
      <c r="BD47" s="379">
        <v>0</v>
      </c>
      <c r="BE47" s="379">
        <f t="shared" si="15"/>
        <v>948.08999999999992</v>
      </c>
      <c r="BF47" s="379"/>
      <c r="BO47" s="477"/>
      <c r="BP47" s="477">
        <v>62239.740000000005</v>
      </c>
      <c r="BQ47" s="477">
        <v>22607.75</v>
      </c>
      <c r="BR47" s="477"/>
      <c r="BS47" s="477">
        <v>0</v>
      </c>
      <c r="BT47" s="477">
        <v>84847.49</v>
      </c>
      <c r="BW47" s="126">
        <v>550</v>
      </c>
      <c r="BX47" s="125">
        <v>8122</v>
      </c>
      <c r="BY47" s="19" t="s">
        <v>34</v>
      </c>
      <c r="BZ47" t="s">
        <v>855</v>
      </c>
    </row>
    <row r="48" spans="1:78" x14ac:dyDescent="0.25">
      <c r="A48" s="443">
        <v>8122</v>
      </c>
      <c r="B48" s="19" t="s">
        <v>34</v>
      </c>
      <c r="C48" t="s">
        <v>272</v>
      </c>
      <c r="D48" s="379">
        <v>6150.92</v>
      </c>
      <c r="E48" s="120">
        <v>1.0275141092667286E-5</v>
      </c>
      <c r="F48" s="379">
        <v>577629.4</v>
      </c>
      <c r="G48" s="120">
        <v>9.6493265792316424E-4</v>
      </c>
      <c r="H48" s="379">
        <v>1434061.5</v>
      </c>
      <c r="I48" s="120">
        <v>5.514463386531593E-3</v>
      </c>
      <c r="J48" s="379">
        <v>0</v>
      </c>
      <c r="K48" s="120">
        <v>0</v>
      </c>
      <c r="L48" s="379">
        <v>1056309.1000000001</v>
      </c>
      <c r="M48" s="120">
        <v>4.7381764092146684E-3</v>
      </c>
      <c r="N48" s="379">
        <v>3549731.02</v>
      </c>
      <c r="O48" s="120">
        <v>5.0018010132178506E-3</v>
      </c>
      <c r="P48" s="383">
        <f t="shared" si="14"/>
        <v>6623881.9399999995</v>
      </c>
      <c r="R48" s="379"/>
      <c r="S48" s="120"/>
      <c r="T48" s="380"/>
      <c r="U48" s="551">
        <v>550</v>
      </c>
      <c r="V48" s="550" t="s">
        <v>273</v>
      </c>
      <c r="W48" s="449" t="s">
        <v>34</v>
      </c>
      <c r="X48" s="562" t="s">
        <v>272</v>
      </c>
      <c r="Y48" s="379">
        <v>0</v>
      </c>
      <c r="Z48" s="379">
        <v>3511229.5999999996</v>
      </c>
      <c r="AA48" s="379">
        <v>1368555.33</v>
      </c>
      <c r="AB48" s="379">
        <v>3963.05</v>
      </c>
      <c r="AC48" s="379">
        <v>0</v>
      </c>
      <c r="AD48" s="379">
        <v>4883747.9799999995</v>
      </c>
      <c r="AE48" s="124"/>
      <c r="AF48" s="551">
        <v>550</v>
      </c>
      <c r="AG48" s="550" t="s">
        <v>273</v>
      </c>
      <c r="AH48" s="449" t="s">
        <v>34</v>
      </c>
      <c r="AI48" s="562" t="s">
        <v>272</v>
      </c>
      <c r="AJ48" s="383">
        <f t="shared" si="4"/>
        <v>0</v>
      </c>
      <c r="AK48" s="383">
        <f t="shared" si="5"/>
        <v>3549731.02</v>
      </c>
      <c r="AL48" s="383">
        <f t="shared" si="6"/>
        <v>1434061.5</v>
      </c>
      <c r="AM48" s="383">
        <f t="shared" si="7"/>
        <v>6150.92</v>
      </c>
      <c r="AN48" s="383">
        <f t="shared" si="8"/>
        <v>0</v>
      </c>
      <c r="AO48" s="124">
        <f t="shared" si="9"/>
        <v>4989943.4399999995</v>
      </c>
      <c r="AR48" s="124">
        <f t="shared" si="10"/>
        <v>1056309.1000000001</v>
      </c>
      <c r="AS48" s="124">
        <f t="shared" si="11"/>
        <v>577629.4</v>
      </c>
      <c r="AV48" s="379">
        <f t="shared" si="12"/>
        <v>1633938.5</v>
      </c>
      <c r="AW48" s="124">
        <f t="shared" si="13"/>
        <v>0</v>
      </c>
      <c r="AZ48" s="379">
        <v>0</v>
      </c>
      <c r="BA48" s="379">
        <v>86421.209999999992</v>
      </c>
      <c r="BB48" s="379">
        <v>36306.35</v>
      </c>
      <c r="BC48" s="379">
        <v>129.96</v>
      </c>
      <c r="BD48" s="379">
        <v>0</v>
      </c>
      <c r="BE48" s="379">
        <f t="shared" si="15"/>
        <v>122857.52</v>
      </c>
      <c r="BF48" s="379"/>
      <c r="BO48" s="477">
        <v>0</v>
      </c>
      <c r="BP48" s="477">
        <v>8203690.9299999997</v>
      </c>
      <c r="BQ48" s="477">
        <v>3416552.58</v>
      </c>
      <c r="BR48" s="477">
        <v>10243.93</v>
      </c>
      <c r="BS48" s="477">
        <v>0</v>
      </c>
      <c r="BT48" s="477">
        <v>11630487.439999999</v>
      </c>
      <c r="BW48" s="126">
        <v>994</v>
      </c>
      <c r="BX48" s="125">
        <v>8130</v>
      </c>
      <c r="BY48" s="19" t="s">
        <v>34</v>
      </c>
      <c r="BZ48" t="s">
        <v>989</v>
      </c>
    </row>
    <row r="49" spans="1:78" x14ac:dyDescent="0.25">
      <c r="A49" s="443">
        <v>8130</v>
      </c>
      <c r="B49" s="19" t="s">
        <v>34</v>
      </c>
      <c r="C49" t="s">
        <v>558</v>
      </c>
      <c r="D49" s="379"/>
      <c r="E49" s="120"/>
      <c r="F49" s="379">
        <v>62707.33</v>
      </c>
      <c r="G49" s="120">
        <v>1.0475289278586751E-4</v>
      </c>
      <c r="H49" s="379">
        <v>153252.76999999999</v>
      </c>
      <c r="I49" s="120">
        <v>5.8931000452180557E-4</v>
      </c>
      <c r="J49" s="379">
        <v>0</v>
      </c>
      <c r="K49" s="120">
        <v>0</v>
      </c>
      <c r="L49" s="379">
        <v>110674.67</v>
      </c>
      <c r="M49" s="120">
        <v>4.9644191315933778E-4</v>
      </c>
      <c r="N49" s="379">
        <v>331256.87</v>
      </c>
      <c r="O49" s="120">
        <v>4.6676239373240563E-4</v>
      </c>
      <c r="P49" s="383">
        <f t="shared" si="14"/>
        <v>657891.6399999999</v>
      </c>
      <c r="R49" s="379"/>
      <c r="S49" s="120"/>
      <c r="T49" s="380"/>
      <c r="U49" s="551">
        <v>994</v>
      </c>
      <c r="V49" s="550" t="s">
        <v>559</v>
      </c>
      <c r="W49" s="449" t="s">
        <v>34</v>
      </c>
      <c r="X49" s="562" t="s">
        <v>558</v>
      </c>
      <c r="Y49" s="379">
        <v>0</v>
      </c>
      <c r="Z49" s="379">
        <v>314220.88</v>
      </c>
      <c r="AA49" s="379">
        <v>144235.46</v>
      </c>
      <c r="AB49" s="379"/>
      <c r="AC49" s="379">
        <v>0</v>
      </c>
      <c r="AD49" s="379">
        <v>458456.33999999997</v>
      </c>
      <c r="AE49" s="124"/>
      <c r="AF49" s="551">
        <v>994</v>
      </c>
      <c r="AG49" s="550" t="s">
        <v>559</v>
      </c>
      <c r="AH49" s="449" t="s">
        <v>34</v>
      </c>
      <c r="AI49" s="562" t="s">
        <v>558</v>
      </c>
      <c r="AJ49" s="383">
        <f t="shared" si="4"/>
        <v>0</v>
      </c>
      <c r="AK49" s="383">
        <f t="shared" si="5"/>
        <v>331256.87</v>
      </c>
      <c r="AL49" s="383">
        <f t="shared" si="6"/>
        <v>153252.76999999999</v>
      </c>
      <c r="AM49" s="383">
        <f t="shared" si="7"/>
        <v>0</v>
      </c>
      <c r="AN49" s="383">
        <f t="shared" si="8"/>
        <v>0</v>
      </c>
      <c r="AO49" s="124">
        <f t="shared" si="9"/>
        <v>484509.64</v>
      </c>
      <c r="AR49" s="124">
        <f t="shared" si="10"/>
        <v>110674.67</v>
      </c>
      <c r="AS49" s="124">
        <f t="shared" si="11"/>
        <v>62707.33</v>
      </c>
      <c r="AV49" s="379">
        <f t="shared" si="12"/>
        <v>173382</v>
      </c>
      <c r="AW49" s="124">
        <f t="shared" si="13"/>
        <v>0</v>
      </c>
      <c r="AZ49" s="379">
        <v>0</v>
      </c>
      <c r="BA49" s="379">
        <v>8017.1</v>
      </c>
      <c r="BB49" s="379">
        <v>3857.5699999999997</v>
      </c>
      <c r="BC49" s="379"/>
      <c r="BD49" s="379">
        <v>0</v>
      </c>
      <c r="BE49" s="379">
        <f t="shared" si="15"/>
        <v>11874.67</v>
      </c>
      <c r="BF49" s="379"/>
      <c r="BO49" s="477">
        <v>0</v>
      </c>
      <c r="BP49" s="477">
        <v>764169.52</v>
      </c>
      <c r="BQ49" s="477">
        <v>364053.13</v>
      </c>
      <c r="BR49" s="477"/>
      <c r="BS49" s="477">
        <v>0</v>
      </c>
      <c r="BT49" s="477">
        <v>1128222.6499999999</v>
      </c>
      <c r="BW49" s="126">
        <v>108</v>
      </c>
      <c r="BX49" s="125">
        <v>8401</v>
      </c>
      <c r="BY49" s="19" t="s">
        <v>34</v>
      </c>
      <c r="BZ49" t="s">
        <v>757</v>
      </c>
    </row>
    <row r="50" spans="1:78" x14ac:dyDescent="0.25">
      <c r="A50" s="443">
        <v>8401</v>
      </c>
      <c r="B50" s="19" t="s">
        <v>34</v>
      </c>
      <c r="C50" t="s">
        <v>72</v>
      </c>
      <c r="D50" s="379"/>
      <c r="E50" s="120"/>
      <c r="F50" s="379">
        <v>115065.69</v>
      </c>
      <c r="G50" s="120">
        <v>1.9221778200254844E-4</v>
      </c>
      <c r="H50" s="379">
        <v>286297.45</v>
      </c>
      <c r="I50" s="120">
        <v>1.1009129006547902E-3</v>
      </c>
      <c r="J50" s="379"/>
      <c r="K50" s="120"/>
      <c r="L50" s="379">
        <v>227666.83</v>
      </c>
      <c r="M50" s="120">
        <v>1.0212215373953382E-3</v>
      </c>
      <c r="N50" s="379">
        <v>776566.48</v>
      </c>
      <c r="O50" s="120">
        <v>1.0942324882111827E-3</v>
      </c>
      <c r="P50" s="383">
        <f t="shared" si="14"/>
        <v>1405596.45</v>
      </c>
      <c r="R50" s="379"/>
      <c r="S50" s="120"/>
      <c r="T50" s="380"/>
      <c r="U50" s="551">
        <v>108</v>
      </c>
      <c r="V50" s="550" t="s">
        <v>73</v>
      </c>
      <c r="W50" s="449" t="s">
        <v>34</v>
      </c>
      <c r="X50" s="562" t="s">
        <v>72</v>
      </c>
      <c r="Y50" s="379"/>
      <c r="Z50" s="379">
        <v>731801.16999999993</v>
      </c>
      <c r="AA50" s="379">
        <v>268180.18</v>
      </c>
      <c r="AB50" s="379"/>
      <c r="AC50" s="379">
        <v>0</v>
      </c>
      <c r="AD50" s="379">
        <v>999981.34999999986</v>
      </c>
      <c r="AE50" s="124"/>
      <c r="AF50" s="551">
        <v>108</v>
      </c>
      <c r="AG50" s="550" t="s">
        <v>73</v>
      </c>
      <c r="AH50" s="449" t="s">
        <v>34</v>
      </c>
      <c r="AI50" s="562" t="s">
        <v>72</v>
      </c>
      <c r="AJ50" s="383">
        <f t="shared" si="4"/>
        <v>0</v>
      </c>
      <c r="AK50" s="383">
        <f t="shared" si="5"/>
        <v>776566.48</v>
      </c>
      <c r="AL50" s="383">
        <f t="shared" si="6"/>
        <v>286297.45</v>
      </c>
      <c r="AM50" s="383">
        <f t="shared" si="7"/>
        <v>0</v>
      </c>
      <c r="AN50" s="383">
        <f t="shared" si="8"/>
        <v>0</v>
      </c>
      <c r="AO50" s="124">
        <f t="shared" si="9"/>
        <v>1062863.93</v>
      </c>
      <c r="AR50" s="124">
        <f t="shared" si="10"/>
        <v>227666.83</v>
      </c>
      <c r="AS50" s="124">
        <f t="shared" si="11"/>
        <v>115065.69</v>
      </c>
      <c r="AV50" s="379">
        <f t="shared" si="12"/>
        <v>342732.52</v>
      </c>
      <c r="AW50" s="124">
        <f t="shared" si="13"/>
        <v>0</v>
      </c>
      <c r="AZ50" s="379"/>
      <c r="BA50" s="379">
        <v>18919.37</v>
      </c>
      <c r="BB50" s="379">
        <v>7253.8899999999994</v>
      </c>
      <c r="BC50" s="379"/>
      <c r="BD50" s="379">
        <v>0</v>
      </c>
      <c r="BE50" s="379">
        <f t="shared" si="15"/>
        <v>26173.26</v>
      </c>
      <c r="BF50" s="379"/>
      <c r="BO50" s="477"/>
      <c r="BP50" s="477">
        <v>1754953.85</v>
      </c>
      <c r="BQ50" s="477">
        <v>676797.21</v>
      </c>
      <c r="BR50" s="477"/>
      <c r="BS50" s="477">
        <v>0</v>
      </c>
      <c r="BT50" s="477">
        <v>2431751.06</v>
      </c>
      <c r="BW50" s="126">
        <v>424</v>
      </c>
      <c r="BX50" s="125">
        <v>8402</v>
      </c>
      <c r="BY50" s="19" t="s">
        <v>34</v>
      </c>
      <c r="BZ50" t="s">
        <v>837</v>
      </c>
    </row>
    <row r="51" spans="1:78" x14ac:dyDescent="0.25">
      <c r="A51" s="443">
        <v>8402</v>
      </c>
      <c r="B51" s="19" t="s">
        <v>34</v>
      </c>
      <c r="C51" t="s">
        <v>234</v>
      </c>
      <c r="D51" s="379"/>
      <c r="E51" s="120"/>
      <c r="F51" s="379">
        <v>70703.53</v>
      </c>
      <c r="G51" s="120">
        <v>1.1811058288835399E-4</v>
      </c>
      <c r="H51" s="379">
        <v>176078.97</v>
      </c>
      <c r="I51" s="120">
        <v>6.7708465306627E-4</v>
      </c>
      <c r="J51" s="379"/>
      <c r="K51" s="120"/>
      <c r="L51" s="379">
        <v>151158.44</v>
      </c>
      <c r="M51" s="120">
        <v>6.7803577045931994E-4</v>
      </c>
      <c r="N51" s="379">
        <v>504761.45</v>
      </c>
      <c r="O51" s="120">
        <v>7.1124158924112274E-4</v>
      </c>
      <c r="P51" s="383">
        <f t="shared" si="14"/>
        <v>902702.39</v>
      </c>
      <c r="R51" s="379"/>
      <c r="S51" s="120"/>
      <c r="T51" s="380"/>
      <c r="U51" s="551">
        <v>424</v>
      </c>
      <c r="V51" s="550" t="s">
        <v>235</v>
      </c>
      <c r="W51" s="449" t="s">
        <v>34</v>
      </c>
      <c r="X51" s="562" t="s">
        <v>234</v>
      </c>
      <c r="Y51" s="379"/>
      <c r="Z51" s="379">
        <v>493171.74</v>
      </c>
      <c r="AA51" s="379">
        <v>160643.61000000002</v>
      </c>
      <c r="AB51" s="379"/>
      <c r="AC51" s="379">
        <v>0</v>
      </c>
      <c r="AD51" s="379">
        <v>653815.35</v>
      </c>
      <c r="AE51" s="124"/>
      <c r="AF51" s="551">
        <v>424</v>
      </c>
      <c r="AG51" s="550" t="s">
        <v>235</v>
      </c>
      <c r="AH51" s="449" t="s">
        <v>34</v>
      </c>
      <c r="AI51" s="562" t="s">
        <v>234</v>
      </c>
      <c r="AJ51" s="383">
        <f t="shared" si="4"/>
        <v>0</v>
      </c>
      <c r="AK51" s="383">
        <f t="shared" si="5"/>
        <v>504761.45</v>
      </c>
      <c r="AL51" s="383">
        <f t="shared" si="6"/>
        <v>176078.97</v>
      </c>
      <c r="AM51" s="383">
        <f t="shared" si="7"/>
        <v>0</v>
      </c>
      <c r="AN51" s="383">
        <f t="shared" si="8"/>
        <v>0</v>
      </c>
      <c r="AO51" s="124">
        <f t="shared" si="9"/>
        <v>680840.42</v>
      </c>
      <c r="AR51" s="124">
        <f t="shared" si="10"/>
        <v>151158.44</v>
      </c>
      <c r="AS51" s="124">
        <f t="shared" si="11"/>
        <v>70703.53</v>
      </c>
      <c r="AV51" s="379">
        <f t="shared" si="12"/>
        <v>221861.97</v>
      </c>
      <c r="AW51" s="124">
        <f t="shared" si="13"/>
        <v>0</v>
      </c>
      <c r="AZ51" s="379"/>
      <c r="BA51" s="379">
        <v>12285.099999999999</v>
      </c>
      <c r="BB51" s="379">
        <v>4462.6499999999996</v>
      </c>
      <c r="BC51" s="379"/>
      <c r="BD51" s="379">
        <v>0</v>
      </c>
      <c r="BE51" s="379">
        <f t="shared" si="15"/>
        <v>16747.75</v>
      </c>
      <c r="BF51" s="379"/>
      <c r="BO51" s="477"/>
      <c r="BP51" s="477">
        <v>1161376.73</v>
      </c>
      <c r="BQ51" s="477">
        <v>411888.76</v>
      </c>
      <c r="BR51" s="477"/>
      <c r="BS51" s="477">
        <v>0</v>
      </c>
      <c r="BT51" s="477">
        <v>1573265.49</v>
      </c>
      <c r="BW51" s="126">
        <v>1113</v>
      </c>
      <c r="BX51" s="125">
        <v>8404</v>
      </c>
      <c r="BY51" s="19" t="s">
        <v>34</v>
      </c>
      <c r="BZ51" t="s">
        <v>1019</v>
      </c>
    </row>
    <row r="52" spans="1:78" x14ac:dyDescent="0.25">
      <c r="A52" s="443">
        <v>8404</v>
      </c>
      <c r="B52" s="19" t="s">
        <v>34</v>
      </c>
      <c r="C52" t="s">
        <v>620</v>
      </c>
      <c r="D52" s="379"/>
      <c r="E52" s="120"/>
      <c r="F52" s="379">
        <v>314908.96000000002</v>
      </c>
      <c r="G52" s="120">
        <v>5.2605691430633453E-4</v>
      </c>
      <c r="H52" s="379">
        <v>781961.19</v>
      </c>
      <c r="I52" s="120">
        <v>3.0069117342203765E-3</v>
      </c>
      <c r="J52" s="379">
        <v>0</v>
      </c>
      <c r="K52" s="120">
        <v>0</v>
      </c>
      <c r="L52" s="379">
        <v>370854.81</v>
      </c>
      <c r="M52" s="120">
        <v>1.66350504031991E-3</v>
      </c>
      <c r="N52" s="379">
        <v>1271214.6599999999</v>
      </c>
      <c r="O52" s="120">
        <v>1.7912238247295102E-3</v>
      </c>
      <c r="P52" s="383">
        <f t="shared" si="14"/>
        <v>2738939.62</v>
      </c>
      <c r="R52" s="379"/>
      <c r="S52" s="120"/>
      <c r="T52" s="380"/>
      <c r="U52" s="551">
        <v>1113</v>
      </c>
      <c r="V52" s="550" t="s">
        <v>621</v>
      </c>
      <c r="W52" s="449" t="s">
        <v>34</v>
      </c>
      <c r="X52" s="562" t="s">
        <v>620</v>
      </c>
      <c r="Y52" s="379">
        <v>0</v>
      </c>
      <c r="Z52" s="379">
        <v>1147747.78</v>
      </c>
      <c r="AA52" s="379">
        <v>742749.8899999999</v>
      </c>
      <c r="AB52" s="379"/>
      <c r="AC52" s="379">
        <v>0</v>
      </c>
      <c r="AD52" s="379">
        <v>1890497.67</v>
      </c>
      <c r="AE52" s="124"/>
      <c r="AF52" s="551">
        <v>1113</v>
      </c>
      <c r="AG52" s="550" t="s">
        <v>621</v>
      </c>
      <c r="AH52" s="449" t="s">
        <v>34</v>
      </c>
      <c r="AI52" s="562" t="s">
        <v>620</v>
      </c>
      <c r="AJ52" s="383">
        <f t="shared" si="4"/>
        <v>0</v>
      </c>
      <c r="AK52" s="383">
        <f t="shared" si="5"/>
        <v>1271214.6599999999</v>
      </c>
      <c r="AL52" s="383">
        <f t="shared" si="6"/>
        <v>781961.19</v>
      </c>
      <c r="AM52" s="383">
        <f t="shared" si="7"/>
        <v>0</v>
      </c>
      <c r="AN52" s="383">
        <f t="shared" si="8"/>
        <v>0</v>
      </c>
      <c r="AO52" s="124">
        <f t="shared" si="9"/>
        <v>2053175.8499999999</v>
      </c>
      <c r="AR52" s="124">
        <f t="shared" si="10"/>
        <v>370854.81</v>
      </c>
      <c r="AS52" s="124">
        <f t="shared" si="11"/>
        <v>314908.96000000002</v>
      </c>
      <c r="AV52" s="379">
        <f t="shared" si="12"/>
        <v>685763.77</v>
      </c>
      <c r="AW52" s="124">
        <f t="shared" si="13"/>
        <v>0</v>
      </c>
      <c r="AZ52" s="379">
        <v>0</v>
      </c>
      <c r="BA52" s="379">
        <v>30978.170000000002</v>
      </c>
      <c r="BB52" s="379">
        <v>19798.13</v>
      </c>
      <c r="BC52" s="379"/>
      <c r="BD52" s="379">
        <v>0</v>
      </c>
      <c r="BE52" s="379">
        <f t="shared" si="15"/>
        <v>50776.3</v>
      </c>
      <c r="BF52" s="379"/>
      <c r="BO52" s="477">
        <v>0</v>
      </c>
      <c r="BP52" s="477">
        <v>2820795.42</v>
      </c>
      <c r="BQ52" s="477">
        <v>1859418.17</v>
      </c>
      <c r="BR52" s="477"/>
      <c r="BS52" s="477">
        <v>0</v>
      </c>
      <c r="BT52" s="477">
        <v>4680213.59</v>
      </c>
      <c r="BW52" s="126">
        <v>428</v>
      </c>
      <c r="BX52" s="125">
        <v>8458</v>
      </c>
      <c r="BY52" s="19" t="s">
        <v>34</v>
      </c>
      <c r="BZ52" t="s">
        <v>839</v>
      </c>
    </row>
    <row r="53" spans="1:78" x14ac:dyDescent="0.25">
      <c r="A53" s="443">
        <v>8458</v>
      </c>
      <c r="B53" s="19" t="s">
        <v>34</v>
      </c>
      <c r="C53" t="s">
        <v>238</v>
      </c>
      <c r="D53" s="379">
        <v>3869.35</v>
      </c>
      <c r="E53" s="120">
        <v>6.4637675643500757E-6</v>
      </c>
      <c r="F53" s="379">
        <v>413773.56</v>
      </c>
      <c r="G53" s="120">
        <v>6.9121069846709649E-4</v>
      </c>
      <c r="H53" s="379">
        <v>1028152.22</v>
      </c>
      <c r="I53" s="120">
        <v>3.9536015526329769E-3</v>
      </c>
      <c r="J53" s="379">
        <v>0</v>
      </c>
      <c r="K53" s="120">
        <v>0</v>
      </c>
      <c r="L53" s="379">
        <v>821803.7</v>
      </c>
      <c r="M53" s="120">
        <v>3.6862798061148274E-3</v>
      </c>
      <c r="N53" s="379">
        <v>2788771.73</v>
      </c>
      <c r="O53" s="120">
        <v>3.9295600669898923E-3</v>
      </c>
      <c r="P53" s="383">
        <f t="shared" si="14"/>
        <v>5056370.5600000005</v>
      </c>
      <c r="R53" s="379"/>
      <c r="S53" s="120"/>
      <c r="T53" s="380"/>
      <c r="U53" s="551">
        <v>428</v>
      </c>
      <c r="V53" s="550" t="s">
        <v>239</v>
      </c>
      <c r="W53" s="449" t="s">
        <v>34</v>
      </c>
      <c r="X53" s="562" t="s">
        <v>238</v>
      </c>
      <c r="Y53" s="379">
        <v>0</v>
      </c>
      <c r="Z53" s="379">
        <v>2743077.69</v>
      </c>
      <c r="AA53" s="379">
        <v>968501.58000000007</v>
      </c>
      <c r="AB53" s="379">
        <v>2461.33</v>
      </c>
      <c r="AC53" s="379">
        <v>0</v>
      </c>
      <c r="AD53" s="379">
        <v>3714040.6</v>
      </c>
      <c r="AE53" s="124"/>
      <c r="AF53" s="551">
        <v>428</v>
      </c>
      <c r="AG53" s="550" t="s">
        <v>239</v>
      </c>
      <c r="AH53" s="449" t="s">
        <v>34</v>
      </c>
      <c r="AI53" s="562" t="s">
        <v>238</v>
      </c>
      <c r="AJ53" s="383">
        <f t="shared" si="4"/>
        <v>0</v>
      </c>
      <c r="AK53" s="383">
        <f t="shared" si="5"/>
        <v>2788771.73</v>
      </c>
      <c r="AL53" s="383">
        <f t="shared" si="6"/>
        <v>1028152.22</v>
      </c>
      <c r="AM53" s="383">
        <f t="shared" si="7"/>
        <v>3869.35</v>
      </c>
      <c r="AN53" s="383">
        <f t="shared" si="8"/>
        <v>0</v>
      </c>
      <c r="AO53" s="124">
        <f t="shared" si="9"/>
        <v>3820793.3000000003</v>
      </c>
      <c r="AR53" s="124">
        <f t="shared" si="10"/>
        <v>821803.7</v>
      </c>
      <c r="AS53" s="124">
        <f t="shared" si="11"/>
        <v>413773.56</v>
      </c>
      <c r="AV53" s="379">
        <f t="shared" si="12"/>
        <v>1235577.26</v>
      </c>
      <c r="AW53" s="124">
        <f t="shared" si="13"/>
        <v>0</v>
      </c>
      <c r="AZ53" s="379">
        <v>0</v>
      </c>
      <c r="BA53" s="379">
        <v>67927.48000000001</v>
      </c>
      <c r="BB53" s="379">
        <v>26038.019999999997</v>
      </c>
      <c r="BC53" s="379">
        <v>80.88</v>
      </c>
      <c r="BD53" s="379">
        <v>0</v>
      </c>
      <c r="BE53" s="379">
        <f t="shared" si="15"/>
        <v>94046.38</v>
      </c>
      <c r="BF53" s="379"/>
      <c r="BO53" s="477">
        <v>0</v>
      </c>
      <c r="BP53" s="477">
        <v>6421580.6000000006</v>
      </c>
      <c r="BQ53" s="477">
        <v>2436465.38</v>
      </c>
      <c r="BR53" s="477">
        <v>6411.56</v>
      </c>
      <c r="BS53" s="477">
        <v>0</v>
      </c>
      <c r="BT53" s="477">
        <v>8864457.540000001</v>
      </c>
      <c r="BW53" s="126">
        <v>686</v>
      </c>
      <c r="BX53" s="125">
        <v>9013</v>
      </c>
      <c r="BY53" s="19" t="s">
        <v>55</v>
      </c>
      <c r="BZ53" t="s">
        <v>911</v>
      </c>
    </row>
    <row r="54" spans="1:78" x14ac:dyDescent="0.25">
      <c r="A54" s="443">
        <v>9013</v>
      </c>
      <c r="B54" s="19" t="s">
        <v>55</v>
      </c>
      <c r="C54" t="s">
        <v>394</v>
      </c>
      <c r="D54" s="379"/>
      <c r="E54" s="120"/>
      <c r="F54" s="379">
        <v>27953</v>
      </c>
      <c r="G54" s="120">
        <v>4.6695619348541141E-5</v>
      </c>
      <c r="H54" s="379">
        <v>69289.25</v>
      </c>
      <c r="I54" s="120">
        <v>2.6644117578307079E-4</v>
      </c>
      <c r="J54" s="379">
        <v>0</v>
      </c>
      <c r="K54" s="120">
        <v>0</v>
      </c>
      <c r="L54" s="379">
        <v>21844.05</v>
      </c>
      <c r="M54" s="120">
        <v>9.7983594377541245E-5</v>
      </c>
      <c r="N54" s="379">
        <v>75636.759999999995</v>
      </c>
      <c r="O54" s="120">
        <v>1.0657709574978315E-4</v>
      </c>
      <c r="P54" s="383">
        <f t="shared" si="14"/>
        <v>194723.06</v>
      </c>
      <c r="R54" s="379"/>
      <c r="S54" s="120"/>
      <c r="T54" s="380"/>
      <c r="U54" s="551">
        <v>686</v>
      </c>
      <c r="V54" s="550" t="s">
        <v>395</v>
      </c>
      <c r="W54" s="449" t="s">
        <v>55</v>
      </c>
      <c r="X54" s="562" t="s">
        <v>394</v>
      </c>
      <c r="Y54" s="379">
        <v>0</v>
      </c>
      <c r="Z54" s="379">
        <v>60836.52</v>
      </c>
      <c r="AA54" s="379">
        <v>62320.82</v>
      </c>
      <c r="AB54" s="379"/>
      <c r="AC54" s="379">
        <v>0</v>
      </c>
      <c r="AD54" s="379">
        <v>123157.34</v>
      </c>
      <c r="AE54" s="124"/>
      <c r="AF54" s="551">
        <v>686</v>
      </c>
      <c r="AG54" s="550" t="s">
        <v>395</v>
      </c>
      <c r="AH54" s="449" t="s">
        <v>55</v>
      </c>
      <c r="AI54" s="562" t="s">
        <v>394</v>
      </c>
      <c r="AJ54" s="383">
        <f t="shared" si="4"/>
        <v>0</v>
      </c>
      <c r="AK54" s="383">
        <f t="shared" si="5"/>
        <v>75636.759999999995</v>
      </c>
      <c r="AL54" s="383">
        <f t="shared" si="6"/>
        <v>69289.25</v>
      </c>
      <c r="AM54" s="383">
        <f t="shared" si="7"/>
        <v>0</v>
      </c>
      <c r="AN54" s="383">
        <f t="shared" si="8"/>
        <v>0</v>
      </c>
      <c r="AO54" s="124">
        <f t="shared" si="9"/>
        <v>144926.01</v>
      </c>
      <c r="AR54" s="124">
        <f t="shared" si="10"/>
        <v>21844.05</v>
      </c>
      <c r="AS54" s="124">
        <f t="shared" si="11"/>
        <v>27953</v>
      </c>
      <c r="AV54" s="379">
        <f t="shared" si="12"/>
        <v>49797.05</v>
      </c>
      <c r="AW54" s="124">
        <f t="shared" si="13"/>
        <v>0</v>
      </c>
      <c r="AZ54" s="379">
        <v>0</v>
      </c>
      <c r="BA54" s="379">
        <v>1843.9699999999998</v>
      </c>
      <c r="BB54" s="379">
        <v>1753.0500000000002</v>
      </c>
      <c r="BC54" s="379"/>
      <c r="BD54" s="379">
        <v>0</v>
      </c>
      <c r="BE54" s="379">
        <f t="shared" si="15"/>
        <v>3597.02</v>
      </c>
      <c r="BF54" s="379"/>
      <c r="BO54" s="477">
        <v>0</v>
      </c>
      <c r="BP54" s="477">
        <v>160161.29999999999</v>
      </c>
      <c r="BQ54" s="477">
        <v>161316.12</v>
      </c>
      <c r="BR54" s="477"/>
      <c r="BS54" s="477">
        <v>0</v>
      </c>
      <c r="BT54" s="477">
        <v>321477.42</v>
      </c>
      <c r="BW54" s="126">
        <v>87</v>
      </c>
      <c r="BX54" s="125">
        <v>9075</v>
      </c>
      <c r="BY54" s="19" t="s">
        <v>55</v>
      </c>
      <c r="BZ54" t="s">
        <v>749</v>
      </c>
    </row>
    <row r="55" spans="1:78" x14ac:dyDescent="0.25">
      <c r="A55" s="443">
        <v>9075</v>
      </c>
      <c r="B55" s="19" t="s">
        <v>55</v>
      </c>
      <c r="C55" t="s">
        <v>56</v>
      </c>
      <c r="D55" s="379"/>
      <c r="E55" s="120"/>
      <c r="F55" s="379">
        <v>81469.350000000006</v>
      </c>
      <c r="G55" s="120">
        <v>1.3609493636364863E-4</v>
      </c>
      <c r="H55" s="379">
        <v>202631.74</v>
      </c>
      <c r="I55" s="120">
        <v>7.7918925456069296E-4</v>
      </c>
      <c r="J55" s="379"/>
      <c r="K55" s="120"/>
      <c r="L55" s="379">
        <v>113901.13</v>
      </c>
      <c r="M55" s="120">
        <v>5.1091451086513699E-4</v>
      </c>
      <c r="N55" s="379">
        <v>395537.68</v>
      </c>
      <c r="O55" s="120">
        <v>5.5733822011951712E-4</v>
      </c>
      <c r="P55" s="383">
        <f t="shared" si="14"/>
        <v>793539.89999999991</v>
      </c>
      <c r="R55" s="379"/>
      <c r="S55" s="120"/>
      <c r="T55" s="380"/>
      <c r="U55" s="551">
        <v>87</v>
      </c>
      <c r="V55" s="550" t="s">
        <v>57</v>
      </c>
      <c r="W55" s="449" t="s">
        <v>55</v>
      </c>
      <c r="X55" s="562" t="s">
        <v>56</v>
      </c>
      <c r="Y55" s="379"/>
      <c r="Z55" s="379">
        <v>370994.37</v>
      </c>
      <c r="AA55" s="379">
        <v>185481.96</v>
      </c>
      <c r="AB55" s="379"/>
      <c r="AC55" s="379">
        <v>0</v>
      </c>
      <c r="AD55" s="379">
        <v>556476.32999999996</v>
      </c>
      <c r="AE55" s="124"/>
      <c r="AF55" s="551">
        <v>87</v>
      </c>
      <c r="AG55" s="550" t="s">
        <v>57</v>
      </c>
      <c r="AH55" s="449" t="s">
        <v>55</v>
      </c>
      <c r="AI55" s="562" t="s">
        <v>56</v>
      </c>
      <c r="AJ55" s="383">
        <f t="shared" si="4"/>
        <v>0</v>
      </c>
      <c r="AK55" s="383">
        <f t="shared" si="5"/>
        <v>395537.68</v>
      </c>
      <c r="AL55" s="383">
        <f t="shared" si="6"/>
        <v>202631.74</v>
      </c>
      <c r="AM55" s="383">
        <f t="shared" si="7"/>
        <v>0</v>
      </c>
      <c r="AN55" s="383">
        <f t="shared" si="8"/>
        <v>0</v>
      </c>
      <c r="AO55" s="124">
        <f t="shared" si="9"/>
        <v>598169.41999999993</v>
      </c>
      <c r="AR55" s="124">
        <f t="shared" si="10"/>
        <v>113901.13</v>
      </c>
      <c r="AS55" s="124">
        <f t="shared" si="11"/>
        <v>81469.350000000006</v>
      </c>
      <c r="AV55" s="379">
        <f t="shared" si="12"/>
        <v>195370.48</v>
      </c>
      <c r="AW55" s="124">
        <f t="shared" si="13"/>
        <v>0</v>
      </c>
      <c r="AZ55" s="379"/>
      <c r="BA55" s="379">
        <v>9644.619999999999</v>
      </c>
      <c r="BB55" s="379">
        <v>5133.3500000000004</v>
      </c>
      <c r="BC55" s="379"/>
      <c r="BD55" s="379">
        <v>0</v>
      </c>
      <c r="BE55" s="379">
        <f t="shared" si="15"/>
        <v>14777.97</v>
      </c>
      <c r="BF55" s="379"/>
      <c r="BO55" s="477"/>
      <c r="BP55" s="477">
        <v>890077.8</v>
      </c>
      <c r="BQ55" s="477">
        <v>474716.4</v>
      </c>
      <c r="BR55" s="477"/>
      <c r="BS55" s="477">
        <v>0</v>
      </c>
      <c r="BT55" s="477">
        <v>1364794.2000000002</v>
      </c>
      <c r="BW55" s="126">
        <v>701</v>
      </c>
      <c r="BX55" s="125">
        <v>9102</v>
      </c>
      <c r="BY55" s="19" t="s">
        <v>55</v>
      </c>
      <c r="BZ55" t="s">
        <v>915</v>
      </c>
    </row>
    <row r="56" spans="1:78" x14ac:dyDescent="0.25">
      <c r="A56" s="443">
        <v>9102</v>
      </c>
      <c r="B56" s="19" t="s">
        <v>55</v>
      </c>
      <c r="C56" t="s">
        <v>402</v>
      </c>
      <c r="D56" s="379"/>
      <c r="E56" s="120"/>
      <c r="F56" s="379">
        <v>5335.16</v>
      </c>
      <c r="G56" s="120">
        <v>8.9124101357121866E-6</v>
      </c>
      <c r="H56" s="379">
        <v>13490.52</v>
      </c>
      <c r="I56" s="120">
        <v>5.187572402248592E-5</v>
      </c>
      <c r="J56" s="379"/>
      <c r="K56" s="120"/>
      <c r="L56" s="379">
        <v>3512.75</v>
      </c>
      <c r="M56" s="120">
        <v>1.575677912977255E-5</v>
      </c>
      <c r="N56" s="379">
        <v>14421.09</v>
      </c>
      <c r="O56" s="120">
        <v>2.0320250229468323E-5</v>
      </c>
      <c r="P56" s="383">
        <f t="shared" si="14"/>
        <v>36759.520000000004</v>
      </c>
      <c r="R56" s="379"/>
      <c r="S56" s="120"/>
      <c r="T56" s="380"/>
      <c r="U56" s="551">
        <v>701</v>
      </c>
      <c r="V56" s="550" t="s">
        <v>403</v>
      </c>
      <c r="W56" s="449" t="s">
        <v>55</v>
      </c>
      <c r="X56" s="562" t="s">
        <v>402</v>
      </c>
      <c r="Y56" s="379"/>
      <c r="Z56" s="379">
        <v>13232.08</v>
      </c>
      <c r="AA56" s="379">
        <v>12790.67</v>
      </c>
      <c r="AB56" s="379"/>
      <c r="AC56" s="379">
        <v>0</v>
      </c>
      <c r="AD56" s="379">
        <v>26022.75</v>
      </c>
      <c r="AE56" s="124"/>
      <c r="AF56" s="551">
        <v>701</v>
      </c>
      <c r="AG56" s="550" t="s">
        <v>403</v>
      </c>
      <c r="AH56" s="449" t="s">
        <v>55</v>
      </c>
      <c r="AI56" s="562" t="s">
        <v>402</v>
      </c>
      <c r="AJ56" s="383">
        <f t="shared" si="4"/>
        <v>0</v>
      </c>
      <c r="AK56" s="383">
        <f t="shared" si="5"/>
        <v>14421.09</v>
      </c>
      <c r="AL56" s="383">
        <f t="shared" si="6"/>
        <v>13490.52</v>
      </c>
      <c r="AM56" s="383">
        <f t="shared" si="7"/>
        <v>0</v>
      </c>
      <c r="AN56" s="383">
        <f t="shared" si="8"/>
        <v>0</v>
      </c>
      <c r="AO56" s="124">
        <f t="shared" si="9"/>
        <v>27911.61</v>
      </c>
      <c r="AR56" s="124">
        <f t="shared" si="10"/>
        <v>3512.75</v>
      </c>
      <c r="AS56" s="124">
        <f t="shared" si="11"/>
        <v>5335.16</v>
      </c>
      <c r="AV56" s="379">
        <f t="shared" si="12"/>
        <v>8847.91</v>
      </c>
      <c r="AW56" s="124">
        <f t="shared" si="13"/>
        <v>0</v>
      </c>
      <c r="AZ56" s="379"/>
      <c r="BA56" s="379">
        <v>354.09999999999997</v>
      </c>
      <c r="BB56" s="379">
        <v>343.69</v>
      </c>
      <c r="BC56" s="379"/>
      <c r="BD56" s="379">
        <v>0</v>
      </c>
      <c r="BE56" s="379">
        <f t="shared" si="15"/>
        <v>697.79</v>
      </c>
      <c r="BF56" s="379"/>
      <c r="BO56" s="477"/>
      <c r="BP56" s="477">
        <v>31520.02</v>
      </c>
      <c r="BQ56" s="477">
        <v>31960.04</v>
      </c>
      <c r="BR56" s="477"/>
      <c r="BS56" s="477">
        <v>0</v>
      </c>
      <c r="BT56" s="477">
        <v>63480.06</v>
      </c>
      <c r="BW56" s="126">
        <v>249</v>
      </c>
      <c r="BX56" s="125">
        <v>9206</v>
      </c>
      <c r="BY56" s="19" t="s">
        <v>55</v>
      </c>
      <c r="BZ56" t="s">
        <v>792</v>
      </c>
    </row>
    <row r="57" spans="1:78" x14ac:dyDescent="0.25">
      <c r="A57" s="443">
        <v>9206</v>
      </c>
      <c r="B57" s="19" t="s">
        <v>55</v>
      </c>
      <c r="C57" t="s">
        <v>144</v>
      </c>
      <c r="D57" s="379">
        <v>3953.29</v>
      </c>
      <c r="E57" s="120">
        <v>6.6039897332806573E-6</v>
      </c>
      <c r="F57" s="379">
        <v>477091.21</v>
      </c>
      <c r="G57" s="120">
        <v>7.9698313371355154E-4</v>
      </c>
      <c r="H57" s="379">
        <v>1183094.68</v>
      </c>
      <c r="I57" s="120">
        <v>4.5494090007020694E-3</v>
      </c>
      <c r="J57" s="379">
        <v>0</v>
      </c>
      <c r="K57" s="120">
        <v>0</v>
      </c>
      <c r="L57" s="379">
        <v>1101454.3600000001</v>
      </c>
      <c r="M57" s="120">
        <v>4.9406798297758113E-3</v>
      </c>
      <c r="N57" s="379">
        <v>3597547.08</v>
      </c>
      <c r="O57" s="120">
        <v>5.0691769400158446E-3</v>
      </c>
      <c r="P57" s="383">
        <f t="shared" si="14"/>
        <v>6363140.6200000001</v>
      </c>
      <c r="R57" s="379"/>
      <c r="S57" s="120"/>
      <c r="T57" s="380"/>
      <c r="U57" s="551">
        <v>249</v>
      </c>
      <c r="V57" s="550" t="s">
        <v>145</v>
      </c>
      <c r="W57" s="449" t="s">
        <v>55</v>
      </c>
      <c r="X57" s="562" t="s">
        <v>144</v>
      </c>
      <c r="Y57" s="379">
        <v>0</v>
      </c>
      <c r="Z57" s="379">
        <v>3324334.52</v>
      </c>
      <c r="AA57" s="379">
        <v>1076010.8899999999</v>
      </c>
      <c r="AB57" s="379">
        <v>2505.9899999999998</v>
      </c>
      <c r="AC57" s="379">
        <v>0</v>
      </c>
      <c r="AD57" s="379">
        <v>4402851.4000000004</v>
      </c>
      <c r="AE57" s="124"/>
      <c r="AF57" s="551">
        <v>249</v>
      </c>
      <c r="AG57" s="550" t="s">
        <v>145</v>
      </c>
      <c r="AH57" s="449" t="s">
        <v>55</v>
      </c>
      <c r="AI57" s="562" t="s">
        <v>144</v>
      </c>
      <c r="AJ57" s="383">
        <f t="shared" si="4"/>
        <v>0</v>
      </c>
      <c r="AK57" s="383">
        <f t="shared" si="5"/>
        <v>3597547.08</v>
      </c>
      <c r="AL57" s="383">
        <f t="shared" si="6"/>
        <v>1183094.68</v>
      </c>
      <c r="AM57" s="383">
        <f t="shared" si="7"/>
        <v>3953.29</v>
      </c>
      <c r="AN57" s="383">
        <f t="shared" si="8"/>
        <v>0</v>
      </c>
      <c r="AO57" s="124">
        <f t="shared" si="9"/>
        <v>4784595.05</v>
      </c>
      <c r="AR57" s="124">
        <f t="shared" si="10"/>
        <v>1101454.3600000001</v>
      </c>
      <c r="AS57" s="124">
        <f t="shared" si="11"/>
        <v>477091.21</v>
      </c>
      <c r="AV57" s="379">
        <f t="shared" si="12"/>
        <v>1578545.57</v>
      </c>
      <c r="AW57" s="124">
        <f t="shared" si="13"/>
        <v>0</v>
      </c>
      <c r="AZ57" s="379">
        <v>0</v>
      </c>
      <c r="BA57" s="379">
        <v>87464.62</v>
      </c>
      <c r="BB57" s="379">
        <v>29940.11</v>
      </c>
      <c r="BC57" s="379">
        <v>82.1</v>
      </c>
      <c r="BD57" s="379">
        <v>0</v>
      </c>
      <c r="BE57" s="379">
        <f t="shared" si="15"/>
        <v>117486.83</v>
      </c>
      <c r="BF57" s="379"/>
      <c r="BO57" s="477">
        <v>0</v>
      </c>
      <c r="BP57" s="477">
        <v>8110800.5800000001</v>
      </c>
      <c r="BQ57" s="477">
        <v>2766136.8899999997</v>
      </c>
      <c r="BR57" s="477">
        <v>6541.38</v>
      </c>
      <c r="BS57" s="477">
        <v>0</v>
      </c>
      <c r="BT57" s="477">
        <v>10883478.85</v>
      </c>
      <c r="BW57" s="126">
        <v>562</v>
      </c>
      <c r="BX57" s="125">
        <v>9207</v>
      </c>
      <c r="BY57" s="19" t="s">
        <v>55</v>
      </c>
      <c r="BZ57" t="s">
        <v>861</v>
      </c>
    </row>
    <row r="58" spans="1:78" x14ac:dyDescent="0.25">
      <c r="A58" s="443">
        <v>9207</v>
      </c>
      <c r="B58" s="19" t="s">
        <v>55</v>
      </c>
      <c r="C58" t="s">
        <v>284</v>
      </c>
      <c r="D58" s="379"/>
      <c r="E58" s="120"/>
      <c r="F58" s="379">
        <v>11841.26</v>
      </c>
      <c r="G58" s="120">
        <v>1.9780881106396676E-5</v>
      </c>
      <c r="H58" s="379">
        <v>29220.23</v>
      </c>
      <c r="I58" s="120">
        <v>1.1236190950041686E-4</v>
      </c>
      <c r="J58" s="379">
        <v>0</v>
      </c>
      <c r="K58" s="120">
        <v>0</v>
      </c>
      <c r="L58" s="379">
        <v>24600.69</v>
      </c>
      <c r="M58" s="120">
        <v>1.1034876913244729E-4</v>
      </c>
      <c r="N58" s="379">
        <v>86794.07</v>
      </c>
      <c r="O58" s="120">
        <v>1.2229846848150797E-4</v>
      </c>
      <c r="P58" s="383">
        <f t="shared" si="14"/>
        <v>152456.25</v>
      </c>
      <c r="R58" s="379"/>
      <c r="S58" s="120"/>
      <c r="T58" s="380"/>
      <c r="U58" s="551">
        <v>562</v>
      </c>
      <c r="V58" s="550" t="s">
        <v>285</v>
      </c>
      <c r="W58" s="449" t="s">
        <v>55</v>
      </c>
      <c r="X58" s="562" t="s">
        <v>284</v>
      </c>
      <c r="Y58" s="379">
        <v>0</v>
      </c>
      <c r="Z58" s="379">
        <v>85137.420000000013</v>
      </c>
      <c r="AA58" s="379">
        <v>26432.260000000002</v>
      </c>
      <c r="AB58" s="379"/>
      <c r="AC58" s="379">
        <v>0</v>
      </c>
      <c r="AD58" s="379">
        <v>111569.68000000002</v>
      </c>
      <c r="AE58" s="124"/>
      <c r="AF58" s="551">
        <v>562</v>
      </c>
      <c r="AG58" s="550" t="s">
        <v>285</v>
      </c>
      <c r="AH58" s="449" t="s">
        <v>55</v>
      </c>
      <c r="AI58" s="562" t="s">
        <v>284</v>
      </c>
      <c r="AJ58" s="383">
        <f t="shared" si="4"/>
        <v>0</v>
      </c>
      <c r="AK58" s="383">
        <f t="shared" si="5"/>
        <v>86794.07</v>
      </c>
      <c r="AL58" s="383">
        <f t="shared" si="6"/>
        <v>29220.23</v>
      </c>
      <c r="AM58" s="383">
        <f t="shared" si="7"/>
        <v>0</v>
      </c>
      <c r="AN58" s="383">
        <f t="shared" si="8"/>
        <v>0</v>
      </c>
      <c r="AO58" s="124">
        <f t="shared" si="9"/>
        <v>116014.3</v>
      </c>
      <c r="AR58" s="124">
        <f t="shared" si="10"/>
        <v>24600.69</v>
      </c>
      <c r="AS58" s="124">
        <f t="shared" si="11"/>
        <v>11841.26</v>
      </c>
      <c r="AV58" s="379">
        <f t="shared" si="12"/>
        <v>36441.949999999997</v>
      </c>
      <c r="AW58" s="124">
        <f t="shared" si="13"/>
        <v>0</v>
      </c>
      <c r="AZ58" s="379">
        <v>0</v>
      </c>
      <c r="BA58" s="379">
        <v>2117.83</v>
      </c>
      <c r="BB58" s="379">
        <v>738.03</v>
      </c>
      <c r="BC58" s="379"/>
      <c r="BD58" s="379">
        <v>0</v>
      </c>
      <c r="BE58" s="379">
        <f t="shared" si="15"/>
        <v>2855.8599999999997</v>
      </c>
      <c r="BF58" s="379"/>
      <c r="BO58" s="477">
        <v>0</v>
      </c>
      <c r="BP58" s="477">
        <v>198650.01</v>
      </c>
      <c r="BQ58" s="477">
        <v>68231.78</v>
      </c>
      <c r="BR58" s="477"/>
      <c r="BS58" s="477">
        <v>0</v>
      </c>
      <c r="BT58" s="477">
        <v>266881.79000000004</v>
      </c>
      <c r="BW58" s="126">
        <v>1067</v>
      </c>
      <c r="BX58" s="125">
        <v>9209</v>
      </c>
      <c r="BY58" s="19" t="s">
        <v>55</v>
      </c>
      <c r="BZ58" t="s">
        <v>1005</v>
      </c>
    </row>
    <row r="59" spans="1:78" x14ac:dyDescent="0.25">
      <c r="A59" s="443">
        <v>9209</v>
      </c>
      <c r="B59" s="19" t="s">
        <v>55</v>
      </c>
      <c r="C59" t="s">
        <v>592</v>
      </c>
      <c r="D59" s="379"/>
      <c r="E59" s="120"/>
      <c r="F59" s="379">
        <v>28919.64</v>
      </c>
      <c r="G59" s="120">
        <v>4.8310396062563744E-5</v>
      </c>
      <c r="H59" s="379">
        <v>70350.83</v>
      </c>
      <c r="I59" s="120">
        <v>2.7052331873291934E-4</v>
      </c>
      <c r="J59" s="379"/>
      <c r="K59" s="120"/>
      <c r="L59" s="379">
        <v>58197.22</v>
      </c>
      <c r="M59" s="120">
        <v>2.6104924674593457E-4</v>
      </c>
      <c r="N59" s="379">
        <v>170365.28</v>
      </c>
      <c r="O59" s="120">
        <v>2.4005571839669782E-4</v>
      </c>
      <c r="P59" s="383">
        <f t="shared" si="14"/>
        <v>327832.96999999997</v>
      </c>
      <c r="R59" s="379"/>
      <c r="S59" s="120"/>
      <c r="T59" s="380"/>
      <c r="U59" s="551">
        <v>1067</v>
      </c>
      <c r="V59" s="550" t="s">
        <v>593</v>
      </c>
      <c r="W59" s="449" t="s">
        <v>55</v>
      </c>
      <c r="X59" s="562" t="s">
        <v>592</v>
      </c>
      <c r="Y59" s="379"/>
      <c r="Z59" s="379">
        <v>180929.66999999998</v>
      </c>
      <c r="AA59" s="379">
        <v>64305.25</v>
      </c>
      <c r="AB59" s="379"/>
      <c r="AC59" s="379">
        <v>0</v>
      </c>
      <c r="AD59" s="379">
        <v>245234.91999999998</v>
      </c>
      <c r="AE59" s="124"/>
      <c r="AF59" s="551">
        <v>1067</v>
      </c>
      <c r="AG59" s="550" t="s">
        <v>593</v>
      </c>
      <c r="AH59" s="449" t="s">
        <v>55</v>
      </c>
      <c r="AI59" s="562" t="s">
        <v>592</v>
      </c>
      <c r="AJ59" s="383">
        <f t="shared" si="4"/>
        <v>0</v>
      </c>
      <c r="AK59" s="383">
        <f t="shared" si="5"/>
        <v>170365.28</v>
      </c>
      <c r="AL59" s="383">
        <f t="shared" si="6"/>
        <v>70350.83</v>
      </c>
      <c r="AM59" s="383">
        <f t="shared" si="7"/>
        <v>0</v>
      </c>
      <c r="AN59" s="383">
        <f t="shared" si="8"/>
        <v>0</v>
      </c>
      <c r="AO59" s="124">
        <f t="shared" si="9"/>
        <v>240716.11</v>
      </c>
      <c r="AR59" s="124">
        <f t="shared" si="10"/>
        <v>58197.22</v>
      </c>
      <c r="AS59" s="124">
        <f t="shared" si="11"/>
        <v>28919.64</v>
      </c>
      <c r="AV59" s="379">
        <f t="shared" si="12"/>
        <v>87116.86</v>
      </c>
      <c r="AW59" s="124">
        <f t="shared" si="13"/>
        <v>0</v>
      </c>
      <c r="AZ59" s="379"/>
      <c r="BA59" s="379">
        <v>4118.07</v>
      </c>
      <c r="BB59" s="379">
        <v>1767.5499999999997</v>
      </c>
      <c r="BC59" s="379"/>
      <c r="BD59" s="379">
        <v>0</v>
      </c>
      <c r="BE59" s="379">
        <f t="shared" si="15"/>
        <v>5885.619999999999</v>
      </c>
      <c r="BF59" s="379"/>
      <c r="BO59" s="477"/>
      <c r="BP59" s="477">
        <v>413610.23999999999</v>
      </c>
      <c r="BQ59" s="477">
        <v>165343.26999999999</v>
      </c>
      <c r="BR59" s="477"/>
      <c r="BS59" s="477">
        <v>0</v>
      </c>
      <c r="BT59" s="477">
        <v>578953.51</v>
      </c>
      <c r="BW59" s="126">
        <v>425</v>
      </c>
      <c r="BX59" s="125">
        <v>10003</v>
      </c>
      <c r="BY59" s="19" t="s">
        <v>18</v>
      </c>
      <c r="BZ59" t="s">
        <v>838</v>
      </c>
    </row>
    <row r="60" spans="1:78" x14ac:dyDescent="0.25">
      <c r="A60" s="443">
        <v>10003</v>
      </c>
      <c r="B60" s="19" t="s">
        <v>18</v>
      </c>
      <c r="C60" t="s">
        <v>236</v>
      </c>
      <c r="D60" s="379"/>
      <c r="E60" s="120"/>
      <c r="F60" s="379">
        <v>10086.469999999999</v>
      </c>
      <c r="G60" s="120">
        <v>1.6849496071637382E-5</v>
      </c>
      <c r="H60" s="379">
        <v>24802.12</v>
      </c>
      <c r="I60" s="120">
        <v>9.5372745623784579E-5</v>
      </c>
      <c r="J60" s="379"/>
      <c r="K60" s="120"/>
      <c r="L60" s="379">
        <v>7437.37</v>
      </c>
      <c r="M60" s="120">
        <v>3.3361040892860707E-5</v>
      </c>
      <c r="N60" s="379">
        <v>22370.02</v>
      </c>
      <c r="O60" s="120">
        <v>3.1520807653111582E-5</v>
      </c>
      <c r="P60" s="383">
        <f t="shared" si="14"/>
        <v>64695.979999999996</v>
      </c>
      <c r="R60" s="379"/>
      <c r="S60" s="120"/>
      <c r="T60" s="380"/>
      <c r="U60" s="551">
        <v>425</v>
      </c>
      <c r="V60" s="550" t="s">
        <v>237</v>
      </c>
      <c r="W60" s="449" t="s">
        <v>18</v>
      </c>
      <c r="X60" s="562" t="s">
        <v>236</v>
      </c>
      <c r="Y60" s="379"/>
      <c r="Z60" s="379">
        <v>18276.91</v>
      </c>
      <c r="AA60" s="379">
        <v>21846.93</v>
      </c>
      <c r="AB60" s="379"/>
      <c r="AC60" s="379">
        <v>0</v>
      </c>
      <c r="AD60" s="379">
        <v>40123.839999999997</v>
      </c>
      <c r="AE60" s="124"/>
      <c r="AF60" s="551">
        <v>425</v>
      </c>
      <c r="AG60" s="550" t="s">
        <v>237</v>
      </c>
      <c r="AH60" s="449" t="s">
        <v>18</v>
      </c>
      <c r="AI60" s="562" t="s">
        <v>236</v>
      </c>
      <c r="AJ60" s="383">
        <f t="shared" si="4"/>
        <v>0</v>
      </c>
      <c r="AK60" s="383">
        <f t="shared" si="5"/>
        <v>22370.02</v>
      </c>
      <c r="AL60" s="383">
        <f t="shared" si="6"/>
        <v>24802.12</v>
      </c>
      <c r="AM60" s="383">
        <f t="shared" si="7"/>
        <v>0</v>
      </c>
      <c r="AN60" s="383">
        <f t="shared" si="8"/>
        <v>0</v>
      </c>
      <c r="AO60" s="124">
        <f t="shared" si="9"/>
        <v>47172.14</v>
      </c>
      <c r="AR60" s="124">
        <f t="shared" si="10"/>
        <v>7437.37</v>
      </c>
      <c r="AS60" s="124">
        <f t="shared" si="11"/>
        <v>10086.469999999999</v>
      </c>
      <c r="AV60" s="379">
        <f t="shared" si="12"/>
        <v>17523.84</v>
      </c>
      <c r="AW60" s="124">
        <f t="shared" si="13"/>
        <v>0</v>
      </c>
      <c r="AZ60" s="379"/>
      <c r="BA60" s="379">
        <v>541.38</v>
      </c>
      <c r="BB60" s="379">
        <v>625.56999999999994</v>
      </c>
      <c r="BC60" s="379"/>
      <c r="BD60" s="379">
        <v>0</v>
      </c>
      <c r="BE60" s="379">
        <f t="shared" si="15"/>
        <v>1166.9499999999998</v>
      </c>
      <c r="BF60" s="379"/>
      <c r="BO60" s="477"/>
      <c r="BP60" s="477">
        <v>48625.68</v>
      </c>
      <c r="BQ60" s="477">
        <v>57361.09</v>
      </c>
      <c r="BR60" s="477"/>
      <c r="BS60" s="477">
        <v>0</v>
      </c>
      <c r="BT60" s="477">
        <v>105986.76999999999</v>
      </c>
      <c r="BW60" s="126">
        <v>214</v>
      </c>
      <c r="BX60" s="125">
        <v>10050</v>
      </c>
      <c r="BY60" s="19" t="s">
        <v>18</v>
      </c>
      <c r="BZ60" t="s">
        <v>782</v>
      </c>
    </row>
    <row r="61" spans="1:78" x14ac:dyDescent="0.25">
      <c r="A61" s="443">
        <v>10050</v>
      </c>
      <c r="B61" s="19" t="s">
        <v>18</v>
      </c>
      <c r="C61" t="s">
        <v>122</v>
      </c>
      <c r="D61" s="379"/>
      <c r="E61" s="120"/>
      <c r="F61" s="379">
        <v>25001.63</v>
      </c>
      <c r="G61" s="120">
        <v>4.1765341736953694E-5</v>
      </c>
      <c r="H61" s="379">
        <v>61759.13</v>
      </c>
      <c r="I61" s="120">
        <v>2.37485255108686E-4</v>
      </c>
      <c r="J61" s="379"/>
      <c r="K61" s="120"/>
      <c r="L61" s="379">
        <v>37985.9</v>
      </c>
      <c r="M61" s="120">
        <v>1.703894203531783E-4</v>
      </c>
      <c r="N61" s="379">
        <v>119794.48</v>
      </c>
      <c r="O61" s="120">
        <v>1.6879818444438238E-4</v>
      </c>
      <c r="P61" s="383">
        <f t="shared" si="14"/>
        <v>244541.14</v>
      </c>
      <c r="R61" s="379"/>
      <c r="S61" s="120"/>
      <c r="T61" s="380"/>
      <c r="U61" s="551">
        <v>214</v>
      </c>
      <c r="V61" s="550" t="s">
        <v>123</v>
      </c>
      <c r="W61" s="449" t="s">
        <v>18</v>
      </c>
      <c r="X61" s="562" t="s">
        <v>122</v>
      </c>
      <c r="Y61" s="379"/>
      <c r="Z61" s="379">
        <v>127809.62000000001</v>
      </c>
      <c r="AA61" s="379">
        <v>61456.740000000005</v>
      </c>
      <c r="AB61" s="379"/>
      <c r="AC61" s="379">
        <v>0</v>
      </c>
      <c r="AD61" s="379">
        <v>189266.36000000002</v>
      </c>
      <c r="AE61" s="124"/>
      <c r="AF61" s="551">
        <v>214</v>
      </c>
      <c r="AG61" s="550" t="s">
        <v>123</v>
      </c>
      <c r="AH61" s="449" t="s">
        <v>18</v>
      </c>
      <c r="AI61" s="562" t="s">
        <v>122</v>
      </c>
      <c r="AJ61" s="383">
        <f t="shared" si="4"/>
        <v>0</v>
      </c>
      <c r="AK61" s="383">
        <f t="shared" si="5"/>
        <v>119794.48</v>
      </c>
      <c r="AL61" s="383">
        <f t="shared" si="6"/>
        <v>61759.13</v>
      </c>
      <c r="AM61" s="383">
        <f t="shared" si="7"/>
        <v>0</v>
      </c>
      <c r="AN61" s="383">
        <f t="shared" si="8"/>
        <v>0</v>
      </c>
      <c r="AO61" s="124">
        <f t="shared" si="9"/>
        <v>181553.61</v>
      </c>
      <c r="AR61" s="124">
        <f t="shared" si="10"/>
        <v>37985.9</v>
      </c>
      <c r="AS61" s="124">
        <f t="shared" si="11"/>
        <v>25001.63</v>
      </c>
      <c r="AV61" s="379">
        <f t="shared" si="12"/>
        <v>62987.53</v>
      </c>
      <c r="AW61" s="124">
        <f t="shared" si="13"/>
        <v>0</v>
      </c>
      <c r="AZ61" s="379"/>
      <c r="BA61" s="379">
        <v>2907.05</v>
      </c>
      <c r="BB61" s="379">
        <v>1560.61</v>
      </c>
      <c r="BC61" s="379"/>
      <c r="BD61" s="379">
        <v>0</v>
      </c>
      <c r="BE61" s="379">
        <f t="shared" si="15"/>
        <v>4467.66</v>
      </c>
      <c r="BF61" s="379"/>
      <c r="BO61" s="477"/>
      <c r="BP61" s="477">
        <v>288497.05</v>
      </c>
      <c r="BQ61" s="477">
        <v>149778.11000000002</v>
      </c>
      <c r="BR61" s="477"/>
      <c r="BS61" s="477">
        <v>0</v>
      </c>
      <c r="BT61" s="477">
        <v>438275.16000000003</v>
      </c>
      <c r="BW61" s="126">
        <v>685</v>
      </c>
      <c r="BX61" s="125">
        <v>10065</v>
      </c>
      <c r="BY61" s="19" t="s">
        <v>18</v>
      </c>
      <c r="BZ61" t="s">
        <v>910</v>
      </c>
    </row>
    <row r="62" spans="1:78" x14ac:dyDescent="0.25">
      <c r="A62" s="443">
        <v>10065</v>
      </c>
      <c r="B62" s="19" t="s">
        <v>18</v>
      </c>
      <c r="C62" t="s">
        <v>392</v>
      </c>
      <c r="D62" s="379"/>
      <c r="E62" s="120"/>
      <c r="F62" s="379">
        <v>8365.19</v>
      </c>
      <c r="G62" s="120">
        <v>1.3974089651136653E-5</v>
      </c>
      <c r="H62" s="379">
        <v>20305.72</v>
      </c>
      <c r="I62" s="120">
        <v>7.808252956875441E-5</v>
      </c>
      <c r="J62" s="379"/>
      <c r="K62" s="120"/>
      <c r="L62" s="379">
        <v>12817.78</v>
      </c>
      <c r="M62" s="120">
        <v>5.749538919479496E-5</v>
      </c>
      <c r="N62" s="379">
        <v>33131.74</v>
      </c>
      <c r="O62" s="120">
        <v>4.6684768442446769E-5</v>
      </c>
      <c r="P62" s="383">
        <f t="shared" si="14"/>
        <v>74620.429999999993</v>
      </c>
      <c r="R62" s="379"/>
      <c r="S62" s="120"/>
      <c r="T62" s="380"/>
      <c r="U62" s="551">
        <v>685</v>
      </c>
      <c r="V62" s="550" t="s">
        <v>393</v>
      </c>
      <c r="W62" s="449" t="s">
        <v>18</v>
      </c>
      <c r="X62" s="562" t="s">
        <v>392</v>
      </c>
      <c r="Y62" s="379"/>
      <c r="Z62" s="379">
        <v>46413.06</v>
      </c>
      <c r="AA62" s="379">
        <v>18858.599999999999</v>
      </c>
      <c r="AB62" s="379"/>
      <c r="AC62" s="379">
        <v>0</v>
      </c>
      <c r="AD62" s="379">
        <v>65271.659999999996</v>
      </c>
      <c r="AE62" s="124"/>
      <c r="AF62" s="551">
        <v>685</v>
      </c>
      <c r="AG62" s="550" t="s">
        <v>393</v>
      </c>
      <c r="AH62" s="449" t="s">
        <v>18</v>
      </c>
      <c r="AI62" s="562" t="s">
        <v>392</v>
      </c>
      <c r="AJ62" s="383">
        <f t="shared" si="4"/>
        <v>0</v>
      </c>
      <c r="AK62" s="383">
        <f t="shared" si="5"/>
        <v>33131.74</v>
      </c>
      <c r="AL62" s="383">
        <f t="shared" si="6"/>
        <v>20305.72</v>
      </c>
      <c r="AM62" s="383">
        <f t="shared" si="7"/>
        <v>0</v>
      </c>
      <c r="AN62" s="383">
        <f t="shared" si="8"/>
        <v>0</v>
      </c>
      <c r="AO62" s="124">
        <f t="shared" si="9"/>
        <v>53437.46</v>
      </c>
      <c r="AR62" s="124">
        <f t="shared" si="10"/>
        <v>12817.78</v>
      </c>
      <c r="AS62" s="124">
        <f t="shared" si="11"/>
        <v>8365.19</v>
      </c>
      <c r="AV62" s="379">
        <f t="shared" si="12"/>
        <v>21182.97</v>
      </c>
      <c r="AW62" s="124">
        <f t="shared" si="13"/>
        <v>0</v>
      </c>
      <c r="AZ62" s="379"/>
      <c r="BA62" s="379">
        <v>794.84</v>
      </c>
      <c r="BB62" s="379">
        <v>509.69</v>
      </c>
      <c r="BC62" s="379"/>
      <c r="BD62" s="379">
        <v>0</v>
      </c>
      <c r="BE62" s="379">
        <f t="shared" si="15"/>
        <v>1304.53</v>
      </c>
      <c r="BF62" s="379"/>
      <c r="BO62" s="477"/>
      <c r="BP62" s="477">
        <v>93157.42</v>
      </c>
      <c r="BQ62" s="477">
        <v>48039.199999999997</v>
      </c>
      <c r="BR62" s="477"/>
      <c r="BS62" s="477">
        <v>0</v>
      </c>
      <c r="BT62" s="477">
        <v>141196.62</v>
      </c>
      <c r="BW62" s="126">
        <v>396</v>
      </c>
      <c r="BX62" s="125">
        <v>10070</v>
      </c>
      <c r="BY62" s="19" t="s">
        <v>18</v>
      </c>
      <c r="BZ62" t="s">
        <v>833</v>
      </c>
    </row>
    <row r="63" spans="1:78" x14ac:dyDescent="0.25">
      <c r="A63" s="443">
        <v>10070</v>
      </c>
      <c r="B63" s="19" t="s">
        <v>18</v>
      </c>
      <c r="C63" t="s">
        <v>226</v>
      </c>
      <c r="D63" s="379"/>
      <c r="E63" s="120"/>
      <c r="F63" s="379">
        <v>36272.36</v>
      </c>
      <c r="G63" s="120">
        <v>6.0593149766867589E-5</v>
      </c>
      <c r="H63" s="379">
        <v>87507.66</v>
      </c>
      <c r="I63" s="120">
        <v>3.3649727512457118E-4</v>
      </c>
      <c r="J63" s="379"/>
      <c r="K63" s="120"/>
      <c r="L63" s="379">
        <v>65753.22</v>
      </c>
      <c r="M63" s="120">
        <v>2.949424139524142E-4</v>
      </c>
      <c r="N63" s="379">
        <v>197360.5</v>
      </c>
      <c r="O63" s="120">
        <v>2.7809373254122834E-4</v>
      </c>
      <c r="P63" s="383">
        <f t="shared" si="14"/>
        <v>386893.74</v>
      </c>
      <c r="R63" s="379"/>
      <c r="S63" s="120"/>
      <c r="T63" s="380"/>
      <c r="U63" s="551">
        <v>396</v>
      </c>
      <c r="V63" s="550" t="s">
        <v>227</v>
      </c>
      <c r="W63" s="449" t="s">
        <v>18</v>
      </c>
      <c r="X63" s="562" t="s">
        <v>226</v>
      </c>
      <c r="Y63" s="379"/>
      <c r="Z63" s="379">
        <v>226340.49000000002</v>
      </c>
      <c r="AA63" s="379">
        <v>78543.28</v>
      </c>
      <c r="AB63" s="379"/>
      <c r="AC63" s="379">
        <v>0</v>
      </c>
      <c r="AD63" s="379">
        <v>304883.77</v>
      </c>
      <c r="AE63" s="124"/>
      <c r="AF63" s="551">
        <v>396</v>
      </c>
      <c r="AG63" s="550" t="s">
        <v>227</v>
      </c>
      <c r="AH63" s="449" t="s">
        <v>18</v>
      </c>
      <c r="AI63" s="562" t="s">
        <v>226</v>
      </c>
      <c r="AJ63" s="383">
        <f t="shared" si="4"/>
        <v>0</v>
      </c>
      <c r="AK63" s="383">
        <f t="shared" si="5"/>
        <v>197360.5</v>
      </c>
      <c r="AL63" s="383">
        <f t="shared" si="6"/>
        <v>87507.66</v>
      </c>
      <c r="AM63" s="383">
        <f t="shared" si="7"/>
        <v>0</v>
      </c>
      <c r="AN63" s="383">
        <f t="shared" si="8"/>
        <v>0</v>
      </c>
      <c r="AO63" s="124">
        <f t="shared" si="9"/>
        <v>284868.16000000003</v>
      </c>
      <c r="AR63" s="124">
        <f t="shared" si="10"/>
        <v>65753.22</v>
      </c>
      <c r="AS63" s="124">
        <f t="shared" si="11"/>
        <v>36272.36</v>
      </c>
      <c r="AV63" s="379">
        <f t="shared" si="12"/>
        <v>102025.58</v>
      </c>
      <c r="AW63" s="124">
        <f t="shared" si="13"/>
        <v>0</v>
      </c>
      <c r="AZ63" s="379"/>
      <c r="BA63" s="379">
        <v>4777.2199999999993</v>
      </c>
      <c r="BB63" s="379">
        <v>2192</v>
      </c>
      <c r="BC63" s="379"/>
      <c r="BD63" s="379">
        <v>0</v>
      </c>
      <c r="BE63" s="379">
        <f t="shared" si="15"/>
        <v>6969.2199999999993</v>
      </c>
      <c r="BF63" s="379"/>
      <c r="BO63" s="477"/>
      <c r="BP63" s="477">
        <v>494231.43</v>
      </c>
      <c r="BQ63" s="477">
        <v>204515.3</v>
      </c>
      <c r="BR63" s="477"/>
      <c r="BS63" s="477">
        <v>0</v>
      </c>
      <c r="BT63" s="477">
        <v>698746.73</v>
      </c>
      <c r="BW63" s="126">
        <v>805</v>
      </c>
      <c r="BX63" s="125">
        <v>10309</v>
      </c>
      <c r="BY63" s="19" t="s">
        <v>18</v>
      </c>
      <c r="BZ63" t="s">
        <v>939</v>
      </c>
    </row>
    <row r="64" spans="1:78" x14ac:dyDescent="0.25">
      <c r="A64" s="443">
        <v>10309</v>
      </c>
      <c r="B64" s="19" t="s">
        <v>18</v>
      </c>
      <c r="C64" t="s">
        <v>452</v>
      </c>
      <c r="D64" s="379"/>
      <c r="E64" s="120"/>
      <c r="F64" s="379">
        <v>32437.25</v>
      </c>
      <c r="G64" s="120">
        <v>5.4186580285245452E-5</v>
      </c>
      <c r="H64" s="379">
        <v>79923.16</v>
      </c>
      <c r="I64" s="120">
        <v>3.073322445068823E-4</v>
      </c>
      <c r="J64" s="379"/>
      <c r="K64" s="120"/>
      <c r="L64" s="379">
        <v>54781.64</v>
      </c>
      <c r="M64" s="120">
        <v>2.4572833302874186E-4</v>
      </c>
      <c r="N64" s="379">
        <v>183724.76</v>
      </c>
      <c r="O64" s="120">
        <v>2.5888009134878239E-4</v>
      </c>
      <c r="P64" s="383">
        <f t="shared" si="14"/>
        <v>350866.81</v>
      </c>
      <c r="R64" s="379"/>
      <c r="S64" s="120"/>
      <c r="T64" s="380"/>
      <c r="U64" s="551">
        <v>805</v>
      </c>
      <c r="V64" s="550" t="s">
        <v>453</v>
      </c>
      <c r="W64" s="449" t="s">
        <v>18</v>
      </c>
      <c r="X64" s="562" t="s">
        <v>452</v>
      </c>
      <c r="Y64" s="379"/>
      <c r="Z64" s="379">
        <v>202053.37</v>
      </c>
      <c r="AA64" s="379">
        <v>79885.72</v>
      </c>
      <c r="AB64" s="379"/>
      <c r="AC64" s="379">
        <v>0</v>
      </c>
      <c r="AD64" s="379">
        <v>281939.08999999997</v>
      </c>
      <c r="AE64" s="124"/>
      <c r="AF64" s="551">
        <v>805</v>
      </c>
      <c r="AG64" s="550" t="s">
        <v>453</v>
      </c>
      <c r="AH64" s="449" t="s">
        <v>18</v>
      </c>
      <c r="AI64" s="562" t="s">
        <v>452</v>
      </c>
      <c r="AJ64" s="383">
        <f t="shared" si="4"/>
        <v>0</v>
      </c>
      <c r="AK64" s="383">
        <f t="shared" si="5"/>
        <v>183724.76</v>
      </c>
      <c r="AL64" s="383">
        <f t="shared" si="6"/>
        <v>79923.16</v>
      </c>
      <c r="AM64" s="383">
        <f t="shared" si="7"/>
        <v>0</v>
      </c>
      <c r="AN64" s="383">
        <f t="shared" si="8"/>
        <v>0</v>
      </c>
      <c r="AO64" s="124">
        <f t="shared" si="9"/>
        <v>263647.92000000004</v>
      </c>
      <c r="AR64" s="124">
        <f t="shared" si="10"/>
        <v>54781.64</v>
      </c>
      <c r="AS64" s="124">
        <f t="shared" si="11"/>
        <v>32437.25</v>
      </c>
      <c r="AV64" s="379">
        <f t="shared" si="12"/>
        <v>87218.89</v>
      </c>
      <c r="AW64" s="124">
        <f t="shared" si="13"/>
        <v>0</v>
      </c>
      <c r="AZ64" s="379"/>
      <c r="BA64" s="379">
        <v>4471.97</v>
      </c>
      <c r="BB64" s="379">
        <v>2017.7799999999997</v>
      </c>
      <c r="BC64" s="379"/>
      <c r="BD64" s="379">
        <v>0</v>
      </c>
      <c r="BE64" s="379">
        <f t="shared" si="15"/>
        <v>6489.75</v>
      </c>
      <c r="BF64" s="379"/>
      <c r="BO64" s="477"/>
      <c r="BP64" s="477">
        <v>445031.74</v>
      </c>
      <c r="BQ64" s="477">
        <v>194263.91</v>
      </c>
      <c r="BR64" s="477"/>
      <c r="BS64" s="477">
        <v>0</v>
      </c>
      <c r="BT64" s="477">
        <v>639295.65</v>
      </c>
      <c r="BW64" s="126">
        <v>709</v>
      </c>
      <c r="BX64" s="125">
        <v>11001</v>
      </c>
      <c r="BY64" s="19" t="s">
        <v>26</v>
      </c>
      <c r="BZ64" t="s">
        <v>917</v>
      </c>
    </row>
    <row r="65" spans="1:78" x14ac:dyDescent="0.25">
      <c r="A65" s="443">
        <v>11001</v>
      </c>
      <c r="B65" s="19" t="s">
        <v>26</v>
      </c>
      <c r="C65" t="s">
        <v>406</v>
      </c>
      <c r="D65" s="379"/>
      <c r="E65" s="120"/>
      <c r="F65" s="379">
        <v>1336647.6200000001</v>
      </c>
      <c r="G65" s="120">
        <v>2.2328762017190811E-3</v>
      </c>
      <c r="H65" s="379">
        <v>3244232.45</v>
      </c>
      <c r="I65" s="120">
        <v>1.2475197934623228E-2</v>
      </c>
      <c r="J65" s="379">
        <v>4025.66</v>
      </c>
      <c r="K65" s="120">
        <v>1.8057486434149928E-5</v>
      </c>
      <c r="L65" s="379">
        <v>3939411.46</v>
      </c>
      <c r="M65" s="120">
        <v>1.7670610284396784E-2</v>
      </c>
      <c r="N65" s="379">
        <v>11535037.43</v>
      </c>
      <c r="O65" s="120">
        <v>1.6253615155573064E-2</v>
      </c>
      <c r="P65" s="383">
        <f t="shared" si="14"/>
        <v>20059354.620000001</v>
      </c>
      <c r="R65" s="379"/>
      <c r="S65" s="120"/>
      <c r="T65" s="380"/>
      <c r="U65" s="551">
        <v>709</v>
      </c>
      <c r="V65" s="550" t="s">
        <v>407</v>
      </c>
      <c r="W65" s="449" t="s">
        <v>26</v>
      </c>
      <c r="X65" s="562" t="s">
        <v>406</v>
      </c>
      <c r="Y65" s="379">
        <v>1664.62</v>
      </c>
      <c r="Z65" s="379">
        <v>10554168.370000001</v>
      </c>
      <c r="AA65" s="379">
        <v>2912018.26</v>
      </c>
      <c r="AB65" s="379"/>
      <c r="AC65" s="379">
        <v>0</v>
      </c>
      <c r="AD65" s="379">
        <v>13467851.25</v>
      </c>
      <c r="AE65" s="124"/>
      <c r="AF65" s="551">
        <v>709</v>
      </c>
      <c r="AG65" s="550" t="s">
        <v>407</v>
      </c>
      <c r="AH65" s="449" t="s">
        <v>26</v>
      </c>
      <c r="AI65" s="562" t="s">
        <v>406</v>
      </c>
      <c r="AJ65" s="383">
        <f t="shared" si="4"/>
        <v>4025.66</v>
      </c>
      <c r="AK65" s="383">
        <f t="shared" si="5"/>
        <v>11535037.43</v>
      </c>
      <c r="AL65" s="383">
        <f t="shared" si="6"/>
        <v>3244232.45</v>
      </c>
      <c r="AM65" s="383">
        <f t="shared" si="7"/>
        <v>0</v>
      </c>
      <c r="AN65" s="383">
        <f t="shared" si="8"/>
        <v>0</v>
      </c>
      <c r="AO65" s="124">
        <f t="shared" si="9"/>
        <v>14783295.539999999</v>
      </c>
      <c r="AR65" s="124">
        <f t="shared" si="10"/>
        <v>3939411.46</v>
      </c>
      <c r="AS65" s="124">
        <f t="shared" si="11"/>
        <v>1336647.6200000001</v>
      </c>
      <c r="AV65" s="379">
        <f t="shared" si="12"/>
        <v>5276059.08</v>
      </c>
      <c r="AW65" s="124">
        <f t="shared" si="13"/>
        <v>0</v>
      </c>
      <c r="AZ65" s="379">
        <v>49.93</v>
      </c>
      <c r="BA65" s="379">
        <v>278840.34999999998</v>
      </c>
      <c r="BB65" s="379">
        <v>81466.260000000009</v>
      </c>
      <c r="BC65" s="379"/>
      <c r="BD65" s="379">
        <v>0</v>
      </c>
      <c r="BE65" s="379">
        <f t="shared" si="15"/>
        <v>360356.54</v>
      </c>
      <c r="BF65" s="379"/>
      <c r="BO65" s="477">
        <v>5740.21</v>
      </c>
      <c r="BP65" s="477">
        <v>26307457.609999999</v>
      </c>
      <c r="BQ65" s="477">
        <v>7574364.5899999999</v>
      </c>
      <c r="BR65" s="477"/>
      <c r="BS65" s="477">
        <v>0</v>
      </c>
      <c r="BT65" s="477">
        <v>33887562.409999996</v>
      </c>
      <c r="BW65" s="126">
        <v>648</v>
      </c>
      <c r="BX65" s="125">
        <v>11051</v>
      </c>
      <c r="BY65" s="19" t="s">
        <v>26</v>
      </c>
      <c r="BZ65" t="s">
        <v>892</v>
      </c>
    </row>
    <row r="66" spans="1:78" x14ac:dyDescent="0.25">
      <c r="A66" s="443">
        <v>11051</v>
      </c>
      <c r="B66" s="19" t="s">
        <v>26</v>
      </c>
      <c r="C66" t="s">
        <v>346</v>
      </c>
      <c r="D66" s="379"/>
      <c r="E66" s="120"/>
      <c r="F66" s="379">
        <v>173930.96</v>
      </c>
      <c r="G66" s="120">
        <v>2.9055249529876345E-4</v>
      </c>
      <c r="H66" s="379">
        <v>421507.12</v>
      </c>
      <c r="I66" s="120">
        <v>1.6208409335320547E-3</v>
      </c>
      <c r="J66" s="379">
        <v>34270.69</v>
      </c>
      <c r="K66" s="120">
        <v>1.537244873546096E-4</v>
      </c>
      <c r="L66" s="379">
        <v>436279.98</v>
      </c>
      <c r="M66" s="120">
        <v>1.9569759543382205E-3</v>
      </c>
      <c r="N66" s="379">
        <v>1223029.8</v>
      </c>
      <c r="O66" s="120">
        <v>1.7233282348349949E-3</v>
      </c>
      <c r="P66" s="383">
        <f t="shared" si="14"/>
        <v>2289018.5499999998</v>
      </c>
      <c r="R66" s="379"/>
      <c r="S66" s="120"/>
      <c r="T66" s="380"/>
      <c r="U66" s="551">
        <v>648</v>
      </c>
      <c r="V66" s="550" t="s">
        <v>347</v>
      </c>
      <c r="W66" s="449" t="s">
        <v>26</v>
      </c>
      <c r="X66" s="562" t="s">
        <v>346</v>
      </c>
      <c r="Y66" s="379">
        <v>18923.48</v>
      </c>
      <c r="Z66" s="379">
        <v>1219039.73</v>
      </c>
      <c r="AA66" s="379">
        <v>395807.51</v>
      </c>
      <c r="AB66" s="379"/>
      <c r="AC66" s="379">
        <v>0</v>
      </c>
      <c r="AD66" s="379">
        <v>1633770.72</v>
      </c>
      <c r="AE66" s="124"/>
      <c r="AF66" s="551">
        <v>648</v>
      </c>
      <c r="AG66" s="550" t="s">
        <v>347</v>
      </c>
      <c r="AH66" s="449" t="s">
        <v>26</v>
      </c>
      <c r="AI66" s="562" t="s">
        <v>346</v>
      </c>
      <c r="AJ66" s="383">
        <f t="shared" si="4"/>
        <v>34270.69</v>
      </c>
      <c r="AK66" s="383">
        <f t="shared" si="5"/>
        <v>1223029.8</v>
      </c>
      <c r="AL66" s="383">
        <f t="shared" si="6"/>
        <v>421507.12</v>
      </c>
      <c r="AM66" s="383">
        <f t="shared" si="7"/>
        <v>0</v>
      </c>
      <c r="AN66" s="383">
        <f t="shared" si="8"/>
        <v>0</v>
      </c>
      <c r="AO66" s="124">
        <f t="shared" si="9"/>
        <v>1678807.6099999999</v>
      </c>
      <c r="AR66" s="124">
        <f t="shared" si="10"/>
        <v>436279.98</v>
      </c>
      <c r="AS66" s="124">
        <f t="shared" si="11"/>
        <v>173930.96</v>
      </c>
      <c r="AV66" s="379">
        <f t="shared" si="12"/>
        <v>610210.93999999994</v>
      </c>
      <c r="AW66" s="124">
        <f t="shared" si="13"/>
        <v>0</v>
      </c>
      <c r="AZ66" s="379">
        <v>613.52</v>
      </c>
      <c r="BA66" s="379">
        <v>29491.449999999997</v>
      </c>
      <c r="BB66" s="379">
        <v>10576.91</v>
      </c>
      <c r="BC66" s="379"/>
      <c r="BD66" s="379">
        <v>0</v>
      </c>
      <c r="BE66" s="379">
        <f t="shared" si="15"/>
        <v>40681.879999999997</v>
      </c>
      <c r="BF66" s="379"/>
      <c r="BO66" s="477">
        <v>53807.69</v>
      </c>
      <c r="BP66" s="477">
        <v>2907840.96</v>
      </c>
      <c r="BQ66" s="477">
        <v>1001822.5</v>
      </c>
      <c r="BR66" s="477"/>
      <c r="BS66" s="477">
        <v>0</v>
      </c>
      <c r="BT66" s="477">
        <v>3963471.15</v>
      </c>
      <c r="BW66" s="126">
        <v>932</v>
      </c>
      <c r="BX66" s="125">
        <v>11054</v>
      </c>
      <c r="BY66" s="19" t="s">
        <v>26</v>
      </c>
      <c r="BZ66" t="s">
        <v>971</v>
      </c>
    </row>
    <row r="67" spans="1:78" x14ac:dyDescent="0.25">
      <c r="A67" s="443">
        <v>11054</v>
      </c>
      <c r="B67" s="19" t="s">
        <v>26</v>
      </c>
      <c r="C67" t="s">
        <v>518</v>
      </c>
      <c r="D67" s="379"/>
      <c r="E67" s="120"/>
      <c r="F67" s="379">
        <v>1489.96</v>
      </c>
      <c r="G67" s="120">
        <v>2.4889852611366349E-6</v>
      </c>
      <c r="H67" s="379">
        <v>3785.57</v>
      </c>
      <c r="I67" s="120">
        <v>1.4556828394146557E-5</v>
      </c>
      <c r="J67" s="379"/>
      <c r="K67" s="120"/>
      <c r="L67" s="379">
        <v>4401.4399999999996</v>
      </c>
      <c r="M67" s="120">
        <v>1.9743083889529879E-5</v>
      </c>
      <c r="N67" s="379">
        <v>12836.06</v>
      </c>
      <c r="O67" s="120">
        <v>1.8086840256906316E-5</v>
      </c>
      <c r="P67" s="383">
        <f t="shared" si="14"/>
        <v>22513.03</v>
      </c>
      <c r="R67" s="379"/>
      <c r="S67" s="120"/>
      <c r="T67" s="380"/>
      <c r="U67" s="551">
        <v>932</v>
      </c>
      <c r="V67" s="550" t="s">
        <v>519</v>
      </c>
      <c r="W67" s="449" t="s">
        <v>26</v>
      </c>
      <c r="X67" s="562" t="s">
        <v>518</v>
      </c>
      <c r="Y67" s="379"/>
      <c r="Z67" s="379">
        <v>14359.669999999998</v>
      </c>
      <c r="AA67" s="379">
        <v>2439.11</v>
      </c>
      <c r="AB67" s="379"/>
      <c r="AC67" s="379">
        <v>0</v>
      </c>
      <c r="AD67" s="379">
        <v>16798.78</v>
      </c>
      <c r="AE67" s="124"/>
      <c r="AF67" s="551">
        <v>932</v>
      </c>
      <c r="AG67" s="550" t="s">
        <v>519</v>
      </c>
      <c r="AH67" s="449" t="s">
        <v>26</v>
      </c>
      <c r="AI67" s="562" t="s">
        <v>518</v>
      </c>
      <c r="AJ67" s="383">
        <f t="shared" si="4"/>
        <v>0</v>
      </c>
      <c r="AK67" s="383">
        <f t="shared" si="5"/>
        <v>12836.06</v>
      </c>
      <c r="AL67" s="383">
        <f t="shared" si="6"/>
        <v>3785.57</v>
      </c>
      <c r="AM67" s="383">
        <f t="shared" si="7"/>
        <v>0</v>
      </c>
      <c r="AN67" s="383">
        <f t="shared" si="8"/>
        <v>0</v>
      </c>
      <c r="AO67" s="124">
        <f t="shared" si="9"/>
        <v>16621.63</v>
      </c>
      <c r="AR67" s="124">
        <f t="shared" si="10"/>
        <v>4401.4399999999996</v>
      </c>
      <c r="AS67" s="124">
        <f t="shared" si="11"/>
        <v>1489.96</v>
      </c>
      <c r="AV67" s="379">
        <f t="shared" si="12"/>
        <v>5891.4</v>
      </c>
      <c r="AW67" s="124">
        <f t="shared" si="13"/>
        <v>0</v>
      </c>
      <c r="AZ67" s="379"/>
      <c r="BA67" s="379">
        <v>310.07</v>
      </c>
      <c r="BB67" s="379">
        <v>96.56</v>
      </c>
      <c r="BC67" s="379"/>
      <c r="BD67" s="379">
        <v>0</v>
      </c>
      <c r="BE67" s="379">
        <f t="shared" si="15"/>
        <v>406.63</v>
      </c>
      <c r="BF67" s="379"/>
      <c r="BO67" s="477"/>
      <c r="BP67" s="477">
        <v>31907.239999999998</v>
      </c>
      <c r="BQ67" s="477">
        <v>7811.2</v>
      </c>
      <c r="BR67" s="477"/>
      <c r="BS67" s="477">
        <v>0</v>
      </c>
      <c r="BT67" s="477">
        <v>39718.439999999995</v>
      </c>
      <c r="BW67" s="126">
        <v>421</v>
      </c>
      <c r="BX67" s="125">
        <v>11056</v>
      </c>
      <c r="BY67" s="19" t="s">
        <v>26</v>
      </c>
      <c r="BZ67" t="s">
        <v>836</v>
      </c>
    </row>
    <row r="68" spans="1:78" x14ac:dyDescent="0.25">
      <c r="A68" s="443">
        <v>11056</v>
      </c>
      <c r="B68" s="19" t="s">
        <v>26</v>
      </c>
      <c r="C68" t="s">
        <v>232</v>
      </c>
      <c r="D68" s="379"/>
      <c r="E68" s="120"/>
      <c r="F68" s="379">
        <v>13245.07</v>
      </c>
      <c r="G68" s="120">
        <v>2.2125952383099551E-5</v>
      </c>
      <c r="H68" s="379">
        <v>32533.15</v>
      </c>
      <c r="I68" s="120">
        <v>1.2510123486582711E-4</v>
      </c>
      <c r="J68" s="379"/>
      <c r="K68" s="120"/>
      <c r="L68" s="379">
        <v>29620.76</v>
      </c>
      <c r="M68" s="120">
        <v>1.3286677758906883E-4</v>
      </c>
      <c r="N68" s="379">
        <v>89665.9</v>
      </c>
      <c r="O68" s="120">
        <v>1.2634506303271691E-4</v>
      </c>
      <c r="P68" s="383">
        <f t="shared" si="14"/>
        <v>165064.88</v>
      </c>
      <c r="R68" s="379"/>
      <c r="S68" s="120"/>
      <c r="T68" s="380"/>
      <c r="U68" s="551">
        <v>421</v>
      </c>
      <c r="V68" s="550" t="s">
        <v>233</v>
      </c>
      <c r="W68" s="449" t="s">
        <v>26</v>
      </c>
      <c r="X68" s="562" t="s">
        <v>232</v>
      </c>
      <c r="Y68" s="379"/>
      <c r="Z68" s="379">
        <v>96375</v>
      </c>
      <c r="AA68" s="379">
        <v>29730.230000000003</v>
      </c>
      <c r="AB68" s="379"/>
      <c r="AC68" s="379">
        <v>0</v>
      </c>
      <c r="AD68" s="379">
        <v>126105.23000000001</v>
      </c>
      <c r="AE68" s="124"/>
      <c r="AF68" s="551">
        <v>421</v>
      </c>
      <c r="AG68" s="550" t="s">
        <v>233</v>
      </c>
      <c r="AH68" s="449" t="s">
        <v>26</v>
      </c>
      <c r="AI68" s="562" t="s">
        <v>232</v>
      </c>
      <c r="AJ68" s="383">
        <f t="shared" si="4"/>
        <v>0</v>
      </c>
      <c r="AK68" s="383">
        <f t="shared" si="5"/>
        <v>89665.9</v>
      </c>
      <c r="AL68" s="383">
        <f t="shared" si="6"/>
        <v>32533.15</v>
      </c>
      <c r="AM68" s="383">
        <f t="shared" si="7"/>
        <v>0</v>
      </c>
      <c r="AN68" s="383">
        <f t="shared" si="8"/>
        <v>0</v>
      </c>
      <c r="AO68" s="124">
        <f t="shared" si="9"/>
        <v>122199.04999999999</v>
      </c>
      <c r="AR68" s="124">
        <f t="shared" si="10"/>
        <v>29620.76</v>
      </c>
      <c r="AS68" s="124">
        <f t="shared" si="11"/>
        <v>13245.07</v>
      </c>
      <c r="AV68" s="379">
        <f t="shared" si="12"/>
        <v>42865.83</v>
      </c>
      <c r="AW68" s="124">
        <f t="shared" si="13"/>
        <v>0</v>
      </c>
      <c r="AZ68" s="379"/>
      <c r="BA68" s="379">
        <v>2171.2599999999998</v>
      </c>
      <c r="BB68" s="379">
        <v>820.3</v>
      </c>
      <c r="BC68" s="379"/>
      <c r="BD68" s="379">
        <v>0</v>
      </c>
      <c r="BE68" s="379">
        <f t="shared" si="15"/>
        <v>2991.5599999999995</v>
      </c>
      <c r="BF68" s="379"/>
      <c r="BO68" s="477"/>
      <c r="BP68" s="477">
        <v>217832.91999999998</v>
      </c>
      <c r="BQ68" s="477">
        <v>76328.75</v>
      </c>
      <c r="BR68" s="477"/>
      <c r="BS68" s="477">
        <v>0</v>
      </c>
      <c r="BT68" s="477">
        <v>294161.67</v>
      </c>
      <c r="BW68" s="126">
        <v>265</v>
      </c>
      <c r="BX68" s="125">
        <v>11801</v>
      </c>
      <c r="BY68" s="19">
        <v>123</v>
      </c>
      <c r="BZ68" t="s">
        <v>800</v>
      </c>
    </row>
    <row r="69" spans="1:78" x14ac:dyDescent="0.25">
      <c r="A69" s="443">
        <v>11801</v>
      </c>
      <c r="B69" s="19">
        <v>123</v>
      </c>
      <c r="C69" t="s">
        <v>158</v>
      </c>
      <c r="D69" s="379"/>
      <c r="E69" s="120"/>
      <c r="F69" s="379">
        <v>323958.98</v>
      </c>
      <c r="G69" s="120">
        <v>5.4117501572717246E-4</v>
      </c>
      <c r="H69" s="379">
        <v>806545.45</v>
      </c>
      <c r="I69" s="120">
        <v>3.1014467326531308E-3</v>
      </c>
      <c r="J69" s="379"/>
      <c r="K69" s="120"/>
      <c r="L69" s="379">
        <v>73444.240000000005</v>
      </c>
      <c r="M69" s="120">
        <v>3.2944122639926162E-4</v>
      </c>
      <c r="N69" s="379">
        <v>249461.98</v>
      </c>
      <c r="O69" s="120">
        <v>3.5150809379447891E-4</v>
      </c>
      <c r="P69" s="383">
        <f t="shared" si="14"/>
        <v>1453410.65</v>
      </c>
      <c r="R69" s="379"/>
      <c r="S69" s="120"/>
      <c r="T69" s="380"/>
      <c r="U69" s="551">
        <v>265</v>
      </c>
      <c r="V69" s="550" t="s">
        <v>159</v>
      </c>
      <c r="W69" s="449">
        <v>123</v>
      </c>
      <c r="X69" s="562" t="s">
        <v>158</v>
      </c>
      <c r="Y69" s="379"/>
      <c r="Z69" s="379">
        <v>243242.1</v>
      </c>
      <c r="AA69" s="379">
        <v>748138.3</v>
      </c>
      <c r="AB69" s="379"/>
      <c r="AC69" s="379">
        <v>0</v>
      </c>
      <c r="AD69" s="379">
        <v>991380.4</v>
      </c>
      <c r="AE69" s="124"/>
      <c r="AF69" s="551">
        <v>265</v>
      </c>
      <c r="AG69" s="550" t="s">
        <v>159</v>
      </c>
      <c r="AH69" s="449">
        <v>123</v>
      </c>
      <c r="AI69" s="562" t="s">
        <v>158</v>
      </c>
      <c r="AJ69" s="383">
        <f t="shared" si="4"/>
        <v>0</v>
      </c>
      <c r="AK69" s="383">
        <f t="shared" si="5"/>
        <v>249461.98</v>
      </c>
      <c r="AL69" s="383">
        <f t="shared" si="6"/>
        <v>806545.45</v>
      </c>
      <c r="AM69" s="383">
        <f t="shared" si="7"/>
        <v>0</v>
      </c>
      <c r="AN69" s="383">
        <f t="shared" si="8"/>
        <v>0</v>
      </c>
      <c r="AO69" s="124">
        <f t="shared" si="9"/>
        <v>1056007.43</v>
      </c>
      <c r="AR69" s="124">
        <f t="shared" si="10"/>
        <v>73444.240000000005</v>
      </c>
      <c r="AS69" s="124">
        <f t="shared" si="11"/>
        <v>323958.98</v>
      </c>
      <c r="AV69" s="379">
        <f t="shared" si="12"/>
        <v>397403.22</v>
      </c>
      <c r="AW69" s="124">
        <f t="shared" si="13"/>
        <v>0</v>
      </c>
      <c r="AZ69" s="379"/>
      <c r="BA69" s="379">
        <v>6076.43</v>
      </c>
      <c r="BB69" s="379">
        <v>20440.080000000002</v>
      </c>
      <c r="BC69" s="379"/>
      <c r="BD69" s="379">
        <v>0</v>
      </c>
      <c r="BE69" s="379">
        <f t="shared" si="15"/>
        <v>26516.510000000002</v>
      </c>
      <c r="BF69" s="379"/>
      <c r="BO69" s="477"/>
      <c r="BP69" s="477">
        <v>572224.75</v>
      </c>
      <c r="BQ69" s="477">
        <v>1899082.81</v>
      </c>
      <c r="BR69" s="477"/>
      <c r="BS69" s="477">
        <v>0</v>
      </c>
      <c r="BT69" s="477">
        <v>2471307.56</v>
      </c>
      <c r="BW69" s="126">
        <v>750</v>
      </c>
      <c r="BX69" s="125">
        <v>12110</v>
      </c>
      <c r="BY69" s="19" t="s">
        <v>26</v>
      </c>
      <c r="BZ69" t="s">
        <v>923</v>
      </c>
    </row>
    <row r="70" spans="1:78" x14ac:dyDescent="0.25">
      <c r="A70" s="443">
        <v>12110</v>
      </c>
      <c r="B70" s="19" t="s">
        <v>26</v>
      </c>
      <c r="C70" t="s">
        <v>418</v>
      </c>
      <c r="D70" s="379"/>
      <c r="E70" s="120"/>
      <c r="F70" s="379">
        <v>43229.37</v>
      </c>
      <c r="G70" s="120">
        <v>7.221486803553265E-5</v>
      </c>
      <c r="H70" s="379">
        <v>104842.13</v>
      </c>
      <c r="I70" s="120">
        <v>4.0315431887055439E-4</v>
      </c>
      <c r="J70" s="379">
        <v>0</v>
      </c>
      <c r="K70" s="120">
        <v>0</v>
      </c>
      <c r="L70" s="379">
        <v>63498.83</v>
      </c>
      <c r="M70" s="120">
        <v>2.8483013004312148E-4</v>
      </c>
      <c r="N70" s="379">
        <v>183145.78</v>
      </c>
      <c r="O70" s="120">
        <v>2.5806427101357488E-4</v>
      </c>
      <c r="P70" s="383">
        <f t="shared" si="14"/>
        <v>394716.11</v>
      </c>
      <c r="R70" s="379"/>
      <c r="S70" s="120"/>
      <c r="T70" s="380"/>
      <c r="U70" s="551">
        <v>750</v>
      </c>
      <c r="V70" s="550" t="s">
        <v>419</v>
      </c>
      <c r="W70" s="449" t="s">
        <v>26</v>
      </c>
      <c r="X70" s="562" t="s">
        <v>418</v>
      </c>
      <c r="Y70" s="379">
        <v>0</v>
      </c>
      <c r="Z70" s="379">
        <v>192657.75</v>
      </c>
      <c r="AA70" s="379">
        <v>95123.42</v>
      </c>
      <c r="AB70" s="379"/>
      <c r="AC70" s="379">
        <v>0</v>
      </c>
      <c r="AD70" s="379">
        <v>287781.17</v>
      </c>
      <c r="AE70" s="124"/>
      <c r="AF70" s="551">
        <v>750</v>
      </c>
      <c r="AG70" s="550" t="s">
        <v>419</v>
      </c>
      <c r="AH70" s="449" t="s">
        <v>26</v>
      </c>
      <c r="AI70" s="562" t="s">
        <v>418</v>
      </c>
      <c r="AJ70" s="383">
        <f t="shared" si="4"/>
        <v>0</v>
      </c>
      <c r="AK70" s="383">
        <f t="shared" si="5"/>
        <v>183145.78</v>
      </c>
      <c r="AL70" s="383">
        <f t="shared" si="6"/>
        <v>104842.13</v>
      </c>
      <c r="AM70" s="383">
        <f t="shared" si="7"/>
        <v>0</v>
      </c>
      <c r="AN70" s="383">
        <f t="shared" si="8"/>
        <v>0</v>
      </c>
      <c r="AO70" s="124">
        <f t="shared" si="9"/>
        <v>287987.91000000003</v>
      </c>
      <c r="AR70" s="124">
        <f t="shared" si="10"/>
        <v>63498.83</v>
      </c>
      <c r="AS70" s="124">
        <f t="shared" si="11"/>
        <v>43229.37</v>
      </c>
      <c r="AV70" s="379">
        <f t="shared" si="12"/>
        <v>106728.20000000001</v>
      </c>
      <c r="AW70" s="124">
        <f t="shared" si="13"/>
        <v>0</v>
      </c>
      <c r="AZ70" s="379">
        <v>0</v>
      </c>
      <c r="BA70" s="379">
        <v>4423.37</v>
      </c>
      <c r="BB70" s="379">
        <v>2631.44</v>
      </c>
      <c r="BC70" s="379"/>
      <c r="BD70" s="379">
        <v>0</v>
      </c>
      <c r="BE70" s="379">
        <f t="shared" si="15"/>
        <v>7054.8099999999995</v>
      </c>
      <c r="BF70" s="379"/>
      <c r="BO70" s="477">
        <v>0</v>
      </c>
      <c r="BP70" s="477">
        <v>443725.73000000004</v>
      </c>
      <c r="BQ70" s="477">
        <v>245826.36000000002</v>
      </c>
      <c r="BR70" s="477"/>
      <c r="BS70" s="477">
        <v>0</v>
      </c>
      <c r="BT70" s="477">
        <v>689552.09000000008</v>
      </c>
      <c r="BW70" s="126">
        <v>1044</v>
      </c>
      <c r="BX70" s="125">
        <v>13073</v>
      </c>
      <c r="BY70" s="19" t="s">
        <v>45</v>
      </c>
      <c r="BZ70" t="s">
        <v>998</v>
      </c>
    </row>
    <row r="71" spans="1:78" x14ac:dyDescent="0.25">
      <c r="A71" s="443">
        <v>13073</v>
      </c>
      <c r="B71" s="19" t="s">
        <v>45</v>
      </c>
      <c r="C71" t="s">
        <v>578</v>
      </c>
      <c r="D71" s="379"/>
      <c r="E71" s="120"/>
      <c r="F71" s="379">
        <v>261511.64</v>
      </c>
      <c r="G71" s="120">
        <v>4.3685643747192523E-4</v>
      </c>
      <c r="H71" s="379">
        <v>645206.02</v>
      </c>
      <c r="I71" s="120">
        <v>2.4810407183093412E-3</v>
      </c>
      <c r="J71" s="379"/>
      <c r="K71" s="120"/>
      <c r="L71" s="379">
        <v>426173.42</v>
      </c>
      <c r="M71" s="120">
        <v>1.9116420041049864E-3</v>
      </c>
      <c r="N71" s="379">
        <v>1430926.01</v>
      </c>
      <c r="O71" s="120">
        <v>2.0162674654311628E-3</v>
      </c>
      <c r="P71" s="383">
        <f t="shared" si="14"/>
        <v>2763817.09</v>
      </c>
      <c r="R71" s="379"/>
      <c r="S71" s="120"/>
      <c r="T71" s="380"/>
      <c r="U71" s="551">
        <v>1044</v>
      </c>
      <c r="V71" s="550" t="s">
        <v>579</v>
      </c>
      <c r="W71" s="449" t="s">
        <v>45</v>
      </c>
      <c r="X71" s="562" t="s">
        <v>578</v>
      </c>
      <c r="Y71" s="379"/>
      <c r="Z71" s="379">
        <v>1312454.8999999999</v>
      </c>
      <c r="AA71" s="379">
        <v>577424.73</v>
      </c>
      <c r="AB71" s="379"/>
      <c r="AC71" s="379">
        <v>0</v>
      </c>
      <c r="AD71" s="379">
        <v>1889879.63</v>
      </c>
      <c r="AE71" s="124"/>
      <c r="AF71" s="551">
        <v>1044</v>
      </c>
      <c r="AG71" s="550" t="s">
        <v>579</v>
      </c>
      <c r="AH71" s="449" t="s">
        <v>45</v>
      </c>
      <c r="AI71" s="562" t="s">
        <v>578</v>
      </c>
      <c r="AJ71" s="383">
        <f t="shared" ref="AJ71:AJ134" si="18">+J71</f>
        <v>0</v>
      </c>
      <c r="AK71" s="383">
        <f t="shared" ref="AK71:AK134" si="19">+N71</f>
        <v>1430926.01</v>
      </c>
      <c r="AL71" s="383">
        <f t="shared" ref="AL71:AL134" si="20">+H71</f>
        <v>645206.02</v>
      </c>
      <c r="AM71" s="383">
        <f t="shared" ref="AM71:AM134" si="21">+D71</f>
        <v>0</v>
      </c>
      <c r="AN71" s="383">
        <f t="shared" ref="AN71:AN134" si="22">+R71</f>
        <v>0</v>
      </c>
      <c r="AO71" s="124">
        <f t="shared" si="9"/>
        <v>2076132.03</v>
      </c>
      <c r="AR71" s="124">
        <f t="shared" ref="AR71:AR134" si="23">+L71</f>
        <v>426173.42</v>
      </c>
      <c r="AS71" s="124">
        <f t="shared" ref="AS71:AS134" si="24">+F71</f>
        <v>261511.64</v>
      </c>
      <c r="AV71" s="379">
        <f t="shared" si="12"/>
        <v>687685.06</v>
      </c>
      <c r="AW71" s="124">
        <f t="shared" ref="AW71:AW134" si="25">+AV71+AO71-P71</f>
        <v>0</v>
      </c>
      <c r="AZ71" s="379"/>
      <c r="BA71" s="379">
        <v>34835.97</v>
      </c>
      <c r="BB71" s="379">
        <v>16297.740000000002</v>
      </c>
      <c r="BC71" s="379"/>
      <c r="BD71" s="379">
        <v>0</v>
      </c>
      <c r="BE71" s="379">
        <f t="shared" si="15"/>
        <v>51133.710000000006</v>
      </c>
      <c r="BF71" s="379"/>
      <c r="BO71" s="477"/>
      <c r="BP71" s="477">
        <v>3204390.3</v>
      </c>
      <c r="BQ71" s="477">
        <v>1500440.13</v>
      </c>
      <c r="BR71" s="477"/>
      <c r="BS71" s="477">
        <v>0</v>
      </c>
      <c r="BT71" s="477">
        <v>4704830.43</v>
      </c>
      <c r="BW71" s="126">
        <v>790</v>
      </c>
      <c r="BX71" s="125">
        <v>13144</v>
      </c>
      <c r="BY71" s="19" t="s">
        <v>55</v>
      </c>
      <c r="BZ71" t="s">
        <v>934</v>
      </c>
    </row>
    <row r="72" spans="1:78" x14ac:dyDescent="0.25">
      <c r="A72" s="443">
        <v>13144</v>
      </c>
      <c r="B72" s="19" t="s">
        <v>55</v>
      </c>
      <c r="C72" t="s">
        <v>442</v>
      </c>
      <c r="D72" s="379"/>
      <c r="E72" s="120"/>
      <c r="F72" s="379">
        <v>293256.71000000002</v>
      </c>
      <c r="G72" s="120">
        <v>4.8988672777753803E-4</v>
      </c>
      <c r="H72" s="379">
        <v>731055.28</v>
      </c>
      <c r="I72" s="120">
        <v>2.8111608707789746E-3</v>
      </c>
      <c r="J72" s="379">
        <v>0</v>
      </c>
      <c r="K72" s="120">
        <v>0</v>
      </c>
      <c r="L72" s="379">
        <v>625696.19999999995</v>
      </c>
      <c r="M72" s="120">
        <v>2.806620689129027E-3</v>
      </c>
      <c r="N72" s="379">
        <v>1980241.22</v>
      </c>
      <c r="O72" s="120">
        <v>2.7902881893884322E-3</v>
      </c>
      <c r="P72" s="383">
        <f t="shared" ref="P72:P135" si="26">+D72+F72+H72+J72+L72+N72+R72</f>
        <v>3630249.41</v>
      </c>
      <c r="R72" s="379"/>
      <c r="S72" s="120"/>
      <c r="T72" s="380"/>
      <c r="U72" s="551">
        <v>790</v>
      </c>
      <c r="V72" s="550" t="s">
        <v>443</v>
      </c>
      <c r="W72" s="449" t="s">
        <v>55</v>
      </c>
      <c r="X72" s="562" t="s">
        <v>442</v>
      </c>
      <c r="Y72" s="379">
        <v>0</v>
      </c>
      <c r="Z72" s="379">
        <v>1720899.06</v>
      </c>
      <c r="AA72" s="379">
        <v>652414.17000000004</v>
      </c>
      <c r="AB72" s="379"/>
      <c r="AC72" s="379">
        <v>0</v>
      </c>
      <c r="AD72" s="379">
        <v>2373313.23</v>
      </c>
      <c r="AE72" s="124"/>
      <c r="AF72" s="551">
        <v>790</v>
      </c>
      <c r="AG72" s="550" t="s">
        <v>443</v>
      </c>
      <c r="AH72" s="449" t="s">
        <v>55</v>
      </c>
      <c r="AI72" s="562" t="s">
        <v>442</v>
      </c>
      <c r="AJ72" s="383">
        <f t="shared" si="18"/>
        <v>0</v>
      </c>
      <c r="AK72" s="383">
        <f t="shared" si="19"/>
        <v>1980241.22</v>
      </c>
      <c r="AL72" s="383">
        <f t="shared" si="20"/>
        <v>731055.28</v>
      </c>
      <c r="AM72" s="383">
        <f t="shared" si="21"/>
        <v>0</v>
      </c>
      <c r="AN72" s="383">
        <f t="shared" si="22"/>
        <v>0</v>
      </c>
      <c r="AO72" s="124">
        <f t="shared" ref="AO72:AO135" si="27">SUM(AJ72:AN72)</f>
        <v>2711296.5</v>
      </c>
      <c r="AR72" s="124">
        <f t="shared" si="23"/>
        <v>625696.19999999995</v>
      </c>
      <c r="AS72" s="124">
        <f t="shared" si="24"/>
        <v>293256.71000000002</v>
      </c>
      <c r="AV72" s="379">
        <f t="shared" ref="AV72:AV135" si="28">SUM(AQ72:AU72)</f>
        <v>918952.90999999992</v>
      </c>
      <c r="AW72" s="124">
        <f t="shared" si="25"/>
        <v>0</v>
      </c>
      <c r="AZ72" s="379">
        <v>0</v>
      </c>
      <c r="BA72" s="379">
        <v>48067.71</v>
      </c>
      <c r="BB72" s="379">
        <v>18535.57</v>
      </c>
      <c r="BC72" s="379"/>
      <c r="BD72" s="379">
        <v>0</v>
      </c>
      <c r="BE72" s="379">
        <f t="shared" si="15"/>
        <v>66603.28</v>
      </c>
      <c r="BF72" s="379"/>
      <c r="BO72" s="477">
        <v>0</v>
      </c>
      <c r="BP72" s="477">
        <v>4374904.1899999995</v>
      </c>
      <c r="BQ72" s="477">
        <v>1695261.73</v>
      </c>
      <c r="BR72" s="477"/>
      <c r="BS72" s="477">
        <v>0</v>
      </c>
      <c r="BT72" s="477">
        <v>6070165.9199999999</v>
      </c>
      <c r="BW72" s="126">
        <v>1059</v>
      </c>
      <c r="BX72" s="125">
        <v>13146</v>
      </c>
      <c r="BY72" s="19" t="s">
        <v>55</v>
      </c>
      <c r="BZ72" t="s">
        <v>1002</v>
      </c>
    </row>
    <row r="73" spans="1:78" x14ac:dyDescent="0.25">
      <c r="A73" s="443">
        <v>13146</v>
      </c>
      <c r="B73" s="19" t="s">
        <v>55</v>
      </c>
      <c r="C73" t="s">
        <v>586</v>
      </c>
      <c r="D73" s="379">
        <v>7119.48</v>
      </c>
      <c r="E73" s="120">
        <v>1.189312517581482E-5</v>
      </c>
      <c r="F73" s="379">
        <v>76076.91</v>
      </c>
      <c r="G73" s="120">
        <v>1.2708683971570934E-4</v>
      </c>
      <c r="H73" s="379">
        <v>188366.46</v>
      </c>
      <c r="I73" s="120">
        <v>7.2433430987483302E-4</v>
      </c>
      <c r="J73" s="379"/>
      <c r="K73" s="120"/>
      <c r="L73" s="379">
        <v>156828.95000000001</v>
      </c>
      <c r="M73" s="120">
        <v>7.0347139030791912E-4</v>
      </c>
      <c r="N73" s="379">
        <v>517788.7</v>
      </c>
      <c r="O73" s="120">
        <v>7.2959782859625066E-4</v>
      </c>
      <c r="P73" s="383">
        <f t="shared" si="26"/>
        <v>946180.5</v>
      </c>
      <c r="R73" s="379"/>
      <c r="S73" s="120"/>
      <c r="T73" s="380"/>
      <c r="U73" s="551">
        <v>1059</v>
      </c>
      <c r="V73" s="550" t="s">
        <v>587</v>
      </c>
      <c r="W73" s="449" t="s">
        <v>55</v>
      </c>
      <c r="X73" s="562" t="s">
        <v>586</v>
      </c>
      <c r="Y73" s="379"/>
      <c r="Z73" s="379">
        <v>513247.19999999995</v>
      </c>
      <c r="AA73" s="379">
        <v>174512.91999999998</v>
      </c>
      <c r="AB73" s="379">
        <v>4553.8999999999996</v>
      </c>
      <c r="AC73" s="379">
        <v>0</v>
      </c>
      <c r="AD73" s="379">
        <v>692314.0199999999</v>
      </c>
      <c r="AE73" s="124"/>
      <c r="AF73" s="551">
        <v>1059</v>
      </c>
      <c r="AG73" s="550" t="s">
        <v>587</v>
      </c>
      <c r="AH73" s="449" t="s">
        <v>55</v>
      </c>
      <c r="AI73" s="562" t="s">
        <v>586</v>
      </c>
      <c r="AJ73" s="383">
        <f t="shared" si="18"/>
        <v>0</v>
      </c>
      <c r="AK73" s="383">
        <f t="shared" si="19"/>
        <v>517788.7</v>
      </c>
      <c r="AL73" s="383">
        <f t="shared" si="20"/>
        <v>188366.46</v>
      </c>
      <c r="AM73" s="383">
        <f t="shared" si="21"/>
        <v>7119.48</v>
      </c>
      <c r="AN73" s="383">
        <f t="shared" si="22"/>
        <v>0</v>
      </c>
      <c r="AO73" s="124">
        <f t="shared" si="27"/>
        <v>713274.64</v>
      </c>
      <c r="AR73" s="124">
        <f t="shared" si="23"/>
        <v>156828.95000000001</v>
      </c>
      <c r="AS73" s="124">
        <f t="shared" si="24"/>
        <v>76076.91</v>
      </c>
      <c r="AV73" s="379">
        <f t="shared" si="28"/>
        <v>232905.86000000002</v>
      </c>
      <c r="AW73" s="124">
        <f t="shared" si="25"/>
        <v>0</v>
      </c>
      <c r="AZ73" s="379"/>
      <c r="BA73" s="379">
        <v>12595.220000000001</v>
      </c>
      <c r="BB73" s="379">
        <v>4764.12</v>
      </c>
      <c r="BC73" s="379">
        <v>149.32</v>
      </c>
      <c r="BD73" s="379">
        <v>0</v>
      </c>
      <c r="BE73" s="379">
        <f t="shared" ref="BE73:BE136" si="29">SUM(AZ73:BD73)</f>
        <v>17508.66</v>
      </c>
      <c r="BF73" s="379"/>
      <c r="BO73" s="477"/>
      <c r="BP73" s="477">
        <v>1200460.0699999998</v>
      </c>
      <c r="BQ73" s="477">
        <v>443720.41000000003</v>
      </c>
      <c r="BR73" s="477">
        <v>11822.7</v>
      </c>
      <c r="BS73" s="477">
        <v>0</v>
      </c>
      <c r="BT73" s="477">
        <v>1656003.18</v>
      </c>
      <c r="BW73" s="126">
        <v>197</v>
      </c>
      <c r="BX73" s="125">
        <v>13151</v>
      </c>
      <c r="BY73" s="19" t="s">
        <v>55</v>
      </c>
      <c r="BZ73" t="s">
        <v>778</v>
      </c>
    </row>
    <row r="74" spans="1:78" x14ac:dyDescent="0.25">
      <c r="A74" s="443">
        <v>13151</v>
      </c>
      <c r="B74" s="19" t="s">
        <v>55</v>
      </c>
      <c r="C74" t="s">
        <v>114</v>
      </c>
      <c r="D74" s="379">
        <v>2025.88</v>
      </c>
      <c r="E74" s="120">
        <v>3.384242168133028E-6</v>
      </c>
      <c r="F74" s="379">
        <v>18405.61</v>
      </c>
      <c r="G74" s="120">
        <v>3.0746658978918268E-5</v>
      </c>
      <c r="H74" s="379">
        <v>45585.04</v>
      </c>
      <c r="I74" s="120">
        <v>1.7529027454790338E-4</v>
      </c>
      <c r="J74" s="379"/>
      <c r="K74" s="120"/>
      <c r="L74" s="379">
        <v>32687.16</v>
      </c>
      <c r="M74" s="120">
        <v>1.4662141071796627E-4</v>
      </c>
      <c r="N74" s="379">
        <v>113504.81</v>
      </c>
      <c r="O74" s="120">
        <v>1.599356318730594E-4</v>
      </c>
      <c r="P74" s="383">
        <f t="shared" si="26"/>
        <v>212208.5</v>
      </c>
      <c r="R74" s="379"/>
      <c r="S74" s="120"/>
      <c r="T74" s="380"/>
      <c r="U74" s="551">
        <v>197</v>
      </c>
      <c r="V74" s="550" t="s">
        <v>115</v>
      </c>
      <c r="W74" s="449" t="s">
        <v>55</v>
      </c>
      <c r="X74" s="562" t="s">
        <v>114</v>
      </c>
      <c r="Y74" s="379"/>
      <c r="Z74" s="379">
        <v>110339.71</v>
      </c>
      <c r="AA74" s="379">
        <v>42926.2</v>
      </c>
      <c r="AB74" s="379">
        <v>1287.33</v>
      </c>
      <c r="AC74" s="379">
        <v>0</v>
      </c>
      <c r="AD74" s="379">
        <v>154553.24</v>
      </c>
      <c r="AE74" s="124"/>
      <c r="AF74" s="551">
        <v>197</v>
      </c>
      <c r="AG74" s="550" t="s">
        <v>115</v>
      </c>
      <c r="AH74" s="449" t="s">
        <v>55</v>
      </c>
      <c r="AI74" s="562" t="s">
        <v>114</v>
      </c>
      <c r="AJ74" s="383">
        <f t="shared" si="18"/>
        <v>0</v>
      </c>
      <c r="AK74" s="383">
        <f t="shared" si="19"/>
        <v>113504.81</v>
      </c>
      <c r="AL74" s="383">
        <f t="shared" si="20"/>
        <v>45585.04</v>
      </c>
      <c r="AM74" s="383">
        <f t="shared" si="21"/>
        <v>2025.88</v>
      </c>
      <c r="AN74" s="383">
        <f t="shared" si="22"/>
        <v>0</v>
      </c>
      <c r="AO74" s="124">
        <f t="shared" si="27"/>
        <v>161115.73000000001</v>
      </c>
      <c r="AR74" s="124">
        <f t="shared" si="23"/>
        <v>32687.16</v>
      </c>
      <c r="AS74" s="124">
        <f t="shared" si="24"/>
        <v>18405.61</v>
      </c>
      <c r="AV74" s="379">
        <f t="shared" si="28"/>
        <v>51092.770000000004</v>
      </c>
      <c r="AW74" s="124">
        <f t="shared" si="25"/>
        <v>0</v>
      </c>
      <c r="AZ74" s="379"/>
      <c r="BA74" s="379">
        <v>2767.56</v>
      </c>
      <c r="BB74" s="379">
        <v>1152.9100000000001</v>
      </c>
      <c r="BC74" s="379">
        <v>42.08</v>
      </c>
      <c r="BD74" s="379">
        <v>0</v>
      </c>
      <c r="BE74" s="379">
        <f t="shared" si="29"/>
        <v>3962.55</v>
      </c>
      <c r="BF74" s="379"/>
      <c r="BO74" s="477"/>
      <c r="BP74" s="477">
        <v>259299.24</v>
      </c>
      <c r="BQ74" s="477">
        <v>108069.75999999999</v>
      </c>
      <c r="BR74" s="477">
        <v>3355.29</v>
      </c>
      <c r="BS74" s="477">
        <v>0</v>
      </c>
      <c r="BT74" s="477">
        <v>370724.29</v>
      </c>
      <c r="BW74" s="126">
        <v>905</v>
      </c>
      <c r="BX74" s="125">
        <v>13156</v>
      </c>
      <c r="BY74" s="19" t="s">
        <v>55</v>
      </c>
      <c r="BZ74" t="s">
        <v>964</v>
      </c>
    </row>
    <row r="75" spans="1:78" x14ac:dyDescent="0.25">
      <c r="A75" s="443">
        <v>13156</v>
      </c>
      <c r="B75" s="19" t="s">
        <v>55</v>
      </c>
      <c r="C75" t="s">
        <v>502</v>
      </c>
      <c r="D75" s="379"/>
      <c r="E75" s="120"/>
      <c r="F75" s="379">
        <v>55811.33</v>
      </c>
      <c r="G75" s="120">
        <v>9.3233092012156649E-5</v>
      </c>
      <c r="H75" s="379">
        <v>135665.73000000001</v>
      </c>
      <c r="I75" s="120">
        <v>5.2168174160737238E-4</v>
      </c>
      <c r="J75" s="379">
        <v>0</v>
      </c>
      <c r="K75" s="120">
        <v>0</v>
      </c>
      <c r="L75" s="379">
        <v>96949.93</v>
      </c>
      <c r="M75" s="120">
        <v>4.3487826735660363E-4</v>
      </c>
      <c r="N75" s="379">
        <v>268693.59999999998</v>
      </c>
      <c r="O75" s="120">
        <v>3.7860669249388702E-4</v>
      </c>
      <c r="P75" s="383">
        <f t="shared" si="26"/>
        <v>557120.59</v>
      </c>
      <c r="R75" s="379"/>
      <c r="S75" s="120"/>
      <c r="T75" s="380"/>
      <c r="U75" s="551">
        <v>905</v>
      </c>
      <c r="V75" s="550" t="s">
        <v>503</v>
      </c>
      <c r="W75" s="449" t="s">
        <v>55</v>
      </c>
      <c r="X75" s="562" t="s">
        <v>502</v>
      </c>
      <c r="Y75" s="379">
        <v>0</v>
      </c>
      <c r="Z75" s="379">
        <v>228119.01</v>
      </c>
      <c r="AA75" s="379">
        <v>135054.32999999999</v>
      </c>
      <c r="AB75" s="379"/>
      <c r="AC75" s="379">
        <v>0</v>
      </c>
      <c r="AD75" s="379">
        <v>363173.33999999997</v>
      </c>
      <c r="AE75" s="124"/>
      <c r="AF75" s="551">
        <v>905</v>
      </c>
      <c r="AG75" s="550" t="s">
        <v>503</v>
      </c>
      <c r="AH75" s="449" t="s">
        <v>55</v>
      </c>
      <c r="AI75" s="562" t="s">
        <v>502</v>
      </c>
      <c r="AJ75" s="383">
        <f t="shared" si="18"/>
        <v>0</v>
      </c>
      <c r="AK75" s="383">
        <f t="shared" si="19"/>
        <v>268693.59999999998</v>
      </c>
      <c r="AL75" s="383">
        <f t="shared" si="20"/>
        <v>135665.73000000001</v>
      </c>
      <c r="AM75" s="383">
        <f t="shared" si="21"/>
        <v>0</v>
      </c>
      <c r="AN75" s="383">
        <f t="shared" si="22"/>
        <v>0</v>
      </c>
      <c r="AO75" s="124">
        <f t="shared" si="27"/>
        <v>404359.32999999996</v>
      </c>
      <c r="AR75" s="124">
        <f t="shared" si="23"/>
        <v>96949.93</v>
      </c>
      <c r="AS75" s="124">
        <f t="shared" si="24"/>
        <v>55811.33</v>
      </c>
      <c r="AV75" s="379">
        <f t="shared" si="28"/>
        <v>152761.26</v>
      </c>
      <c r="AW75" s="124">
        <f t="shared" si="25"/>
        <v>0</v>
      </c>
      <c r="AZ75" s="379">
        <v>0</v>
      </c>
      <c r="BA75" s="379">
        <v>6474.66</v>
      </c>
      <c r="BB75" s="379">
        <v>3408.0299999999997</v>
      </c>
      <c r="BC75" s="379"/>
      <c r="BD75" s="379">
        <v>0</v>
      </c>
      <c r="BE75" s="379">
        <f t="shared" si="29"/>
        <v>9882.6899999999987</v>
      </c>
      <c r="BF75" s="379"/>
      <c r="BO75" s="477">
        <v>0</v>
      </c>
      <c r="BP75" s="477">
        <v>600237.19999999995</v>
      </c>
      <c r="BQ75" s="477">
        <v>329939.42</v>
      </c>
      <c r="BR75" s="477"/>
      <c r="BS75" s="477">
        <v>0</v>
      </c>
      <c r="BT75" s="477">
        <v>930176.61999999988</v>
      </c>
      <c r="BW75" s="126">
        <v>825</v>
      </c>
      <c r="BX75" s="125">
        <v>13160</v>
      </c>
      <c r="BY75" s="19" t="s">
        <v>45</v>
      </c>
      <c r="BZ75" t="s">
        <v>948</v>
      </c>
    </row>
    <row r="76" spans="1:78" x14ac:dyDescent="0.25">
      <c r="A76" s="443">
        <v>13160</v>
      </c>
      <c r="B76" s="19" t="s">
        <v>45</v>
      </c>
      <c r="C76" t="s">
        <v>470</v>
      </c>
      <c r="D76" s="379"/>
      <c r="E76" s="120"/>
      <c r="F76" s="379">
        <v>148800.51999999999</v>
      </c>
      <c r="G76" s="120">
        <v>2.4857197584463145E-4</v>
      </c>
      <c r="H76" s="379">
        <v>360992.86</v>
      </c>
      <c r="I76" s="120">
        <v>1.3881426349353393E-3</v>
      </c>
      <c r="J76" s="379">
        <v>12871.97</v>
      </c>
      <c r="K76" s="120">
        <v>5.7738463669506322E-5</v>
      </c>
      <c r="L76" s="379">
        <v>332578.26</v>
      </c>
      <c r="M76" s="120">
        <v>1.4918118813419881E-3</v>
      </c>
      <c r="N76" s="379">
        <v>928790.73</v>
      </c>
      <c r="O76" s="120">
        <v>1.3087263198836253E-3</v>
      </c>
      <c r="P76" s="383">
        <f t="shared" si="26"/>
        <v>1784034.3399999999</v>
      </c>
      <c r="R76" s="379"/>
      <c r="S76" s="120"/>
      <c r="T76" s="380"/>
      <c r="U76" s="551">
        <v>825</v>
      </c>
      <c r="V76" s="550" t="s">
        <v>471</v>
      </c>
      <c r="W76" s="449" t="s">
        <v>45</v>
      </c>
      <c r="X76" s="562" t="s">
        <v>470</v>
      </c>
      <c r="Y76" s="379">
        <v>7034.48</v>
      </c>
      <c r="Z76" s="379">
        <v>847593.8</v>
      </c>
      <c r="AA76" s="379">
        <v>309780.39</v>
      </c>
      <c r="AB76" s="379"/>
      <c r="AC76" s="379">
        <v>0</v>
      </c>
      <c r="AD76" s="379">
        <v>1164408.67</v>
      </c>
      <c r="AE76" s="124"/>
      <c r="AF76" s="551">
        <v>825</v>
      </c>
      <c r="AG76" s="550" t="s">
        <v>471</v>
      </c>
      <c r="AH76" s="449" t="s">
        <v>45</v>
      </c>
      <c r="AI76" s="562" t="s">
        <v>470</v>
      </c>
      <c r="AJ76" s="383">
        <f t="shared" si="18"/>
        <v>12871.97</v>
      </c>
      <c r="AK76" s="383">
        <f t="shared" si="19"/>
        <v>928790.73</v>
      </c>
      <c r="AL76" s="383">
        <f t="shared" si="20"/>
        <v>360992.86</v>
      </c>
      <c r="AM76" s="383">
        <f t="shared" si="21"/>
        <v>0</v>
      </c>
      <c r="AN76" s="383">
        <f t="shared" si="22"/>
        <v>0</v>
      </c>
      <c r="AO76" s="124">
        <f t="shared" si="27"/>
        <v>1302655.56</v>
      </c>
      <c r="AR76" s="124">
        <f t="shared" si="23"/>
        <v>332578.26</v>
      </c>
      <c r="AS76" s="124">
        <f t="shared" si="24"/>
        <v>148800.51999999999</v>
      </c>
      <c r="AV76" s="379">
        <f t="shared" si="28"/>
        <v>481378.78</v>
      </c>
      <c r="AW76" s="124">
        <f t="shared" si="25"/>
        <v>0</v>
      </c>
      <c r="AZ76" s="379">
        <v>227.47</v>
      </c>
      <c r="BA76" s="379">
        <v>22391.079999999998</v>
      </c>
      <c r="BB76" s="379">
        <v>9062.0400000000009</v>
      </c>
      <c r="BC76" s="379"/>
      <c r="BD76" s="379">
        <v>0</v>
      </c>
      <c r="BE76" s="379">
        <f t="shared" si="29"/>
        <v>31680.59</v>
      </c>
      <c r="BF76" s="379"/>
      <c r="BO76" s="477">
        <v>20133.919999999998</v>
      </c>
      <c r="BP76" s="477">
        <v>2131353.87</v>
      </c>
      <c r="BQ76" s="477">
        <v>828635.81</v>
      </c>
      <c r="BR76" s="477"/>
      <c r="BS76" s="477">
        <v>0</v>
      </c>
      <c r="BT76" s="477">
        <v>2980123.6</v>
      </c>
      <c r="BW76" s="126">
        <v>611</v>
      </c>
      <c r="BX76" s="125">
        <v>13161</v>
      </c>
      <c r="BY76" s="19" t="s">
        <v>55</v>
      </c>
      <c r="BZ76" t="s">
        <v>876</v>
      </c>
    </row>
    <row r="77" spans="1:78" x14ac:dyDescent="0.25">
      <c r="A77" s="443">
        <v>13161</v>
      </c>
      <c r="B77" s="19" t="s">
        <v>55</v>
      </c>
      <c r="C77" t="s">
        <v>314</v>
      </c>
      <c r="D77" s="379"/>
      <c r="E77" s="120"/>
      <c r="F77" s="379">
        <v>732496.98</v>
      </c>
      <c r="G77" s="120">
        <v>1.2236396863319126E-3</v>
      </c>
      <c r="H77" s="379">
        <v>1821143.46</v>
      </c>
      <c r="I77" s="120">
        <v>7.0029276511442938E-3</v>
      </c>
      <c r="J77" s="379">
        <v>11768.36</v>
      </c>
      <c r="K77" s="120">
        <v>5.2788114508476286E-5</v>
      </c>
      <c r="L77" s="379">
        <v>1668751.28</v>
      </c>
      <c r="M77" s="120">
        <v>7.4853449125287103E-3</v>
      </c>
      <c r="N77" s="379">
        <v>5367096.26</v>
      </c>
      <c r="O77" s="120">
        <v>7.5625863931813447E-3</v>
      </c>
      <c r="P77" s="383">
        <f t="shared" si="26"/>
        <v>9601256.3399999999</v>
      </c>
      <c r="R77" s="379"/>
      <c r="S77" s="120"/>
      <c r="T77" s="380"/>
      <c r="U77" s="551">
        <v>611</v>
      </c>
      <c r="V77" s="550" t="s">
        <v>315</v>
      </c>
      <c r="W77" s="449" t="s">
        <v>55</v>
      </c>
      <c r="X77" s="562" t="s">
        <v>314</v>
      </c>
      <c r="Y77" s="379">
        <v>6765.67</v>
      </c>
      <c r="Z77" s="379">
        <v>4907913.7</v>
      </c>
      <c r="AA77" s="379">
        <v>1691978.17</v>
      </c>
      <c r="AB77" s="379"/>
      <c r="AC77" s="379">
        <v>0</v>
      </c>
      <c r="AD77" s="379">
        <v>6606657.54</v>
      </c>
      <c r="AE77" s="124"/>
      <c r="AF77" s="551">
        <v>611</v>
      </c>
      <c r="AG77" s="550" t="s">
        <v>315</v>
      </c>
      <c r="AH77" s="449" t="s">
        <v>55</v>
      </c>
      <c r="AI77" s="562" t="s">
        <v>314</v>
      </c>
      <c r="AJ77" s="383">
        <f t="shared" si="18"/>
        <v>11768.36</v>
      </c>
      <c r="AK77" s="383">
        <f t="shared" si="19"/>
        <v>5367096.26</v>
      </c>
      <c r="AL77" s="383">
        <f t="shared" si="20"/>
        <v>1821143.46</v>
      </c>
      <c r="AM77" s="383">
        <f t="shared" si="21"/>
        <v>0</v>
      </c>
      <c r="AN77" s="383">
        <f t="shared" si="22"/>
        <v>0</v>
      </c>
      <c r="AO77" s="124">
        <f t="shared" si="27"/>
        <v>7200008.0800000001</v>
      </c>
      <c r="AR77" s="124">
        <f t="shared" si="23"/>
        <v>1668751.28</v>
      </c>
      <c r="AS77" s="124">
        <f t="shared" si="24"/>
        <v>732496.98</v>
      </c>
      <c r="AV77" s="379">
        <f t="shared" si="28"/>
        <v>2401248.2599999998</v>
      </c>
      <c r="AW77" s="124">
        <f t="shared" si="25"/>
        <v>0</v>
      </c>
      <c r="AZ77" s="379">
        <v>221.25</v>
      </c>
      <c r="BA77" s="379">
        <v>130383.85</v>
      </c>
      <c r="BB77" s="379">
        <v>46129.86</v>
      </c>
      <c r="BC77" s="379"/>
      <c r="BD77" s="379">
        <v>0</v>
      </c>
      <c r="BE77" s="379">
        <f t="shared" si="29"/>
        <v>176734.96000000002</v>
      </c>
      <c r="BF77" s="379"/>
      <c r="BO77" s="477">
        <v>18755.28</v>
      </c>
      <c r="BP77" s="477">
        <v>12074145.09</v>
      </c>
      <c r="BQ77" s="477">
        <v>4291748.47</v>
      </c>
      <c r="BR77" s="477"/>
      <c r="BS77" s="477">
        <v>0</v>
      </c>
      <c r="BT77" s="477">
        <v>16384648.84</v>
      </c>
      <c r="BW77" s="126">
        <v>284</v>
      </c>
      <c r="BX77" s="125">
        <v>13165</v>
      </c>
      <c r="BY77" s="19" t="s">
        <v>55</v>
      </c>
      <c r="BZ77" t="s">
        <v>806</v>
      </c>
    </row>
    <row r="78" spans="1:78" x14ac:dyDescent="0.25">
      <c r="A78" s="443">
        <v>13165</v>
      </c>
      <c r="B78" s="19" t="s">
        <v>55</v>
      </c>
      <c r="C78" t="s">
        <v>170</v>
      </c>
      <c r="D78" s="379"/>
      <c r="E78" s="120"/>
      <c r="F78" s="379">
        <v>214757.46</v>
      </c>
      <c r="G78" s="120">
        <v>3.5875335757949234E-4</v>
      </c>
      <c r="H78" s="379">
        <v>521830.47</v>
      </c>
      <c r="I78" s="120">
        <v>2.006618977492648E-3</v>
      </c>
      <c r="J78" s="379">
        <v>0</v>
      </c>
      <c r="K78" s="120">
        <v>0</v>
      </c>
      <c r="L78" s="379">
        <v>513398.04</v>
      </c>
      <c r="M78" s="120">
        <v>2.3028964548966286E-3</v>
      </c>
      <c r="N78" s="379">
        <v>1470016.13</v>
      </c>
      <c r="O78" s="120">
        <v>2.0713479773688836E-3</v>
      </c>
      <c r="P78" s="383">
        <f t="shared" si="26"/>
        <v>2720002.0999999996</v>
      </c>
      <c r="R78" s="379"/>
      <c r="S78" s="120"/>
      <c r="T78" s="380"/>
      <c r="U78" s="551">
        <v>284</v>
      </c>
      <c r="V78" s="550" t="s">
        <v>171</v>
      </c>
      <c r="W78" s="449" t="s">
        <v>55</v>
      </c>
      <c r="X78" s="562" t="s">
        <v>170</v>
      </c>
      <c r="Y78" s="379">
        <v>0</v>
      </c>
      <c r="Z78" s="379">
        <v>1363806.92</v>
      </c>
      <c r="AA78" s="379">
        <v>513694.68</v>
      </c>
      <c r="AB78" s="379"/>
      <c r="AC78" s="379">
        <v>0</v>
      </c>
      <c r="AD78" s="379">
        <v>1877501.5999999999</v>
      </c>
      <c r="AE78" s="124"/>
      <c r="AF78" s="551">
        <v>284</v>
      </c>
      <c r="AG78" s="550" t="s">
        <v>171</v>
      </c>
      <c r="AH78" s="449" t="s">
        <v>55</v>
      </c>
      <c r="AI78" s="562" t="s">
        <v>170</v>
      </c>
      <c r="AJ78" s="383">
        <f t="shared" si="18"/>
        <v>0</v>
      </c>
      <c r="AK78" s="383">
        <f t="shared" si="19"/>
        <v>1470016.13</v>
      </c>
      <c r="AL78" s="383">
        <f t="shared" si="20"/>
        <v>521830.47</v>
      </c>
      <c r="AM78" s="383">
        <f t="shared" si="21"/>
        <v>0</v>
      </c>
      <c r="AN78" s="383">
        <f t="shared" si="22"/>
        <v>0</v>
      </c>
      <c r="AO78" s="124">
        <f t="shared" si="27"/>
        <v>1991846.5999999999</v>
      </c>
      <c r="AR78" s="124">
        <f t="shared" si="23"/>
        <v>513398.04</v>
      </c>
      <c r="AS78" s="124">
        <f t="shared" si="24"/>
        <v>214757.46</v>
      </c>
      <c r="AV78" s="379">
        <f t="shared" si="28"/>
        <v>728155.5</v>
      </c>
      <c r="AW78" s="124">
        <f t="shared" si="25"/>
        <v>0</v>
      </c>
      <c r="AZ78" s="379">
        <v>0</v>
      </c>
      <c r="BA78" s="379">
        <v>35490.42</v>
      </c>
      <c r="BB78" s="379">
        <v>13107.36</v>
      </c>
      <c r="BC78" s="379"/>
      <c r="BD78" s="379">
        <v>0</v>
      </c>
      <c r="BE78" s="379">
        <f t="shared" si="29"/>
        <v>48597.78</v>
      </c>
      <c r="BF78" s="379"/>
      <c r="BO78" s="477">
        <v>0</v>
      </c>
      <c r="BP78" s="477">
        <v>3382711.51</v>
      </c>
      <c r="BQ78" s="477">
        <v>1263389.97</v>
      </c>
      <c r="BR78" s="477"/>
      <c r="BS78" s="477">
        <v>0</v>
      </c>
      <c r="BT78" s="477">
        <v>4646101.4799999995</v>
      </c>
      <c r="BW78" s="126">
        <v>1104</v>
      </c>
      <c r="BX78" s="125">
        <v>13167</v>
      </c>
      <c r="BY78" s="19" t="s">
        <v>55</v>
      </c>
      <c r="BZ78" t="s">
        <v>1015</v>
      </c>
    </row>
    <row r="79" spans="1:78" x14ac:dyDescent="0.25">
      <c r="A79" s="443">
        <v>13167</v>
      </c>
      <c r="B79" s="19" t="s">
        <v>55</v>
      </c>
      <c r="C79" t="s">
        <v>612</v>
      </c>
      <c r="D79" s="379"/>
      <c r="E79" s="120"/>
      <c r="F79" s="379">
        <v>22741.8</v>
      </c>
      <c r="G79" s="120">
        <v>3.7990284981957317E-5</v>
      </c>
      <c r="H79" s="379">
        <v>56376.92</v>
      </c>
      <c r="I79" s="120">
        <v>2.1678879266016186E-4</v>
      </c>
      <c r="J79" s="379"/>
      <c r="K79" s="120"/>
      <c r="L79" s="379">
        <v>26488.63</v>
      </c>
      <c r="M79" s="120">
        <v>1.1881730620176986E-4</v>
      </c>
      <c r="N79" s="379">
        <v>86356.160000000003</v>
      </c>
      <c r="O79" s="120">
        <v>1.2168142491697945E-4</v>
      </c>
      <c r="P79" s="383">
        <f t="shared" si="26"/>
        <v>191963.51</v>
      </c>
      <c r="R79" s="379"/>
      <c r="S79" s="120"/>
      <c r="T79" s="380"/>
      <c r="U79" s="551">
        <v>1104</v>
      </c>
      <c r="V79" s="550" t="s">
        <v>613</v>
      </c>
      <c r="W79" s="449" t="s">
        <v>55</v>
      </c>
      <c r="X79" s="562" t="s">
        <v>612</v>
      </c>
      <c r="Y79" s="379"/>
      <c r="Z79" s="379">
        <v>78024.72</v>
      </c>
      <c r="AA79" s="379">
        <v>48849.18</v>
      </c>
      <c r="AB79" s="379"/>
      <c r="AC79" s="379">
        <v>0</v>
      </c>
      <c r="AD79" s="379">
        <v>126873.9</v>
      </c>
      <c r="AE79" s="124"/>
      <c r="AF79" s="551">
        <v>1104</v>
      </c>
      <c r="AG79" s="550" t="s">
        <v>613</v>
      </c>
      <c r="AH79" s="449" t="s">
        <v>55</v>
      </c>
      <c r="AI79" s="562" t="s">
        <v>612</v>
      </c>
      <c r="AJ79" s="383">
        <f t="shared" si="18"/>
        <v>0</v>
      </c>
      <c r="AK79" s="383">
        <f t="shared" si="19"/>
        <v>86356.160000000003</v>
      </c>
      <c r="AL79" s="383">
        <f t="shared" si="20"/>
        <v>56376.92</v>
      </c>
      <c r="AM79" s="383">
        <f t="shared" si="21"/>
        <v>0</v>
      </c>
      <c r="AN79" s="383">
        <f t="shared" si="22"/>
        <v>0</v>
      </c>
      <c r="AO79" s="124">
        <f t="shared" si="27"/>
        <v>142733.08000000002</v>
      </c>
      <c r="AR79" s="124">
        <f t="shared" si="23"/>
        <v>26488.63</v>
      </c>
      <c r="AS79" s="124">
        <f t="shared" si="24"/>
        <v>22741.8</v>
      </c>
      <c r="AV79" s="379">
        <f t="shared" si="28"/>
        <v>49230.43</v>
      </c>
      <c r="AW79" s="124">
        <f t="shared" si="25"/>
        <v>0</v>
      </c>
      <c r="AZ79" s="379"/>
      <c r="BA79" s="379">
        <v>2099.21</v>
      </c>
      <c r="BB79" s="379">
        <v>1426.4099999999999</v>
      </c>
      <c r="BC79" s="379"/>
      <c r="BD79" s="379">
        <v>0</v>
      </c>
      <c r="BE79" s="379">
        <f t="shared" si="29"/>
        <v>3525.62</v>
      </c>
      <c r="BF79" s="379"/>
      <c r="BO79" s="477"/>
      <c r="BP79" s="477">
        <v>192968.72</v>
      </c>
      <c r="BQ79" s="477">
        <v>129394.31</v>
      </c>
      <c r="BR79" s="477"/>
      <c r="BS79" s="477">
        <v>0</v>
      </c>
      <c r="BT79" s="477">
        <v>322363.03000000003</v>
      </c>
      <c r="BW79" s="126">
        <v>339</v>
      </c>
      <c r="BX79" s="125">
        <v>13301</v>
      </c>
      <c r="BY79" s="19" t="s">
        <v>55</v>
      </c>
      <c r="BZ79" t="s">
        <v>819</v>
      </c>
    </row>
    <row r="80" spans="1:78" x14ac:dyDescent="0.25">
      <c r="A80" s="443">
        <v>13301</v>
      </c>
      <c r="B80" s="19" t="s">
        <v>55</v>
      </c>
      <c r="C80" t="s">
        <v>198</v>
      </c>
      <c r="D80" s="379">
        <v>13243.06</v>
      </c>
      <c r="E80" s="120">
        <v>2.2122594668546891E-5</v>
      </c>
      <c r="F80" s="379">
        <v>76616.460000000006</v>
      </c>
      <c r="G80" s="120">
        <v>1.2798816055495756E-4</v>
      </c>
      <c r="H80" s="379">
        <v>190017.62</v>
      </c>
      <c r="I80" s="120">
        <v>7.3068359222102633E-4</v>
      </c>
      <c r="J80" s="379"/>
      <c r="K80" s="120"/>
      <c r="L80" s="379">
        <v>105404.19</v>
      </c>
      <c r="M80" s="120">
        <v>4.7280066648141211E-4</v>
      </c>
      <c r="N80" s="379">
        <v>350258.16</v>
      </c>
      <c r="O80" s="120">
        <v>4.9353644253750245E-4</v>
      </c>
      <c r="P80" s="383">
        <f t="shared" si="26"/>
        <v>735539.49</v>
      </c>
      <c r="R80" s="379"/>
      <c r="S80" s="120"/>
      <c r="T80" s="380"/>
      <c r="U80" s="551">
        <v>339</v>
      </c>
      <c r="V80" s="550" t="s">
        <v>199</v>
      </c>
      <c r="W80" s="449" t="s">
        <v>55</v>
      </c>
      <c r="X80" s="562" t="s">
        <v>198</v>
      </c>
      <c r="Y80" s="379"/>
      <c r="Z80" s="379">
        <v>381836.79</v>
      </c>
      <c r="AA80" s="379">
        <v>183085.49</v>
      </c>
      <c r="AB80" s="379">
        <v>8449.52</v>
      </c>
      <c r="AC80" s="379">
        <v>0</v>
      </c>
      <c r="AD80" s="379">
        <v>573371.80000000005</v>
      </c>
      <c r="AE80" s="124"/>
      <c r="AF80" s="551">
        <v>339</v>
      </c>
      <c r="AG80" s="550" t="s">
        <v>199</v>
      </c>
      <c r="AH80" s="449" t="s">
        <v>55</v>
      </c>
      <c r="AI80" s="562" t="s">
        <v>198</v>
      </c>
      <c r="AJ80" s="383">
        <f t="shared" si="18"/>
        <v>0</v>
      </c>
      <c r="AK80" s="383">
        <f t="shared" si="19"/>
        <v>350258.16</v>
      </c>
      <c r="AL80" s="383">
        <f t="shared" si="20"/>
        <v>190017.62</v>
      </c>
      <c r="AM80" s="383">
        <f t="shared" si="21"/>
        <v>13243.06</v>
      </c>
      <c r="AN80" s="383">
        <f t="shared" si="22"/>
        <v>0</v>
      </c>
      <c r="AO80" s="124">
        <f t="shared" si="27"/>
        <v>553518.84000000008</v>
      </c>
      <c r="AR80" s="124">
        <f t="shared" si="23"/>
        <v>105404.19</v>
      </c>
      <c r="AS80" s="124">
        <f t="shared" si="24"/>
        <v>76616.460000000006</v>
      </c>
      <c r="AV80" s="379">
        <f t="shared" si="28"/>
        <v>182020.65000000002</v>
      </c>
      <c r="AW80" s="124">
        <f t="shared" si="25"/>
        <v>0</v>
      </c>
      <c r="AZ80" s="379"/>
      <c r="BA80" s="379">
        <v>8522.7099999999991</v>
      </c>
      <c r="BB80" s="379">
        <v>4803.9699999999993</v>
      </c>
      <c r="BC80" s="379">
        <v>274.95999999999998</v>
      </c>
      <c r="BD80" s="379">
        <v>0</v>
      </c>
      <c r="BE80" s="379">
        <f t="shared" si="29"/>
        <v>13601.639999999998</v>
      </c>
      <c r="BF80" s="379"/>
      <c r="BO80" s="477"/>
      <c r="BP80" s="477">
        <v>846021.85</v>
      </c>
      <c r="BQ80" s="477">
        <v>454523.54000000004</v>
      </c>
      <c r="BR80" s="477">
        <v>21967.54</v>
      </c>
      <c r="BS80" s="477">
        <v>0</v>
      </c>
      <c r="BT80" s="477">
        <v>1322512.9300000002</v>
      </c>
      <c r="BW80" s="126">
        <v>2</v>
      </c>
      <c r="BX80" s="125">
        <v>14005</v>
      </c>
      <c r="BY80" s="19" t="s">
        <v>13</v>
      </c>
      <c r="BZ80" t="s">
        <v>731</v>
      </c>
    </row>
    <row r="81" spans="1:78" x14ac:dyDescent="0.25">
      <c r="A81" s="443">
        <v>14005</v>
      </c>
      <c r="B81" s="19" t="s">
        <v>13</v>
      </c>
      <c r="C81" t="s">
        <v>11</v>
      </c>
      <c r="D81" s="379"/>
      <c r="E81" s="120"/>
      <c r="F81" s="379">
        <v>349978.8</v>
      </c>
      <c r="G81" s="120">
        <v>5.8464124869814368E-4</v>
      </c>
      <c r="H81" s="379">
        <v>848126.48</v>
      </c>
      <c r="I81" s="120">
        <v>3.2613402013148803E-3</v>
      </c>
      <c r="J81" s="379">
        <v>0</v>
      </c>
      <c r="K81" s="120">
        <v>0</v>
      </c>
      <c r="L81" s="379">
        <v>674020.02</v>
      </c>
      <c r="M81" s="120">
        <v>3.023381847323287E-3</v>
      </c>
      <c r="N81" s="379">
        <v>1888606.23</v>
      </c>
      <c r="O81" s="120">
        <v>2.6611685509578542E-3</v>
      </c>
      <c r="P81" s="383">
        <f t="shared" si="26"/>
        <v>3760731.5300000003</v>
      </c>
      <c r="R81" s="379"/>
      <c r="S81" s="120"/>
      <c r="T81" s="380"/>
      <c r="U81" s="551">
        <v>2</v>
      </c>
      <c r="V81" s="550" t="s">
        <v>12</v>
      </c>
      <c r="W81" s="449" t="s">
        <v>13</v>
      </c>
      <c r="X81" s="562" t="s">
        <v>11</v>
      </c>
      <c r="Y81" s="379">
        <v>0</v>
      </c>
      <c r="Z81" s="379">
        <v>1863052.14</v>
      </c>
      <c r="AA81" s="379">
        <v>799079.59</v>
      </c>
      <c r="AB81" s="379"/>
      <c r="AC81" s="379">
        <v>0</v>
      </c>
      <c r="AD81" s="379">
        <v>2662131.73</v>
      </c>
      <c r="AE81" s="124"/>
      <c r="AF81" s="551">
        <v>2</v>
      </c>
      <c r="AG81" s="550" t="s">
        <v>12</v>
      </c>
      <c r="AH81" s="449" t="s">
        <v>13</v>
      </c>
      <c r="AI81" s="562" t="s">
        <v>11</v>
      </c>
      <c r="AJ81" s="383">
        <f t="shared" si="18"/>
        <v>0</v>
      </c>
      <c r="AK81" s="383">
        <f t="shared" si="19"/>
        <v>1888606.23</v>
      </c>
      <c r="AL81" s="383">
        <f t="shared" si="20"/>
        <v>848126.48</v>
      </c>
      <c r="AM81" s="383">
        <f t="shared" si="21"/>
        <v>0</v>
      </c>
      <c r="AN81" s="383">
        <f t="shared" si="22"/>
        <v>0</v>
      </c>
      <c r="AO81" s="124">
        <f t="shared" si="27"/>
        <v>2736732.71</v>
      </c>
      <c r="AR81" s="124">
        <f t="shared" si="23"/>
        <v>674020.02</v>
      </c>
      <c r="AS81" s="124">
        <f t="shared" si="24"/>
        <v>349978.8</v>
      </c>
      <c r="AV81" s="379">
        <f t="shared" si="28"/>
        <v>1023998.8200000001</v>
      </c>
      <c r="AW81" s="124">
        <f t="shared" si="25"/>
        <v>0</v>
      </c>
      <c r="AZ81" s="379">
        <v>0</v>
      </c>
      <c r="BA81" s="379">
        <v>45539.630000000005</v>
      </c>
      <c r="BB81" s="379">
        <v>21282.17</v>
      </c>
      <c r="BC81" s="379"/>
      <c r="BD81" s="379">
        <v>0</v>
      </c>
      <c r="BE81" s="379">
        <f t="shared" si="29"/>
        <v>66821.8</v>
      </c>
      <c r="BF81" s="379"/>
      <c r="BO81" s="477">
        <v>0</v>
      </c>
      <c r="BP81" s="477">
        <v>4471218.0200000005</v>
      </c>
      <c r="BQ81" s="477">
        <v>2018467.04</v>
      </c>
      <c r="BR81" s="477"/>
      <c r="BS81" s="477">
        <v>0</v>
      </c>
      <c r="BT81" s="477">
        <v>6489685.0600000005</v>
      </c>
      <c r="BW81" s="126">
        <v>385</v>
      </c>
      <c r="BX81" s="125">
        <v>14028</v>
      </c>
      <c r="BY81" s="19" t="s">
        <v>13</v>
      </c>
      <c r="BZ81" t="s">
        <v>832</v>
      </c>
    </row>
    <row r="82" spans="1:78" x14ac:dyDescent="0.25">
      <c r="A82" s="443">
        <v>14028</v>
      </c>
      <c r="B82" s="19" t="s">
        <v>13</v>
      </c>
      <c r="C82" t="s">
        <v>224</v>
      </c>
      <c r="D82" s="379"/>
      <c r="E82" s="120"/>
      <c r="F82" s="379">
        <v>177714.17</v>
      </c>
      <c r="G82" s="120">
        <v>2.9687236558372735E-4</v>
      </c>
      <c r="H82" s="379">
        <v>442134.64</v>
      </c>
      <c r="I82" s="120">
        <v>1.7001608956082614E-3</v>
      </c>
      <c r="J82" s="379">
        <v>12191.32</v>
      </c>
      <c r="K82" s="120">
        <v>5.4685342407053919E-5</v>
      </c>
      <c r="L82" s="379">
        <v>268843.2</v>
      </c>
      <c r="M82" s="120">
        <v>1.2059221188360308E-3</v>
      </c>
      <c r="N82" s="379">
        <v>952202.31</v>
      </c>
      <c r="O82" s="120">
        <v>1.341714753064974E-3</v>
      </c>
      <c r="P82" s="383">
        <f t="shared" si="26"/>
        <v>1853085.6400000001</v>
      </c>
      <c r="R82" s="379"/>
      <c r="S82" s="120"/>
      <c r="T82" s="380"/>
      <c r="U82" s="551">
        <v>385</v>
      </c>
      <c r="V82" s="550" t="s">
        <v>225</v>
      </c>
      <c r="W82" s="449" t="s">
        <v>13</v>
      </c>
      <c r="X82" s="562" t="s">
        <v>224</v>
      </c>
      <c r="Y82" s="379">
        <v>7047.16</v>
      </c>
      <c r="Z82" s="379">
        <v>904631.38000000012</v>
      </c>
      <c r="AA82" s="379">
        <v>436145.92000000004</v>
      </c>
      <c r="AB82" s="379"/>
      <c r="AC82" s="379">
        <v>0</v>
      </c>
      <c r="AD82" s="379">
        <v>1347824.4600000002</v>
      </c>
      <c r="AE82" s="124"/>
      <c r="AF82" s="551">
        <v>385</v>
      </c>
      <c r="AG82" s="550" t="s">
        <v>225</v>
      </c>
      <c r="AH82" s="449" t="s">
        <v>13</v>
      </c>
      <c r="AI82" s="562" t="s">
        <v>224</v>
      </c>
      <c r="AJ82" s="383">
        <f t="shared" si="18"/>
        <v>12191.32</v>
      </c>
      <c r="AK82" s="383">
        <f t="shared" si="19"/>
        <v>952202.31</v>
      </c>
      <c r="AL82" s="383">
        <f t="shared" si="20"/>
        <v>442134.64</v>
      </c>
      <c r="AM82" s="383">
        <f t="shared" si="21"/>
        <v>0</v>
      </c>
      <c r="AN82" s="383">
        <f t="shared" si="22"/>
        <v>0</v>
      </c>
      <c r="AO82" s="124">
        <f t="shared" si="27"/>
        <v>1406528.27</v>
      </c>
      <c r="AR82" s="124">
        <f t="shared" si="23"/>
        <v>268843.2</v>
      </c>
      <c r="AS82" s="124">
        <f t="shared" si="24"/>
        <v>177714.17</v>
      </c>
      <c r="AV82" s="379">
        <f t="shared" si="28"/>
        <v>446557.37</v>
      </c>
      <c r="AW82" s="124">
        <f t="shared" si="25"/>
        <v>0</v>
      </c>
      <c r="AZ82" s="379">
        <v>230.7</v>
      </c>
      <c r="BA82" s="379">
        <v>23238.97</v>
      </c>
      <c r="BB82" s="379">
        <v>11202.01</v>
      </c>
      <c r="BC82" s="379"/>
      <c r="BD82" s="379">
        <v>0</v>
      </c>
      <c r="BE82" s="379">
        <f t="shared" si="29"/>
        <v>34671.68</v>
      </c>
      <c r="BF82" s="379"/>
      <c r="BO82" s="477">
        <v>19469.18</v>
      </c>
      <c r="BP82" s="477">
        <v>2148915.8600000003</v>
      </c>
      <c r="BQ82" s="477">
        <v>1067196.74</v>
      </c>
      <c r="BR82" s="477"/>
      <c r="BS82" s="477">
        <v>0</v>
      </c>
      <c r="BT82" s="477">
        <v>3235581.7800000003</v>
      </c>
      <c r="BW82" s="126">
        <v>645</v>
      </c>
      <c r="BX82" s="125">
        <v>14064</v>
      </c>
      <c r="BY82" s="19" t="s">
        <v>13</v>
      </c>
      <c r="BZ82" t="s">
        <v>891</v>
      </c>
    </row>
    <row r="83" spans="1:78" x14ac:dyDescent="0.25">
      <c r="A83" s="443">
        <v>14064</v>
      </c>
      <c r="B83" s="19" t="s">
        <v>13</v>
      </c>
      <c r="C83" t="s">
        <v>342</v>
      </c>
      <c r="D83" s="379"/>
      <c r="E83" s="120"/>
      <c r="F83" s="379">
        <v>83832.12</v>
      </c>
      <c r="G83" s="120">
        <v>1.4004195487787437E-4</v>
      </c>
      <c r="H83" s="379">
        <v>208313.74</v>
      </c>
      <c r="I83" s="120">
        <v>8.0103851343994779E-4</v>
      </c>
      <c r="J83" s="379">
        <v>0</v>
      </c>
      <c r="K83" s="120">
        <v>0</v>
      </c>
      <c r="L83" s="379">
        <v>113960.16</v>
      </c>
      <c r="M83" s="120">
        <v>5.1117929562694193E-4</v>
      </c>
      <c r="N83" s="379">
        <v>389119.71</v>
      </c>
      <c r="O83" s="120">
        <v>5.4829488453495175E-4</v>
      </c>
      <c r="P83" s="383">
        <f t="shared" si="26"/>
        <v>795225.73</v>
      </c>
      <c r="R83" s="379"/>
      <c r="S83" s="120"/>
      <c r="T83" s="380"/>
      <c r="U83" s="551">
        <v>645</v>
      </c>
      <c r="V83" s="550" t="s">
        <v>343</v>
      </c>
      <c r="W83" s="449" t="s">
        <v>13</v>
      </c>
      <c r="X83" s="562" t="s">
        <v>342</v>
      </c>
      <c r="Y83" s="379">
        <v>0</v>
      </c>
      <c r="Z83" s="379">
        <v>380687.24</v>
      </c>
      <c r="AA83" s="379">
        <v>200235.15</v>
      </c>
      <c r="AB83" s="379"/>
      <c r="AC83" s="379">
        <v>0</v>
      </c>
      <c r="AD83" s="379">
        <v>580922.39</v>
      </c>
      <c r="AE83" s="124"/>
      <c r="AF83" s="551">
        <v>645</v>
      </c>
      <c r="AG83" s="550" t="s">
        <v>343</v>
      </c>
      <c r="AH83" s="449" t="s">
        <v>13</v>
      </c>
      <c r="AI83" s="562" t="s">
        <v>342</v>
      </c>
      <c r="AJ83" s="383">
        <f t="shared" si="18"/>
        <v>0</v>
      </c>
      <c r="AK83" s="383">
        <f t="shared" si="19"/>
        <v>389119.71</v>
      </c>
      <c r="AL83" s="383">
        <f t="shared" si="20"/>
        <v>208313.74</v>
      </c>
      <c r="AM83" s="383">
        <f t="shared" si="21"/>
        <v>0</v>
      </c>
      <c r="AN83" s="383">
        <f t="shared" si="22"/>
        <v>0</v>
      </c>
      <c r="AO83" s="124">
        <f t="shared" si="27"/>
        <v>597433.44999999995</v>
      </c>
      <c r="AR83" s="124">
        <f t="shared" si="23"/>
        <v>113960.16</v>
      </c>
      <c r="AS83" s="124">
        <f t="shared" si="24"/>
        <v>83832.12</v>
      </c>
      <c r="AV83" s="379">
        <f t="shared" si="28"/>
        <v>197792.28</v>
      </c>
      <c r="AW83" s="124">
        <f t="shared" si="25"/>
        <v>0</v>
      </c>
      <c r="AZ83" s="379">
        <v>0</v>
      </c>
      <c r="BA83" s="379">
        <v>9480.64</v>
      </c>
      <c r="BB83" s="379">
        <v>5275.47</v>
      </c>
      <c r="BC83" s="379"/>
      <c r="BD83" s="379">
        <v>0</v>
      </c>
      <c r="BE83" s="379">
        <f t="shared" si="29"/>
        <v>14756.11</v>
      </c>
      <c r="BF83" s="379"/>
      <c r="BO83" s="477">
        <v>0</v>
      </c>
      <c r="BP83" s="477">
        <v>893247.75</v>
      </c>
      <c r="BQ83" s="477">
        <v>497656.48</v>
      </c>
      <c r="BR83" s="477"/>
      <c r="BS83" s="477">
        <v>0</v>
      </c>
      <c r="BT83" s="477">
        <v>1390904.23</v>
      </c>
      <c r="BW83" s="126">
        <v>577</v>
      </c>
      <c r="BX83" s="125">
        <v>14065</v>
      </c>
      <c r="BY83" s="19" t="s">
        <v>13</v>
      </c>
      <c r="BZ83" t="s">
        <v>866</v>
      </c>
    </row>
    <row r="84" spans="1:78" x14ac:dyDescent="0.25">
      <c r="A84" s="443">
        <v>14065</v>
      </c>
      <c r="B84" s="19" t="s">
        <v>13</v>
      </c>
      <c r="C84" t="s">
        <v>294</v>
      </c>
      <c r="D84" s="379"/>
      <c r="E84" s="120"/>
      <c r="F84" s="379">
        <v>31908.66</v>
      </c>
      <c r="G84" s="120">
        <v>5.3303568178085385E-5</v>
      </c>
      <c r="H84" s="379">
        <v>76791.27</v>
      </c>
      <c r="I84" s="120">
        <v>2.9528904222047794E-4</v>
      </c>
      <c r="J84" s="379">
        <v>0</v>
      </c>
      <c r="K84" s="120">
        <v>0</v>
      </c>
      <c r="L84" s="379">
        <v>54782.59</v>
      </c>
      <c r="M84" s="120">
        <v>2.4573259434542349E-4</v>
      </c>
      <c r="N84" s="379">
        <v>177169.6</v>
      </c>
      <c r="O84" s="120">
        <v>2.4964344616494388E-4</v>
      </c>
      <c r="P84" s="383">
        <f t="shared" si="26"/>
        <v>340652.12</v>
      </c>
      <c r="R84" s="379"/>
      <c r="S84" s="120"/>
      <c r="T84" s="380"/>
      <c r="U84" s="551">
        <v>577</v>
      </c>
      <c r="V84" s="550" t="s">
        <v>295</v>
      </c>
      <c r="W84" s="449" t="s">
        <v>13</v>
      </c>
      <c r="X84" s="562" t="s">
        <v>294</v>
      </c>
      <c r="Y84" s="379">
        <v>0</v>
      </c>
      <c r="Z84" s="379">
        <v>166083.91999999998</v>
      </c>
      <c r="AA84" s="379">
        <v>73635.28</v>
      </c>
      <c r="AB84" s="379"/>
      <c r="AC84" s="379">
        <v>0</v>
      </c>
      <c r="AD84" s="379">
        <v>239719.19999999998</v>
      </c>
      <c r="AE84" s="124"/>
      <c r="AF84" s="551">
        <v>577</v>
      </c>
      <c r="AG84" s="550" t="s">
        <v>295</v>
      </c>
      <c r="AH84" s="449" t="s">
        <v>13</v>
      </c>
      <c r="AI84" s="562" t="s">
        <v>294</v>
      </c>
      <c r="AJ84" s="383">
        <f t="shared" si="18"/>
        <v>0</v>
      </c>
      <c r="AK84" s="383">
        <f t="shared" si="19"/>
        <v>177169.6</v>
      </c>
      <c r="AL84" s="383">
        <f t="shared" si="20"/>
        <v>76791.27</v>
      </c>
      <c r="AM84" s="383">
        <f t="shared" si="21"/>
        <v>0</v>
      </c>
      <c r="AN84" s="383">
        <f t="shared" si="22"/>
        <v>0</v>
      </c>
      <c r="AO84" s="124">
        <f t="shared" si="27"/>
        <v>253960.87</v>
      </c>
      <c r="AR84" s="124">
        <f t="shared" si="23"/>
        <v>54782.59</v>
      </c>
      <c r="AS84" s="124">
        <f t="shared" si="24"/>
        <v>31908.66</v>
      </c>
      <c r="AV84" s="379">
        <f t="shared" si="28"/>
        <v>86691.25</v>
      </c>
      <c r="AW84" s="124">
        <f t="shared" si="25"/>
        <v>0</v>
      </c>
      <c r="AZ84" s="379">
        <v>0</v>
      </c>
      <c r="BA84" s="379">
        <v>4305.1499999999996</v>
      </c>
      <c r="BB84" s="379">
        <v>1926.27</v>
      </c>
      <c r="BC84" s="379"/>
      <c r="BD84" s="379">
        <v>0</v>
      </c>
      <c r="BE84" s="379">
        <f t="shared" si="29"/>
        <v>6231.42</v>
      </c>
      <c r="BF84" s="379"/>
      <c r="BO84" s="477">
        <v>0</v>
      </c>
      <c r="BP84" s="477">
        <v>402341.26</v>
      </c>
      <c r="BQ84" s="477">
        <v>184261.47999999998</v>
      </c>
      <c r="BR84" s="477"/>
      <c r="BS84" s="477">
        <v>0</v>
      </c>
      <c r="BT84" s="477">
        <v>586602.74</v>
      </c>
      <c r="BW84" s="126">
        <v>606</v>
      </c>
      <c r="BX84" s="125">
        <v>14066</v>
      </c>
      <c r="BY84" s="19" t="s">
        <v>13</v>
      </c>
      <c r="BZ84" t="s">
        <v>874</v>
      </c>
    </row>
    <row r="85" spans="1:78" x14ac:dyDescent="0.25">
      <c r="A85" s="443">
        <v>14066</v>
      </c>
      <c r="B85" s="19" t="s">
        <v>13</v>
      </c>
      <c r="C85" t="s">
        <v>310</v>
      </c>
      <c r="D85" s="379"/>
      <c r="E85" s="120"/>
      <c r="F85" s="379">
        <v>112505.71</v>
      </c>
      <c r="G85" s="120">
        <v>1.879413232460687E-4</v>
      </c>
      <c r="H85" s="379">
        <v>272112.99</v>
      </c>
      <c r="I85" s="120">
        <v>1.0463687368740026E-3</v>
      </c>
      <c r="J85" s="379">
        <v>0</v>
      </c>
      <c r="K85" s="120">
        <v>0</v>
      </c>
      <c r="L85" s="379">
        <v>311653.23</v>
      </c>
      <c r="M85" s="120">
        <v>1.3979506398662596E-3</v>
      </c>
      <c r="N85" s="379">
        <v>885460.04</v>
      </c>
      <c r="O85" s="120">
        <v>1.2476705700467184E-3</v>
      </c>
      <c r="P85" s="383">
        <f t="shared" si="26"/>
        <v>1581731.97</v>
      </c>
      <c r="R85" s="379"/>
      <c r="S85" s="120"/>
      <c r="T85" s="380"/>
      <c r="U85" s="551">
        <v>606</v>
      </c>
      <c r="V85" s="550" t="s">
        <v>311</v>
      </c>
      <c r="W85" s="449" t="s">
        <v>13</v>
      </c>
      <c r="X85" s="562" t="s">
        <v>310</v>
      </c>
      <c r="Y85" s="379">
        <v>0</v>
      </c>
      <c r="Z85" s="379">
        <v>882448.39</v>
      </c>
      <c r="AA85" s="379">
        <v>250912.26</v>
      </c>
      <c r="AB85" s="379"/>
      <c r="AC85" s="379">
        <v>0</v>
      </c>
      <c r="AD85" s="379">
        <v>1133360.6499999999</v>
      </c>
      <c r="AE85" s="124"/>
      <c r="AF85" s="551">
        <v>606</v>
      </c>
      <c r="AG85" s="550" t="s">
        <v>311</v>
      </c>
      <c r="AH85" s="449" t="s">
        <v>13</v>
      </c>
      <c r="AI85" s="562" t="s">
        <v>310</v>
      </c>
      <c r="AJ85" s="383">
        <f t="shared" si="18"/>
        <v>0</v>
      </c>
      <c r="AK85" s="383">
        <f t="shared" si="19"/>
        <v>885460.04</v>
      </c>
      <c r="AL85" s="383">
        <f t="shared" si="20"/>
        <v>272112.99</v>
      </c>
      <c r="AM85" s="383">
        <f t="shared" si="21"/>
        <v>0</v>
      </c>
      <c r="AN85" s="383">
        <f t="shared" si="22"/>
        <v>0</v>
      </c>
      <c r="AO85" s="124">
        <f t="shared" si="27"/>
        <v>1157573.03</v>
      </c>
      <c r="AR85" s="124">
        <f t="shared" si="23"/>
        <v>311653.23</v>
      </c>
      <c r="AS85" s="124">
        <f t="shared" si="24"/>
        <v>112505.71</v>
      </c>
      <c r="AV85" s="379">
        <f t="shared" si="28"/>
        <v>424158.94</v>
      </c>
      <c r="AW85" s="124">
        <f t="shared" si="25"/>
        <v>0</v>
      </c>
      <c r="AZ85" s="379">
        <v>0</v>
      </c>
      <c r="BA85" s="379">
        <v>21367.91</v>
      </c>
      <c r="BB85" s="379">
        <v>6823.08</v>
      </c>
      <c r="BC85" s="379"/>
      <c r="BD85" s="379">
        <v>0</v>
      </c>
      <c r="BE85" s="379">
        <f t="shared" si="29"/>
        <v>28190.989999999998</v>
      </c>
      <c r="BF85" s="379"/>
      <c r="BO85" s="477">
        <v>0</v>
      </c>
      <c r="BP85" s="477">
        <v>2100929.5700000003</v>
      </c>
      <c r="BQ85" s="477">
        <v>642354.04</v>
      </c>
      <c r="BR85" s="477"/>
      <c r="BS85" s="477">
        <v>0</v>
      </c>
      <c r="BT85" s="477">
        <v>2743283.6100000003</v>
      </c>
      <c r="BW85" s="126">
        <v>272</v>
      </c>
      <c r="BX85" s="125">
        <v>14068</v>
      </c>
      <c r="BY85" s="19" t="s">
        <v>13</v>
      </c>
      <c r="BZ85" t="s">
        <v>802</v>
      </c>
    </row>
    <row r="86" spans="1:78" x14ac:dyDescent="0.25">
      <c r="A86" s="443">
        <v>14068</v>
      </c>
      <c r="B86" s="19" t="s">
        <v>13</v>
      </c>
      <c r="C86" t="s">
        <v>162</v>
      </c>
      <c r="D86" s="379">
        <v>1128.23</v>
      </c>
      <c r="E86" s="120">
        <v>1.884713576990111E-6</v>
      </c>
      <c r="F86" s="379">
        <v>126488.66</v>
      </c>
      <c r="G86" s="120">
        <v>2.1129990767599334E-4</v>
      </c>
      <c r="H86" s="379">
        <v>312582.71000000002</v>
      </c>
      <c r="I86" s="120">
        <v>1.201988833503879E-3</v>
      </c>
      <c r="J86" s="379">
        <v>0</v>
      </c>
      <c r="K86" s="120">
        <v>0</v>
      </c>
      <c r="L86" s="379">
        <v>258678.57</v>
      </c>
      <c r="M86" s="120">
        <v>1.1603276900136381E-3</v>
      </c>
      <c r="N86" s="379">
        <v>842505.79</v>
      </c>
      <c r="O86" s="120">
        <v>1.1871452485613702E-3</v>
      </c>
      <c r="P86" s="383">
        <f t="shared" si="26"/>
        <v>1541383.96</v>
      </c>
      <c r="R86" s="379"/>
      <c r="S86" s="120"/>
      <c r="T86" s="380"/>
      <c r="U86" s="551">
        <v>272</v>
      </c>
      <c r="V86" s="550" t="s">
        <v>163</v>
      </c>
      <c r="W86" s="449" t="s">
        <v>13</v>
      </c>
      <c r="X86" s="562" t="s">
        <v>162</v>
      </c>
      <c r="Y86" s="379">
        <v>0</v>
      </c>
      <c r="Z86" s="379">
        <v>828575.75</v>
      </c>
      <c r="AA86" s="379">
        <v>310314.02999999997</v>
      </c>
      <c r="AB86" s="379">
        <v>739.37</v>
      </c>
      <c r="AC86" s="379">
        <v>0</v>
      </c>
      <c r="AD86" s="379">
        <v>1139629.1500000001</v>
      </c>
      <c r="AE86" s="124"/>
      <c r="AF86" s="551">
        <v>272</v>
      </c>
      <c r="AG86" s="550" t="s">
        <v>163</v>
      </c>
      <c r="AH86" s="449" t="s">
        <v>13</v>
      </c>
      <c r="AI86" s="562" t="s">
        <v>162</v>
      </c>
      <c r="AJ86" s="383">
        <f t="shared" si="18"/>
        <v>0</v>
      </c>
      <c r="AK86" s="383">
        <f t="shared" si="19"/>
        <v>842505.79</v>
      </c>
      <c r="AL86" s="383">
        <f t="shared" si="20"/>
        <v>312582.71000000002</v>
      </c>
      <c r="AM86" s="383">
        <f t="shared" si="21"/>
        <v>1128.23</v>
      </c>
      <c r="AN86" s="383">
        <f t="shared" si="22"/>
        <v>0</v>
      </c>
      <c r="AO86" s="124">
        <f t="shared" si="27"/>
        <v>1156216.73</v>
      </c>
      <c r="AR86" s="124">
        <f t="shared" si="23"/>
        <v>258678.57</v>
      </c>
      <c r="AS86" s="124">
        <f t="shared" si="24"/>
        <v>126488.66</v>
      </c>
      <c r="AV86" s="379">
        <f t="shared" si="28"/>
        <v>385167.23</v>
      </c>
      <c r="AW86" s="124">
        <f t="shared" si="25"/>
        <v>0</v>
      </c>
      <c r="AZ86" s="379">
        <v>0</v>
      </c>
      <c r="BA86" s="379">
        <v>20480.28</v>
      </c>
      <c r="BB86" s="379">
        <v>7900.34</v>
      </c>
      <c r="BC86" s="379">
        <v>22.18</v>
      </c>
      <c r="BD86" s="379">
        <v>0</v>
      </c>
      <c r="BE86" s="379">
        <f t="shared" si="29"/>
        <v>28402.799999999999</v>
      </c>
      <c r="BF86" s="379"/>
      <c r="BO86" s="477">
        <v>0</v>
      </c>
      <c r="BP86" s="477">
        <v>1950240.39</v>
      </c>
      <c r="BQ86" s="477">
        <v>757285.74</v>
      </c>
      <c r="BR86" s="477">
        <v>1889.78</v>
      </c>
      <c r="BS86" s="477">
        <v>0</v>
      </c>
      <c r="BT86" s="477">
        <v>2709415.9099999997</v>
      </c>
      <c r="BW86" s="126">
        <v>967</v>
      </c>
      <c r="BX86" s="125">
        <v>14077</v>
      </c>
      <c r="BY86" s="19" t="s">
        <v>13</v>
      </c>
      <c r="BZ86" t="s">
        <v>980</v>
      </c>
    </row>
    <row r="87" spans="1:78" x14ac:dyDescent="0.25">
      <c r="A87" s="443">
        <v>14077</v>
      </c>
      <c r="B87" s="19" t="s">
        <v>13</v>
      </c>
      <c r="C87" t="s">
        <v>540</v>
      </c>
      <c r="D87" s="379"/>
      <c r="E87" s="120"/>
      <c r="F87" s="379">
        <v>40274.879999999997</v>
      </c>
      <c r="G87" s="120">
        <v>6.7279378449117182E-5</v>
      </c>
      <c r="H87" s="379">
        <v>99335.11</v>
      </c>
      <c r="I87" s="120">
        <v>3.8197791872390992E-4</v>
      </c>
      <c r="J87" s="379"/>
      <c r="K87" s="120"/>
      <c r="L87" s="379">
        <v>45129.88</v>
      </c>
      <c r="M87" s="120">
        <v>2.0243443208686627E-4</v>
      </c>
      <c r="N87" s="379">
        <v>155415.93</v>
      </c>
      <c r="O87" s="120">
        <v>2.1899111559844177E-4</v>
      </c>
      <c r="P87" s="383">
        <f t="shared" si="26"/>
        <v>340155.8</v>
      </c>
      <c r="R87" s="379"/>
      <c r="S87" s="120"/>
      <c r="T87" s="380"/>
      <c r="U87" s="551">
        <v>967</v>
      </c>
      <c r="V87" s="550" t="s">
        <v>541</v>
      </c>
      <c r="W87" s="449" t="s">
        <v>13</v>
      </c>
      <c r="X87" s="562" t="s">
        <v>540</v>
      </c>
      <c r="Y87" s="379"/>
      <c r="Z87" s="379">
        <v>133946.88</v>
      </c>
      <c r="AA87" s="379">
        <v>95952.23000000001</v>
      </c>
      <c r="AB87" s="379"/>
      <c r="AC87" s="379">
        <v>0</v>
      </c>
      <c r="AD87" s="379">
        <v>229899.11000000002</v>
      </c>
      <c r="AE87" s="124"/>
      <c r="AF87" s="551">
        <v>967</v>
      </c>
      <c r="AG87" s="550" t="s">
        <v>541</v>
      </c>
      <c r="AH87" s="449" t="s">
        <v>13</v>
      </c>
      <c r="AI87" s="562" t="s">
        <v>540</v>
      </c>
      <c r="AJ87" s="383">
        <f t="shared" si="18"/>
        <v>0</v>
      </c>
      <c r="AK87" s="383">
        <f t="shared" si="19"/>
        <v>155415.93</v>
      </c>
      <c r="AL87" s="383">
        <f t="shared" si="20"/>
        <v>99335.11</v>
      </c>
      <c r="AM87" s="383">
        <f t="shared" si="21"/>
        <v>0</v>
      </c>
      <c r="AN87" s="383">
        <f t="shared" si="22"/>
        <v>0</v>
      </c>
      <c r="AO87" s="124">
        <f t="shared" si="27"/>
        <v>254751.03999999998</v>
      </c>
      <c r="AR87" s="124">
        <f t="shared" si="23"/>
        <v>45129.88</v>
      </c>
      <c r="AS87" s="124">
        <f t="shared" si="24"/>
        <v>40274.879999999997</v>
      </c>
      <c r="AV87" s="379">
        <f t="shared" si="28"/>
        <v>85404.76</v>
      </c>
      <c r="AW87" s="124">
        <f t="shared" si="25"/>
        <v>0</v>
      </c>
      <c r="AZ87" s="379"/>
      <c r="BA87" s="379">
        <v>3788.0299999999997</v>
      </c>
      <c r="BB87" s="379">
        <v>2508.75</v>
      </c>
      <c r="BC87" s="379"/>
      <c r="BD87" s="379">
        <v>0</v>
      </c>
      <c r="BE87" s="379">
        <f t="shared" si="29"/>
        <v>6296.78</v>
      </c>
      <c r="BF87" s="379"/>
      <c r="BO87" s="477"/>
      <c r="BP87" s="477">
        <v>338280.72</v>
      </c>
      <c r="BQ87" s="477">
        <v>238070.97000000003</v>
      </c>
      <c r="BR87" s="477"/>
      <c r="BS87" s="477">
        <v>0</v>
      </c>
      <c r="BT87" s="477">
        <v>576351.68999999994</v>
      </c>
      <c r="BW87" s="126">
        <v>788</v>
      </c>
      <c r="BX87" s="125">
        <v>14097</v>
      </c>
      <c r="BY87" s="19" t="s">
        <v>13</v>
      </c>
      <c r="BZ87" t="s">
        <v>933</v>
      </c>
    </row>
    <row r="88" spans="1:78" x14ac:dyDescent="0.25">
      <c r="A88" s="443">
        <v>14097</v>
      </c>
      <c r="B88" s="19" t="s">
        <v>13</v>
      </c>
      <c r="C88" t="s">
        <v>440</v>
      </c>
      <c r="D88" s="379"/>
      <c r="E88" s="120"/>
      <c r="F88" s="379">
        <v>23955.71</v>
      </c>
      <c r="G88" s="120">
        <v>4.0018127406147476E-5</v>
      </c>
      <c r="H88" s="379">
        <v>59572.81</v>
      </c>
      <c r="I88" s="120">
        <v>2.2907809712331245E-4</v>
      </c>
      <c r="J88" s="379"/>
      <c r="K88" s="120"/>
      <c r="L88" s="379">
        <v>37313.22</v>
      </c>
      <c r="M88" s="120">
        <v>1.6737204929488626E-4</v>
      </c>
      <c r="N88" s="379">
        <v>124287.5</v>
      </c>
      <c r="O88" s="120">
        <v>1.7512914075115292E-4</v>
      </c>
      <c r="P88" s="383">
        <f t="shared" si="26"/>
        <v>245129.24</v>
      </c>
      <c r="R88" s="379"/>
      <c r="S88" s="120"/>
      <c r="T88" s="380"/>
      <c r="U88" s="551">
        <v>788</v>
      </c>
      <c r="V88" s="550" t="s">
        <v>441</v>
      </c>
      <c r="W88" s="449" t="s">
        <v>13</v>
      </c>
      <c r="X88" s="562" t="s">
        <v>440</v>
      </c>
      <c r="Y88" s="379"/>
      <c r="Z88" s="379">
        <v>128169.94</v>
      </c>
      <c r="AA88" s="379">
        <v>51937.82</v>
      </c>
      <c r="AB88" s="379"/>
      <c r="AC88" s="379">
        <v>0</v>
      </c>
      <c r="AD88" s="379">
        <v>180107.76</v>
      </c>
      <c r="AE88" s="124"/>
      <c r="AF88" s="551">
        <v>788</v>
      </c>
      <c r="AG88" s="550" t="s">
        <v>441</v>
      </c>
      <c r="AH88" s="449" t="s">
        <v>13</v>
      </c>
      <c r="AI88" s="562" t="s">
        <v>440</v>
      </c>
      <c r="AJ88" s="383">
        <f t="shared" si="18"/>
        <v>0</v>
      </c>
      <c r="AK88" s="383">
        <f t="shared" si="19"/>
        <v>124287.5</v>
      </c>
      <c r="AL88" s="383">
        <f t="shared" si="20"/>
        <v>59572.81</v>
      </c>
      <c r="AM88" s="383">
        <f t="shared" si="21"/>
        <v>0</v>
      </c>
      <c r="AN88" s="383">
        <f t="shared" si="22"/>
        <v>0</v>
      </c>
      <c r="AO88" s="124">
        <f t="shared" si="27"/>
        <v>183860.31</v>
      </c>
      <c r="AR88" s="124">
        <f t="shared" si="23"/>
        <v>37313.22</v>
      </c>
      <c r="AS88" s="124">
        <f t="shared" si="24"/>
        <v>23955.71</v>
      </c>
      <c r="AV88" s="379">
        <f t="shared" si="28"/>
        <v>61268.93</v>
      </c>
      <c r="AW88" s="124">
        <f t="shared" si="25"/>
        <v>0</v>
      </c>
      <c r="AZ88" s="379"/>
      <c r="BA88" s="379">
        <v>3024.53</v>
      </c>
      <c r="BB88" s="379">
        <v>1508.99</v>
      </c>
      <c r="BC88" s="379"/>
      <c r="BD88" s="379">
        <v>0</v>
      </c>
      <c r="BE88" s="379">
        <f t="shared" si="29"/>
        <v>4533.5200000000004</v>
      </c>
      <c r="BF88" s="379"/>
      <c r="BO88" s="477"/>
      <c r="BP88" s="477">
        <v>292795.19</v>
      </c>
      <c r="BQ88" s="477">
        <v>136975.33000000002</v>
      </c>
      <c r="BR88" s="477"/>
      <c r="BS88" s="477">
        <v>0</v>
      </c>
      <c r="BT88" s="477">
        <v>429770.52</v>
      </c>
      <c r="BW88" s="126">
        <v>194</v>
      </c>
      <c r="BX88" s="125">
        <v>14099</v>
      </c>
      <c r="BY88" s="19" t="s">
        <v>13</v>
      </c>
      <c r="BZ88" t="s">
        <v>777</v>
      </c>
    </row>
    <row r="89" spans="1:78" x14ac:dyDescent="0.25">
      <c r="A89" s="443">
        <v>14099</v>
      </c>
      <c r="B89" s="19" t="s">
        <v>13</v>
      </c>
      <c r="C89" t="s">
        <v>112</v>
      </c>
      <c r="D89" s="379"/>
      <c r="E89" s="120"/>
      <c r="F89" s="379">
        <v>26433.77</v>
      </c>
      <c r="G89" s="120">
        <v>4.4157738413296834E-5</v>
      </c>
      <c r="H89" s="379">
        <v>64137.78</v>
      </c>
      <c r="I89" s="120">
        <v>2.4663198858864717E-4</v>
      </c>
      <c r="J89" s="379">
        <v>0</v>
      </c>
      <c r="K89" s="120">
        <v>0</v>
      </c>
      <c r="L89" s="379">
        <v>41156.769999999997</v>
      </c>
      <c r="M89" s="120">
        <v>1.8461266374915632E-4</v>
      </c>
      <c r="N89" s="379">
        <v>122924.41</v>
      </c>
      <c r="O89" s="120">
        <v>1.732084586192693E-4</v>
      </c>
      <c r="P89" s="383">
        <f t="shared" si="26"/>
        <v>254652.73</v>
      </c>
      <c r="R89" s="379"/>
      <c r="S89" s="120"/>
      <c r="T89" s="380"/>
      <c r="U89" s="551">
        <v>194</v>
      </c>
      <c r="V89" s="550" t="s">
        <v>113</v>
      </c>
      <c r="W89" s="449" t="s">
        <v>13</v>
      </c>
      <c r="X89" s="562" t="s">
        <v>112</v>
      </c>
      <c r="Y89" s="379">
        <v>0</v>
      </c>
      <c r="Z89" s="379">
        <v>111495.59000000001</v>
      </c>
      <c r="AA89" s="379">
        <v>56425.919999999998</v>
      </c>
      <c r="AB89" s="379"/>
      <c r="AC89" s="379">
        <v>0</v>
      </c>
      <c r="AD89" s="379">
        <v>167921.51</v>
      </c>
      <c r="AE89" s="124"/>
      <c r="AF89" s="551">
        <v>194</v>
      </c>
      <c r="AG89" s="550" t="s">
        <v>113</v>
      </c>
      <c r="AH89" s="449" t="s">
        <v>13</v>
      </c>
      <c r="AI89" s="562" t="s">
        <v>112</v>
      </c>
      <c r="AJ89" s="383">
        <f t="shared" si="18"/>
        <v>0</v>
      </c>
      <c r="AK89" s="383">
        <f t="shared" si="19"/>
        <v>122924.41</v>
      </c>
      <c r="AL89" s="383">
        <f t="shared" si="20"/>
        <v>64137.78</v>
      </c>
      <c r="AM89" s="383">
        <f t="shared" si="21"/>
        <v>0</v>
      </c>
      <c r="AN89" s="383">
        <f t="shared" si="22"/>
        <v>0</v>
      </c>
      <c r="AO89" s="124">
        <f t="shared" si="27"/>
        <v>187062.19</v>
      </c>
      <c r="AR89" s="124">
        <f t="shared" si="23"/>
        <v>41156.769999999997</v>
      </c>
      <c r="AS89" s="124">
        <f t="shared" si="24"/>
        <v>26433.77</v>
      </c>
      <c r="AV89" s="379">
        <f t="shared" si="28"/>
        <v>67590.539999999994</v>
      </c>
      <c r="AW89" s="124">
        <f t="shared" si="25"/>
        <v>0</v>
      </c>
      <c r="AZ89" s="379">
        <v>0</v>
      </c>
      <c r="BA89" s="379">
        <v>2974.6099999999997</v>
      </c>
      <c r="BB89" s="379">
        <v>1610.03</v>
      </c>
      <c r="BC89" s="379"/>
      <c r="BD89" s="379">
        <v>0</v>
      </c>
      <c r="BE89" s="379">
        <f t="shared" si="29"/>
        <v>4584.6399999999994</v>
      </c>
      <c r="BF89" s="379"/>
      <c r="BO89" s="477">
        <v>0</v>
      </c>
      <c r="BP89" s="477">
        <v>278551.38</v>
      </c>
      <c r="BQ89" s="477">
        <v>148607.5</v>
      </c>
      <c r="BR89" s="477"/>
      <c r="BS89" s="477">
        <v>0</v>
      </c>
      <c r="BT89" s="477">
        <v>427158.88</v>
      </c>
      <c r="BW89" s="126">
        <v>834</v>
      </c>
      <c r="BX89" s="125">
        <v>14104</v>
      </c>
      <c r="BY89" s="19" t="s">
        <v>13</v>
      </c>
      <c r="BZ89" t="s">
        <v>950</v>
      </c>
    </row>
    <row r="90" spans="1:78" x14ac:dyDescent="0.25">
      <c r="A90" s="443">
        <v>14104</v>
      </c>
      <c r="B90" s="19" t="s">
        <v>13</v>
      </c>
      <c r="C90" t="s">
        <v>476</v>
      </c>
      <c r="D90" s="379"/>
      <c r="E90" s="120"/>
      <c r="F90" s="379">
        <v>8421.1200000000008</v>
      </c>
      <c r="G90" s="120">
        <v>1.4067520981947798E-5</v>
      </c>
      <c r="H90" s="379">
        <v>20511.099999999999</v>
      </c>
      <c r="I90" s="120">
        <v>7.8872286835319236E-5</v>
      </c>
      <c r="J90" s="379"/>
      <c r="K90" s="120"/>
      <c r="L90" s="379">
        <v>11503.82</v>
      </c>
      <c r="M90" s="120">
        <v>5.1601494808528938E-5</v>
      </c>
      <c r="N90" s="379">
        <v>34231.81</v>
      </c>
      <c r="O90" s="120">
        <v>4.8234838351859389E-5</v>
      </c>
      <c r="P90" s="383">
        <f t="shared" si="26"/>
        <v>74667.850000000006</v>
      </c>
      <c r="R90" s="379"/>
      <c r="S90" s="120"/>
      <c r="T90" s="380"/>
      <c r="U90" s="551">
        <v>834</v>
      </c>
      <c r="V90" s="550" t="s">
        <v>477</v>
      </c>
      <c r="W90" s="449" t="s">
        <v>13</v>
      </c>
      <c r="X90" s="562" t="s">
        <v>476</v>
      </c>
      <c r="Y90" s="379"/>
      <c r="Z90" s="379">
        <v>31784.42</v>
      </c>
      <c r="AA90" s="379">
        <v>16604.61</v>
      </c>
      <c r="AB90" s="379"/>
      <c r="AC90" s="379">
        <v>0</v>
      </c>
      <c r="AD90" s="379">
        <v>48389.03</v>
      </c>
      <c r="AE90" s="124"/>
      <c r="AF90" s="551">
        <v>834</v>
      </c>
      <c r="AG90" s="550" t="s">
        <v>477</v>
      </c>
      <c r="AH90" s="449" t="s">
        <v>13</v>
      </c>
      <c r="AI90" s="562" t="s">
        <v>476</v>
      </c>
      <c r="AJ90" s="383">
        <f t="shared" si="18"/>
        <v>0</v>
      </c>
      <c r="AK90" s="383">
        <f t="shared" si="19"/>
        <v>34231.81</v>
      </c>
      <c r="AL90" s="383">
        <f t="shared" si="20"/>
        <v>20511.099999999999</v>
      </c>
      <c r="AM90" s="383">
        <f t="shared" si="21"/>
        <v>0</v>
      </c>
      <c r="AN90" s="383">
        <f t="shared" si="22"/>
        <v>0</v>
      </c>
      <c r="AO90" s="124">
        <f t="shared" si="27"/>
        <v>54742.909999999996</v>
      </c>
      <c r="AR90" s="124">
        <f t="shared" si="23"/>
        <v>11503.82</v>
      </c>
      <c r="AS90" s="124">
        <f t="shared" si="24"/>
        <v>8421.1200000000008</v>
      </c>
      <c r="AV90" s="379">
        <f t="shared" si="28"/>
        <v>19924.940000000002</v>
      </c>
      <c r="AW90" s="124">
        <f t="shared" si="25"/>
        <v>0</v>
      </c>
      <c r="AZ90" s="379"/>
      <c r="BA90" s="379">
        <v>828.08999999999992</v>
      </c>
      <c r="BB90" s="379">
        <v>515.54</v>
      </c>
      <c r="BC90" s="379"/>
      <c r="BD90" s="379">
        <v>0</v>
      </c>
      <c r="BE90" s="379">
        <f t="shared" si="29"/>
        <v>1343.6299999999999</v>
      </c>
      <c r="BF90" s="379"/>
      <c r="BO90" s="477"/>
      <c r="BP90" s="477">
        <v>78348.14</v>
      </c>
      <c r="BQ90" s="477">
        <v>46052.37</v>
      </c>
      <c r="BR90" s="477"/>
      <c r="BS90" s="477">
        <v>0</v>
      </c>
      <c r="BT90" s="477">
        <v>124400.51000000001</v>
      </c>
      <c r="BW90" s="126">
        <v>1109</v>
      </c>
      <c r="BX90" s="125">
        <v>14117</v>
      </c>
      <c r="BY90" s="19" t="s">
        <v>13</v>
      </c>
      <c r="BZ90" t="s">
        <v>1017</v>
      </c>
    </row>
    <row r="91" spans="1:78" x14ac:dyDescent="0.25">
      <c r="A91" s="443">
        <v>14117</v>
      </c>
      <c r="B91" s="19" t="s">
        <v>13</v>
      </c>
      <c r="C91" t="s">
        <v>616</v>
      </c>
      <c r="D91" s="379"/>
      <c r="E91" s="120"/>
      <c r="F91" s="379">
        <v>20613.86</v>
      </c>
      <c r="G91" s="120">
        <v>3.4435551098777173E-5</v>
      </c>
      <c r="H91" s="379">
        <v>50595.199999999997</v>
      </c>
      <c r="I91" s="120">
        <v>1.9455607582676422E-4</v>
      </c>
      <c r="J91" s="379">
        <v>0</v>
      </c>
      <c r="K91" s="120">
        <v>0</v>
      </c>
      <c r="L91" s="379">
        <v>36108.54</v>
      </c>
      <c r="M91" s="120">
        <v>1.6196834089489924E-4</v>
      </c>
      <c r="N91" s="379">
        <v>124469.51</v>
      </c>
      <c r="O91" s="120">
        <v>1.7538560463455324E-4</v>
      </c>
      <c r="P91" s="383">
        <f t="shared" si="26"/>
        <v>231787.11</v>
      </c>
      <c r="R91" s="379"/>
      <c r="S91" s="120"/>
      <c r="T91" s="380"/>
      <c r="U91" s="551">
        <v>1109</v>
      </c>
      <c r="V91" s="550" t="s">
        <v>617</v>
      </c>
      <c r="W91" s="449" t="s">
        <v>13</v>
      </c>
      <c r="X91" s="562" t="s">
        <v>616</v>
      </c>
      <c r="Y91" s="379">
        <v>0</v>
      </c>
      <c r="Z91" s="379">
        <v>110788.36</v>
      </c>
      <c r="AA91" s="379">
        <v>45805.59</v>
      </c>
      <c r="AB91" s="379"/>
      <c r="AC91" s="379">
        <v>0</v>
      </c>
      <c r="AD91" s="379">
        <v>156593.95000000001</v>
      </c>
      <c r="AE91" s="124"/>
      <c r="AF91" s="551">
        <v>1109</v>
      </c>
      <c r="AG91" s="550" t="s">
        <v>617</v>
      </c>
      <c r="AH91" s="449" t="s">
        <v>13</v>
      </c>
      <c r="AI91" s="562" t="s">
        <v>616</v>
      </c>
      <c r="AJ91" s="383">
        <f t="shared" si="18"/>
        <v>0</v>
      </c>
      <c r="AK91" s="383">
        <f t="shared" si="19"/>
        <v>124469.51</v>
      </c>
      <c r="AL91" s="383">
        <f t="shared" si="20"/>
        <v>50595.199999999997</v>
      </c>
      <c r="AM91" s="383">
        <f t="shared" si="21"/>
        <v>0</v>
      </c>
      <c r="AN91" s="383">
        <f t="shared" si="22"/>
        <v>0</v>
      </c>
      <c r="AO91" s="124">
        <f t="shared" si="27"/>
        <v>175064.71</v>
      </c>
      <c r="AR91" s="124">
        <f t="shared" si="23"/>
        <v>36108.54</v>
      </c>
      <c r="AS91" s="124">
        <f t="shared" si="24"/>
        <v>20613.86</v>
      </c>
      <c r="AV91" s="379">
        <f t="shared" si="28"/>
        <v>56722.400000000001</v>
      </c>
      <c r="AW91" s="124">
        <f t="shared" si="25"/>
        <v>0</v>
      </c>
      <c r="AZ91" s="379">
        <v>0</v>
      </c>
      <c r="BA91" s="379">
        <v>3033.74</v>
      </c>
      <c r="BB91" s="379">
        <v>1275.46</v>
      </c>
      <c r="BC91" s="379"/>
      <c r="BD91" s="379">
        <v>0</v>
      </c>
      <c r="BE91" s="379">
        <f t="shared" si="29"/>
        <v>4309.2</v>
      </c>
      <c r="BF91" s="379"/>
      <c r="BO91" s="477">
        <v>0</v>
      </c>
      <c r="BP91" s="477">
        <v>274400.15000000002</v>
      </c>
      <c r="BQ91" s="477">
        <v>118290.11</v>
      </c>
      <c r="BR91" s="477"/>
      <c r="BS91" s="477">
        <v>0</v>
      </c>
      <c r="BT91" s="477">
        <v>392690.26</v>
      </c>
      <c r="BW91" s="126">
        <v>663</v>
      </c>
      <c r="BX91" s="125">
        <v>14172</v>
      </c>
      <c r="BY91" s="19" t="s">
        <v>13</v>
      </c>
      <c r="BZ91" t="s">
        <v>901</v>
      </c>
    </row>
    <row r="92" spans="1:78" x14ac:dyDescent="0.25">
      <c r="A92" s="443">
        <v>14172</v>
      </c>
      <c r="B92" s="19" t="s">
        <v>13</v>
      </c>
      <c r="C92" t="s">
        <v>372</v>
      </c>
      <c r="D92" s="379"/>
      <c r="E92" s="120"/>
      <c r="F92" s="379">
        <v>61879.28</v>
      </c>
      <c r="G92" s="120">
        <v>1.0336963132550334E-4</v>
      </c>
      <c r="H92" s="379">
        <v>154366.28</v>
      </c>
      <c r="I92" s="120">
        <v>5.9359183631600471E-4</v>
      </c>
      <c r="J92" s="379"/>
      <c r="K92" s="120"/>
      <c r="L92" s="379">
        <v>111643.23</v>
      </c>
      <c r="M92" s="120">
        <v>5.0078648251210484E-4</v>
      </c>
      <c r="N92" s="379">
        <v>378822.99</v>
      </c>
      <c r="O92" s="120">
        <v>5.3378613887545081E-4</v>
      </c>
      <c r="P92" s="383">
        <f t="shared" si="26"/>
        <v>706711.78</v>
      </c>
      <c r="R92" s="379"/>
      <c r="S92" s="120"/>
      <c r="T92" s="380"/>
      <c r="U92" s="551">
        <v>663</v>
      </c>
      <c r="V92" s="550" t="s">
        <v>373</v>
      </c>
      <c r="W92" s="449" t="s">
        <v>13</v>
      </c>
      <c r="X92" s="562" t="s">
        <v>372</v>
      </c>
      <c r="Y92" s="379"/>
      <c r="Z92" s="379">
        <v>350949.93</v>
      </c>
      <c r="AA92" s="379">
        <v>146047.57</v>
      </c>
      <c r="AB92" s="379"/>
      <c r="AC92" s="379">
        <v>0</v>
      </c>
      <c r="AD92" s="379">
        <v>496997.5</v>
      </c>
      <c r="AE92" s="124"/>
      <c r="AF92" s="551">
        <v>663</v>
      </c>
      <c r="AG92" s="550" t="s">
        <v>373</v>
      </c>
      <c r="AH92" s="449" t="s">
        <v>13</v>
      </c>
      <c r="AI92" s="562" t="s">
        <v>372</v>
      </c>
      <c r="AJ92" s="383">
        <f t="shared" si="18"/>
        <v>0</v>
      </c>
      <c r="AK92" s="383">
        <f t="shared" si="19"/>
        <v>378822.99</v>
      </c>
      <c r="AL92" s="383">
        <f t="shared" si="20"/>
        <v>154366.28</v>
      </c>
      <c r="AM92" s="383">
        <f t="shared" si="21"/>
        <v>0</v>
      </c>
      <c r="AN92" s="383">
        <f t="shared" si="22"/>
        <v>0</v>
      </c>
      <c r="AO92" s="124">
        <f t="shared" si="27"/>
        <v>533189.27</v>
      </c>
      <c r="AR92" s="124">
        <f t="shared" si="23"/>
        <v>111643.23</v>
      </c>
      <c r="AS92" s="124">
        <f t="shared" si="24"/>
        <v>61879.28</v>
      </c>
      <c r="AV92" s="379">
        <f t="shared" si="28"/>
        <v>173522.51</v>
      </c>
      <c r="AW92" s="124">
        <f t="shared" si="25"/>
        <v>0</v>
      </c>
      <c r="AZ92" s="379"/>
      <c r="BA92" s="379">
        <v>9226.94</v>
      </c>
      <c r="BB92" s="379">
        <v>3914.76</v>
      </c>
      <c r="BC92" s="379"/>
      <c r="BD92" s="379">
        <v>0</v>
      </c>
      <c r="BE92" s="379">
        <f t="shared" si="29"/>
        <v>13141.7</v>
      </c>
      <c r="BF92" s="379"/>
      <c r="BO92" s="477"/>
      <c r="BP92" s="477">
        <v>850643.09000000008</v>
      </c>
      <c r="BQ92" s="477">
        <v>366207.89</v>
      </c>
      <c r="BR92" s="477"/>
      <c r="BS92" s="477">
        <v>0</v>
      </c>
      <c r="BT92" s="477">
        <v>1216850.98</v>
      </c>
      <c r="BW92" s="126">
        <v>660</v>
      </c>
      <c r="BX92" s="125">
        <v>14400</v>
      </c>
      <c r="BY92" s="19" t="s">
        <v>13</v>
      </c>
      <c r="BZ92" t="s">
        <v>899</v>
      </c>
    </row>
    <row r="93" spans="1:78" x14ac:dyDescent="0.25">
      <c r="A93" s="443">
        <v>14400</v>
      </c>
      <c r="B93" s="19" t="s">
        <v>13</v>
      </c>
      <c r="C93" t="s">
        <v>368</v>
      </c>
      <c r="D93" s="379"/>
      <c r="E93" s="120"/>
      <c r="F93" s="379">
        <v>30827.17</v>
      </c>
      <c r="G93" s="120">
        <v>5.1496933993230314E-5</v>
      </c>
      <c r="H93" s="379">
        <v>76248.39</v>
      </c>
      <c r="I93" s="120">
        <v>2.9320148050622773E-4</v>
      </c>
      <c r="J93" s="379"/>
      <c r="K93" s="120"/>
      <c r="L93" s="379">
        <v>66942.02</v>
      </c>
      <c r="M93" s="120">
        <v>3.0027489107987092E-4</v>
      </c>
      <c r="N93" s="379">
        <v>206215.45</v>
      </c>
      <c r="O93" s="120">
        <v>2.9057093085074797E-4</v>
      </c>
      <c r="P93" s="383">
        <f t="shared" si="26"/>
        <v>380233.03</v>
      </c>
      <c r="R93" s="379"/>
      <c r="S93" s="120"/>
      <c r="T93" s="380"/>
      <c r="U93" s="551">
        <v>660</v>
      </c>
      <c r="V93" s="550" t="s">
        <v>369</v>
      </c>
      <c r="W93" s="449" t="s">
        <v>13</v>
      </c>
      <c r="X93" s="562" t="s">
        <v>368</v>
      </c>
      <c r="Y93" s="379"/>
      <c r="Z93" s="379">
        <v>195958.12</v>
      </c>
      <c r="AA93" s="379">
        <v>72722.87</v>
      </c>
      <c r="AB93" s="379"/>
      <c r="AC93" s="379">
        <v>0</v>
      </c>
      <c r="AD93" s="379">
        <v>268680.99</v>
      </c>
      <c r="AE93" s="124"/>
      <c r="AF93" s="551">
        <v>660</v>
      </c>
      <c r="AG93" s="550" t="s">
        <v>369</v>
      </c>
      <c r="AH93" s="449" t="s">
        <v>13</v>
      </c>
      <c r="AI93" s="562" t="s">
        <v>368</v>
      </c>
      <c r="AJ93" s="383">
        <f t="shared" si="18"/>
        <v>0</v>
      </c>
      <c r="AK93" s="383">
        <f t="shared" si="19"/>
        <v>206215.45</v>
      </c>
      <c r="AL93" s="383">
        <f t="shared" si="20"/>
        <v>76248.39</v>
      </c>
      <c r="AM93" s="383">
        <f t="shared" si="21"/>
        <v>0</v>
      </c>
      <c r="AN93" s="383">
        <f t="shared" si="22"/>
        <v>0</v>
      </c>
      <c r="AO93" s="124">
        <f t="shared" si="27"/>
        <v>282463.84000000003</v>
      </c>
      <c r="AR93" s="124">
        <f t="shared" si="23"/>
        <v>66942.02</v>
      </c>
      <c r="AS93" s="124">
        <f t="shared" si="24"/>
        <v>30827.17</v>
      </c>
      <c r="AV93" s="379">
        <f t="shared" si="28"/>
        <v>97769.19</v>
      </c>
      <c r="AW93" s="124">
        <f t="shared" si="25"/>
        <v>0</v>
      </c>
      <c r="AZ93" s="379"/>
      <c r="BA93" s="379">
        <v>4998.46</v>
      </c>
      <c r="BB93" s="379">
        <v>1927.6599999999999</v>
      </c>
      <c r="BC93" s="379"/>
      <c r="BD93" s="379">
        <v>0</v>
      </c>
      <c r="BE93" s="379">
        <f t="shared" si="29"/>
        <v>6926.12</v>
      </c>
      <c r="BF93" s="379"/>
      <c r="BO93" s="477"/>
      <c r="BP93" s="477">
        <v>474114.05000000005</v>
      </c>
      <c r="BQ93" s="477">
        <v>181726.09</v>
      </c>
      <c r="BR93" s="477"/>
      <c r="BS93" s="477">
        <v>0</v>
      </c>
      <c r="BT93" s="477">
        <v>655840.14</v>
      </c>
      <c r="BW93" s="126">
        <v>656</v>
      </c>
      <c r="BX93" s="125">
        <v>15201</v>
      </c>
      <c r="BY93" s="19" t="s">
        <v>21</v>
      </c>
      <c r="BZ93" t="s">
        <v>897</v>
      </c>
    </row>
    <row r="94" spans="1:78" x14ac:dyDescent="0.25">
      <c r="A94" s="443">
        <v>15201</v>
      </c>
      <c r="B94" s="19" t="s">
        <v>21</v>
      </c>
      <c r="C94" t="s">
        <v>364</v>
      </c>
      <c r="D94" s="379"/>
      <c r="E94" s="120"/>
      <c r="F94" s="379">
        <v>615681.14</v>
      </c>
      <c r="G94" s="120">
        <v>1.0284982704366569E-3</v>
      </c>
      <c r="H94" s="379">
        <v>1533342.12</v>
      </c>
      <c r="I94" s="120">
        <v>5.8962317723240832E-3</v>
      </c>
      <c r="J94" s="379">
        <v>0</v>
      </c>
      <c r="K94" s="120">
        <v>0</v>
      </c>
      <c r="L94" s="379">
        <v>1099438.3600000001</v>
      </c>
      <c r="M94" s="120">
        <v>4.9316368672178094E-3</v>
      </c>
      <c r="N94" s="379">
        <v>3777105.56</v>
      </c>
      <c r="O94" s="120">
        <v>5.322186472889086E-3</v>
      </c>
      <c r="P94" s="383">
        <f t="shared" si="26"/>
        <v>7025567.1799999997</v>
      </c>
      <c r="R94" s="379"/>
      <c r="S94" s="120"/>
      <c r="T94" s="380"/>
      <c r="U94" s="551">
        <v>656</v>
      </c>
      <c r="V94" s="550" t="s">
        <v>365</v>
      </c>
      <c r="W94" s="449" t="s">
        <v>21</v>
      </c>
      <c r="X94" s="562" t="s">
        <v>364</v>
      </c>
      <c r="Y94" s="379">
        <v>0</v>
      </c>
      <c r="Z94" s="379">
        <v>3759289.54</v>
      </c>
      <c r="AA94" s="379">
        <v>1447894.2</v>
      </c>
      <c r="AB94" s="379"/>
      <c r="AC94" s="379">
        <v>0</v>
      </c>
      <c r="AD94" s="379">
        <v>5207183.74</v>
      </c>
      <c r="AE94" s="124"/>
      <c r="AF94" s="551">
        <v>656</v>
      </c>
      <c r="AG94" s="550" t="s">
        <v>365</v>
      </c>
      <c r="AH94" s="449" t="s">
        <v>21</v>
      </c>
      <c r="AI94" s="562" t="s">
        <v>364</v>
      </c>
      <c r="AJ94" s="383">
        <f t="shared" si="18"/>
        <v>0</v>
      </c>
      <c r="AK94" s="383">
        <f t="shared" si="19"/>
        <v>3777105.56</v>
      </c>
      <c r="AL94" s="383">
        <f t="shared" si="20"/>
        <v>1533342.12</v>
      </c>
      <c r="AM94" s="383">
        <f t="shared" si="21"/>
        <v>0</v>
      </c>
      <c r="AN94" s="383">
        <f t="shared" si="22"/>
        <v>0</v>
      </c>
      <c r="AO94" s="124">
        <f t="shared" si="27"/>
        <v>5310447.68</v>
      </c>
      <c r="AR94" s="124">
        <f t="shared" si="23"/>
        <v>1099438.3600000001</v>
      </c>
      <c r="AS94" s="124">
        <f t="shared" si="24"/>
        <v>615681.14</v>
      </c>
      <c r="AV94" s="379">
        <f t="shared" si="28"/>
        <v>1715119.5</v>
      </c>
      <c r="AW94" s="124">
        <f t="shared" si="25"/>
        <v>0</v>
      </c>
      <c r="AZ94" s="379">
        <v>0</v>
      </c>
      <c r="BA94" s="379">
        <v>92054.399999999994</v>
      </c>
      <c r="BB94" s="379">
        <v>38864.04</v>
      </c>
      <c r="BC94" s="379"/>
      <c r="BD94" s="379">
        <v>0</v>
      </c>
      <c r="BE94" s="379">
        <f t="shared" si="29"/>
        <v>130918.44</v>
      </c>
      <c r="BF94" s="379"/>
      <c r="BO94" s="477">
        <v>0</v>
      </c>
      <c r="BP94" s="477">
        <v>8727887.8599999994</v>
      </c>
      <c r="BQ94" s="477">
        <v>3635781.5</v>
      </c>
      <c r="BR94" s="477"/>
      <c r="BS94" s="477">
        <v>0</v>
      </c>
      <c r="BT94" s="477">
        <v>12363669.359999999</v>
      </c>
      <c r="BW94" s="126">
        <v>199</v>
      </c>
      <c r="BX94" s="125">
        <v>15204</v>
      </c>
      <c r="BY94" s="19" t="s">
        <v>21</v>
      </c>
      <c r="BZ94" t="s">
        <v>779</v>
      </c>
    </row>
    <row r="95" spans="1:78" x14ac:dyDescent="0.25">
      <c r="A95" s="443">
        <v>15204</v>
      </c>
      <c r="B95" s="19" t="s">
        <v>21</v>
      </c>
      <c r="C95" t="s">
        <v>116</v>
      </c>
      <c r="D95" s="379"/>
      <c r="E95" s="120"/>
      <c r="F95" s="379">
        <v>102350.27</v>
      </c>
      <c r="G95" s="120">
        <v>1.709766124616467E-4</v>
      </c>
      <c r="H95" s="379">
        <v>255180.2</v>
      </c>
      <c r="I95" s="120">
        <v>9.8125629191482327E-4</v>
      </c>
      <c r="J95" s="379">
        <v>0</v>
      </c>
      <c r="K95" s="120">
        <v>0</v>
      </c>
      <c r="L95" s="379">
        <v>175372.59</v>
      </c>
      <c r="M95" s="120">
        <v>7.8665067711797254E-4</v>
      </c>
      <c r="N95" s="379">
        <v>627267.99</v>
      </c>
      <c r="O95" s="120">
        <v>8.8386124195436214E-4</v>
      </c>
      <c r="P95" s="383">
        <f t="shared" si="26"/>
        <v>1160171.05</v>
      </c>
      <c r="R95" s="379"/>
      <c r="S95" s="120"/>
      <c r="T95" s="380"/>
      <c r="U95" s="551">
        <v>199</v>
      </c>
      <c r="V95" s="550" t="s">
        <v>117</v>
      </c>
      <c r="W95" s="449" t="s">
        <v>21</v>
      </c>
      <c r="X95" s="562" t="s">
        <v>116</v>
      </c>
      <c r="Y95" s="379">
        <v>0</v>
      </c>
      <c r="Z95" s="379">
        <v>618497.18999999994</v>
      </c>
      <c r="AA95" s="379">
        <v>230312.90000000002</v>
      </c>
      <c r="AB95" s="379"/>
      <c r="AC95" s="379">
        <v>0</v>
      </c>
      <c r="AD95" s="379">
        <v>848810.09</v>
      </c>
      <c r="AE95" s="124"/>
      <c r="AF95" s="551">
        <v>199</v>
      </c>
      <c r="AG95" s="550" t="s">
        <v>117</v>
      </c>
      <c r="AH95" s="449" t="s">
        <v>21</v>
      </c>
      <c r="AI95" s="562" t="s">
        <v>116</v>
      </c>
      <c r="AJ95" s="383">
        <f t="shared" si="18"/>
        <v>0</v>
      </c>
      <c r="AK95" s="383">
        <f t="shared" si="19"/>
        <v>627267.99</v>
      </c>
      <c r="AL95" s="383">
        <f t="shared" si="20"/>
        <v>255180.2</v>
      </c>
      <c r="AM95" s="383">
        <f t="shared" si="21"/>
        <v>0</v>
      </c>
      <c r="AN95" s="383">
        <f t="shared" si="22"/>
        <v>0</v>
      </c>
      <c r="AO95" s="124">
        <f t="shared" si="27"/>
        <v>882448.19</v>
      </c>
      <c r="AR95" s="124">
        <f t="shared" si="23"/>
        <v>175372.59</v>
      </c>
      <c r="AS95" s="124">
        <f t="shared" si="24"/>
        <v>102350.27</v>
      </c>
      <c r="AV95" s="379">
        <f t="shared" si="28"/>
        <v>277722.86</v>
      </c>
      <c r="AW95" s="124">
        <f t="shared" si="25"/>
        <v>0</v>
      </c>
      <c r="AZ95" s="379">
        <v>0</v>
      </c>
      <c r="BA95" s="379">
        <v>15315.82</v>
      </c>
      <c r="BB95" s="379">
        <v>6470.18</v>
      </c>
      <c r="BC95" s="379"/>
      <c r="BD95" s="379">
        <v>0</v>
      </c>
      <c r="BE95" s="379">
        <f t="shared" si="29"/>
        <v>21786</v>
      </c>
      <c r="BF95" s="379"/>
      <c r="BO95" s="477">
        <v>0</v>
      </c>
      <c r="BP95" s="477">
        <v>1436453.5899999999</v>
      </c>
      <c r="BQ95" s="477">
        <v>594313.55000000005</v>
      </c>
      <c r="BR95" s="477"/>
      <c r="BS95" s="477">
        <v>0</v>
      </c>
      <c r="BT95" s="477">
        <v>2030767.14</v>
      </c>
      <c r="BW95" s="126">
        <v>903</v>
      </c>
      <c r="BX95" s="125">
        <v>15206</v>
      </c>
      <c r="BY95" s="19" t="s">
        <v>21</v>
      </c>
      <c r="BZ95" t="s">
        <v>963</v>
      </c>
    </row>
    <row r="96" spans="1:78" x14ac:dyDescent="0.25">
      <c r="A96" s="443">
        <v>15206</v>
      </c>
      <c r="B96" s="19" t="s">
        <v>21</v>
      </c>
      <c r="C96" t="s">
        <v>508</v>
      </c>
      <c r="D96" s="379">
        <v>1115.46</v>
      </c>
      <c r="E96" s="120">
        <v>1.8633812312998141E-6</v>
      </c>
      <c r="F96" s="379">
        <v>112727.6</v>
      </c>
      <c r="G96" s="120">
        <v>1.883119915456161E-4</v>
      </c>
      <c r="H96" s="379">
        <v>280013.84999999998</v>
      </c>
      <c r="I96" s="120">
        <v>1.0767502813141205E-3</v>
      </c>
      <c r="J96" s="379">
        <v>0</v>
      </c>
      <c r="K96" s="120">
        <v>0</v>
      </c>
      <c r="L96" s="379">
        <v>220210.94</v>
      </c>
      <c r="M96" s="120">
        <v>9.8777742325516899E-4</v>
      </c>
      <c r="N96" s="379">
        <v>753385.24</v>
      </c>
      <c r="O96" s="120">
        <v>1.0615686190147933E-3</v>
      </c>
      <c r="P96" s="383">
        <f t="shared" si="26"/>
        <v>1367453.0899999999</v>
      </c>
      <c r="R96" s="379"/>
      <c r="S96" s="120"/>
      <c r="T96" s="380"/>
      <c r="U96" s="551">
        <v>903</v>
      </c>
      <c r="V96" s="550" t="s">
        <v>509</v>
      </c>
      <c r="W96" s="449" t="s">
        <v>21</v>
      </c>
      <c r="X96" s="562" t="s">
        <v>508</v>
      </c>
      <c r="Y96" s="379">
        <v>0</v>
      </c>
      <c r="Z96" s="379">
        <v>759015.6100000001</v>
      </c>
      <c r="AA96" s="379">
        <v>259044.38999999998</v>
      </c>
      <c r="AB96" s="379">
        <v>660.2</v>
      </c>
      <c r="AC96" s="379">
        <v>0</v>
      </c>
      <c r="AD96" s="379">
        <v>1018720.2000000001</v>
      </c>
      <c r="AE96" s="124"/>
      <c r="AF96" s="551">
        <v>903</v>
      </c>
      <c r="AG96" s="550" t="s">
        <v>509</v>
      </c>
      <c r="AH96" s="449" t="s">
        <v>21</v>
      </c>
      <c r="AI96" s="562" t="s">
        <v>508</v>
      </c>
      <c r="AJ96" s="383">
        <f t="shared" si="18"/>
        <v>0</v>
      </c>
      <c r="AK96" s="383">
        <f t="shared" si="19"/>
        <v>753385.24</v>
      </c>
      <c r="AL96" s="383">
        <f t="shared" si="20"/>
        <v>280013.84999999998</v>
      </c>
      <c r="AM96" s="383">
        <f t="shared" si="21"/>
        <v>1115.46</v>
      </c>
      <c r="AN96" s="383">
        <f t="shared" si="22"/>
        <v>0</v>
      </c>
      <c r="AO96" s="124">
        <f t="shared" si="27"/>
        <v>1034514.5499999999</v>
      </c>
      <c r="AR96" s="124">
        <f t="shared" si="23"/>
        <v>220210.94</v>
      </c>
      <c r="AS96" s="124">
        <f t="shared" si="24"/>
        <v>112727.6</v>
      </c>
      <c r="AV96" s="379">
        <f t="shared" si="28"/>
        <v>332938.54000000004</v>
      </c>
      <c r="AW96" s="124">
        <f t="shared" si="25"/>
        <v>0</v>
      </c>
      <c r="AZ96" s="379">
        <v>0</v>
      </c>
      <c r="BA96" s="379">
        <v>18357.46</v>
      </c>
      <c r="BB96" s="379">
        <v>7099.34</v>
      </c>
      <c r="BC96" s="379">
        <v>19.79</v>
      </c>
      <c r="BD96" s="379">
        <v>0</v>
      </c>
      <c r="BE96" s="379">
        <f t="shared" si="29"/>
        <v>25476.59</v>
      </c>
      <c r="BF96" s="379"/>
      <c r="BO96" s="477">
        <v>0</v>
      </c>
      <c r="BP96" s="477">
        <v>1750969.25</v>
      </c>
      <c r="BQ96" s="477">
        <v>658885.17999999993</v>
      </c>
      <c r="BR96" s="477">
        <v>1795.45</v>
      </c>
      <c r="BS96" s="477">
        <v>0</v>
      </c>
      <c r="BT96" s="477">
        <v>2411649.88</v>
      </c>
      <c r="BW96" s="126">
        <v>785</v>
      </c>
      <c r="BX96" s="125">
        <v>16020</v>
      </c>
      <c r="BY96" s="19" t="s">
        <v>52</v>
      </c>
      <c r="BZ96" t="s">
        <v>930</v>
      </c>
    </row>
    <row r="97" spans="1:78" x14ac:dyDescent="0.25">
      <c r="A97" s="443">
        <v>16020</v>
      </c>
      <c r="B97" s="19" t="s">
        <v>52</v>
      </c>
      <c r="C97" t="s">
        <v>434</v>
      </c>
      <c r="D97" s="379"/>
      <c r="E97" s="120"/>
      <c r="F97" s="379">
        <v>5064.95</v>
      </c>
      <c r="G97" s="120">
        <v>8.4610230465207117E-6</v>
      </c>
      <c r="H97" s="379">
        <v>12564.55</v>
      </c>
      <c r="I97" s="120">
        <v>4.8315048513083661E-5</v>
      </c>
      <c r="J97" s="379"/>
      <c r="K97" s="120"/>
      <c r="L97" s="379">
        <v>6446.7</v>
      </c>
      <c r="M97" s="120">
        <v>2.8917295001325083E-5</v>
      </c>
      <c r="N97" s="379">
        <v>23910.46</v>
      </c>
      <c r="O97" s="120">
        <v>3.3691387426449259E-5</v>
      </c>
      <c r="P97" s="383">
        <f t="shared" si="26"/>
        <v>47986.66</v>
      </c>
      <c r="R97" s="379"/>
      <c r="S97" s="120"/>
      <c r="T97" s="380"/>
      <c r="U97" s="551">
        <v>785</v>
      </c>
      <c r="V97" s="550" t="s">
        <v>435</v>
      </c>
      <c r="W97" s="449" t="s">
        <v>52</v>
      </c>
      <c r="X97" s="562" t="s">
        <v>434</v>
      </c>
      <c r="Y97" s="379"/>
      <c r="Z97" s="379">
        <v>18000.169999999998</v>
      </c>
      <c r="AA97" s="379">
        <v>11665.470000000001</v>
      </c>
      <c r="AB97" s="379"/>
      <c r="AC97" s="379">
        <v>0</v>
      </c>
      <c r="AD97" s="379">
        <v>29665.64</v>
      </c>
      <c r="AE97" s="124"/>
      <c r="AF97" s="551">
        <v>785</v>
      </c>
      <c r="AG97" s="550" t="s">
        <v>435</v>
      </c>
      <c r="AH97" s="449" t="s">
        <v>52</v>
      </c>
      <c r="AI97" s="562" t="s">
        <v>434</v>
      </c>
      <c r="AJ97" s="383">
        <f t="shared" si="18"/>
        <v>0</v>
      </c>
      <c r="AK97" s="383">
        <f t="shared" si="19"/>
        <v>23910.46</v>
      </c>
      <c r="AL97" s="383">
        <f t="shared" si="20"/>
        <v>12564.55</v>
      </c>
      <c r="AM97" s="383">
        <f t="shared" si="21"/>
        <v>0</v>
      </c>
      <c r="AN97" s="383">
        <f t="shared" si="22"/>
        <v>0</v>
      </c>
      <c r="AO97" s="124">
        <f t="shared" si="27"/>
        <v>36475.009999999995</v>
      </c>
      <c r="AR97" s="124">
        <f t="shared" si="23"/>
        <v>6446.7</v>
      </c>
      <c r="AS97" s="124">
        <f t="shared" si="24"/>
        <v>5064.95</v>
      </c>
      <c r="AV97" s="379">
        <f t="shared" si="28"/>
        <v>11511.65</v>
      </c>
      <c r="AW97" s="124">
        <f t="shared" si="25"/>
        <v>0</v>
      </c>
      <c r="AZ97" s="379"/>
      <c r="BA97" s="379">
        <v>584.65</v>
      </c>
      <c r="BB97" s="379">
        <v>317.88</v>
      </c>
      <c r="BC97" s="379"/>
      <c r="BD97" s="379">
        <v>0</v>
      </c>
      <c r="BE97" s="379">
        <f t="shared" si="29"/>
        <v>902.53</v>
      </c>
      <c r="BF97" s="379"/>
      <c r="BO97" s="477"/>
      <c r="BP97" s="477">
        <v>48941.979999999996</v>
      </c>
      <c r="BQ97" s="477">
        <v>29612.85</v>
      </c>
      <c r="BR97" s="477"/>
      <c r="BS97" s="477">
        <v>0</v>
      </c>
      <c r="BT97" s="477">
        <v>78554.829999999987</v>
      </c>
      <c r="BW97" s="126">
        <v>89</v>
      </c>
      <c r="BX97" s="125">
        <v>16046</v>
      </c>
      <c r="BY97" s="19" t="s">
        <v>52</v>
      </c>
      <c r="BZ97" t="s">
        <v>750</v>
      </c>
    </row>
    <row r="98" spans="1:78" x14ac:dyDescent="0.25">
      <c r="A98" s="443">
        <v>16046</v>
      </c>
      <c r="B98" s="19" t="s">
        <v>52</v>
      </c>
      <c r="C98" t="s">
        <v>58</v>
      </c>
      <c r="D98" s="379"/>
      <c r="E98" s="120"/>
      <c r="F98" s="379">
        <v>8558.94</v>
      </c>
      <c r="G98" s="120">
        <v>1.4297749946946758E-5</v>
      </c>
      <c r="H98" s="379">
        <v>20972.61</v>
      </c>
      <c r="I98" s="120">
        <v>8.0646952703915663E-5</v>
      </c>
      <c r="J98" s="379"/>
      <c r="K98" s="120"/>
      <c r="L98" s="379">
        <v>12548.33</v>
      </c>
      <c r="M98" s="120">
        <v>5.6286745215998512E-5</v>
      </c>
      <c r="N98" s="379">
        <v>42361.47</v>
      </c>
      <c r="O98" s="120">
        <v>5.9690056055964937E-5</v>
      </c>
      <c r="P98" s="383">
        <f t="shared" si="26"/>
        <v>84441.35</v>
      </c>
      <c r="R98" s="379"/>
      <c r="S98" s="120"/>
      <c r="T98" s="380"/>
      <c r="U98" s="551">
        <v>89</v>
      </c>
      <c r="V98" s="550" t="s">
        <v>59</v>
      </c>
      <c r="W98" s="449" t="s">
        <v>52</v>
      </c>
      <c r="X98" s="562" t="s">
        <v>58</v>
      </c>
      <c r="Y98" s="379"/>
      <c r="Z98" s="379">
        <v>37071.199999999997</v>
      </c>
      <c r="AA98" s="379">
        <v>18362.16</v>
      </c>
      <c r="AB98" s="379"/>
      <c r="AC98" s="379">
        <v>0</v>
      </c>
      <c r="AD98" s="379">
        <v>55433.36</v>
      </c>
      <c r="AE98" s="124"/>
      <c r="AF98" s="551">
        <v>89</v>
      </c>
      <c r="AG98" s="550" t="s">
        <v>59</v>
      </c>
      <c r="AH98" s="449" t="s">
        <v>52</v>
      </c>
      <c r="AI98" s="562" t="s">
        <v>58</v>
      </c>
      <c r="AJ98" s="383">
        <f t="shared" si="18"/>
        <v>0</v>
      </c>
      <c r="AK98" s="383">
        <f t="shared" si="19"/>
        <v>42361.47</v>
      </c>
      <c r="AL98" s="383">
        <f t="shared" si="20"/>
        <v>20972.61</v>
      </c>
      <c r="AM98" s="383">
        <f t="shared" si="21"/>
        <v>0</v>
      </c>
      <c r="AN98" s="383">
        <f t="shared" si="22"/>
        <v>0</v>
      </c>
      <c r="AO98" s="124">
        <f t="shared" si="27"/>
        <v>63334.080000000002</v>
      </c>
      <c r="AR98" s="124">
        <f t="shared" si="23"/>
        <v>12548.33</v>
      </c>
      <c r="AS98" s="124">
        <f t="shared" si="24"/>
        <v>8558.94</v>
      </c>
      <c r="AV98" s="379">
        <f t="shared" si="28"/>
        <v>21107.27</v>
      </c>
      <c r="AW98" s="124">
        <f t="shared" si="25"/>
        <v>0</v>
      </c>
      <c r="AZ98" s="379"/>
      <c r="BA98" s="379">
        <v>1031.4000000000001</v>
      </c>
      <c r="BB98" s="379">
        <v>528.28</v>
      </c>
      <c r="BC98" s="379"/>
      <c r="BD98" s="379">
        <v>0</v>
      </c>
      <c r="BE98" s="379">
        <f t="shared" si="29"/>
        <v>1559.68</v>
      </c>
      <c r="BF98" s="379"/>
      <c r="BO98" s="477"/>
      <c r="BP98" s="477">
        <v>93012.4</v>
      </c>
      <c r="BQ98" s="477">
        <v>48421.99</v>
      </c>
      <c r="BR98" s="477"/>
      <c r="BS98" s="477">
        <v>0</v>
      </c>
      <c r="BT98" s="477">
        <v>141434.38999999998</v>
      </c>
      <c r="BW98" s="126">
        <v>786</v>
      </c>
      <c r="BX98" s="125">
        <v>16048</v>
      </c>
      <c r="BY98" s="19" t="s">
        <v>52</v>
      </c>
      <c r="BZ98" t="s">
        <v>931</v>
      </c>
    </row>
    <row r="99" spans="1:78" x14ac:dyDescent="0.25">
      <c r="A99" s="443">
        <v>16048</v>
      </c>
      <c r="B99" s="19" t="s">
        <v>52</v>
      </c>
      <c r="C99" t="s">
        <v>436</v>
      </c>
      <c r="D99" s="379"/>
      <c r="E99" s="120"/>
      <c r="F99" s="379">
        <v>53949.56</v>
      </c>
      <c r="G99" s="120">
        <v>9.0122996378967589E-5</v>
      </c>
      <c r="H99" s="379">
        <v>134212.54</v>
      </c>
      <c r="I99" s="120">
        <v>5.1609372251009247E-4</v>
      </c>
      <c r="J99" s="379"/>
      <c r="K99" s="120"/>
      <c r="L99" s="379">
        <v>97242.63</v>
      </c>
      <c r="M99" s="120">
        <v>4.3619120145418661E-4</v>
      </c>
      <c r="N99" s="379">
        <v>305790.11</v>
      </c>
      <c r="O99" s="120">
        <v>4.3087807876496459E-4</v>
      </c>
      <c r="P99" s="383">
        <f t="shared" si="26"/>
        <v>591194.84</v>
      </c>
      <c r="R99" s="379"/>
      <c r="S99" s="120"/>
      <c r="T99" s="380"/>
      <c r="U99" s="551">
        <v>786</v>
      </c>
      <c r="V99" s="550" t="s">
        <v>437</v>
      </c>
      <c r="W99" s="449" t="s">
        <v>52</v>
      </c>
      <c r="X99" s="562" t="s">
        <v>436</v>
      </c>
      <c r="Y99" s="379"/>
      <c r="Z99" s="379">
        <v>332205.15000000002</v>
      </c>
      <c r="AA99" s="379">
        <v>133451.01</v>
      </c>
      <c r="AB99" s="379"/>
      <c r="AC99" s="379">
        <v>0</v>
      </c>
      <c r="AD99" s="379">
        <v>465656.16000000003</v>
      </c>
      <c r="AE99" s="124"/>
      <c r="AF99" s="551">
        <v>786</v>
      </c>
      <c r="AG99" s="550" t="s">
        <v>437</v>
      </c>
      <c r="AH99" s="449" t="s">
        <v>52</v>
      </c>
      <c r="AI99" s="562" t="s">
        <v>436</v>
      </c>
      <c r="AJ99" s="383">
        <f t="shared" si="18"/>
        <v>0</v>
      </c>
      <c r="AK99" s="383">
        <f t="shared" si="19"/>
        <v>305790.11</v>
      </c>
      <c r="AL99" s="383">
        <f t="shared" si="20"/>
        <v>134212.54</v>
      </c>
      <c r="AM99" s="383">
        <f t="shared" si="21"/>
        <v>0</v>
      </c>
      <c r="AN99" s="383">
        <f t="shared" si="22"/>
        <v>0</v>
      </c>
      <c r="AO99" s="124">
        <f t="shared" si="27"/>
        <v>440002.65</v>
      </c>
      <c r="AR99" s="124">
        <f t="shared" si="23"/>
        <v>97242.63</v>
      </c>
      <c r="AS99" s="124">
        <f t="shared" si="24"/>
        <v>53949.56</v>
      </c>
      <c r="AV99" s="379">
        <f t="shared" si="28"/>
        <v>151192.19</v>
      </c>
      <c r="AW99" s="124">
        <f t="shared" si="25"/>
        <v>0</v>
      </c>
      <c r="AZ99" s="379"/>
      <c r="BA99" s="379">
        <v>7420.0499999999993</v>
      </c>
      <c r="BB99" s="379">
        <v>3400.23</v>
      </c>
      <c r="BC99" s="379"/>
      <c r="BD99" s="379">
        <v>0</v>
      </c>
      <c r="BE99" s="379">
        <f t="shared" si="29"/>
        <v>10820.279999999999</v>
      </c>
      <c r="BF99" s="379"/>
      <c r="BO99" s="477"/>
      <c r="BP99" s="477">
        <v>742657.94</v>
      </c>
      <c r="BQ99" s="477">
        <v>325013.33999999997</v>
      </c>
      <c r="BR99" s="477"/>
      <c r="BS99" s="477">
        <v>0</v>
      </c>
      <c r="BT99" s="477">
        <v>1067671.2799999998</v>
      </c>
      <c r="BW99" s="126">
        <v>137</v>
      </c>
      <c r="BX99" s="125">
        <v>16049</v>
      </c>
      <c r="BY99" s="19" t="s">
        <v>52</v>
      </c>
      <c r="BZ99" t="s">
        <v>765</v>
      </c>
    </row>
    <row r="100" spans="1:78" x14ac:dyDescent="0.25">
      <c r="A100" s="443">
        <v>16049</v>
      </c>
      <c r="B100" s="19" t="s">
        <v>52</v>
      </c>
      <c r="C100" t="s">
        <v>88</v>
      </c>
      <c r="D100" s="379">
        <v>7698.82</v>
      </c>
      <c r="E100" s="120">
        <v>1.2860915399167727E-5</v>
      </c>
      <c r="F100" s="379">
        <v>79869.95</v>
      </c>
      <c r="G100" s="120">
        <v>1.3342313106239092E-4</v>
      </c>
      <c r="H100" s="379">
        <v>197349.67</v>
      </c>
      <c r="I100" s="120">
        <v>7.5887786511184667E-4</v>
      </c>
      <c r="J100" s="379">
        <v>0</v>
      </c>
      <c r="K100" s="120">
        <v>0</v>
      </c>
      <c r="L100" s="379">
        <v>131496.73000000001</v>
      </c>
      <c r="M100" s="120">
        <v>5.89841272762746E-4</v>
      </c>
      <c r="N100" s="379">
        <v>448145.83</v>
      </c>
      <c r="O100" s="120">
        <v>6.3146651223262395E-4</v>
      </c>
      <c r="P100" s="383">
        <f t="shared" si="26"/>
        <v>864561</v>
      </c>
      <c r="R100" s="379"/>
      <c r="S100" s="120"/>
      <c r="T100" s="380"/>
      <c r="U100" s="551">
        <v>137</v>
      </c>
      <c r="V100" s="550" t="s">
        <v>89</v>
      </c>
      <c r="W100" s="449" t="s">
        <v>52</v>
      </c>
      <c r="X100" s="562" t="s">
        <v>88</v>
      </c>
      <c r="Y100" s="379">
        <v>0</v>
      </c>
      <c r="Z100" s="379">
        <v>435307.95999999996</v>
      </c>
      <c r="AA100" s="379">
        <v>186516.12</v>
      </c>
      <c r="AB100" s="379">
        <v>4863.22</v>
      </c>
      <c r="AC100" s="379">
        <v>0</v>
      </c>
      <c r="AD100" s="379">
        <v>626687.29999999993</v>
      </c>
      <c r="AE100" s="124"/>
      <c r="AF100" s="551">
        <v>137</v>
      </c>
      <c r="AG100" s="550" t="s">
        <v>89</v>
      </c>
      <c r="AH100" s="449" t="s">
        <v>52</v>
      </c>
      <c r="AI100" s="562" t="s">
        <v>88</v>
      </c>
      <c r="AJ100" s="383">
        <f t="shared" si="18"/>
        <v>0</v>
      </c>
      <c r="AK100" s="383">
        <f t="shared" si="19"/>
        <v>448145.83</v>
      </c>
      <c r="AL100" s="383">
        <f t="shared" si="20"/>
        <v>197349.67</v>
      </c>
      <c r="AM100" s="383">
        <f t="shared" si="21"/>
        <v>7698.82</v>
      </c>
      <c r="AN100" s="383">
        <f t="shared" si="22"/>
        <v>0</v>
      </c>
      <c r="AO100" s="124">
        <f t="shared" si="27"/>
        <v>653194.31999999995</v>
      </c>
      <c r="AR100" s="124">
        <f t="shared" si="23"/>
        <v>131496.73000000001</v>
      </c>
      <c r="AS100" s="124">
        <f t="shared" si="24"/>
        <v>79869.95</v>
      </c>
      <c r="AV100" s="379">
        <f t="shared" si="28"/>
        <v>211366.68</v>
      </c>
      <c r="AW100" s="124">
        <f t="shared" si="25"/>
        <v>0</v>
      </c>
      <c r="AZ100" s="379">
        <v>0</v>
      </c>
      <c r="BA100" s="379">
        <v>10917.689999999999</v>
      </c>
      <c r="BB100" s="379">
        <v>4987.6000000000004</v>
      </c>
      <c r="BC100" s="379">
        <v>158.61000000000001</v>
      </c>
      <c r="BD100" s="379">
        <v>0</v>
      </c>
      <c r="BE100" s="379">
        <f t="shared" si="29"/>
        <v>16063.9</v>
      </c>
      <c r="BF100" s="379"/>
      <c r="BO100" s="477">
        <v>0</v>
      </c>
      <c r="BP100" s="477">
        <v>1025868.21</v>
      </c>
      <c r="BQ100" s="477">
        <v>468723.33999999997</v>
      </c>
      <c r="BR100" s="477">
        <v>12720.65</v>
      </c>
      <c r="BS100" s="477">
        <v>0</v>
      </c>
      <c r="BT100" s="477">
        <v>1507312.1999999997</v>
      </c>
      <c r="BW100" s="126">
        <v>757</v>
      </c>
      <c r="BX100" s="125">
        <v>16050</v>
      </c>
      <c r="BY100" s="19" t="s">
        <v>52</v>
      </c>
      <c r="BZ100" t="s">
        <v>925</v>
      </c>
    </row>
    <row r="101" spans="1:78" x14ac:dyDescent="0.25">
      <c r="A101" s="443">
        <v>16050</v>
      </c>
      <c r="B101" s="19" t="s">
        <v>52</v>
      </c>
      <c r="C101" t="s">
        <v>422</v>
      </c>
      <c r="D101" s="379"/>
      <c r="E101" s="120"/>
      <c r="F101" s="379">
        <v>108370.36</v>
      </c>
      <c r="G101" s="120">
        <v>1.8103320141753547E-4</v>
      </c>
      <c r="H101" s="379">
        <v>264260.47999999998</v>
      </c>
      <c r="I101" s="120">
        <v>1.0161731149377236E-3</v>
      </c>
      <c r="J101" s="379">
        <v>0</v>
      </c>
      <c r="K101" s="120">
        <v>0</v>
      </c>
      <c r="L101" s="379">
        <v>260465.59</v>
      </c>
      <c r="M101" s="120">
        <v>1.1683435406834796E-3</v>
      </c>
      <c r="N101" s="379">
        <v>778888.9</v>
      </c>
      <c r="O101" s="120">
        <v>1.0975049284731827E-3</v>
      </c>
      <c r="P101" s="383">
        <f t="shared" si="26"/>
        <v>1411985.33</v>
      </c>
      <c r="R101" s="379"/>
      <c r="S101" s="120"/>
      <c r="T101" s="380"/>
      <c r="U101" s="551">
        <v>757</v>
      </c>
      <c r="V101" s="550" t="s">
        <v>423</v>
      </c>
      <c r="W101" s="449" t="s">
        <v>52</v>
      </c>
      <c r="X101" s="562" t="s">
        <v>422</v>
      </c>
      <c r="Y101" s="379">
        <v>0</v>
      </c>
      <c r="Z101" s="379">
        <v>818698.69</v>
      </c>
      <c r="AA101" s="379">
        <v>257411.09999999998</v>
      </c>
      <c r="AB101" s="379"/>
      <c r="AC101" s="379">
        <v>0</v>
      </c>
      <c r="AD101" s="379">
        <v>1076109.79</v>
      </c>
      <c r="AE101" s="124"/>
      <c r="AF101" s="551">
        <v>757</v>
      </c>
      <c r="AG101" s="550" t="s">
        <v>423</v>
      </c>
      <c r="AH101" s="449" t="s">
        <v>52</v>
      </c>
      <c r="AI101" s="562" t="s">
        <v>422</v>
      </c>
      <c r="AJ101" s="383">
        <f t="shared" si="18"/>
        <v>0</v>
      </c>
      <c r="AK101" s="383">
        <f t="shared" si="19"/>
        <v>778888.9</v>
      </c>
      <c r="AL101" s="383">
        <f t="shared" si="20"/>
        <v>264260.47999999998</v>
      </c>
      <c r="AM101" s="383">
        <f t="shared" si="21"/>
        <v>0</v>
      </c>
      <c r="AN101" s="383">
        <f t="shared" si="22"/>
        <v>0</v>
      </c>
      <c r="AO101" s="124">
        <f t="shared" si="27"/>
        <v>1043149.38</v>
      </c>
      <c r="AR101" s="124">
        <f t="shared" si="23"/>
        <v>260465.59</v>
      </c>
      <c r="AS101" s="124">
        <f t="shared" si="24"/>
        <v>108370.36</v>
      </c>
      <c r="AV101" s="379">
        <f t="shared" si="28"/>
        <v>368835.95</v>
      </c>
      <c r="AW101" s="124">
        <f t="shared" si="25"/>
        <v>0</v>
      </c>
      <c r="AZ101" s="379">
        <v>0</v>
      </c>
      <c r="BA101" s="379">
        <v>18850</v>
      </c>
      <c r="BB101" s="379">
        <v>6646.4</v>
      </c>
      <c r="BC101" s="379"/>
      <c r="BD101" s="379">
        <v>0</v>
      </c>
      <c r="BE101" s="379">
        <f t="shared" si="29"/>
        <v>25496.400000000001</v>
      </c>
      <c r="BF101" s="379"/>
      <c r="BO101" s="477">
        <v>0</v>
      </c>
      <c r="BP101" s="477">
        <v>1876903.18</v>
      </c>
      <c r="BQ101" s="477">
        <v>636688.34000000008</v>
      </c>
      <c r="BR101" s="477"/>
      <c r="BS101" s="477">
        <v>0</v>
      </c>
      <c r="BT101" s="477">
        <v>2513591.52</v>
      </c>
      <c r="BW101" s="126">
        <v>844</v>
      </c>
      <c r="BX101" s="125">
        <v>17001</v>
      </c>
      <c r="BY101" s="19" t="s">
        <v>29</v>
      </c>
      <c r="BZ101" t="s">
        <v>951</v>
      </c>
    </row>
    <row r="102" spans="1:78" x14ac:dyDescent="0.25">
      <c r="A102" s="443">
        <v>17001</v>
      </c>
      <c r="B102" s="19" t="s">
        <v>29</v>
      </c>
      <c r="C102" t="s">
        <v>478</v>
      </c>
      <c r="D102" s="379">
        <v>47605.15</v>
      </c>
      <c r="E102" s="120">
        <v>7.9524629321725868E-5</v>
      </c>
      <c r="F102" s="379">
        <v>6572672.25</v>
      </c>
      <c r="G102" s="120">
        <v>1.0979680230698653E-2</v>
      </c>
      <c r="H102" s="379">
        <v>16002992.449999999</v>
      </c>
      <c r="I102" s="120">
        <v>6.1537051193736474E-2</v>
      </c>
      <c r="J102" s="379">
        <v>70483.81</v>
      </c>
      <c r="K102" s="120">
        <v>3.1616193193220515E-4</v>
      </c>
      <c r="L102" s="379">
        <v>13205392.48</v>
      </c>
      <c r="M102" s="120">
        <v>5.9234062381131408E-2</v>
      </c>
      <c r="N102" s="379">
        <v>37966595.189999998</v>
      </c>
      <c r="O102" s="120">
        <v>5.3497392681255598E-2</v>
      </c>
      <c r="P102" s="383">
        <f t="shared" si="26"/>
        <v>73865741.329999998</v>
      </c>
      <c r="R102" s="379"/>
      <c r="S102" s="120"/>
      <c r="T102" s="380"/>
      <c r="U102" s="551">
        <v>844</v>
      </c>
      <c r="V102" s="550" t="s">
        <v>479</v>
      </c>
      <c r="W102" s="449" t="s">
        <v>29</v>
      </c>
      <c r="X102" s="562" t="s">
        <v>478</v>
      </c>
      <c r="Y102" s="379">
        <v>39007.440000000002</v>
      </c>
      <c r="Z102" s="379">
        <v>35508240.510000005</v>
      </c>
      <c r="AA102" s="379">
        <v>14762537.530000001</v>
      </c>
      <c r="AB102" s="379">
        <v>30137.759999999998</v>
      </c>
      <c r="AC102" s="379">
        <v>0</v>
      </c>
      <c r="AD102" s="379">
        <v>50339923.240000002</v>
      </c>
      <c r="AE102" s="124"/>
      <c r="AF102" s="551">
        <v>844</v>
      </c>
      <c r="AG102" s="550" t="s">
        <v>479</v>
      </c>
      <c r="AH102" s="449" t="s">
        <v>29</v>
      </c>
      <c r="AI102" s="562" t="s">
        <v>478</v>
      </c>
      <c r="AJ102" s="383">
        <f t="shared" si="18"/>
        <v>70483.81</v>
      </c>
      <c r="AK102" s="383">
        <f t="shared" si="19"/>
        <v>37966595.189999998</v>
      </c>
      <c r="AL102" s="383">
        <f t="shared" si="20"/>
        <v>16002992.449999999</v>
      </c>
      <c r="AM102" s="383">
        <f t="shared" si="21"/>
        <v>47605.15</v>
      </c>
      <c r="AN102" s="383">
        <f t="shared" si="22"/>
        <v>0</v>
      </c>
      <c r="AO102" s="124">
        <f t="shared" si="27"/>
        <v>54087676.600000001</v>
      </c>
      <c r="AR102" s="124">
        <f t="shared" si="23"/>
        <v>13205392.48</v>
      </c>
      <c r="AS102" s="124">
        <f t="shared" si="24"/>
        <v>6572672.25</v>
      </c>
      <c r="AV102" s="379">
        <f t="shared" si="28"/>
        <v>19778064.73</v>
      </c>
      <c r="AW102" s="124">
        <f t="shared" si="25"/>
        <v>0</v>
      </c>
      <c r="AZ102" s="379">
        <v>1265.3699999999999</v>
      </c>
      <c r="BA102" s="379">
        <v>916877.78</v>
      </c>
      <c r="BB102" s="379">
        <v>402296.98</v>
      </c>
      <c r="BC102" s="379">
        <v>975.68</v>
      </c>
      <c r="BD102" s="379">
        <v>0</v>
      </c>
      <c r="BE102" s="379">
        <f t="shared" si="29"/>
        <v>1321415.8099999998</v>
      </c>
      <c r="BF102" s="379"/>
      <c r="BO102" s="477">
        <v>110756.62</v>
      </c>
      <c r="BP102" s="477">
        <v>87597105.960000008</v>
      </c>
      <c r="BQ102" s="477">
        <v>37740499.210000001</v>
      </c>
      <c r="BR102" s="477">
        <v>78718.59</v>
      </c>
      <c r="BS102" s="477">
        <v>0</v>
      </c>
      <c r="BT102" s="477">
        <v>125527080.38000003</v>
      </c>
      <c r="BW102" s="126">
        <v>294</v>
      </c>
      <c r="BX102" s="125">
        <v>17210</v>
      </c>
      <c r="BY102" s="19" t="s">
        <v>29</v>
      </c>
      <c r="BZ102" t="s">
        <v>811</v>
      </c>
    </row>
    <row r="103" spans="1:78" x14ac:dyDescent="0.25">
      <c r="A103" s="443">
        <v>17210</v>
      </c>
      <c r="B103" s="19" t="s">
        <v>29</v>
      </c>
      <c r="C103" t="s">
        <v>180</v>
      </c>
      <c r="D103" s="379">
        <v>3670.32</v>
      </c>
      <c r="E103" s="120">
        <v>6.1312870034464105E-6</v>
      </c>
      <c r="F103" s="379">
        <v>1879787.6</v>
      </c>
      <c r="G103" s="120">
        <v>3.1401941196189218E-3</v>
      </c>
      <c r="H103" s="379">
        <v>4687564.28</v>
      </c>
      <c r="I103" s="120">
        <v>1.8025308952282264E-2</v>
      </c>
      <c r="J103" s="379">
        <v>19745.66</v>
      </c>
      <c r="K103" s="120">
        <v>8.8571063523332037E-5</v>
      </c>
      <c r="L103" s="379">
        <v>4114992.85</v>
      </c>
      <c r="M103" s="120">
        <v>1.8458197554065407E-2</v>
      </c>
      <c r="N103" s="379">
        <v>14103536.210000001</v>
      </c>
      <c r="O103" s="120">
        <v>1.987279636335168E-2</v>
      </c>
      <c r="P103" s="383">
        <f t="shared" si="26"/>
        <v>24809296.920000002</v>
      </c>
      <c r="R103" s="379"/>
      <c r="S103" s="120"/>
      <c r="T103" s="380"/>
      <c r="U103" s="551">
        <v>294</v>
      </c>
      <c r="V103" s="550" t="s">
        <v>181</v>
      </c>
      <c r="W103" s="449" t="s">
        <v>29</v>
      </c>
      <c r="X103" s="562" t="s">
        <v>180</v>
      </c>
      <c r="Y103" s="379">
        <v>11707.13</v>
      </c>
      <c r="Z103" s="379">
        <v>13163225.289999999</v>
      </c>
      <c r="AA103" s="379">
        <v>4333895.1500000004</v>
      </c>
      <c r="AB103" s="379">
        <v>2302.42</v>
      </c>
      <c r="AC103" s="379">
        <v>0</v>
      </c>
      <c r="AD103" s="379">
        <v>17511129.990000002</v>
      </c>
      <c r="AE103" s="124"/>
      <c r="AF103" s="551">
        <v>294</v>
      </c>
      <c r="AG103" s="550" t="s">
        <v>181</v>
      </c>
      <c r="AH103" s="449" t="s">
        <v>29</v>
      </c>
      <c r="AI103" s="562" t="s">
        <v>180</v>
      </c>
      <c r="AJ103" s="383">
        <f t="shared" si="18"/>
        <v>19745.66</v>
      </c>
      <c r="AK103" s="383">
        <f t="shared" si="19"/>
        <v>14103536.210000001</v>
      </c>
      <c r="AL103" s="383">
        <f t="shared" si="20"/>
        <v>4687564.28</v>
      </c>
      <c r="AM103" s="383">
        <f t="shared" si="21"/>
        <v>3670.32</v>
      </c>
      <c r="AN103" s="383">
        <f t="shared" si="22"/>
        <v>0</v>
      </c>
      <c r="AO103" s="124">
        <f t="shared" si="27"/>
        <v>18814516.470000003</v>
      </c>
      <c r="AR103" s="124">
        <f t="shared" si="23"/>
        <v>4114992.85</v>
      </c>
      <c r="AS103" s="124">
        <f t="shared" si="24"/>
        <v>1879787.6</v>
      </c>
      <c r="AV103" s="379">
        <f t="shared" si="28"/>
        <v>5994780.4500000002</v>
      </c>
      <c r="AW103" s="124">
        <f t="shared" si="25"/>
        <v>0</v>
      </c>
      <c r="AZ103" s="379">
        <v>385.35</v>
      </c>
      <c r="BA103" s="379">
        <v>343665.3</v>
      </c>
      <c r="BB103" s="379">
        <v>118857.89</v>
      </c>
      <c r="BC103" s="379">
        <v>74.52</v>
      </c>
      <c r="BD103" s="379">
        <v>0</v>
      </c>
      <c r="BE103" s="379">
        <f t="shared" si="29"/>
        <v>462983.06</v>
      </c>
      <c r="BF103" s="379"/>
      <c r="BO103" s="477">
        <v>31838.14</v>
      </c>
      <c r="BP103" s="477">
        <v>31725419.649999999</v>
      </c>
      <c r="BQ103" s="477">
        <v>11020104.92</v>
      </c>
      <c r="BR103" s="477">
        <v>6047.26</v>
      </c>
      <c r="BS103" s="477">
        <v>0</v>
      </c>
      <c r="BT103" s="477">
        <v>42783409.969999999</v>
      </c>
      <c r="BW103" s="126">
        <v>280</v>
      </c>
      <c r="BX103" s="125">
        <v>17216</v>
      </c>
      <c r="BY103" s="19" t="s">
        <v>29</v>
      </c>
      <c r="BZ103" t="s">
        <v>805</v>
      </c>
    </row>
    <row r="104" spans="1:78" x14ac:dyDescent="0.25">
      <c r="A104" s="443">
        <v>17216</v>
      </c>
      <c r="B104" s="19" t="s">
        <v>29</v>
      </c>
      <c r="C104" t="s">
        <v>168</v>
      </c>
      <c r="D104" s="379"/>
      <c r="E104" s="120"/>
      <c r="F104" s="379">
        <v>403752</v>
      </c>
      <c r="G104" s="120">
        <v>6.7446963485894831E-4</v>
      </c>
      <c r="H104" s="379">
        <v>1002081.87</v>
      </c>
      <c r="I104" s="120">
        <v>3.8533520232027088E-3</v>
      </c>
      <c r="J104" s="379">
        <v>0</v>
      </c>
      <c r="K104" s="120">
        <v>0</v>
      </c>
      <c r="L104" s="379">
        <v>778807.49</v>
      </c>
      <c r="M104" s="120">
        <v>3.4934161567269353E-3</v>
      </c>
      <c r="N104" s="379">
        <v>2624915.2599999998</v>
      </c>
      <c r="O104" s="120">
        <v>3.6986756836237685E-3</v>
      </c>
      <c r="P104" s="383">
        <f t="shared" si="26"/>
        <v>4809556.62</v>
      </c>
      <c r="R104" s="379"/>
      <c r="S104" s="120"/>
      <c r="T104" s="380"/>
      <c r="U104" s="551">
        <v>280</v>
      </c>
      <c r="V104" s="550" t="s">
        <v>169</v>
      </c>
      <c r="W104" s="449" t="s">
        <v>29</v>
      </c>
      <c r="X104" s="562" t="s">
        <v>168</v>
      </c>
      <c r="Y104" s="379">
        <v>0</v>
      </c>
      <c r="Z104" s="379">
        <v>2718871.24</v>
      </c>
      <c r="AA104" s="379">
        <v>914458.78</v>
      </c>
      <c r="AB104" s="379"/>
      <c r="AC104" s="379">
        <v>0</v>
      </c>
      <c r="AD104" s="379">
        <v>3633330.0200000005</v>
      </c>
      <c r="AE104" s="124"/>
      <c r="AF104" s="551">
        <v>280</v>
      </c>
      <c r="AG104" s="550" t="s">
        <v>169</v>
      </c>
      <c r="AH104" s="449" t="s">
        <v>29</v>
      </c>
      <c r="AI104" s="562" t="s">
        <v>168</v>
      </c>
      <c r="AJ104" s="383">
        <f t="shared" si="18"/>
        <v>0</v>
      </c>
      <c r="AK104" s="383">
        <f t="shared" si="19"/>
        <v>2624915.2599999998</v>
      </c>
      <c r="AL104" s="383">
        <f t="shared" si="20"/>
        <v>1002081.87</v>
      </c>
      <c r="AM104" s="383">
        <f t="shared" si="21"/>
        <v>0</v>
      </c>
      <c r="AN104" s="383">
        <f t="shared" si="22"/>
        <v>0</v>
      </c>
      <c r="AO104" s="124">
        <f t="shared" si="27"/>
        <v>3626997.13</v>
      </c>
      <c r="AR104" s="124">
        <f t="shared" si="23"/>
        <v>778807.49</v>
      </c>
      <c r="AS104" s="124">
        <f t="shared" si="24"/>
        <v>403752</v>
      </c>
      <c r="AV104" s="379">
        <f t="shared" si="28"/>
        <v>1182559.49</v>
      </c>
      <c r="AW104" s="124">
        <f t="shared" si="25"/>
        <v>0</v>
      </c>
      <c r="AZ104" s="379">
        <v>0</v>
      </c>
      <c r="BA104" s="379">
        <v>63914.46</v>
      </c>
      <c r="BB104" s="379">
        <v>25367.05</v>
      </c>
      <c r="BC104" s="379"/>
      <c r="BD104" s="379">
        <v>0</v>
      </c>
      <c r="BE104" s="379">
        <f t="shared" si="29"/>
        <v>89281.51</v>
      </c>
      <c r="BF104" s="379"/>
      <c r="BO104" s="477">
        <v>0</v>
      </c>
      <c r="BP104" s="477">
        <v>6186508.4499999993</v>
      </c>
      <c r="BQ104" s="477">
        <v>2345659.7000000002</v>
      </c>
      <c r="BR104" s="477"/>
      <c r="BS104" s="477">
        <v>0</v>
      </c>
      <c r="BT104" s="477">
        <v>8532168.1499999985</v>
      </c>
      <c r="BW104" s="126">
        <v>585</v>
      </c>
      <c r="BX104" s="125">
        <v>17400</v>
      </c>
      <c r="BY104" s="19" t="s">
        <v>29</v>
      </c>
      <c r="BZ104" t="s">
        <v>869</v>
      </c>
    </row>
    <row r="105" spans="1:78" x14ac:dyDescent="0.25">
      <c r="A105" s="443">
        <v>17400</v>
      </c>
      <c r="B105" s="19" t="s">
        <v>29</v>
      </c>
      <c r="C105" t="s">
        <v>300</v>
      </c>
      <c r="D105" s="379"/>
      <c r="E105" s="120"/>
      <c r="F105" s="379">
        <v>392923.88</v>
      </c>
      <c r="G105" s="120">
        <v>6.5638120893756868E-4</v>
      </c>
      <c r="H105" s="379">
        <v>979373.57</v>
      </c>
      <c r="I105" s="120">
        <v>3.7660307410119693E-3</v>
      </c>
      <c r="J105" s="379">
        <v>7783.87</v>
      </c>
      <c r="K105" s="120">
        <v>3.49153000825173E-5</v>
      </c>
      <c r="L105" s="379">
        <v>807268.14</v>
      </c>
      <c r="M105" s="120">
        <v>3.6210791489523319E-3</v>
      </c>
      <c r="N105" s="379">
        <v>2698690.16</v>
      </c>
      <c r="O105" s="120">
        <v>3.8026292979936958E-3</v>
      </c>
      <c r="P105" s="383">
        <f t="shared" si="26"/>
        <v>4886039.62</v>
      </c>
      <c r="R105" s="379"/>
      <c r="S105" s="120"/>
      <c r="T105" s="380"/>
      <c r="U105" s="551">
        <v>585</v>
      </c>
      <c r="V105" s="550" t="s">
        <v>301</v>
      </c>
      <c r="W105" s="449" t="s">
        <v>29</v>
      </c>
      <c r="X105" s="562" t="s">
        <v>300</v>
      </c>
      <c r="Y105" s="379">
        <v>4373.3599999999997</v>
      </c>
      <c r="Z105" s="379">
        <v>2646048.3199999998</v>
      </c>
      <c r="AA105" s="379">
        <v>942677.47</v>
      </c>
      <c r="AB105" s="379"/>
      <c r="AC105" s="379">
        <v>0</v>
      </c>
      <c r="AD105" s="379">
        <v>3593099.1499999994</v>
      </c>
      <c r="AE105" s="124"/>
      <c r="AF105" s="551">
        <v>585</v>
      </c>
      <c r="AG105" s="550" t="s">
        <v>301</v>
      </c>
      <c r="AH105" s="449" t="s">
        <v>29</v>
      </c>
      <c r="AI105" s="562" t="s">
        <v>300</v>
      </c>
      <c r="AJ105" s="383">
        <f t="shared" si="18"/>
        <v>7783.87</v>
      </c>
      <c r="AK105" s="383">
        <f t="shared" si="19"/>
        <v>2698690.16</v>
      </c>
      <c r="AL105" s="383">
        <f t="shared" si="20"/>
        <v>979373.57</v>
      </c>
      <c r="AM105" s="383">
        <f t="shared" si="21"/>
        <v>0</v>
      </c>
      <c r="AN105" s="383">
        <f t="shared" si="22"/>
        <v>0</v>
      </c>
      <c r="AO105" s="124">
        <f t="shared" si="27"/>
        <v>3685847.6</v>
      </c>
      <c r="AR105" s="124">
        <f t="shared" si="23"/>
        <v>807268.14</v>
      </c>
      <c r="AS105" s="124">
        <f t="shared" si="24"/>
        <v>392923.88</v>
      </c>
      <c r="AV105" s="379">
        <f t="shared" si="28"/>
        <v>1200192.02</v>
      </c>
      <c r="AW105" s="124">
        <f t="shared" si="25"/>
        <v>0</v>
      </c>
      <c r="AZ105" s="379">
        <v>142.25</v>
      </c>
      <c r="BA105" s="379">
        <v>65685.45</v>
      </c>
      <c r="BB105" s="379">
        <v>24830.27</v>
      </c>
      <c r="BC105" s="379"/>
      <c r="BD105" s="379">
        <v>0</v>
      </c>
      <c r="BE105" s="379">
        <f t="shared" si="29"/>
        <v>90657.97</v>
      </c>
      <c r="BF105" s="379"/>
      <c r="BO105" s="477">
        <v>12299.48</v>
      </c>
      <c r="BP105" s="477">
        <v>6217692.0700000003</v>
      </c>
      <c r="BQ105" s="477">
        <v>2339805.19</v>
      </c>
      <c r="BR105" s="477"/>
      <c r="BS105" s="477">
        <v>0</v>
      </c>
      <c r="BT105" s="477">
        <v>8569796.7400000002</v>
      </c>
      <c r="BW105" s="126">
        <v>378</v>
      </c>
      <c r="BX105" s="125">
        <v>17401</v>
      </c>
      <c r="BY105" s="19" t="s">
        <v>29</v>
      </c>
      <c r="BZ105" t="s">
        <v>829</v>
      </c>
    </row>
    <row r="106" spans="1:78" x14ac:dyDescent="0.25">
      <c r="A106" s="443">
        <v>17401</v>
      </c>
      <c r="B106" s="19" t="s">
        <v>29</v>
      </c>
      <c r="C106" t="s">
        <v>218</v>
      </c>
      <c r="D106" s="379">
        <v>5431.13</v>
      </c>
      <c r="E106" s="120">
        <v>9.0727284768161645E-6</v>
      </c>
      <c r="F106" s="379">
        <v>2067095</v>
      </c>
      <c r="G106" s="120">
        <v>3.4530920215101292E-3</v>
      </c>
      <c r="H106" s="379">
        <v>5154612.13</v>
      </c>
      <c r="I106" s="120">
        <v>1.9821269773058287E-2</v>
      </c>
      <c r="J106" s="379">
        <v>0</v>
      </c>
      <c r="K106" s="120">
        <v>0</v>
      </c>
      <c r="L106" s="379">
        <v>3892117.69</v>
      </c>
      <c r="M106" s="120">
        <v>1.7458469514884504E-2</v>
      </c>
      <c r="N106" s="379">
        <v>13094994.65</v>
      </c>
      <c r="O106" s="120">
        <v>1.8451695956515697E-2</v>
      </c>
      <c r="P106" s="383">
        <f t="shared" si="26"/>
        <v>24214250.600000001</v>
      </c>
      <c r="R106" s="379"/>
      <c r="S106" s="120"/>
      <c r="T106" s="380"/>
      <c r="U106" s="551">
        <v>378</v>
      </c>
      <c r="V106" s="550" t="s">
        <v>219</v>
      </c>
      <c r="W106" s="449" t="s">
        <v>29</v>
      </c>
      <c r="X106" s="562" t="s">
        <v>218</v>
      </c>
      <c r="Y106" s="379">
        <v>0</v>
      </c>
      <c r="Z106" s="379">
        <v>12224944.600000001</v>
      </c>
      <c r="AA106" s="379">
        <v>4733964.82</v>
      </c>
      <c r="AB106" s="379">
        <v>3448.33</v>
      </c>
      <c r="AC106" s="379">
        <v>0</v>
      </c>
      <c r="AD106" s="379">
        <v>16962357.75</v>
      </c>
      <c r="AE106" s="124"/>
      <c r="AF106" s="551">
        <v>378</v>
      </c>
      <c r="AG106" s="550" t="s">
        <v>219</v>
      </c>
      <c r="AH106" s="449" t="s">
        <v>29</v>
      </c>
      <c r="AI106" s="562" t="s">
        <v>218</v>
      </c>
      <c r="AJ106" s="383">
        <f t="shared" si="18"/>
        <v>0</v>
      </c>
      <c r="AK106" s="383">
        <f t="shared" si="19"/>
        <v>13094994.65</v>
      </c>
      <c r="AL106" s="383">
        <f t="shared" si="20"/>
        <v>5154612.13</v>
      </c>
      <c r="AM106" s="383">
        <f t="shared" si="21"/>
        <v>5431.13</v>
      </c>
      <c r="AN106" s="383">
        <f t="shared" si="22"/>
        <v>0</v>
      </c>
      <c r="AO106" s="124">
        <f t="shared" si="27"/>
        <v>18255037.91</v>
      </c>
      <c r="AR106" s="124">
        <f t="shared" si="23"/>
        <v>3892117.69</v>
      </c>
      <c r="AS106" s="124">
        <f t="shared" si="24"/>
        <v>2067095</v>
      </c>
      <c r="AV106" s="379">
        <f t="shared" si="28"/>
        <v>5959212.6899999995</v>
      </c>
      <c r="AW106" s="124">
        <f t="shared" si="25"/>
        <v>0</v>
      </c>
      <c r="AZ106" s="379">
        <v>0</v>
      </c>
      <c r="BA106" s="379">
        <v>318873.88</v>
      </c>
      <c r="BB106" s="379">
        <v>130748.29</v>
      </c>
      <c r="BC106" s="379">
        <v>113.08</v>
      </c>
      <c r="BD106" s="379">
        <v>0</v>
      </c>
      <c r="BE106" s="379">
        <f t="shared" si="29"/>
        <v>449735.25</v>
      </c>
      <c r="BF106" s="379"/>
      <c r="BO106" s="477">
        <v>0</v>
      </c>
      <c r="BP106" s="477">
        <v>29530930.82</v>
      </c>
      <c r="BQ106" s="477">
        <v>12086420.24</v>
      </c>
      <c r="BR106" s="477">
        <v>8992.5400000000009</v>
      </c>
      <c r="BS106" s="477">
        <v>0</v>
      </c>
      <c r="BT106" s="477">
        <v>41626343.600000001</v>
      </c>
      <c r="BW106" s="126">
        <v>1032</v>
      </c>
      <c r="BX106" s="125">
        <v>17402</v>
      </c>
      <c r="BY106" s="19" t="s">
        <v>29</v>
      </c>
      <c r="BZ106" t="s">
        <v>996</v>
      </c>
    </row>
    <row r="107" spans="1:78" x14ac:dyDescent="0.25">
      <c r="A107" s="443">
        <v>17402</v>
      </c>
      <c r="B107" s="19" t="s">
        <v>29</v>
      </c>
      <c r="C107" t="s">
        <v>574</v>
      </c>
      <c r="D107" s="379"/>
      <c r="E107" s="120"/>
      <c r="F107" s="379">
        <v>142510.38</v>
      </c>
      <c r="G107" s="120">
        <v>2.3806426708031161E-4</v>
      </c>
      <c r="H107" s="379">
        <v>351225.52</v>
      </c>
      <c r="I107" s="120">
        <v>1.3505838281381377E-3</v>
      </c>
      <c r="J107" s="379">
        <v>873.09</v>
      </c>
      <c r="K107" s="120">
        <v>3.9163294542489832E-6</v>
      </c>
      <c r="L107" s="379">
        <v>262936.89</v>
      </c>
      <c r="M107" s="120">
        <v>1.1794287953310941E-3</v>
      </c>
      <c r="N107" s="379">
        <v>882722.53</v>
      </c>
      <c r="O107" s="120">
        <v>1.2438132410788197E-3</v>
      </c>
      <c r="P107" s="383">
        <f t="shared" si="26"/>
        <v>1640268.4100000001</v>
      </c>
      <c r="R107" s="379"/>
      <c r="S107" s="120"/>
      <c r="T107" s="380"/>
      <c r="U107" s="551">
        <v>1032</v>
      </c>
      <c r="V107" s="550" t="s">
        <v>575</v>
      </c>
      <c r="W107" s="449" t="s">
        <v>29</v>
      </c>
      <c r="X107" s="562" t="s">
        <v>574</v>
      </c>
      <c r="Y107" s="379">
        <v>361.14</v>
      </c>
      <c r="Z107" s="379">
        <v>910312.25</v>
      </c>
      <c r="AA107" s="379">
        <v>321604.62</v>
      </c>
      <c r="AB107" s="379"/>
      <c r="AC107" s="379">
        <v>0</v>
      </c>
      <c r="AD107" s="379">
        <v>1232278.01</v>
      </c>
      <c r="AE107" s="124"/>
      <c r="AF107" s="551">
        <v>1032</v>
      </c>
      <c r="AG107" s="550" t="s">
        <v>575</v>
      </c>
      <c r="AH107" s="449" t="s">
        <v>29</v>
      </c>
      <c r="AI107" s="562" t="s">
        <v>574</v>
      </c>
      <c r="AJ107" s="383">
        <f t="shared" si="18"/>
        <v>873.09</v>
      </c>
      <c r="AK107" s="383">
        <f t="shared" si="19"/>
        <v>882722.53</v>
      </c>
      <c r="AL107" s="383">
        <f t="shared" si="20"/>
        <v>351225.52</v>
      </c>
      <c r="AM107" s="383">
        <f t="shared" si="21"/>
        <v>0</v>
      </c>
      <c r="AN107" s="383">
        <f t="shared" si="22"/>
        <v>0</v>
      </c>
      <c r="AO107" s="124">
        <f t="shared" si="27"/>
        <v>1234821.1400000001</v>
      </c>
      <c r="AR107" s="124">
        <f t="shared" si="23"/>
        <v>262936.89</v>
      </c>
      <c r="AS107" s="124">
        <f t="shared" si="24"/>
        <v>142510.38</v>
      </c>
      <c r="AV107" s="379">
        <f t="shared" si="28"/>
        <v>405447.27</v>
      </c>
      <c r="AW107" s="124">
        <f t="shared" si="25"/>
        <v>0</v>
      </c>
      <c r="AZ107" s="379">
        <v>10.83</v>
      </c>
      <c r="BA107" s="379">
        <v>21476.84</v>
      </c>
      <c r="BB107" s="379">
        <v>8868.25</v>
      </c>
      <c r="BC107" s="379"/>
      <c r="BD107" s="379">
        <v>0</v>
      </c>
      <c r="BE107" s="379">
        <f t="shared" si="29"/>
        <v>30355.920000000002</v>
      </c>
      <c r="BF107" s="379"/>
      <c r="BO107" s="477">
        <v>1245.06</v>
      </c>
      <c r="BP107" s="477">
        <v>2077448.51</v>
      </c>
      <c r="BQ107" s="477">
        <v>824208.77</v>
      </c>
      <c r="BR107" s="477"/>
      <c r="BS107" s="477">
        <v>0</v>
      </c>
      <c r="BT107" s="477">
        <v>2902902.34</v>
      </c>
      <c r="BW107" s="126">
        <v>804</v>
      </c>
      <c r="BX107" s="125">
        <v>17403</v>
      </c>
      <c r="BY107" s="19" t="s">
        <v>29</v>
      </c>
      <c r="BZ107" t="s">
        <v>938</v>
      </c>
    </row>
    <row r="108" spans="1:78" x14ac:dyDescent="0.25">
      <c r="A108" s="443">
        <v>17403</v>
      </c>
      <c r="B108" s="19" t="s">
        <v>29</v>
      </c>
      <c r="C108" t="s">
        <v>450</v>
      </c>
      <c r="D108" s="379">
        <v>11621.74</v>
      </c>
      <c r="E108" s="120">
        <v>1.9414171903112886E-5</v>
      </c>
      <c r="F108" s="379">
        <v>1763322.95</v>
      </c>
      <c r="G108" s="120">
        <v>2.9456393682877201E-3</v>
      </c>
      <c r="H108" s="379">
        <v>4375917.3600000003</v>
      </c>
      <c r="I108" s="120">
        <v>1.6826918555590532E-2</v>
      </c>
      <c r="J108" s="379">
        <v>0</v>
      </c>
      <c r="K108" s="120">
        <v>0</v>
      </c>
      <c r="L108" s="379">
        <v>3230512.32</v>
      </c>
      <c r="M108" s="120">
        <v>1.4490774778236166E-2</v>
      </c>
      <c r="N108" s="379">
        <v>10670006.75</v>
      </c>
      <c r="O108" s="120">
        <v>1.5034730877493728E-2</v>
      </c>
      <c r="P108" s="383">
        <f t="shared" si="26"/>
        <v>20051381.120000001</v>
      </c>
      <c r="R108" s="379"/>
      <c r="S108" s="120"/>
      <c r="T108" s="380"/>
      <c r="U108" s="551">
        <v>804</v>
      </c>
      <c r="V108" s="550" t="s">
        <v>451</v>
      </c>
      <c r="W108" s="449" t="s">
        <v>29</v>
      </c>
      <c r="X108" s="562" t="s">
        <v>450</v>
      </c>
      <c r="Y108" s="379">
        <v>0</v>
      </c>
      <c r="Z108" s="379">
        <v>10223654.720000001</v>
      </c>
      <c r="AA108" s="379">
        <v>3906339.2800000003</v>
      </c>
      <c r="AB108" s="379">
        <v>7486.45</v>
      </c>
      <c r="AC108" s="379">
        <v>0</v>
      </c>
      <c r="AD108" s="379">
        <v>14137480.449999999</v>
      </c>
      <c r="AE108" s="124"/>
      <c r="AF108" s="551">
        <v>804</v>
      </c>
      <c r="AG108" s="550" t="s">
        <v>451</v>
      </c>
      <c r="AH108" s="449" t="s">
        <v>29</v>
      </c>
      <c r="AI108" s="562" t="s">
        <v>450</v>
      </c>
      <c r="AJ108" s="383">
        <f t="shared" si="18"/>
        <v>0</v>
      </c>
      <c r="AK108" s="383">
        <f t="shared" si="19"/>
        <v>10670006.75</v>
      </c>
      <c r="AL108" s="383">
        <f t="shared" si="20"/>
        <v>4375917.3600000003</v>
      </c>
      <c r="AM108" s="383">
        <f t="shared" si="21"/>
        <v>11621.74</v>
      </c>
      <c r="AN108" s="383">
        <f t="shared" si="22"/>
        <v>0</v>
      </c>
      <c r="AO108" s="124">
        <f t="shared" si="27"/>
        <v>15057545.85</v>
      </c>
      <c r="AR108" s="124">
        <f t="shared" si="23"/>
        <v>3230512.32</v>
      </c>
      <c r="AS108" s="124">
        <f t="shared" si="24"/>
        <v>1763322.95</v>
      </c>
      <c r="AV108" s="379">
        <f t="shared" si="28"/>
        <v>4993835.2699999996</v>
      </c>
      <c r="AW108" s="124">
        <f t="shared" si="25"/>
        <v>0</v>
      </c>
      <c r="AZ108" s="379">
        <v>0</v>
      </c>
      <c r="BA108" s="379">
        <v>259551.57</v>
      </c>
      <c r="BB108" s="379">
        <v>110767.98000000001</v>
      </c>
      <c r="BC108" s="379">
        <v>245.69</v>
      </c>
      <c r="BD108" s="379">
        <v>0</v>
      </c>
      <c r="BE108" s="379">
        <f t="shared" si="29"/>
        <v>370565.24000000005</v>
      </c>
      <c r="BF108" s="379"/>
      <c r="BO108" s="477">
        <v>0</v>
      </c>
      <c r="BP108" s="477">
        <v>24383725.359999999</v>
      </c>
      <c r="BQ108" s="477">
        <v>10156347.57</v>
      </c>
      <c r="BR108" s="477">
        <v>19353.88</v>
      </c>
      <c r="BS108" s="477">
        <v>0</v>
      </c>
      <c r="BT108" s="477">
        <v>34559426.810000002</v>
      </c>
      <c r="BW108" s="126">
        <v>878</v>
      </c>
      <c r="BX108" s="125">
        <v>17404</v>
      </c>
      <c r="BY108" s="19" t="s">
        <v>29</v>
      </c>
      <c r="BZ108" t="s">
        <v>960</v>
      </c>
    </row>
    <row r="109" spans="1:78" x14ac:dyDescent="0.25">
      <c r="A109" s="443">
        <v>17404</v>
      </c>
      <c r="B109" s="19" t="s">
        <v>29</v>
      </c>
      <c r="C109" t="s">
        <v>496</v>
      </c>
      <c r="D109" s="379"/>
      <c r="E109" s="120"/>
      <c r="F109" s="379">
        <v>8550.82</v>
      </c>
      <c r="G109" s="120">
        <v>1.4284185448355903E-5</v>
      </c>
      <c r="H109" s="379">
        <v>20812.349999999999</v>
      </c>
      <c r="I109" s="120">
        <v>8.0030697471956957E-5</v>
      </c>
      <c r="J109" s="379"/>
      <c r="K109" s="120"/>
      <c r="L109" s="379">
        <v>32509.27</v>
      </c>
      <c r="M109" s="120">
        <v>1.4582346795534575E-4</v>
      </c>
      <c r="N109" s="379">
        <v>97112.38</v>
      </c>
      <c r="O109" s="120">
        <v>1.3683763584994025E-4</v>
      </c>
      <c r="P109" s="383">
        <f t="shared" si="26"/>
        <v>158984.82</v>
      </c>
      <c r="R109" s="379"/>
      <c r="S109" s="120"/>
      <c r="T109" s="380"/>
      <c r="U109" s="551">
        <v>878</v>
      </c>
      <c r="V109" s="550" t="s">
        <v>497</v>
      </c>
      <c r="W109" s="449" t="s">
        <v>29</v>
      </c>
      <c r="X109" s="562" t="s">
        <v>496</v>
      </c>
      <c r="Y109" s="379"/>
      <c r="Z109" s="379">
        <v>84166.67</v>
      </c>
      <c r="AA109" s="379">
        <v>20410.89</v>
      </c>
      <c r="AB109" s="379"/>
      <c r="AC109" s="379">
        <v>0</v>
      </c>
      <c r="AD109" s="379">
        <v>104577.56</v>
      </c>
      <c r="AE109" s="124"/>
      <c r="AF109" s="551">
        <v>878</v>
      </c>
      <c r="AG109" s="550" t="s">
        <v>497</v>
      </c>
      <c r="AH109" s="449" t="s">
        <v>29</v>
      </c>
      <c r="AI109" s="562" t="s">
        <v>496</v>
      </c>
      <c r="AJ109" s="383">
        <f t="shared" si="18"/>
        <v>0</v>
      </c>
      <c r="AK109" s="383">
        <f t="shared" si="19"/>
        <v>97112.38</v>
      </c>
      <c r="AL109" s="383">
        <f t="shared" si="20"/>
        <v>20812.349999999999</v>
      </c>
      <c r="AM109" s="383">
        <f t="shared" si="21"/>
        <v>0</v>
      </c>
      <c r="AN109" s="383">
        <f t="shared" si="22"/>
        <v>0</v>
      </c>
      <c r="AO109" s="124">
        <f t="shared" si="27"/>
        <v>117924.73000000001</v>
      </c>
      <c r="AR109" s="124">
        <f t="shared" si="23"/>
        <v>32509.27</v>
      </c>
      <c r="AS109" s="124">
        <f t="shared" si="24"/>
        <v>8550.82</v>
      </c>
      <c r="AV109" s="379">
        <f t="shared" si="28"/>
        <v>41060.089999999997</v>
      </c>
      <c r="AW109" s="124">
        <f t="shared" si="25"/>
        <v>0</v>
      </c>
      <c r="AZ109" s="379"/>
      <c r="BA109" s="379">
        <v>2350.04</v>
      </c>
      <c r="BB109" s="379">
        <v>522.99</v>
      </c>
      <c r="BC109" s="379"/>
      <c r="BD109" s="379">
        <v>0</v>
      </c>
      <c r="BE109" s="379">
        <f t="shared" si="29"/>
        <v>2873.0299999999997</v>
      </c>
      <c r="BF109" s="379"/>
      <c r="BO109" s="477"/>
      <c r="BP109" s="477">
        <v>216138.36</v>
      </c>
      <c r="BQ109" s="477">
        <v>50297.05</v>
      </c>
      <c r="BR109" s="477"/>
      <c r="BS109" s="477">
        <v>0</v>
      </c>
      <c r="BT109" s="477">
        <v>266435.40999999997</v>
      </c>
      <c r="BW109" s="126">
        <v>50</v>
      </c>
      <c r="BX109" s="125">
        <v>17405</v>
      </c>
      <c r="BY109" s="19" t="s">
        <v>29</v>
      </c>
      <c r="BZ109" t="s">
        <v>740</v>
      </c>
    </row>
    <row r="110" spans="1:78" x14ac:dyDescent="0.25">
      <c r="A110" s="443">
        <v>17405</v>
      </c>
      <c r="B110" s="19" t="s">
        <v>29</v>
      </c>
      <c r="C110" t="s">
        <v>35</v>
      </c>
      <c r="D110" s="379">
        <v>10321.85</v>
      </c>
      <c r="E110" s="120">
        <v>1.7242699480296904E-5</v>
      </c>
      <c r="F110" s="379">
        <v>2086412.4</v>
      </c>
      <c r="G110" s="120">
        <v>3.4853618300173918E-3</v>
      </c>
      <c r="H110" s="379">
        <v>5110738.29</v>
      </c>
      <c r="I110" s="120">
        <v>1.965255965546114E-2</v>
      </c>
      <c r="J110" s="379">
        <v>30395.77</v>
      </c>
      <c r="K110" s="120">
        <v>1.3634315973791661E-4</v>
      </c>
      <c r="L110" s="379">
        <v>4818426.24</v>
      </c>
      <c r="M110" s="120">
        <v>2.1613515911118188E-2</v>
      </c>
      <c r="N110" s="379">
        <v>14638515.560000001</v>
      </c>
      <c r="O110" s="120">
        <v>2.062661693167199E-2</v>
      </c>
      <c r="P110" s="383">
        <f t="shared" si="26"/>
        <v>26694810.109999999</v>
      </c>
      <c r="R110" s="379"/>
      <c r="S110" s="120"/>
      <c r="T110" s="380"/>
      <c r="U110" s="551">
        <v>50</v>
      </c>
      <c r="V110" s="550" t="s">
        <v>36</v>
      </c>
      <c r="W110" s="449" t="s">
        <v>29</v>
      </c>
      <c r="X110" s="562" t="s">
        <v>35</v>
      </c>
      <c r="Y110" s="379">
        <v>16362.34</v>
      </c>
      <c r="Z110" s="379">
        <v>13679091.219999999</v>
      </c>
      <c r="AA110" s="379">
        <v>4753516.6900000004</v>
      </c>
      <c r="AB110" s="379">
        <v>6522.89</v>
      </c>
      <c r="AC110" s="379">
        <v>0</v>
      </c>
      <c r="AD110" s="379">
        <v>18455493.140000001</v>
      </c>
      <c r="AE110" s="124"/>
      <c r="AF110" s="551">
        <v>50</v>
      </c>
      <c r="AG110" s="550" t="s">
        <v>36</v>
      </c>
      <c r="AH110" s="449" t="s">
        <v>29</v>
      </c>
      <c r="AI110" s="562" t="s">
        <v>35</v>
      </c>
      <c r="AJ110" s="383">
        <f t="shared" si="18"/>
        <v>30395.77</v>
      </c>
      <c r="AK110" s="383">
        <f t="shared" si="19"/>
        <v>14638515.560000001</v>
      </c>
      <c r="AL110" s="383">
        <f t="shared" si="20"/>
        <v>5110738.29</v>
      </c>
      <c r="AM110" s="383">
        <f t="shared" si="21"/>
        <v>10321.85</v>
      </c>
      <c r="AN110" s="383">
        <f t="shared" si="22"/>
        <v>0</v>
      </c>
      <c r="AO110" s="124">
        <f t="shared" si="27"/>
        <v>19789971.470000003</v>
      </c>
      <c r="AR110" s="124">
        <f t="shared" si="23"/>
        <v>4818426.24</v>
      </c>
      <c r="AS110" s="124">
        <f t="shared" si="24"/>
        <v>2086412.4</v>
      </c>
      <c r="AV110" s="379">
        <f t="shared" si="28"/>
        <v>6904838.6400000006</v>
      </c>
      <c r="AW110" s="124">
        <f t="shared" si="25"/>
        <v>0</v>
      </c>
      <c r="AZ110" s="379">
        <v>527.41999999999996</v>
      </c>
      <c r="BA110" s="379">
        <v>354572.93</v>
      </c>
      <c r="BB110" s="379">
        <v>128772.89</v>
      </c>
      <c r="BC110" s="379">
        <v>209.3</v>
      </c>
      <c r="BD110" s="379">
        <v>0</v>
      </c>
      <c r="BE110" s="379">
        <f t="shared" si="29"/>
        <v>484082.54</v>
      </c>
      <c r="BF110" s="379"/>
      <c r="BO110" s="477">
        <v>47285.53</v>
      </c>
      <c r="BP110" s="477">
        <v>33490605.949999999</v>
      </c>
      <c r="BQ110" s="477">
        <v>12079440.27</v>
      </c>
      <c r="BR110" s="477">
        <v>17054.04</v>
      </c>
      <c r="BS110" s="477">
        <v>0</v>
      </c>
      <c r="BT110" s="477">
        <v>45634385.789999999</v>
      </c>
      <c r="BW110" s="126">
        <v>909</v>
      </c>
      <c r="BX110" s="125">
        <v>17406</v>
      </c>
      <c r="BY110" s="19" t="s">
        <v>29</v>
      </c>
      <c r="BZ110" t="s">
        <v>966</v>
      </c>
    </row>
    <row r="111" spans="1:78" x14ac:dyDescent="0.25">
      <c r="A111" s="443">
        <v>17406</v>
      </c>
      <c r="B111" s="19" t="s">
        <v>29</v>
      </c>
      <c r="C111" t="s">
        <v>562</v>
      </c>
      <c r="D111" s="379"/>
      <c r="E111" s="120"/>
      <c r="F111" s="379">
        <v>341259.98</v>
      </c>
      <c r="G111" s="120">
        <v>5.7007641845135623E-4</v>
      </c>
      <c r="H111" s="379">
        <v>848572.71</v>
      </c>
      <c r="I111" s="120">
        <v>3.2630561102887788E-3</v>
      </c>
      <c r="J111" s="379">
        <v>43721.24</v>
      </c>
      <c r="K111" s="120">
        <v>1.9611584142332266E-4</v>
      </c>
      <c r="L111" s="379">
        <v>557529.55000000005</v>
      </c>
      <c r="M111" s="120">
        <v>2.5008526019988562E-3</v>
      </c>
      <c r="N111" s="379">
        <v>1956739.46</v>
      </c>
      <c r="O111" s="120">
        <v>2.7571726867438398E-3</v>
      </c>
      <c r="P111" s="383">
        <f t="shared" si="26"/>
        <v>3747822.94</v>
      </c>
      <c r="R111" s="379"/>
      <c r="S111" s="120"/>
      <c r="T111" s="380"/>
      <c r="U111" s="551">
        <v>909</v>
      </c>
      <c r="V111" s="550" t="s">
        <v>563</v>
      </c>
      <c r="W111" s="449" t="s">
        <v>29</v>
      </c>
      <c r="X111" s="562" t="s">
        <v>562</v>
      </c>
      <c r="Y111" s="379">
        <v>25146.06</v>
      </c>
      <c r="Z111" s="379">
        <v>1921682.4</v>
      </c>
      <c r="AA111" s="379">
        <v>785237.46</v>
      </c>
      <c r="AB111" s="379"/>
      <c r="AC111" s="379">
        <v>0</v>
      </c>
      <c r="AD111" s="379">
        <v>2732065.92</v>
      </c>
      <c r="AE111" s="124"/>
      <c r="AF111" s="551">
        <v>909</v>
      </c>
      <c r="AG111" s="550" t="s">
        <v>563</v>
      </c>
      <c r="AH111" s="449" t="s">
        <v>29</v>
      </c>
      <c r="AI111" s="562" t="s">
        <v>562</v>
      </c>
      <c r="AJ111" s="383">
        <f t="shared" si="18"/>
        <v>43721.24</v>
      </c>
      <c r="AK111" s="383">
        <f t="shared" si="19"/>
        <v>1956739.46</v>
      </c>
      <c r="AL111" s="383">
        <f t="shared" si="20"/>
        <v>848572.71</v>
      </c>
      <c r="AM111" s="383">
        <f t="shared" si="21"/>
        <v>0</v>
      </c>
      <c r="AN111" s="383">
        <f t="shared" si="22"/>
        <v>0</v>
      </c>
      <c r="AO111" s="124">
        <f t="shared" si="27"/>
        <v>2849033.41</v>
      </c>
      <c r="AR111" s="124">
        <f t="shared" si="23"/>
        <v>557529.55000000005</v>
      </c>
      <c r="AS111" s="124">
        <f t="shared" si="24"/>
        <v>341259.98</v>
      </c>
      <c r="AV111" s="379">
        <f t="shared" si="28"/>
        <v>898789.53</v>
      </c>
      <c r="AW111" s="124">
        <f t="shared" si="25"/>
        <v>0</v>
      </c>
      <c r="AZ111" s="379">
        <v>822.56</v>
      </c>
      <c r="BA111" s="379">
        <v>47736.25</v>
      </c>
      <c r="BB111" s="379">
        <v>21495.66</v>
      </c>
      <c r="BC111" s="379"/>
      <c r="BD111" s="379">
        <v>0</v>
      </c>
      <c r="BE111" s="379">
        <f t="shared" si="29"/>
        <v>70054.47</v>
      </c>
      <c r="BF111" s="379"/>
      <c r="BO111" s="477">
        <v>69689.86</v>
      </c>
      <c r="BP111" s="477">
        <v>4483687.66</v>
      </c>
      <c r="BQ111" s="477">
        <v>1996565.81</v>
      </c>
      <c r="BR111" s="477"/>
      <c r="BS111" s="477">
        <v>0</v>
      </c>
      <c r="BT111" s="477">
        <v>6549943.3300000001</v>
      </c>
      <c r="BW111" s="126">
        <v>816</v>
      </c>
      <c r="BX111" s="125">
        <v>17407</v>
      </c>
      <c r="BY111" s="19" t="s">
        <v>29</v>
      </c>
      <c r="BZ111" t="s">
        <v>944</v>
      </c>
    </row>
    <row r="112" spans="1:78" x14ac:dyDescent="0.25">
      <c r="A112" s="443">
        <v>17407</v>
      </c>
      <c r="B112" s="19" t="s">
        <v>29</v>
      </c>
      <c r="C112" t="s">
        <v>462</v>
      </c>
      <c r="D112" s="379"/>
      <c r="E112" s="120"/>
      <c r="F112" s="379">
        <v>285722.76</v>
      </c>
      <c r="G112" s="120">
        <v>4.7730122849692615E-4</v>
      </c>
      <c r="H112" s="379">
        <v>699704.64</v>
      </c>
      <c r="I112" s="120">
        <v>2.690606796616651E-3</v>
      </c>
      <c r="J112" s="379">
        <v>0</v>
      </c>
      <c r="K112" s="120">
        <v>0</v>
      </c>
      <c r="L112" s="379">
        <v>728747.31</v>
      </c>
      <c r="M112" s="120">
        <v>3.2688663881818764E-3</v>
      </c>
      <c r="N112" s="379">
        <v>2230575.7999999998</v>
      </c>
      <c r="O112" s="120">
        <v>3.1430258331233271E-3</v>
      </c>
      <c r="P112" s="383">
        <f t="shared" si="26"/>
        <v>3944750.51</v>
      </c>
      <c r="R112" s="379"/>
      <c r="S112" s="120"/>
      <c r="T112" s="380"/>
      <c r="U112" s="551">
        <v>816</v>
      </c>
      <c r="V112" s="550" t="s">
        <v>463</v>
      </c>
      <c r="W112" s="449" t="s">
        <v>29</v>
      </c>
      <c r="X112" s="562" t="s">
        <v>462</v>
      </c>
      <c r="Y112" s="379">
        <v>0</v>
      </c>
      <c r="Z112" s="379">
        <v>2236985.83</v>
      </c>
      <c r="AA112" s="379">
        <v>668393.82000000007</v>
      </c>
      <c r="AB112" s="379"/>
      <c r="AC112" s="379">
        <v>0</v>
      </c>
      <c r="AD112" s="379">
        <v>2905379.6500000004</v>
      </c>
      <c r="AE112" s="124"/>
      <c r="AF112" s="551">
        <v>816</v>
      </c>
      <c r="AG112" s="550" t="s">
        <v>463</v>
      </c>
      <c r="AH112" s="449" t="s">
        <v>29</v>
      </c>
      <c r="AI112" s="562" t="s">
        <v>462</v>
      </c>
      <c r="AJ112" s="383">
        <f t="shared" si="18"/>
        <v>0</v>
      </c>
      <c r="AK112" s="383">
        <f t="shared" si="19"/>
        <v>2230575.7999999998</v>
      </c>
      <c r="AL112" s="383">
        <f t="shared" si="20"/>
        <v>699704.64</v>
      </c>
      <c r="AM112" s="383">
        <f t="shared" si="21"/>
        <v>0</v>
      </c>
      <c r="AN112" s="383">
        <f t="shared" si="22"/>
        <v>0</v>
      </c>
      <c r="AO112" s="124">
        <f t="shared" si="27"/>
        <v>2930280.44</v>
      </c>
      <c r="AR112" s="124">
        <f t="shared" si="23"/>
        <v>728747.31</v>
      </c>
      <c r="AS112" s="124">
        <f t="shared" si="24"/>
        <v>285722.76</v>
      </c>
      <c r="AV112" s="379">
        <f t="shared" si="28"/>
        <v>1014470.0700000001</v>
      </c>
      <c r="AW112" s="124">
        <f t="shared" si="25"/>
        <v>0</v>
      </c>
      <c r="AZ112" s="379">
        <v>0</v>
      </c>
      <c r="BA112" s="379">
        <v>54050.25</v>
      </c>
      <c r="BB112" s="379">
        <v>17626.060000000001</v>
      </c>
      <c r="BC112" s="379"/>
      <c r="BD112" s="379">
        <v>0</v>
      </c>
      <c r="BE112" s="379">
        <f t="shared" si="29"/>
        <v>71676.31</v>
      </c>
      <c r="BF112" s="379"/>
      <c r="BO112" s="477">
        <v>0</v>
      </c>
      <c r="BP112" s="477">
        <v>5250359.1899999995</v>
      </c>
      <c r="BQ112" s="477">
        <v>1671447.28</v>
      </c>
      <c r="BR112" s="477"/>
      <c r="BS112" s="477">
        <v>0</v>
      </c>
      <c r="BT112" s="477">
        <v>6921806.4699999997</v>
      </c>
      <c r="BW112" s="126">
        <v>39</v>
      </c>
      <c r="BX112" s="125">
        <v>17408</v>
      </c>
      <c r="BY112" s="19" t="s">
        <v>29</v>
      </c>
      <c r="BZ112" t="s">
        <v>737</v>
      </c>
    </row>
    <row r="113" spans="1:78" x14ac:dyDescent="0.25">
      <c r="A113" s="443">
        <v>17408</v>
      </c>
      <c r="B113" s="19" t="s">
        <v>29</v>
      </c>
      <c r="C113" t="s">
        <v>27</v>
      </c>
      <c r="D113" s="379">
        <v>6025.32</v>
      </c>
      <c r="E113" s="120">
        <v>1.0065325695744711E-5</v>
      </c>
      <c r="F113" s="379">
        <v>1988694.32</v>
      </c>
      <c r="G113" s="120">
        <v>3.3221233129655447E-3</v>
      </c>
      <c r="H113" s="379">
        <v>4859680.24</v>
      </c>
      <c r="I113" s="120">
        <v>1.8687154458669357E-2</v>
      </c>
      <c r="J113" s="379">
        <v>11371.86</v>
      </c>
      <c r="K113" s="120">
        <v>5.1009575493472429E-5</v>
      </c>
      <c r="L113" s="379">
        <v>4345820.8099999996</v>
      </c>
      <c r="M113" s="120">
        <v>1.9493598645146746E-2</v>
      </c>
      <c r="N113" s="379">
        <v>13379679.1</v>
      </c>
      <c r="O113" s="120">
        <v>1.8852834792792188E-2</v>
      </c>
      <c r="P113" s="383">
        <f t="shared" si="26"/>
        <v>24591271.649999999</v>
      </c>
      <c r="R113" s="379"/>
      <c r="S113" s="120"/>
      <c r="T113" s="380"/>
      <c r="U113" s="551">
        <v>39</v>
      </c>
      <c r="V113" s="550" t="s">
        <v>28</v>
      </c>
      <c r="W113" s="449" t="s">
        <v>29</v>
      </c>
      <c r="X113" s="562" t="s">
        <v>27</v>
      </c>
      <c r="Y113" s="379">
        <v>6424.8</v>
      </c>
      <c r="Z113" s="379">
        <v>12743145.439999999</v>
      </c>
      <c r="AA113" s="379">
        <v>4430353.7299999995</v>
      </c>
      <c r="AB113" s="379">
        <v>3711.35</v>
      </c>
      <c r="AC113" s="379">
        <v>0</v>
      </c>
      <c r="AD113" s="379">
        <v>17183635.32</v>
      </c>
      <c r="AE113" s="124"/>
      <c r="AF113" s="551">
        <v>39</v>
      </c>
      <c r="AG113" s="550" t="s">
        <v>28</v>
      </c>
      <c r="AH113" s="449" t="s">
        <v>29</v>
      </c>
      <c r="AI113" s="562" t="s">
        <v>27</v>
      </c>
      <c r="AJ113" s="383">
        <f t="shared" si="18"/>
        <v>11371.86</v>
      </c>
      <c r="AK113" s="383">
        <f t="shared" si="19"/>
        <v>13379679.1</v>
      </c>
      <c r="AL113" s="383">
        <f t="shared" si="20"/>
        <v>4859680.24</v>
      </c>
      <c r="AM113" s="383">
        <f t="shared" si="21"/>
        <v>6025.32</v>
      </c>
      <c r="AN113" s="383">
        <f t="shared" si="22"/>
        <v>0</v>
      </c>
      <c r="AO113" s="124">
        <f t="shared" si="27"/>
        <v>18256756.52</v>
      </c>
      <c r="AR113" s="124">
        <f t="shared" si="23"/>
        <v>4345820.8099999996</v>
      </c>
      <c r="AS113" s="124">
        <f t="shared" si="24"/>
        <v>1988694.32</v>
      </c>
      <c r="AV113" s="379">
        <f t="shared" si="28"/>
        <v>6334515.1299999999</v>
      </c>
      <c r="AW113" s="124">
        <f t="shared" si="25"/>
        <v>0</v>
      </c>
      <c r="AZ113" s="379">
        <v>209.31</v>
      </c>
      <c r="BA113" s="379">
        <v>324329.95</v>
      </c>
      <c r="BB113" s="379">
        <v>122328.64</v>
      </c>
      <c r="BC113" s="379">
        <v>114.18</v>
      </c>
      <c r="BD113" s="379">
        <v>0</v>
      </c>
      <c r="BE113" s="379">
        <f t="shared" si="29"/>
        <v>446982.08</v>
      </c>
      <c r="BF113" s="379"/>
      <c r="BO113" s="477">
        <v>18005.97</v>
      </c>
      <c r="BP113" s="477">
        <v>30792975.299999997</v>
      </c>
      <c r="BQ113" s="477">
        <v>11401056.93</v>
      </c>
      <c r="BR113" s="477">
        <v>9850.85</v>
      </c>
      <c r="BS113" s="477">
        <v>0</v>
      </c>
      <c r="BT113" s="477">
        <v>42221889.049999997</v>
      </c>
      <c r="BW113" s="126">
        <v>968</v>
      </c>
      <c r="BX113" s="125">
        <v>17409</v>
      </c>
      <c r="BY113" s="19" t="s">
        <v>29</v>
      </c>
      <c r="BZ113" t="s">
        <v>981</v>
      </c>
    </row>
    <row r="114" spans="1:78" x14ac:dyDescent="0.25">
      <c r="A114" s="443">
        <v>17409</v>
      </c>
      <c r="B114" s="19" t="s">
        <v>29</v>
      </c>
      <c r="C114" t="s">
        <v>542</v>
      </c>
      <c r="D114" s="379">
        <v>5804.28</v>
      </c>
      <c r="E114" s="120">
        <v>9.6960773252370185E-6</v>
      </c>
      <c r="F114" s="379">
        <v>705665.86</v>
      </c>
      <c r="G114" s="120">
        <v>1.1788181728551827E-3</v>
      </c>
      <c r="H114" s="379">
        <v>1746513.5</v>
      </c>
      <c r="I114" s="120">
        <v>6.7159495947929334E-3</v>
      </c>
      <c r="J114" s="379">
        <v>0</v>
      </c>
      <c r="K114" s="120">
        <v>0</v>
      </c>
      <c r="L114" s="379">
        <v>1709907.7</v>
      </c>
      <c r="M114" s="120">
        <v>7.6699560063190888E-3</v>
      </c>
      <c r="N114" s="379">
        <v>5262287.83</v>
      </c>
      <c r="O114" s="120">
        <v>7.4149045242132084E-3</v>
      </c>
      <c r="P114" s="383">
        <f t="shared" si="26"/>
        <v>9430179.1699999999</v>
      </c>
      <c r="R114" s="379"/>
      <c r="S114" s="120"/>
      <c r="T114" s="380"/>
      <c r="U114" s="551">
        <v>968</v>
      </c>
      <c r="V114" s="550" t="s">
        <v>543</v>
      </c>
      <c r="W114" s="449" t="s">
        <v>29</v>
      </c>
      <c r="X114" s="562" t="s">
        <v>542</v>
      </c>
      <c r="Y114" s="379">
        <v>0</v>
      </c>
      <c r="Z114" s="379">
        <v>5152562.38</v>
      </c>
      <c r="AA114" s="379">
        <v>1696829.83</v>
      </c>
      <c r="AB114" s="379">
        <v>3740.94</v>
      </c>
      <c r="AC114" s="379">
        <v>0</v>
      </c>
      <c r="AD114" s="379">
        <v>6853133.1500000004</v>
      </c>
      <c r="AE114" s="124"/>
      <c r="AF114" s="551">
        <v>968</v>
      </c>
      <c r="AG114" s="550" t="s">
        <v>543</v>
      </c>
      <c r="AH114" s="449" t="s">
        <v>29</v>
      </c>
      <c r="AI114" s="562" t="s">
        <v>542</v>
      </c>
      <c r="AJ114" s="383">
        <f t="shared" si="18"/>
        <v>0</v>
      </c>
      <c r="AK114" s="383">
        <f t="shared" si="19"/>
        <v>5262287.83</v>
      </c>
      <c r="AL114" s="383">
        <f t="shared" si="20"/>
        <v>1746513.5</v>
      </c>
      <c r="AM114" s="383">
        <f t="shared" si="21"/>
        <v>5804.28</v>
      </c>
      <c r="AN114" s="383">
        <f t="shared" si="22"/>
        <v>0</v>
      </c>
      <c r="AO114" s="124">
        <f t="shared" si="27"/>
        <v>7014605.6100000003</v>
      </c>
      <c r="AR114" s="124">
        <f t="shared" si="23"/>
        <v>1709907.7</v>
      </c>
      <c r="AS114" s="124">
        <f t="shared" si="24"/>
        <v>705665.86</v>
      </c>
      <c r="AV114" s="379">
        <f t="shared" si="28"/>
        <v>2415573.56</v>
      </c>
      <c r="AW114" s="124">
        <f t="shared" si="25"/>
        <v>0</v>
      </c>
      <c r="AZ114" s="379">
        <v>0</v>
      </c>
      <c r="BA114" s="379">
        <v>127549.45999999999</v>
      </c>
      <c r="BB114" s="379">
        <v>44167.199999999997</v>
      </c>
      <c r="BC114" s="379">
        <v>122.6</v>
      </c>
      <c r="BD114" s="379">
        <v>0</v>
      </c>
      <c r="BE114" s="379">
        <f t="shared" si="29"/>
        <v>171839.25999999998</v>
      </c>
      <c r="BF114" s="379"/>
      <c r="BO114" s="477">
        <v>0</v>
      </c>
      <c r="BP114" s="477">
        <v>12252307.370000001</v>
      </c>
      <c r="BQ114" s="477">
        <v>4193176.39</v>
      </c>
      <c r="BR114" s="477">
        <v>9667.82</v>
      </c>
      <c r="BS114" s="477">
        <v>0</v>
      </c>
      <c r="BT114" s="477">
        <v>16455151.580000002</v>
      </c>
      <c r="BW114" s="126">
        <v>902</v>
      </c>
      <c r="BX114" s="125">
        <v>17410</v>
      </c>
      <c r="BY114" s="19" t="s">
        <v>29</v>
      </c>
      <c r="BZ114" t="s">
        <v>962</v>
      </c>
    </row>
    <row r="115" spans="1:78" x14ac:dyDescent="0.25">
      <c r="A115" s="443">
        <v>17410</v>
      </c>
      <c r="B115" s="19" t="s">
        <v>29</v>
      </c>
      <c r="C115" t="s">
        <v>500</v>
      </c>
      <c r="D115" s="379">
        <v>1875.75</v>
      </c>
      <c r="E115" s="120">
        <v>3.1334492896299519E-6</v>
      </c>
      <c r="F115" s="379">
        <v>480991.08</v>
      </c>
      <c r="G115" s="120">
        <v>8.0349788508294999E-4</v>
      </c>
      <c r="H115" s="379">
        <v>1193055.3400000001</v>
      </c>
      <c r="I115" s="120">
        <v>4.5877111898869061E-3</v>
      </c>
      <c r="J115" s="379"/>
      <c r="K115" s="120"/>
      <c r="L115" s="379">
        <v>1389314.18</v>
      </c>
      <c r="M115" s="120">
        <v>6.2319028328577499E-3</v>
      </c>
      <c r="N115" s="379">
        <v>4597042.75</v>
      </c>
      <c r="O115" s="120">
        <v>6.4775311017102859E-3</v>
      </c>
      <c r="P115" s="383">
        <f t="shared" si="26"/>
        <v>7662279.0999999996</v>
      </c>
      <c r="R115" s="379"/>
      <c r="S115" s="120"/>
      <c r="T115" s="380"/>
      <c r="U115" s="551">
        <v>902</v>
      </c>
      <c r="V115" s="550" t="s">
        <v>501</v>
      </c>
      <c r="W115" s="449" t="s">
        <v>29</v>
      </c>
      <c r="X115" s="562" t="s">
        <v>500</v>
      </c>
      <c r="Y115" s="379"/>
      <c r="Z115" s="379">
        <v>4483703.92</v>
      </c>
      <c r="AA115" s="379">
        <v>1124149.23</v>
      </c>
      <c r="AB115" s="379">
        <v>1206.26</v>
      </c>
      <c r="AC115" s="379">
        <v>0</v>
      </c>
      <c r="AD115" s="379">
        <v>5609059.4100000001</v>
      </c>
      <c r="AE115" s="124"/>
      <c r="AF115" s="551">
        <v>902</v>
      </c>
      <c r="AG115" s="550" t="s">
        <v>501</v>
      </c>
      <c r="AH115" s="449" t="s">
        <v>29</v>
      </c>
      <c r="AI115" s="562" t="s">
        <v>500</v>
      </c>
      <c r="AJ115" s="383">
        <f t="shared" si="18"/>
        <v>0</v>
      </c>
      <c r="AK115" s="383">
        <f t="shared" si="19"/>
        <v>4597042.75</v>
      </c>
      <c r="AL115" s="383">
        <f t="shared" si="20"/>
        <v>1193055.3400000001</v>
      </c>
      <c r="AM115" s="383">
        <f t="shared" si="21"/>
        <v>1875.75</v>
      </c>
      <c r="AN115" s="383">
        <f t="shared" si="22"/>
        <v>0</v>
      </c>
      <c r="AO115" s="124">
        <f t="shared" si="27"/>
        <v>5791973.8399999999</v>
      </c>
      <c r="AR115" s="124">
        <f t="shared" si="23"/>
        <v>1389314.18</v>
      </c>
      <c r="AS115" s="124">
        <f t="shared" si="24"/>
        <v>480991.08</v>
      </c>
      <c r="AV115" s="379">
        <f t="shared" si="28"/>
        <v>1870305.26</v>
      </c>
      <c r="AW115" s="124">
        <f t="shared" si="25"/>
        <v>0</v>
      </c>
      <c r="AZ115" s="379"/>
      <c r="BA115" s="379">
        <v>111836.09</v>
      </c>
      <c r="BB115" s="379">
        <v>30194.720000000001</v>
      </c>
      <c r="BC115" s="379">
        <v>40.200000000000003</v>
      </c>
      <c r="BD115" s="379">
        <v>0</v>
      </c>
      <c r="BE115" s="379">
        <f t="shared" si="29"/>
        <v>142071.01</v>
      </c>
      <c r="BF115" s="379"/>
      <c r="BO115" s="477"/>
      <c r="BP115" s="477">
        <v>10581896.939999999</v>
      </c>
      <c r="BQ115" s="477">
        <v>2828390.37</v>
      </c>
      <c r="BR115" s="477">
        <v>3122.21</v>
      </c>
      <c r="BS115" s="477">
        <v>0</v>
      </c>
      <c r="BT115" s="477">
        <v>13413409.52</v>
      </c>
      <c r="BW115" s="126">
        <v>415</v>
      </c>
      <c r="BX115" s="125">
        <v>17411</v>
      </c>
      <c r="BY115" s="19" t="s">
        <v>29</v>
      </c>
      <c r="BZ115" t="s">
        <v>835</v>
      </c>
    </row>
    <row r="116" spans="1:78" x14ac:dyDescent="0.25">
      <c r="A116" s="443">
        <v>17411</v>
      </c>
      <c r="B116" s="19" t="s">
        <v>29</v>
      </c>
      <c r="C116" t="s">
        <v>230</v>
      </c>
      <c r="D116" s="379"/>
      <c r="E116" s="120"/>
      <c r="F116" s="379">
        <v>1806644.78</v>
      </c>
      <c r="G116" s="120">
        <v>3.0180086911926751E-3</v>
      </c>
      <c r="H116" s="379">
        <v>4524572.46</v>
      </c>
      <c r="I116" s="120">
        <v>1.7398548925816069E-2</v>
      </c>
      <c r="J116" s="379">
        <v>0</v>
      </c>
      <c r="K116" s="120">
        <v>0</v>
      </c>
      <c r="L116" s="379">
        <v>3881480.32</v>
      </c>
      <c r="M116" s="120">
        <v>1.7410754565169419E-2</v>
      </c>
      <c r="N116" s="379">
        <v>12807165.859999999</v>
      </c>
      <c r="O116" s="120">
        <v>1.8046126541440614E-2</v>
      </c>
      <c r="P116" s="383">
        <f t="shared" si="26"/>
        <v>23019863.420000002</v>
      </c>
      <c r="R116" s="379"/>
      <c r="S116" s="120"/>
      <c r="T116" s="380"/>
      <c r="U116" s="551">
        <v>415</v>
      </c>
      <c r="V116" s="550" t="s">
        <v>231</v>
      </c>
      <c r="W116" s="449" t="s">
        <v>29</v>
      </c>
      <c r="X116" s="562" t="s">
        <v>230</v>
      </c>
      <c r="Y116" s="379">
        <v>0</v>
      </c>
      <c r="Z116" s="379">
        <v>12585904.960000001</v>
      </c>
      <c r="AA116" s="379">
        <v>4289383.5199999996</v>
      </c>
      <c r="AB116" s="379"/>
      <c r="AC116" s="379">
        <v>0</v>
      </c>
      <c r="AD116" s="379">
        <v>16875288.48</v>
      </c>
      <c r="AE116" s="124"/>
      <c r="AF116" s="551">
        <v>415</v>
      </c>
      <c r="AG116" s="550" t="s">
        <v>231</v>
      </c>
      <c r="AH116" s="449" t="s">
        <v>29</v>
      </c>
      <c r="AI116" s="562" t="s">
        <v>230</v>
      </c>
      <c r="AJ116" s="383">
        <f t="shared" si="18"/>
        <v>0</v>
      </c>
      <c r="AK116" s="383">
        <f t="shared" si="19"/>
        <v>12807165.859999999</v>
      </c>
      <c r="AL116" s="383">
        <f t="shared" si="20"/>
        <v>4524572.46</v>
      </c>
      <c r="AM116" s="383">
        <f t="shared" si="21"/>
        <v>0</v>
      </c>
      <c r="AN116" s="383">
        <f t="shared" si="22"/>
        <v>0</v>
      </c>
      <c r="AO116" s="124">
        <f t="shared" si="27"/>
        <v>17331738.32</v>
      </c>
      <c r="AR116" s="124">
        <f t="shared" si="23"/>
        <v>3881480.32</v>
      </c>
      <c r="AS116" s="124">
        <f t="shared" si="24"/>
        <v>1806644.78</v>
      </c>
      <c r="AV116" s="379">
        <f t="shared" si="28"/>
        <v>5688125.0999999996</v>
      </c>
      <c r="AW116" s="124">
        <f t="shared" si="25"/>
        <v>0</v>
      </c>
      <c r="AZ116" s="379">
        <v>0</v>
      </c>
      <c r="BA116" s="379">
        <v>311538.12</v>
      </c>
      <c r="BB116" s="379">
        <v>114886.79000000001</v>
      </c>
      <c r="BC116" s="379"/>
      <c r="BD116" s="379">
        <v>0</v>
      </c>
      <c r="BE116" s="379">
        <f t="shared" si="29"/>
        <v>426424.91000000003</v>
      </c>
      <c r="BF116" s="379"/>
      <c r="BO116" s="477">
        <v>0</v>
      </c>
      <c r="BP116" s="477">
        <v>29586089.259999998</v>
      </c>
      <c r="BQ116" s="477">
        <v>10735487.550000001</v>
      </c>
      <c r="BR116" s="477"/>
      <c r="BS116" s="477">
        <v>0</v>
      </c>
      <c r="BT116" s="477">
        <v>40321576.810000002</v>
      </c>
      <c r="BW116" s="126">
        <v>865</v>
      </c>
      <c r="BX116" s="125">
        <v>17412</v>
      </c>
      <c r="BY116" s="19" t="s">
        <v>29</v>
      </c>
      <c r="BZ116" t="s">
        <v>958</v>
      </c>
    </row>
    <row r="117" spans="1:78" x14ac:dyDescent="0.25">
      <c r="A117" s="443">
        <v>17412</v>
      </c>
      <c r="B117" s="19" t="s">
        <v>29</v>
      </c>
      <c r="C117" t="s">
        <v>492</v>
      </c>
      <c r="D117" s="379">
        <v>30141.4</v>
      </c>
      <c r="E117" s="120">
        <v>5.0351351949061569E-5</v>
      </c>
      <c r="F117" s="379">
        <v>876418.43</v>
      </c>
      <c r="G117" s="120">
        <v>1.4640611525534308E-3</v>
      </c>
      <c r="H117" s="379">
        <v>2172800.77</v>
      </c>
      <c r="I117" s="120">
        <v>8.3551718614527024E-3</v>
      </c>
      <c r="J117" s="379">
        <v>14319.28</v>
      </c>
      <c r="K117" s="120">
        <v>6.4230512349973523E-5</v>
      </c>
      <c r="L117" s="379">
        <v>1861640.43</v>
      </c>
      <c r="M117" s="120">
        <v>8.3505678099963822E-3</v>
      </c>
      <c r="N117" s="379">
        <v>6363089.3499999996</v>
      </c>
      <c r="O117" s="120">
        <v>8.9660051927049154E-3</v>
      </c>
      <c r="P117" s="383">
        <f t="shared" si="26"/>
        <v>11318409.66</v>
      </c>
      <c r="R117" s="379"/>
      <c r="S117" s="120"/>
      <c r="T117" s="380"/>
      <c r="U117" s="551">
        <v>865</v>
      </c>
      <c r="V117" s="550" t="s">
        <v>493</v>
      </c>
      <c r="W117" s="449" t="s">
        <v>29</v>
      </c>
      <c r="X117" s="562" t="s">
        <v>492</v>
      </c>
      <c r="Y117" s="379">
        <v>8282.2099999999991</v>
      </c>
      <c r="Z117" s="379">
        <v>6356710.8400000008</v>
      </c>
      <c r="AA117" s="379">
        <v>2030705.42</v>
      </c>
      <c r="AB117" s="379">
        <v>19346.48</v>
      </c>
      <c r="AC117" s="379">
        <v>0</v>
      </c>
      <c r="AD117" s="379">
        <v>8415044.9500000011</v>
      </c>
      <c r="AE117" s="124"/>
      <c r="AF117" s="551">
        <v>865</v>
      </c>
      <c r="AG117" s="550" t="s">
        <v>493</v>
      </c>
      <c r="AH117" s="449" t="s">
        <v>29</v>
      </c>
      <c r="AI117" s="562" t="s">
        <v>492</v>
      </c>
      <c r="AJ117" s="383">
        <f t="shared" si="18"/>
        <v>14319.28</v>
      </c>
      <c r="AK117" s="383">
        <f t="shared" si="19"/>
        <v>6363089.3499999996</v>
      </c>
      <c r="AL117" s="383">
        <f t="shared" si="20"/>
        <v>2172800.77</v>
      </c>
      <c r="AM117" s="383">
        <f t="shared" si="21"/>
        <v>30141.4</v>
      </c>
      <c r="AN117" s="383">
        <f t="shared" si="22"/>
        <v>0</v>
      </c>
      <c r="AO117" s="124">
        <f t="shared" si="27"/>
        <v>8580350.8000000007</v>
      </c>
      <c r="AR117" s="124">
        <f t="shared" si="23"/>
        <v>1861640.43</v>
      </c>
      <c r="AS117" s="124">
        <f t="shared" si="24"/>
        <v>876418.43</v>
      </c>
      <c r="AV117" s="379">
        <f t="shared" si="28"/>
        <v>2738058.86</v>
      </c>
      <c r="AW117" s="124">
        <f t="shared" si="25"/>
        <v>0</v>
      </c>
      <c r="AZ117" s="379">
        <v>271.17</v>
      </c>
      <c r="BA117" s="379">
        <v>155042.08000000002</v>
      </c>
      <c r="BB117" s="379">
        <v>54979.740000000005</v>
      </c>
      <c r="BC117" s="379">
        <v>633.70000000000005</v>
      </c>
      <c r="BD117" s="379">
        <v>0</v>
      </c>
      <c r="BE117" s="379">
        <f t="shared" si="29"/>
        <v>210926.69000000006</v>
      </c>
      <c r="BF117" s="379"/>
      <c r="BO117" s="477">
        <v>22872.66</v>
      </c>
      <c r="BP117" s="477">
        <v>14736482.699999999</v>
      </c>
      <c r="BQ117" s="477">
        <v>5134904.3600000003</v>
      </c>
      <c r="BR117" s="477">
        <v>50121.58</v>
      </c>
      <c r="BS117" s="477">
        <v>0</v>
      </c>
      <c r="BT117" s="477">
        <v>19944381.299999997</v>
      </c>
      <c r="BW117" s="126">
        <v>518</v>
      </c>
      <c r="BX117" s="125">
        <v>17414</v>
      </c>
      <c r="BY117" s="19" t="s">
        <v>29</v>
      </c>
      <c r="BZ117" t="s">
        <v>850</v>
      </c>
    </row>
    <row r="118" spans="1:78" x14ac:dyDescent="0.25">
      <c r="A118" s="443">
        <v>17414</v>
      </c>
      <c r="B118" s="19" t="s">
        <v>29</v>
      </c>
      <c r="C118" t="s">
        <v>262</v>
      </c>
      <c r="D118" s="379">
        <v>3388.68</v>
      </c>
      <c r="E118" s="120">
        <v>5.66080604493308E-6</v>
      </c>
      <c r="F118" s="379">
        <v>2570953.13</v>
      </c>
      <c r="G118" s="120">
        <v>4.2947894222952953E-3</v>
      </c>
      <c r="H118" s="379">
        <v>6240911.1500000004</v>
      </c>
      <c r="I118" s="120">
        <v>2.3998465920235485E-2</v>
      </c>
      <c r="J118" s="379">
        <v>4839.63</v>
      </c>
      <c r="K118" s="120">
        <v>2.1708627422908299E-5</v>
      </c>
      <c r="L118" s="379">
        <v>7061278.2699999996</v>
      </c>
      <c r="M118" s="120">
        <v>3.1674045142481642E-2</v>
      </c>
      <c r="N118" s="379">
        <v>20617519.48</v>
      </c>
      <c r="O118" s="120">
        <v>2.905142086655985E-2</v>
      </c>
      <c r="P118" s="383">
        <f t="shared" si="26"/>
        <v>36498890.340000004</v>
      </c>
      <c r="R118" s="379"/>
      <c r="S118" s="120"/>
      <c r="T118" s="380"/>
      <c r="U118" s="551">
        <v>518</v>
      </c>
      <c r="V118" s="550" t="s">
        <v>263</v>
      </c>
      <c r="W118" s="449" t="s">
        <v>29</v>
      </c>
      <c r="X118" s="562" t="s">
        <v>262</v>
      </c>
      <c r="Y118" s="379">
        <v>2001.22</v>
      </c>
      <c r="Z118" s="379">
        <v>19845405.149999999</v>
      </c>
      <c r="AA118" s="379">
        <v>5917876.96</v>
      </c>
      <c r="AB118" s="379">
        <v>2124.9</v>
      </c>
      <c r="AC118" s="379">
        <v>0</v>
      </c>
      <c r="AD118" s="379">
        <v>25767408.229999997</v>
      </c>
      <c r="AE118" s="124"/>
      <c r="AF118" s="551">
        <v>518</v>
      </c>
      <c r="AG118" s="550" t="s">
        <v>263</v>
      </c>
      <c r="AH118" s="449" t="s">
        <v>29</v>
      </c>
      <c r="AI118" s="562" t="s">
        <v>262</v>
      </c>
      <c r="AJ118" s="383">
        <f t="shared" si="18"/>
        <v>4839.63</v>
      </c>
      <c r="AK118" s="383">
        <f t="shared" si="19"/>
        <v>20617519.48</v>
      </c>
      <c r="AL118" s="383">
        <f t="shared" si="20"/>
        <v>6240911.1500000004</v>
      </c>
      <c r="AM118" s="383">
        <f t="shared" si="21"/>
        <v>3388.68</v>
      </c>
      <c r="AN118" s="383">
        <f t="shared" si="22"/>
        <v>0</v>
      </c>
      <c r="AO118" s="124">
        <f t="shared" si="27"/>
        <v>26866658.939999998</v>
      </c>
      <c r="AR118" s="124">
        <f t="shared" si="23"/>
        <v>7061278.2699999996</v>
      </c>
      <c r="AS118" s="124">
        <f t="shared" si="24"/>
        <v>2570953.13</v>
      </c>
      <c r="AV118" s="379">
        <f t="shared" si="28"/>
        <v>9632231.3999999985</v>
      </c>
      <c r="AW118" s="124">
        <f t="shared" si="25"/>
        <v>0</v>
      </c>
      <c r="AZ118" s="379">
        <v>60.03</v>
      </c>
      <c r="BA118" s="379">
        <v>498313.87</v>
      </c>
      <c r="BB118" s="379">
        <v>156703.62</v>
      </c>
      <c r="BC118" s="379">
        <v>68.81</v>
      </c>
      <c r="BD118" s="379">
        <v>0</v>
      </c>
      <c r="BE118" s="379">
        <f t="shared" si="29"/>
        <v>655146.33000000007</v>
      </c>
      <c r="BF118" s="379"/>
      <c r="BO118" s="477">
        <v>6900.88</v>
      </c>
      <c r="BP118" s="477">
        <v>48022516.769999996</v>
      </c>
      <c r="BQ118" s="477">
        <v>14886444.859999999</v>
      </c>
      <c r="BR118" s="477">
        <v>5582.39</v>
      </c>
      <c r="BS118" s="477">
        <v>0</v>
      </c>
      <c r="BT118" s="477">
        <v>62921444.899999999</v>
      </c>
      <c r="BW118" s="126">
        <v>435</v>
      </c>
      <c r="BX118" s="125">
        <v>17415</v>
      </c>
      <c r="BY118" s="19" t="s">
        <v>29</v>
      </c>
      <c r="BZ118" t="s">
        <v>841</v>
      </c>
    </row>
    <row r="119" spans="1:78" x14ac:dyDescent="0.25">
      <c r="A119" s="443">
        <v>17415</v>
      </c>
      <c r="B119" s="19" t="s">
        <v>29</v>
      </c>
      <c r="C119" t="s">
        <v>242</v>
      </c>
      <c r="D119" s="379">
        <v>9345.4</v>
      </c>
      <c r="E119" s="120">
        <v>1.5611535114651605E-5</v>
      </c>
      <c r="F119" s="379">
        <v>2495948.31</v>
      </c>
      <c r="G119" s="120">
        <v>4.1694935140197675E-3</v>
      </c>
      <c r="H119" s="379">
        <v>6074726.21</v>
      </c>
      <c r="I119" s="120">
        <v>2.335942724091598E-2</v>
      </c>
      <c r="J119" s="379">
        <v>0</v>
      </c>
      <c r="K119" s="120">
        <v>0</v>
      </c>
      <c r="L119" s="379">
        <v>6575846.9699999997</v>
      </c>
      <c r="M119" s="120">
        <v>2.949659619883967E-2</v>
      </c>
      <c r="N119" s="379">
        <v>18290980.239999998</v>
      </c>
      <c r="O119" s="120">
        <v>2.5773176328492541E-2</v>
      </c>
      <c r="P119" s="383">
        <f t="shared" si="26"/>
        <v>33446847.129999999</v>
      </c>
      <c r="R119" s="379"/>
      <c r="S119" s="120"/>
      <c r="T119" s="380"/>
      <c r="U119" s="551">
        <v>435</v>
      </c>
      <c r="V119" s="550" t="s">
        <v>243</v>
      </c>
      <c r="W119" s="449" t="s">
        <v>29</v>
      </c>
      <c r="X119" s="562" t="s">
        <v>242</v>
      </c>
      <c r="Y119" s="379">
        <v>0</v>
      </c>
      <c r="Z119" s="379">
        <v>17375220.670000002</v>
      </c>
      <c r="AA119" s="379">
        <v>5494631.7799999993</v>
      </c>
      <c r="AB119" s="379">
        <v>5927.75</v>
      </c>
      <c r="AC119" s="379">
        <v>0</v>
      </c>
      <c r="AD119" s="379">
        <v>22875780.200000003</v>
      </c>
      <c r="AE119" s="124"/>
      <c r="AF119" s="551">
        <v>435</v>
      </c>
      <c r="AG119" s="550" t="s">
        <v>243</v>
      </c>
      <c r="AH119" s="449" t="s">
        <v>29</v>
      </c>
      <c r="AI119" s="562" t="s">
        <v>242</v>
      </c>
      <c r="AJ119" s="383">
        <f t="shared" si="18"/>
        <v>0</v>
      </c>
      <c r="AK119" s="383">
        <f t="shared" si="19"/>
        <v>18290980.239999998</v>
      </c>
      <c r="AL119" s="383">
        <f t="shared" si="20"/>
        <v>6074726.21</v>
      </c>
      <c r="AM119" s="383">
        <f t="shared" si="21"/>
        <v>9345.4</v>
      </c>
      <c r="AN119" s="383">
        <f t="shared" si="22"/>
        <v>0</v>
      </c>
      <c r="AO119" s="124">
        <f t="shared" si="27"/>
        <v>24375051.849999998</v>
      </c>
      <c r="AR119" s="124">
        <f t="shared" si="23"/>
        <v>6575846.9699999997</v>
      </c>
      <c r="AS119" s="124">
        <f t="shared" si="24"/>
        <v>2495948.31</v>
      </c>
      <c r="AV119" s="379">
        <f t="shared" si="28"/>
        <v>9071795.2799999993</v>
      </c>
      <c r="AW119" s="124">
        <f t="shared" si="25"/>
        <v>0</v>
      </c>
      <c r="AZ119" s="379">
        <v>0</v>
      </c>
      <c r="BA119" s="379">
        <v>440853.97</v>
      </c>
      <c r="BB119" s="379">
        <v>152673.65999999997</v>
      </c>
      <c r="BC119" s="379">
        <v>193.18</v>
      </c>
      <c r="BD119" s="379">
        <v>0</v>
      </c>
      <c r="BE119" s="379">
        <f t="shared" si="29"/>
        <v>593720.80999999994</v>
      </c>
      <c r="BF119" s="379"/>
      <c r="BO119" s="477">
        <v>0</v>
      </c>
      <c r="BP119" s="477">
        <v>42682901.849999994</v>
      </c>
      <c r="BQ119" s="477">
        <v>14217979.960000001</v>
      </c>
      <c r="BR119" s="477">
        <v>15466.33</v>
      </c>
      <c r="BS119" s="477">
        <v>0</v>
      </c>
      <c r="BT119" s="477">
        <v>56916348.139999993</v>
      </c>
      <c r="BW119" s="126">
        <v>653</v>
      </c>
      <c r="BX119" s="125">
        <v>17417</v>
      </c>
      <c r="BY119" s="19" t="s">
        <v>29</v>
      </c>
      <c r="BZ119" t="s">
        <v>896</v>
      </c>
    </row>
    <row r="120" spans="1:78" x14ac:dyDescent="0.25">
      <c r="A120" s="443">
        <v>17417</v>
      </c>
      <c r="B120" s="19" t="s">
        <v>29</v>
      </c>
      <c r="C120" t="s">
        <v>360</v>
      </c>
      <c r="D120" s="379">
        <v>6750</v>
      </c>
      <c r="E120" s="120">
        <v>1.1275907079835892E-5</v>
      </c>
      <c r="F120" s="379">
        <v>2434322.27</v>
      </c>
      <c r="G120" s="120">
        <v>4.0665469213178049E-3</v>
      </c>
      <c r="H120" s="379">
        <v>6076945.21</v>
      </c>
      <c r="I120" s="120">
        <v>2.3367960064825354E-2</v>
      </c>
      <c r="J120" s="379">
        <v>76.180000000000007</v>
      </c>
      <c r="K120" s="120">
        <v>3.4171274189910265E-7</v>
      </c>
      <c r="L120" s="379">
        <v>4573395.21</v>
      </c>
      <c r="M120" s="120">
        <v>2.0514405578856948E-2</v>
      </c>
      <c r="N120" s="379">
        <v>15652208.33</v>
      </c>
      <c r="O120" s="120">
        <v>2.2054975727172389E-2</v>
      </c>
      <c r="P120" s="383">
        <f t="shared" si="26"/>
        <v>28743697.200000003</v>
      </c>
      <c r="R120" s="379"/>
      <c r="S120" s="120"/>
      <c r="T120" s="380"/>
      <c r="U120" s="551">
        <v>653</v>
      </c>
      <c r="V120" s="550" t="s">
        <v>361</v>
      </c>
      <c r="W120" s="449" t="s">
        <v>29</v>
      </c>
      <c r="X120" s="562" t="s">
        <v>360</v>
      </c>
      <c r="Y120" s="379">
        <v>31.5</v>
      </c>
      <c r="Z120" s="379">
        <v>15066409.960000001</v>
      </c>
      <c r="AA120" s="379">
        <v>5793978.79</v>
      </c>
      <c r="AB120" s="379">
        <v>4309.8999999999996</v>
      </c>
      <c r="AC120" s="379">
        <v>0</v>
      </c>
      <c r="AD120" s="379">
        <v>20864730.149999999</v>
      </c>
      <c r="AE120" s="124"/>
      <c r="AF120" s="551">
        <v>653</v>
      </c>
      <c r="AG120" s="550" t="s">
        <v>361</v>
      </c>
      <c r="AH120" s="449" t="s">
        <v>29</v>
      </c>
      <c r="AI120" s="562" t="s">
        <v>360</v>
      </c>
      <c r="AJ120" s="383">
        <f t="shared" si="18"/>
        <v>76.180000000000007</v>
      </c>
      <c r="AK120" s="383">
        <f t="shared" si="19"/>
        <v>15652208.33</v>
      </c>
      <c r="AL120" s="383">
        <f t="shared" si="20"/>
        <v>6076945.21</v>
      </c>
      <c r="AM120" s="383">
        <f t="shared" si="21"/>
        <v>6750</v>
      </c>
      <c r="AN120" s="383">
        <f t="shared" si="22"/>
        <v>0</v>
      </c>
      <c r="AO120" s="124">
        <f t="shared" si="27"/>
        <v>21735979.719999999</v>
      </c>
      <c r="AR120" s="124">
        <f t="shared" si="23"/>
        <v>4573395.21</v>
      </c>
      <c r="AS120" s="124">
        <f t="shared" si="24"/>
        <v>2434322.27</v>
      </c>
      <c r="AV120" s="379">
        <f t="shared" si="28"/>
        <v>7007717.4800000004</v>
      </c>
      <c r="AW120" s="124">
        <f t="shared" si="25"/>
        <v>0</v>
      </c>
      <c r="AZ120" s="379">
        <v>0.94</v>
      </c>
      <c r="BA120" s="379">
        <v>381405.01</v>
      </c>
      <c r="BB120" s="379">
        <v>154158.84</v>
      </c>
      <c r="BC120" s="379">
        <v>142.36000000000001</v>
      </c>
      <c r="BD120" s="379">
        <v>0</v>
      </c>
      <c r="BE120" s="379">
        <f t="shared" si="29"/>
        <v>535707.15</v>
      </c>
      <c r="BF120" s="379"/>
      <c r="BO120" s="477">
        <v>108.62</v>
      </c>
      <c r="BP120" s="477">
        <v>35673418.509999998</v>
      </c>
      <c r="BQ120" s="477">
        <v>14459405.109999999</v>
      </c>
      <c r="BR120" s="477">
        <v>11202.26</v>
      </c>
      <c r="BS120" s="477">
        <v>0</v>
      </c>
      <c r="BT120" s="477">
        <v>50144134.499999993</v>
      </c>
      <c r="BW120" s="126">
        <v>264</v>
      </c>
      <c r="BX120" s="125">
        <v>17801</v>
      </c>
      <c r="BY120" s="19">
        <v>121</v>
      </c>
      <c r="BZ120" t="s">
        <v>1119</v>
      </c>
    </row>
    <row r="121" spans="1:78" x14ac:dyDescent="0.25">
      <c r="A121" s="443">
        <v>17801</v>
      </c>
      <c r="B121" s="19">
        <v>121</v>
      </c>
      <c r="C121" t="s">
        <v>428</v>
      </c>
      <c r="D121" s="379"/>
      <c r="E121" s="120"/>
      <c r="F121" s="379">
        <v>933242.4</v>
      </c>
      <c r="G121" s="120">
        <v>1.5589858644982281E-3</v>
      </c>
      <c r="H121" s="379">
        <v>2337085.87</v>
      </c>
      <c r="I121" s="120">
        <v>8.9869049976554951E-3</v>
      </c>
      <c r="J121" s="379"/>
      <c r="K121" s="120"/>
      <c r="L121" s="379">
        <v>19172.05</v>
      </c>
      <c r="M121" s="120">
        <v>8.5998080510983065E-5</v>
      </c>
      <c r="N121" s="379">
        <v>65353.84</v>
      </c>
      <c r="O121" s="120">
        <v>9.2087795184458035E-5</v>
      </c>
      <c r="P121" s="383">
        <f t="shared" si="26"/>
        <v>3354854.1599999997</v>
      </c>
      <c r="R121" s="379"/>
      <c r="S121" s="120"/>
      <c r="T121" s="380"/>
      <c r="U121" s="551">
        <v>264</v>
      </c>
      <c r="V121" s="550" t="s">
        <v>429</v>
      </c>
      <c r="W121" s="449">
        <v>121</v>
      </c>
      <c r="X121" s="562" t="s">
        <v>428</v>
      </c>
      <c r="Y121" s="379"/>
      <c r="Z121" s="379">
        <v>53852.28</v>
      </c>
      <c r="AA121" s="379">
        <v>2174925.04</v>
      </c>
      <c r="AB121" s="379"/>
      <c r="AC121" s="379">
        <v>0</v>
      </c>
      <c r="AD121" s="379">
        <v>2228777.3199999998</v>
      </c>
      <c r="AE121" s="124"/>
      <c r="AF121" s="551">
        <v>264</v>
      </c>
      <c r="AG121" s="550" t="s">
        <v>429</v>
      </c>
      <c r="AH121" s="449">
        <v>121</v>
      </c>
      <c r="AI121" s="562" t="s">
        <v>428</v>
      </c>
      <c r="AJ121" s="383">
        <f t="shared" si="18"/>
        <v>0</v>
      </c>
      <c r="AK121" s="383">
        <f t="shared" si="19"/>
        <v>65353.84</v>
      </c>
      <c r="AL121" s="383">
        <f t="shared" si="20"/>
        <v>2337085.87</v>
      </c>
      <c r="AM121" s="383">
        <f t="shared" si="21"/>
        <v>0</v>
      </c>
      <c r="AN121" s="383">
        <f t="shared" si="22"/>
        <v>0</v>
      </c>
      <c r="AO121" s="124">
        <f t="shared" si="27"/>
        <v>2402439.71</v>
      </c>
      <c r="AR121" s="124">
        <f t="shared" si="23"/>
        <v>19172.05</v>
      </c>
      <c r="AS121" s="124">
        <f t="shared" si="24"/>
        <v>933242.4</v>
      </c>
      <c r="AV121" s="379">
        <f t="shared" si="28"/>
        <v>952414.45000000007</v>
      </c>
      <c r="AW121" s="124">
        <f t="shared" si="25"/>
        <v>0</v>
      </c>
      <c r="AZ121" s="379"/>
      <c r="BA121" s="379">
        <v>1592.08</v>
      </c>
      <c r="BB121" s="379">
        <v>59352.97</v>
      </c>
      <c r="BC121" s="379"/>
      <c r="BD121" s="379">
        <v>0</v>
      </c>
      <c r="BE121" s="379">
        <f t="shared" si="29"/>
        <v>60945.05</v>
      </c>
      <c r="BF121" s="379"/>
      <c r="BO121" s="477"/>
      <c r="BP121" s="477">
        <v>139970.25</v>
      </c>
      <c r="BQ121" s="477">
        <v>5504606.2800000003</v>
      </c>
      <c r="BR121" s="477"/>
      <c r="BS121" s="477">
        <v>0</v>
      </c>
      <c r="BT121" s="477">
        <v>5644576.5300000003</v>
      </c>
      <c r="BW121" s="126">
        <v>2633</v>
      </c>
      <c r="BX121" s="125">
        <v>17902</v>
      </c>
      <c r="BY121" s="19" t="s">
        <v>1039</v>
      </c>
      <c r="BZ121" t="s">
        <v>1026</v>
      </c>
    </row>
    <row r="122" spans="1:78" x14ac:dyDescent="0.25">
      <c r="A122" s="443">
        <v>17902</v>
      </c>
      <c r="B122" s="19" t="s">
        <v>1039</v>
      </c>
      <c r="C122" t="s">
        <v>1083</v>
      </c>
      <c r="D122" s="379"/>
      <c r="E122" s="120"/>
      <c r="F122" s="379">
        <v>48945.08</v>
      </c>
      <c r="G122" s="120">
        <v>8.1762988754834688E-5</v>
      </c>
      <c r="H122" s="379">
        <v>117436.76</v>
      </c>
      <c r="I122" s="120">
        <v>4.5158503540670877E-4</v>
      </c>
      <c r="J122" s="379"/>
      <c r="K122" s="120"/>
      <c r="L122" s="379">
        <v>167844.44</v>
      </c>
      <c r="M122" s="120">
        <v>7.5288243377421129E-4</v>
      </c>
      <c r="N122" s="379">
        <v>511703.95</v>
      </c>
      <c r="O122" s="120">
        <v>7.2102402158278928E-4</v>
      </c>
      <c r="P122" s="383">
        <f t="shared" si="26"/>
        <v>845930.23</v>
      </c>
      <c r="R122" s="379"/>
      <c r="S122" s="120"/>
      <c r="T122" s="380"/>
      <c r="U122" s="551">
        <v>2633</v>
      </c>
      <c r="V122" s="550" t="s">
        <v>1062</v>
      </c>
      <c r="W122" s="449" t="s">
        <v>1039</v>
      </c>
      <c r="X122" s="562" t="s">
        <v>1083</v>
      </c>
      <c r="Y122" s="379"/>
      <c r="Z122" s="379">
        <v>477259.55000000005</v>
      </c>
      <c r="AA122" s="379">
        <v>111495.09</v>
      </c>
      <c r="AB122" s="379"/>
      <c r="AC122" s="379">
        <v>0</v>
      </c>
      <c r="AD122" s="379">
        <v>588754.64</v>
      </c>
      <c r="AE122" s="124"/>
      <c r="AF122" s="551">
        <v>2633</v>
      </c>
      <c r="AG122" s="550" t="s">
        <v>1062</v>
      </c>
      <c r="AH122" s="449" t="s">
        <v>1039</v>
      </c>
      <c r="AI122" s="562" t="s">
        <v>1083</v>
      </c>
      <c r="AJ122" s="383">
        <f t="shared" si="18"/>
        <v>0</v>
      </c>
      <c r="AK122" s="383">
        <f t="shared" si="19"/>
        <v>511703.95</v>
      </c>
      <c r="AL122" s="383">
        <f t="shared" si="20"/>
        <v>117436.76</v>
      </c>
      <c r="AM122" s="383">
        <f t="shared" si="21"/>
        <v>0</v>
      </c>
      <c r="AN122" s="383">
        <f t="shared" si="22"/>
        <v>0</v>
      </c>
      <c r="AO122" s="124">
        <f t="shared" si="27"/>
        <v>629140.71</v>
      </c>
      <c r="AR122" s="124">
        <f t="shared" si="23"/>
        <v>167844.44</v>
      </c>
      <c r="AS122" s="124">
        <f t="shared" si="24"/>
        <v>48945.08</v>
      </c>
      <c r="AV122" s="379">
        <f t="shared" si="28"/>
        <v>216789.52000000002</v>
      </c>
      <c r="AW122" s="124">
        <f t="shared" si="25"/>
        <v>0</v>
      </c>
      <c r="AZ122" s="379"/>
      <c r="BA122" s="379">
        <v>12396.66</v>
      </c>
      <c r="BB122" s="379">
        <v>2935.69</v>
      </c>
      <c r="BC122" s="379"/>
      <c r="BD122" s="379">
        <v>0</v>
      </c>
      <c r="BE122" s="379">
        <f t="shared" si="29"/>
        <v>15332.35</v>
      </c>
      <c r="BF122" s="379"/>
      <c r="BO122" s="477"/>
      <c r="BP122" s="477">
        <v>1169204.6000000001</v>
      </c>
      <c r="BQ122" s="477">
        <v>280812.62</v>
      </c>
      <c r="BR122" s="477"/>
      <c r="BS122" s="477">
        <v>0</v>
      </c>
      <c r="BT122" s="477">
        <v>1450017.2200000002</v>
      </c>
      <c r="BW122" s="126">
        <v>2630</v>
      </c>
      <c r="BX122" s="125">
        <v>17908</v>
      </c>
      <c r="BY122" s="19" t="s">
        <v>1039</v>
      </c>
      <c r="BZ122" t="s">
        <v>1023</v>
      </c>
    </row>
    <row r="123" spans="1:78" x14ac:dyDescent="0.25">
      <c r="A123" s="443">
        <v>17908</v>
      </c>
      <c r="B123" s="19" t="s">
        <v>1039</v>
      </c>
      <c r="C123" t="s">
        <v>1032</v>
      </c>
      <c r="D123" s="379"/>
      <c r="E123" s="120"/>
      <c r="F123" s="379">
        <v>22760.51</v>
      </c>
      <c r="G123" s="120">
        <v>3.8021540125877869E-5</v>
      </c>
      <c r="H123" s="379">
        <v>55335.41</v>
      </c>
      <c r="I123" s="120">
        <v>2.1278382581480236E-4</v>
      </c>
      <c r="J123" s="379"/>
      <c r="K123" s="120"/>
      <c r="L123" s="379">
        <v>62172.11</v>
      </c>
      <c r="M123" s="120">
        <v>2.7887899944542685E-4</v>
      </c>
      <c r="N123" s="379">
        <v>207581.3</v>
      </c>
      <c r="O123" s="120">
        <v>2.9249550200146675E-4</v>
      </c>
      <c r="P123" s="383">
        <f t="shared" si="26"/>
        <v>347849.32999999996</v>
      </c>
      <c r="R123" s="379"/>
      <c r="S123" s="120"/>
      <c r="T123" s="380"/>
      <c r="U123" s="551">
        <v>2630</v>
      </c>
      <c r="V123" s="550" t="s">
        <v>1059</v>
      </c>
      <c r="W123" s="449" t="s">
        <v>1039</v>
      </c>
      <c r="X123" s="562" t="s">
        <v>1032</v>
      </c>
      <c r="Y123" s="379"/>
      <c r="Z123" s="379">
        <v>179125.16</v>
      </c>
      <c r="AA123" s="379">
        <v>41468.53</v>
      </c>
      <c r="AB123" s="379"/>
      <c r="AC123" s="379">
        <v>0</v>
      </c>
      <c r="AD123" s="379">
        <v>220593.69</v>
      </c>
      <c r="AE123" s="124"/>
      <c r="AF123" s="551">
        <v>2630</v>
      </c>
      <c r="AG123" s="550" t="s">
        <v>1059</v>
      </c>
      <c r="AH123" s="449" t="s">
        <v>1039</v>
      </c>
      <c r="AI123" s="562" t="s">
        <v>1032</v>
      </c>
      <c r="AJ123" s="383">
        <f t="shared" si="18"/>
        <v>0</v>
      </c>
      <c r="AK123" s="383">
        <f t="shared" si="19"/>
        <v>207581.3</v>
      </c>
      <c r="AL123" s="383">
        <f t="shared" si="20"/>
        <v>55335.41</v>
      </c>
      <c r="AM123" s="383">
        <f t="shared" si="21"/>
        <v>0</v>
      </c>
      <c r="AN123" s="383">
        <f t="shared" si="22"/>
        <v>0</v>
      </c>
      <c r="AO123" s="124">
        <f t="shared" si="27"/>
        <v>262916.70999999996</v>
      </c>
      <c r="AR123" s="124">
        <f t="shared" si="23"/>
        <v>62172.11</v>
      </c>
      <c r="AS123" s="124">
        <f t="shared" si="24"/>
        <v>22760.51</v>
      </c>
      <c r="AV123" s="379">
        <f t="shared" si="28"/>
        <v>84932.62</v>
      </c>
      <c r="AW123" s="124">
        <f t="shared" si="25"/>
        <v>0</v>
      </c>
      <c r="AZ123" s="379"/>
      <c r="BA123" s="379">
        <v>5052.1499999999996</v>
      </c>
      <c r="BB123" s="379">
        <v>1390.11</v>
      </c>
      <c r="BC123" s="379"/>
      <c r="BD123" s="379">
        <v>0</v>
      </c>
      <c r="BE123" s="379">
        <f t="shared" si="29"/>
        <v>6442.2599999999993</v>
      </c>
      <c r="BF123" s="379"/>
      <c r="BO123" s="477"/>
      <c r="BP123" s="477">
        <v>453930.72</v>
      </c>
      <c r="BQ123" s="477">
        <v>120954.56</v>
      </c>
      <c r="BR123" s="477"/>
      <c r="BS123" s="477">
        <v>0</v>
      </c>
      <c r="BT123" s="477">
        <v>574885.28</v>
      </c>
      <c r="BW123" s="126">
        <v>3063</v>
      </c>
      <c r="BX123" s="125">
        <v>17911</v>
      </c>
      <c r="BY123" s="19" t="s">
        <v>1039</v>
      </c>
      <c r="BZ123" t="s">
        <v>1120</v>
      </c>
    </row>
    <row r="124" spans="1:78" x14ac:dyDescent="0.25">
      <c r="A124" s="443">
        <v>17911</v>
      </c>
      <c r="B124" s="19" t="s">
        <v>1039</v>
      </c>
      <c r="C124" t="s">
        <v>1116</v>
      </c>
      <c r="D124" s="379"/>
      <c r="E124" s="120"/>
      <c r="F124" s="379">
        <v>112048.18</v>
      </c>
      <c r="G124" s="120">
        <v>1.8717701720662614E-4</v>
      </c>
      <c r="H124" s="379">
        <v>279309.28000000003</v>
      </c>
      <c r="I124" s="120">
        <v>1.0740409655223999E-3</v>
      </c>
      <c r="J124" s="379"/>
      <c r="K124" s="120"/>
      <c r="L124" s="379">
        <v>160419.76999999999</v>
      </c>
      <c r="M124" s="120">
        <v>7.1957835995698871E-4</v>
      </c>
      <c r="N124" s="379">
        <v>544352.81999999995</v>
      </c>
      <c r="O124" s="120">
        <v>7.6702839490750882E-4</v>
      </c>
      <c r="P124" s="383">
        <f t="shared" si="26"/>
        <v>1096130.0499999998</v>
      </c>
      <c r="R124" s="379"/>
      <c r="S124" s="120"/>
      <c r="T124" s="380"/>
      <c r="U124" s="555">
        <v>3063</v>
      </c>
      <c r="V124" s="550" t="s">
        <v>1115</v>
      </c>
      <c r="W124" s="449" t="s">
        <v>1039</v>
      </c>
      <c r="X124" s="562" t="s">
        <v>1116</v>
      </c>
      <c r="Y124" s="379"/>
      <c r="Z124" s="379">
        <v>499485.43</v>
      </c>
      <c r="AA124" s="379">
        <v>265118.64</v>
      </c>
      <c r="AB124" s="379"/>
      <c r="AC124" s="379">
        <v>0</v>
      </c>
      <c r="AD124" s="379">
        <v>764604.07000000007</v>
      </c>
      <c r="AE124" s="124"/>
      <c r="AF124" s="555">
        <v>3063</v>
      </c>
      <c r="AG124" s="550" t="s">
        <v>1115</v>
      </c>
      <c r="AH124" s="449" t="s">
        <v>1039</v>
      </c>
      <c r="AI124" s="562" t="s">
        <v>1116</v>
      </c>
      <c r="AJ124" s="383">
        <f t="shared" si="18"/>
        <v>0</v>
      </c>
      <c r="AK124" s="383">
        <f t="shared" si="19"/>
        <v>544352.81999999995</v>
      </c>
      <c r="AL124" s="383">
        <f t="shared" si="20"/>
        <v>279309.28000000003</v>
      </c>
      <c r="AM124" s="383">
        <f t="shared" si="21"/>
        <v>0</v>
      </c>
      <c r="AN124" s="383">
        <f t="shared" si="22"/>
        <v>0</v>
      </c>
      <c r="AO124" s="124">
        <f t="shared" si="27"/>
        <v>823662.1</v>
      </c>
      <c r="AR124" s="124">
        <f t="shared" si="23"/>
        <v>160419.76999999999</v>
      </c>
      <c r="AS124" s="124">
        <f t="shared" si="24"/>
        <v>112048.18</v>
      </c>
      <c r="AV124" s="379">
        <f t="shared" si="28"/>
        <v>272467.94999999995</v>
      </c>
      <c r="AW124" s="124">
        <f t="shared" si="25"/>
        <v>0</v>
      </c>
      <c r="AZ124" s="379"/>
      <c r="BA124" s="379">
        <v>13258.939999999999</v>
      </c>
      <c r="BB124" s="379">
        <v>7081.55</v>
      </c>
      <c r="BC124" s="379"/>
      <c r="BD124" s="379">
        <v>0</v>
      </c>
      <c r="BE124" s="379">
        <f t="shared" si="29"/>
        <v>20340.489999999998</v>
      </c>
      <c r="BF124" s="379"/>
      <c r="BO124" s="477"/>
      <c r="BP124" s="477">
        <v>1217516.96</v>
      </c>
      <c r="BQ124" s="477">
        <v>663557.65</v>
      </c>
      <c r="BR124" s="477"/>
      <c r="BS124" s="477">
        <v>0</v>
      </c>
      <c r="BT124" s="477">
        <v>1881074.6099999999</v>
      </c>
      <c r="BW124" s="126">
        <v>82</v>
      </c>
      <c r="BX124" s="125">
        <v>18100</v>
      </c>
      <c r="BY124" s="19" t="s">
        <v>52</v>
      </c>
      <c r="BZ124" t="s">
        <v>747</v>
      </c>
    </row>
    <row r="125" spans="1:78" x14ac:dyDescent="0.25">
      <c r="A125" s="447">
        <v>17917</v>
      </c>
      <c r="B125" s="19" t="s">
        <v>1039</v>
      </c>
      <c r="C125" t="s">
        <v>1180</v>
      </c>
      <c r="D125" s="379"/>
      <c r="E125" s="120"/>
      <c r="F125" s="379">
        <v>13266.97</v>
      </c>
      <c r="G125" s="120">
        <v>2.2162536437180797E-5</v>
      </c>
      <c r="H125" s="379">
        <v>33038.230000000003</v>
      </c>
      <c r="I125" s="120">
        <v>1.2704344248193659E-4</v>
      </c>
      <c r="J125" s="379"/>
      <c r="K125" s="120"/>
      <c r="L125" s="379">
        <v>28264.1</v>
      </c>
      <c r="M125" s="120">
        <v>1.2678134823195623E-4</v>
      </c>
      <c r="N125" s="379">
        <v>80685</v>
      </c>
      <c r="O125" s="120">
        <v>1.1369039301222387E-4</v>
      </c>
      <c r="P125" s="383">
        <f t="shared" si="26"/>
        <v>155254.29999999999</v>
      </c>
      <c r="R125" s="379"/>
      <c r="S125" s="120"/>
      <c r="T125" s="380"/>
      <c r="U125" s="558">
        <v>4263</v>
      </c>
      <c r="V125" s="552" t="s">
        <v>1179</v>
      </c>
      <c r="W125" s="449" t="s">
        <v>1039</v>
      </c>
      <c r="X125" s="562" t="s">
        <v>1180</v>
      </c>
      <c r="Y125" s="379"/>
      <c r="Z125" s="379">
        <v>73980.210000000006</v>
      </c>
      <c r="AA125" s="379">
        <v>29600.39</v>
      </c>
      <c r="AB125" s="379"/>
      <c r="AC125" s="379">
        <v>0</v>
      </c>
      <c r="AD125" s="379">
        <v>103580.6</v>
      </c>
      <c r="AE125" s="124"/>
      <c r="AF125" s="558">
        <v>4263</v>
      </c>
      <c r="AG125" s="552" t="s">
        <v>1179</v>
      </c>
      <c r="AH125" s="449" t="s">
        <v>1039</v>
      </c>
      <c r="AI125" s="562" t="s">
        <v>1180</v>
      </c>
      <c r="AJ125" s="383">
        <f t="shared" si="18"/>
        <v>0</v>
      </c>
      <c r="AK125" s="383">
        <f t="shared" si="19"/>
        <v>80685</v>
      </c>
      <c r="AL125" s="383">
        <f t="shared" si="20"/>
        <v>33038.230000000003</v>
      </c>
      <c r="AM125" s="383">
        <f t="shared" si="21"/>
        <v>0</v>
      </c>
      <c r="AN125" s="383">
        <f t="shared" si="22"/>
        <v>0</v>
      </c>
      <c r="AO125" s="124">
        <f t="shared" si="27"/>
        <v>113723.23000000001</v>
      </c>
      <c r="AR125" s="124">
        <f t="shared" si="23"/>
        <v>28264.1</v>
      </c>
      <c r="AS125" s="124">
        <f t="shared" si="24"/>
        <v>13266.97</v>
      </c>
      <c r="AV125" s="379">
        <f t="shared" si="28"/>
        <v>41531.07</v>
      </c>
      <c r="AW125" s="124">
        <f t="shared" si="25"/>
        <v>0</v>
      </c>
      <c r="AZ125" s="379"/>
      <c r="BA125" s="379">
        <v>1947.52</v>
      </c>
      <c r="BB125" s="379">
        <v>837.25</v>
      </c>
      <c r="BC125" s="379"/>
      <c r="BD125" s="379">
        <v>0</v>
      </c>
      <c r="BE125" s="379">
        <f t="shared" si="29"/>
        <v>2784.77</v>
      </c>
      <c r="BF125" s="379"/>
      <c r="BO125" s="477"/>
      <c r="BP125" s="477">
        <v>184876.83</v>
      </c>
      <c r="BQ125" s="477">
        <v>76742.84</v>
      </c>
      <c r="BR125" s="477"/>
      <c r="BS125" s="477">
        <v>0</v>
      </c>
      <c r="BT125" s="477">
        <v>261619.66999999998</v>
      </c>
      <c r="BW125" s="126">
        <v>42</v>
      </c>
      <c r="BX125" s="125">
        <v>18303</v>
      </c>
      <c r="BY125" s="19" t="s">
        <v>29</v>
      </c>
      <c r="BZ125" t="s">
        <v>738</v>
      </c>
    </row>
    <row r="126" spans="1:78" x14ac:dyDescent="0.25">
      <c r="A126" s="443">
        <v>18100</v>
      </c>
      <c r="B126" s="19" t="s">
        <v>52</v>
      </c>
      <c r="C126" t="s">
        <v>50</v>
      </c>
      <c r="D126" s="379">
        <v>19070.580000000002</v>
      </c>
      <c r="E126" s="120">
        <v>3.1857494524233599E-5</v>
      </c>
      <c r="F126" s="379">
        <v>477192.38</v>
      </c>
      <c r="G126" s="120">
        <v>7.9715213867936885E-4</v>
      </c>
      <c r="H126" s="379">
        <v>1157674.71</v>
      </c>
      <c r="I126" s="120">
        <v>4.4516604077360555E-3</v>
      </c>
      <c r="J126" s="379">
        <v>0</v>
      </c>
      <c r="K126" s="120">
        <v>0</v>
      </c>
      <c r="L126" s="379">
        <v>1140966.46</v>
      </c>
      <c r="M126" s="120">
        <v>5.1179151675178891E-3</v>
      </c>
      <c r="N126" s="379">
        <v>3205027.79</v>
      </c>
      <c r="O126" s="120">
        <v>4.5160918269839413E-3</v>
      </c>
      <c r="P126" s="383">
        <f t="shared" si="26"/>
        <v>5999931.9199999999</v>
      </c>
      <c r="R126" s="379"/>
      <c r="S126" s="120"/>
      <c r="T126" s="380"/>
      <c r="U126" s="551">
        <v>82</v>
      </c>
      <c r="V126" s="550" t="s">
        <v>51</v>
      </c>
      <c r="W126" s="449" t="s">
        <v>52</v>
      </c>
      <c r="X126" s="562" t="s">
        <v>50</v>
      </c>
      <c r="Y126" s="379">
        <v>0</v>
      </c>
      <c r="Z126" s="379">
        <v>3203132.8600000003</v>
      </c>
      <c r="AA126" s="379">
        <v>1080905.19</v>
      </c>
      <c r="AB126" s="379">
        <v>12118.31</v>
      </c>
      <c r="AC126" s="379">
        <v>0</v>
      </c>
      <c r="AD126" s="379">
        <v>4296156.3600000003</v>
      </c>
      <c r="AE126" s="124"/>
      <c r="AF126" s="551">
        <v>82</v>
      </c>
      <c r="AG126" s="550" t="s">
        <v>51</v>
      </c>
      <c r="AH126" s="449" t="s">
        <v>52</v>
      </c>
      <c r="AI126" s="562" t="s">
        <v>50</v>
      </c>
      <c r="AJ126" s="383">
        <f t="shared" si="18"/>
        <v>0</v>
      </c>
      <c r="AK126" s="383">
        <f t="shared" si="19"/>
        <v>3205027.79</v>
      </c>
      <c r="AL126" s="383">
        <f t="shared" si="20"/>
        <v>1157674.71</v>
      </c>
      <c r="AM126" s="383">
        <f t="shared" si="21"/>
        <v>19070.580000000002</v>
      </c>
      <c r="AN126" s="383">
        <f t="shared" si="22"/>
        <v>0</v>
      </c>
      <c r="AO126" s="124">
        <f t="shared" si="27"/>
        <v>4381773.08</v>
      </c>
      <c r="AR126" s="124">
        <f t="shared" si="23"/>
        <v>1140966.46</v>
      </c>
      <c r="AS126" s="124">
        <f t="shared" si="24"/>
        <v>477192.38</v>
      </c>
      <c r="AV126" s="379">
        <f t="shared" si="28"/>
        <v>1618158.8399999999</v>
      </c>
      <c r="AW126" s="124">
        <f t="shared" si="25"/>
        <v>0</v>
      </c>
      <c r="AZ126" s="379">
        <v>0</v>
      </c>
      <c r="BA126" s="379">
        <v>77295.490000000005</v>
      </c>
      <c r="BB126" s="379">
        <v>29061.43</v>
      </c>
      <c r="BC126" s="379">
        <v>393.98</v>
      </c>
      <c r="BD126" s="379">
        <v>0</v>
      </c>
      <c r="BE126" s="379">
        <f t="shared" si="29"/>
        <v>106750.90000000001</v>
      </c>
      <c r="BF126" s="379"/>
      <c r="BO126" s="477">
        <v>0</v>
      </c>
      <c r="BP126" s="477">
        <v>7626422.5999999996</v>
      </c>
      <c r="BQ126" s="477">
        <v>2744833.71</v>
      </c>
      <c r="BR126" s="477">
        <v>31582.87</v>
      </c>
      <c r="BS126" s="477">
        <v>0</v>
      </c>
      <c r="BT126" s="477">
        <v>10402839.179999998</v>
      </c>
      <c r="BW126" s="126">
        <v>649</v>
      </c>
      <c r="BX126" s="125">
        <v>18400</v>
      </c>
      <c r="BY126" s="19" t="s">
        <v>52</v>
      </c>
      <c r="BZ126" t="s">
        <v>893</v>
      </c>
    </row>
    <row r="127" spans="1:78" x14ac:dyDescent="0.25">
      <c r="A127" s="443">
        <v>18303</v>
      </c>
      <c r="B127" s="19" t="s">
        <v>29</v>
      </c>
      <c r="C127" t="s">
        <v>30</v>
      </c>
      <c r="D127" s="379"/>
      <c r="E127" s="120"/>
      <c r="F127" s="379">
        <v>349107.35</v>
      </c>
      <c r="G127" s="120">
        <v>5.8318548733151798E-4</v>
      </c>
      <c r="H127" s="379">
        <v>871872.28</v>
      </c>
      <c r="I127" s="120">
        <v>3.3526510305114678E-3</v>
      </c>
      <c r="J127" s="379">
        <v>0</v>
      </c>
      <c r="K127" s="120">
        <v>0</v>
      </c>
      <c r="L127" s="379">
        <v>710971.77</v>
      </c>
      <c r="M127" s="120">
        <v>3.1891324880488074E-3</v>
      </c>
      <c r="N127" s="379">
        <v>2350548.38</v>
      </c>
      <c r="O127" s="120">
        <v>3.3120749720077602E-3</v>
      </c>
      <c r="P127" s="383">
        <f t="shared" si="26"/>
        <v>4282499.7799999993</v>
      </c>
      <c r="R127" s="379"/>
      <c r="S127" s="120"/>
      <c r="T127" s="380"/>
      <c r="U127" s="551">
        <v>42</v>
      </c>
      <c r="V127" s="550" t="s">
        <v>31</v>
      </c>
      <c r="W127" s="449" t="s">
        <v>29</v>
      </c>
      <c r="X127" s="562" t="s">
        <v>30</v>
      </c>
      <c r="Y127" s="379">
        <v>0</v>
      </c>
      <c r="Z127" s="379">
        <v>2224005.79</v>
      </c>
      <c r="AA127" s="379">
        <v>830926.87</v>
      </c>
      <c r="AB127" s="379"/>
      <c r="AC127" s="379">
        <v>0</v>
      </c>
      <c r="AD127" s="379">
        <v>3054932.66</v>
      </c>
      <c r="AE127" s="124"/>
      <c r="AF127" s="551">
        <v>42</v>
      </c>
      <c r="AG127" s="550" t="s">
        <v>31</v>
      </c>
      <c r="AH127" s="449" t="s">
        <v>29</v>
      </c>
      <c r="AI127" s="562" t="s">
        <v>30</v>
      </c>
      <c r="AJ127" s="383">
        <f t="shared" si="18"/>
        <v>0</v>
      </c>
      <c r="AK127" s="383">
        <f t="shared" si="19"/>
        <v>2350548.38</v>
      </c>
      <c r="AL127" s="383">
        <f t="shared" si="20"/>
        <v>871872.28</v>
      </c>
      <c r="AM127" s="383">
        <f t="shared" si="21"/>
        <v>0</v>
      </c>
      <c r="AN127" s="383">
        <f t="shared" si="22"/>
        <v>0</v>
      </c>
      <c r="AO127" s="124">
        <f t="shared" si="27"/>
        <v>3222420.66</v>
      </c>
      <c r="AR127" s="124">
        <f t="shared" si="23"/>
        <v>710971.77</v>
      </c>
      <c r="AS127" s="124">
        <f t="shared" si="24"/>
        <v>349107.35</v>
      </c>
      <c r="AV127" s="379">
        <f t="shared" si="28"/>
        <v>1060079.1200000001</v>
      </c>
      <c r="AW127" s="124">
        <f t="shared" si="25"/>
        <v>0</v>
      </c>
      <c r="AZ127" s="379">
        <v>0</v>
      </c>
      <c r="BA127" s="379">
        <v>57181.39</v>
      </c>
      <c r="BB127" s="379">
        <v>22120.43</v>
      </c>
      <c r="BC127" s="379"/>
      <c r="BD127" s="379">
        <v>0</v>
      </c>
      <c r="BE127" s="379">
        <f t="shared" si="29"/>
        <v>79301.820000000007</v>
      </c>
      <c r="BF127" s="379"/>
      <c r="BO127" s="477">
        <v>0</v>
      </c>
      <c r="BP127" s="477">
        <v>5342707.33</v>
      </c>
      <c r="BQ127" s="477">
        <v>2074026.9300000002</v>
      </c>
      <c r="BR127" s="477"/>
      <c r="BS127" s="477">
        <v>0</v>
      </c>
      <c r="BT127" s="477">
        <v>7416734.2599999998</v>
      </c>
      <c r="BW127" s="126">
        <v>114</v>
      </c>
      <c r="BX127" s="125">
        <v>18401</v>
      </c>
      <c r="BY127" s="19" t="s">
        <v>52</v>
      </c>
      <c r="BZ127" t="s">
        <v>759</v>
      </c>
    </row>
    <row r="128" spans="1:78" x14ac:dyDescent="0.25">
      <c r="A128" s="443">
        <v>18400</v>
      </c>
      <c r="B128" s="19" t="s">
        <v>52</v>
      </c>
      <c r="C128" t="s">
        <v>348</v>
      </c>
      <c r="D128" s="379">
        <v>5224.67</v>
      </c>
      <c r="E128" s="120">
        <v>8.7278360656009177E-6</v>
      </c>
      <c r="F128" s="379">
        <v>600970.09</v>
      </c>
      <c r="G128" s="120">
        <v>1.0039233914963871E-3</v>
      </c>
      <c r="H128" s="379">
        <v>1466336.48</v>
      </c>
      <c r="I128" s="120">
        <v>5.6385718682885047E-3</v>
      </c>
      <c r="J128" s="379">
        <v>0</v>
      </c>
      <c r="K128" s="120">
        <v>0</v>
      </c>
      <c r="L128" s="379">
        <v>1149935.44</v>
      </c>
      <c r="M128" s="120">
        <v>5.1581463928767526E-3</v>
      </c>
      <c r="N128" s="379">
        <v>3291343.26</v>
      </c>
      <c r="O128" s="120">
        <v>4.6377159170543983E-3</v>
      </c>
      <c r="P128" s="383">
        <f t="shared" si="26"/>
        <v>6513809.9399999995</v>
      </c>
      <c r="R128" s="379"/>
      <c r="S128" s="120"/>
      <c r="T128" s="380"/>
      <c r="U128" s="551">
        <v>649</v>
      </c>
      <c r="V128" s="550" t="s">
        <v>349</v>
      </c>
      <c r="W128" s="449" t="s">
        <v>52</v>
      </c>
      <c r="X128" s="562" t="s">
        <v>348</v>
      </c>
      <c r="Y128" s="379">
        <v>0</v>
      </c>
      <c r="Z128" s="379">
        <v>3335290.7699999996</v>
      </c>
      <c r="AA128" s="379">
        <v>1379526.2</v>
      </c>
      <c r="AB128" s="379">
        <v>3295.16</v>
      </c>
      <c r="AC128" s="379">
        <v>0</v>
      </c>
      <c r="AD128" s="379">
        <v>4718112.13</v>
      </c>
      <c r="AE128" s="124"/>
      <c r="AF128" s="551">
        <v>649</v>
      </c>
      <c r="AG128" s="550" t="s">
        <v>349</v>
      </c>
      <c r="AH128" s="449" t="s">
        <v>52</v>
      </c>
      <c r="AI128" s="562" t="s">
        <v>348</v>
      </c>
      <c r="AJ128" s="383">
        <f t="shared" si="18"/>
        <v>0</v>
      </c>
      <c r="AK128" s="383">
        <f t="shared" si="19"/>
        <v>3291343.26</v>
      </c>
      <c r="AL128" s="383">
        <f t="shared" si="20"/>
        <v>1466336.48</v>
      </c>
      <c r="AM128" s="383">
        <f t="shared" si="21"/>
        <v>5224.67</v>
      </c>
      <c r="AN128" s="383">
        <f t="shared" si="22"/>
        <v>0</v>
      </c>
      <c r="AO128" s="124">
        <f t="shared" si="27"/>
        <v>4762904.41</v>
      </c>
      <c r="AR128" s="124">
        <f t="shared" si="23"/>
        <v>1149935.44</v>
      </c>
      <c r="AS128" s="124">
        <f t="shared" si="24"/>
        <v>600970.09</v>
      </c>
      <c r="AV128" s="379">
        <f t="shared" si="28"/>
        <v>1750905.5299999998</v>
      </c>
      <c r="AW128" s="124">
        <f t="shared" si="25"/>
        <v>0</v>
      </c>
      <c r="AZ128" s="379">
        <v>0</v>
      </c>
      <c r="BA128" s="379">
        <v>79453.48</v>
      </c>
      <c r="BB128" s="379">
        <v>36908.04</v>
      </c>
      <c r="BC128" s="379">
        <v>106.95</v>
      </c>
      <c r="BD128" s="379">
        <v>0</v>
      </c>
      <c r="BE128" s="379">
        <f t="shared" si="29"/>
        <v>116468.46999999999</v>
      </c>
      <c r="BF128" s="379"/>
      <c r="BO128" s="477">
        <v>0</v>
      </c>
      <c r="BP128" s="477">
        <v>7856022.9500000002</v>
      </c>
      <c r="BQ128" s="477">
        <v>3483740.81</v>
      </c>
      <c r="BR128" s="477">
        <v>8626.7800000000007</v>
      </c>
      <c r="BS128" s="477">
        <v>0</v>
      </c>
      <c r="BT128" s="477">
        <v>11348390.539999999</v>
      </c>
      <c r="BW128" s="126">
        <v>910</v>
      </c>
      <c r="BX128" s="125">
        <v>18402</v>
      </c>
      <c r="BY128" s="19" t="s">
        <v>52</v>
      </c>
      <c r="BZ128" t="s">
        <v>967</v>
      </c>
    </row>
    <row r="129" spans="1:78" x14ac:dyDescent="0.25">
      <c r="A129" s="443">
        <v>18401</v>
      </c>
      <c r="B129" s="19" t="s">
        <v>52</v>
      </c>
      <c r="C129" t="s">
        <v>76</v>
      </c>
      <c r="D129" s="379">
        <v>2774.28</v>
      </c>
      <c r="E129" s="120">
        <v>4.6344479249551294E-6</v>
      </c>
      <c r="F129" s="379">
        <v>999614.99</v>
      </c>
      <c r="G129" s="120">
        <v>1.669861591533494E-3</v>
      </c>
      <c r="H129" s="379">
        <v>2494183.23</v>
      </c>
      <c r="I129" s="120">
        <v>9.5909987829225652E-3</v>
      </c>
      <c r="J129" s="379">
        <v>13259</v>
      </c>
      <c r="K129" s="120">
        <v>5.9474524085589413E-5</v>
      </c>
      <c r="L129" s="379">
        <v>2023983.27</v>
      </c>
      <c r="M129" s="120">
        <v>9.0787722860279831E-3</v>
      </c>
      <c r="N129" s="379">
        <v>6848389.5999999996</v>
      </c>
      <c r="O129" s="120">
        <v>9.6498246901509151E-3</v>
      </c>
      <c r="P129" s="383">
        <f t="shared" si="26"/>
        <v>12382204.369999999</v>
      </c>
      <c r="R129" s="379"/>
      <c r="S129" s="120"/>
      <c r="T129" s="380"/>
      <c r="U129" s="551">
        <v>114</v>
      </c>
      <c r="V129" s="550" t="s">
        <v>77</v>
      </c>
      <c r="W129" s="449" t="s">
        <v>52</v>
      </c>
      <c r="X129" s="562" t="s">
        <v>76</v>
      </c>
      <c r="Y129" s="379">
        <v>7652.11</v>
      </c>
      <c r="Z129" s="379">
        <v>7060319.7400000002</v>
      </c>
      <c r="AA129" s="379">
        <v>2414772.75</v>
      </c>
      <c r="AB129" s="379">
        <v>1757.28</v>
      </c>
      <c r="AC129" s="379">
        <v>0</v>
      </c>
      <c r="AD129" s="379">
        <v>9484501.8800000008</v>
      </c>
      <c r="AE129" s="124"/>
      <c r="AF129" s="551">
        <v>114</v>
      </c>
      <c r="AG129" s="550" t="s">
        <v>77</v>
      </c>
      <c r="AH129" s="449" t="s">
        <v>52</v>
      </c>
      <c r="AI129" s="562" t="s">
        <v>76</v>
      </c>
      <c r="AJ129" s="383">
        <f t="shared" si="18"/>
        <v>13259</v>
      </c>
      <c r="AK129" s="383">
        <f t="shared" si="19"/>
        <v>6848389.5999999996</v>
      </c>
      <c r="AL129" s="383">
        <f t="shared" si="20"/>
        <v>2494183.23</v>
      </c>
      <c r="AM129" s="383">
        <f t="shared" si="21"/>
        <v>2774.28</v>
      </c>
      <c r="AN129" s="383">
        <f t="shared" si="22"/>
        <v>0</v>
      </c>
      <c r="AO129" s="124">
        <f t="shared" si="27"/>
        <v>9358606.1099999994</v>
      </c>
      <c r="AR129" s="124">
        <f t="shared" si="23"/>
        <v>2023983.27</v>
      </c>
      <c r="AS129" s="124">
        <f t="shared" si="24"/>
        <v>999614.99</v>
      </c>
      <c r="AV129" s="379">
        <f t="shared" si="28"/>
        <v>3023598.26</v>
      </c>
      <c r="AW129" s="124">
        <f t="shared" si="25"/>
        <v>0</v>
      </c>
      <c r="AZ129" s="379">
        <v>250.43</v>
      </c>
      <c r="BA129" s="379">
        <v>166786.76</v>
      </c>
      <c r="BB129" s="379">
        <v>63259.95</v>
      </c>
      <c r="BC129" s="379">
        <v>57.56</v>
      </c>
      <c r="BD129" s="379">
        <v>0</v>
      </c>
      <c r="BE129" s="379">
        <f t="shared" si="29"/>
        <v>230354.7</v>
      </c>
      <c r="BF129" s="379"/>
      <c r="BO129" s="477">
        <v>21161.54</v>
      </c>
      <c r="BP129" s="477">
        <v>16099479.370000001</v>
      </c>
      <c r="BQ129" s="477">
        <v>5971830.9199999999</v>
      </c>
      <c r="BR129" s="477">
        <v>4589.12</v>
      </c>
      <c r="BS129" s="477">
        <v>0</v>
      </c>
      <c r="BT129" s="477">
        <v>22097060.949999999</v>
      </c>
      <c r="BW129" s="126">
        <v>263</v>
      </c>
      <c r="BX129" s="125">
        <v>18801</v>
      </c>
      <c r="BY129" s="19">
        <v>114</v>
      </c>
      <c r="BZ129" t="s">
        <v>1121</v>
      </c>
    </row>
    <row r="130" spans="1:78" x14ac:dyDescent="0.25">
      <c r="A130" s="443">
        <v>18402</v>
      </c>
      <c r="B130" s="19" t="s">
        <v>52</v>
      </c>
      <c r="C130" t="s">
        <v>506</v>
      </c>
      <c r="D130" s="379">
        <v>5682.95</v>
      </c>
      <c r="E130" s="120">
        <v>9.4933949836079076E-6</v>
      </c>
      <c r="F130" s="379">
        <v>906106.39</v>
      </c>
      <c r="G130" s="120">
        <v>1.5136550308274877E-3</v>
      </c>
      <c r="H130" s="379">
        <v>2209574.37</v>
      </c>
      <c r="I130" s="120">
        <v>8.4965790959339003E-3</v>
      </c>
      <c r="J130" s="379">
        <v>0</v>
      </c>
      <c r="K130" s="120">
        <v>0</v>
      </c>
      <c r="L130" s="379">
        <v>2004811.39</v>
      </c>
      <c r="M130" s="120">
        <v>8.9927749680684052E-3</v>
      </c>
      <c r="N130" s="379">
        <v>5862819.3799999999</v>
      </c>
      <c r="O130" s="120">
        <v>8.2610923898107785E-3</v>
      </c>
      <c r="P130" s="383">
        <f t="shared" si="26"/>
        <v>10988994.48</v>
      </c>
      <c r="R130" s="379"/>
      <c r="S130" s="120"/>
      <c r="T130" s="380"/>
      <c r="U130" s="551">
        <v>910</v>
      </c>
      <c r="V130" s="550" t="s">
        <v>507</v>
      </c>
      <c r="W130" s="449" t="s">
        <v>52</v>
      </c>
      <c r="X130" s="562" t="s">
        <v>506</v>
      </c>
      <c r="Y130" s="379">
        <v>0</v>
      </c>
      <c r="Z130" s="379">
        <v>5775902.5499999998</v>
      </c>
      <c r="AA130" s="379">
        <v>2104012.5700000003</v>
      </c>
      <c r="AB130" s="379">
        <v>3571.86</v>
      </c>
      <c r="AC130" s="379">
        <v>0</v>
      </c>
      <c r="AD130" s="379">
        <v>7883486.9800000004</v>
      </c>
      <c r="AE130" s="124"/>
      <c r="AF130" s="551">
        <v>910</v>
      </c>
      <c r="AG130" s="550" t="s">
        <v>507</v>
      </c>
      <c r="AH130" s="449" t="s">
        <v>52</v>
      </c>
      <c r="AI130" s="562" t="s">
        <v>506</v>
      </c>
      <c r="AJ130" s="383">
        <f t="shared" si="18"/>
        <v>0</v>
      </c>
      <c r="AK130" s="383">
        <f t="shared" si="19"/>
        <v>5862819.3799999999</v>
      </c>
      <c r="AL130" s="383">
        <f t="shared" si="20"/>
        <v>2209574.37</v>
      </c>
      <c r="AM130" s="383">
        <f t="shared" si="21"/>
        <v>5682.95</v>
      </c>
      <c r="AN130" s="383">
        <f t="shared" si="22"/>
        <v>0</v>
      </c>
      <c r="AO130" s="124">
        <f t="shared" si="27"/>
        <v>8078076.7000000002</v>
      </c>
      <c r="AR130" s="124">
        <f t="shared" si="23"/>
        <v>2004811.39</v>
      </c>
      <c r="AS130" s="124">
        <f t="shared" si="24"/>
        <v>906106.39</v>
      </c>
      <c r="AV130" s="379">
        <f t="shared" si="28"/>
        <v>2910917.78</v>
      </c>
      <c r="AW130" s="124">
        <f t="shared" si="25"/>
        <v>0</v>
      </c>
      <c r="AZ130" s="379">
        <v>0</v>
      </c>
      <c r="BA130" s="379">
        <v>141713.54999999999</v>
      </c>
      <c r="BB130" s="379">
        <v>55574.2</v>
      </c>
      <c r="BC130" s="379">
        <v>116</v>
      </c>
      <c r="BD130" s="379">
        <v>0</v>
      </c>
      <c r="BE130" s="379">
        <f t="shared" si="29"/>
        <v>197403.75</v>
      </c>
      <c r="BF130" s="379"/>
      <c r="BO130" s="477">
        <v>0</v>
      </c>
      <c r="BP130" s="477">
        <v>13785246.870000001</v>
      </c>
      <c r="BQ130" s="477">
        <v>5275267.5299999993</v>
      </c>
      <c r="BR130" s="477">
        <v>9370.81</v>
      </c>
      <c r="BS130" s="477">
        <v>0</v>
      </c>
      <c r="BT130" s="477">
        <v>19069885.209999997</v>
      </c>
      <c r="BW130" s="380">
        <v>4260</v>
      </c>
      <c r="BX130" s="19">
        <v>18901</v>
      </c>
      <c r="BY130" s="19" t="s">
        <v>1039</v>
      </c>
      <c r="BZ130" s="348" t="s">
        <v>1168</v>
      </c>
    </row>
    <row r="131" spans="1:78" x14ac:dyDescent="0.25">
      <c r="A131" s="443">
        <v>18801</v>
      </c>
      <c r="B131" s="19">
        <v>114</v>
      </c>
      <c r="C131" t="s">
        <v>380</v>
      </c>
      <c r="D131" s="379"/>
      <c r="E131" s="120"/>
      <c r="F131" s="379">
        <v>314332.78999999998</v>
      </c>
      <c r="G131" s="120">
        <v>5.2509441958304716E-4</v>
      </c>
      <c r="H131" s="379">
        <v>784091.98</v>
      </c>
      <c r="I131" s="120">
        <v>3.0151053601139574E-3</v>
      </c>
      <c r="J131" s="379"/>
      <c r="K131" s="120"/>
      <c r="L131" s="379">
        <v>124506.32</v>
      </c>
      <c r="M131" s="120">
        <v>5.584851140846296E-4</v>
      </c>
      <c r="N131" s="379">
        <v>457507.83</v>
      </c>
      <c r="O131" s="120">
        <v>6.4465817684662219E-4</v>
      </c>
      <c r="P131" s="383">
        <f t="shared" si="26"/>
        <v>1680438.9200000002</v>
      </c>
      <c r="R131" s="379"/>
      <c r="S131" s="120"/>
      <c r="T131" s="380"/>
      <c r="U131" s="551">
        <v>263</v>
      </c>
      <c r="V131" s="550" t="s">
        <v>381</v>
      </c>
      <c r="W131" s="449">
        <v>114</v>
      </c>
      <c r="X131" s="562" t="s">
        <v>380</v>
      </c>
      <c r="Y131" s="379"/>
      <c r="Z131" s="379">
        <v>464450.23</v>
      </c>
      <c r="AA131" s="379">
        <v>705562.04</v>
      </c>
      <c r="AB131" s="379"/>
      <c r="AC131" s="379">
        <v>0</v>
      </c>
      <c r="AD131" s="379">
        <v>1170012.27</v>
      </c>
      <c r="AE131" s="124"/>
      <c r="AF131" s="551">
        <v>263</v>
      </c>
      <c r="AG131" s="550" t="s">
        <v>381</v>
      </c>
      <c r="AH131" s="449">
        <v>114</v>
      </c>
      <c r="AI131" s="562" t="s">
        <v>380</v>
      </c>
      <c r="AJ131" s="383">
        <f t="shared" si="18"/>
        <v>0</v>
      </c>
      <c r="AK131" s="383">
        <f t="shared" si="19"/>
        <v>457507.83</v>
      </c>
      <c r="AL131" s="383">
        <f t="shared" si="20"/>
        <v>784091.98</v>
      </c>
      <c r="AM131" s="383">
        <f t="shared" si="21"/>
        <v>0</v>
      </c>
      <c r="AN131" s="383">
        <f t="shared" si="22"/>
        <v>0</v>
      </c>
      <c r="AO131" s="124">
        <f t="shared" si="27"/>
        <v>1241599.81</v>
      </c>
      <c r="AR131" s="124">
        <f t="shared" si="23"/>
        <v>124506.32</v>
      </c>
      <c r="AS131" s="124">
        <f t="shared" si="24"/>
        <v>314332.78999999998</v>
      </c>
      <c r="AV131" s="379">
        <f t="shared" si="28"/>
        <v>438839.11</v>
      </c>
      <c r="AW131" s="124">
        <f t="shared" si="25"/>
        <v>0</v>
      </c>
      <c r="AZ131" s="379"/>
      <c r="BA131" s="379">
        <v>11184.220000000001</v>
      </c>
      <c r="BB131" s="379">
        <v>19884.82</v>
      </c>
      <c r="BC131" s="379"/>
      <c r="BD131" s="379">
        <v>0</v>
      </c>
      <c r="BE131" s="379">
        <f t="shared" si="29"/>
        <v>31069.040000000001</v>
      </c>
      <c r="BF131" s="379"/>
      <c r="BO131" s="477"/>
      <c r="BP131" s="477">
        <v>1057648.6000000001</v>
      </c>
      <c r="BQ131" s="477">
        <v>1823871.63</v>
      </c>
      <c r="BR131" s="477"/>
      <c r="BS131" s="477">
        <v>0</v>
      </c>
      <c r="BT131" s="477">
        <v>2881520.23</v>
      </c>
      <c r="BW131" s="126">
        <v>218</v>
      </c>
      <c r="BX131" s="125">
        <v>19007</v>
      </c>
      <c r="BY131" s="19" t="s">
        <v>45</v>
      </c>
      <c r="BZ131" t="s">
        <v>784</v>
      </c>
    </row>
    <row r="132" spans="1:78" x14ac:dyDescent="0.25">
      <c r="A132" s="443">
        <v>18901</v>
      </c>
      <c r="B132" s="19" t="s">
        <v>1039</v>
      </c>
      <c r="C132" t="s">
        <v>1175</v>
      </c>
      <c r="D132" s="379"/>
      <c r="E132" s="120"/>
      <c r="F132" s="379">
        <v>36932.53</v>
      </c>
      <c r="G132" s="120">
        <v>6.1695966889370595E-5</v>
      </c>
      <c r="H132" s="379">
        <v>91644.05</v>
      </c>
      <c r="I132" s="120">
        <v>3.5240312798193846E-4</v>
      </c>
      <c r="J132" s="379"/>
      <c r="K132" s="120"/>
      <c r="L132" s="379">
        <v>62063.41</v>
      </c>
      <c r="M132" s="120">
        <v>2.7839141510512189E-4</v>
      </c>
      <c r="N132" s="379">
        <v>207784.44</v>
      </c>
      <c r="O132" s="120">
        <v>2.9278173942399267E-4</v>
      </c>
      <c r="P132" s="383">
        <f t="shared" si="26"/>
        <v>398424.43</v>
      </c>
      <c r="R132" s="379"/>
      <c r="S132" s="120"/>
      <c r="T132" s="380"/>
      <c r="U132" s="551">
        <v>4260</v>
      </c>
      <c r="V132" s="550" t="s">
        <v>1167</v>
      </c>
      <c r="W132" s="449" t="s">
        <v>1039</v>
      </c>
      <c r="X132" s="562" t="s">
        <v>1175</v>
      </c>
      <c r="Y132" s="379"/>
      <c r="Z132" s="379">
        <v>226879.81</v>
      </c>
      <c r="AA132" s="379">
        <v>89235.099999999991</v>
      </c>
      <c r="AB132" s="379"/>
      <c r="AC132" s="379">
        <v>0</v>
      </c>
      <c r="AD132" s="379">
        <v>316114.90999999997</v>
      </c>
      <c r="AE132" s="124"/>
      <c r="AF132" s="551">
        <v>4260</v>
      </c>
      <c r="AG132" s="550" t="s">
        <v>1167</v>
      </c>
      <c r="AH132" s="449" t="s">
        <v>1039</v>
      </c>
      <c r="AI132" s="562" t="s">
        <v>1175</v>
      </c>
      <c r="AJ132" s="383">
        <f t="shared" si="18"/>
        <v>0</v>
      </c>
      <c r="AK132" s="383">
        <f t="shared" si="19"/>
        <v>207784.44</v>
      </c>
      <c r="AL132" s="383">
        <f t="shared" si="20"/>
        <v>91644.05</v>
      </c>
      <c r="AM132" s="383">
        <f t="shared" si="21"/>
        <v>0</v>
      </c>
      <c r="AN132" s="383">
        <f t="shared" si="22"/>
        <v>0</v>
      </c>
      <c r="AO132" s="124">
        <f t="shared" si="27"/>
        <v>299428.49</v>
      </c>
      <c r="AR132" s="124">
        <f t="shared" si="23"/>
        <v>62063.41</v>
      </c>
      <c r="AS132" s="124">
        <f t="shared" si="24"/>
        <v>36932.53</v>
      </c>
      <c r="AV132" s="379">
        <f t="shared" si="28"/>
        <v>98995.94</v>
      </c>
      <c r="AW132" s="124">
        <f t="shared" si="25"/>
        <v>0</v>
      </c>
      <c r="AZ132" s="379"/>
      <c r="BA132" s="379">
        <v>5057.67</v>
      </c>
      <c r="BB132" s="379">
        <v>2319.58</v>
      </c>
      <c r="BC132" s="379"/>
      <c r="BD132" s="379">
        <v>0</v>
      </c>
      <c r="BE132" s="379">
        <f t="shared" si="29"/>
        <v>7377.25</v>
      </c>
      <c r="BF132" s="379"/>
      <c r="BO132" s="477"/>
      <c r="BP132" s="477">
        <v>501785.32999999996</v>
      </c>
      <c r="BQ132" s="477">
        <v>220131.26</v>
      </c>
      <c r="BR132" s="477"/>
      <c r="BS132" s="477">
        <v>0</v>
      </c>
      <c r="BT132" s="477">
        <v>721916.59</v>
      </c>
      <c r="BW132" s="126">
        <v>250</v>
      </c>
      <c r="BX132" s="125">
        <v>19028</v>
      </c>
      <c r="BY132" s="19" t="s">
        <v>45</v>
      </c>
      <c r="BZ132" t="s">
        <v>793</v>
      </c>
    </row>
    <row r="133" spans="1:78" x14ac:dyDescent="0.25">
      <c r="A133" s="443">
        <v>19007</v>
      </c>
      <c r="B133" s="19" t="s">
        <v>45</v>
      </c>
      <c r="C133" t="s">
        <v>126</v>
      </c>
      <c r="D133" s="379"/>
      <c r="E133" s="120"/>
      <c r="F133" s="379">
        <v>1723.26</v>
      </c>
      <c r="G133" s="120">
        <v>2.8787140199108147E-6</v>
      </c>
      <c r="H133" s="379">
        <v>4308.41</v>
      </c>
      <c r="I133" s="120">
        <v>1.656732936430312E-5</v>
      </c>
      <c r="J133" s="379"/>
      <c r="K133" s="120"/>
      <c r="L133" s="379">
        <v>6069.81</v>
      </c>
      <c r="M133" s="120">
        <v>2.7226718533822424E-5</v>
      </c>
      <c r="N133" s="379">
        <v>20260.2</v>
      </c>
      <c r="O133" s="120">
        <v>2.8547934566601698E-5</v>
      </c>
      <c r="P133" s="383">
        <f t="shared" si="26"/>
        <v>32361.68</v>
      </c>
      <c r="R133" s="379"/>
      <c r="S133" s="120"/>
      <c r="T133" s="380"/>
      <c r="U133" s="551">
        <v>218</v>
      </c>
      <c r="V133" s="550" t="s">
        <v>127</v>
      </c>
      <c r="W133" s="449" t="s">
        <v>45</v>
      </c>
      <c r="X133" s="562" t="s">
        <v>126</v>
      </c>
      <c r="Y133" s="379"/>
      <c r="Z133" s="379">
        <v>16882.95</v>
      </c>
      <c r="AA133" s="379">
        <v>6657.09</v>
      </c>
      <c r="AB133" s="379"/>
      <c r="AC133" s="379">
        <v>0</v>
      </c>
      <c r="AD133" s="379">
        <v>23540.04</v>
      </c>
      <c r="AE133" s="124"/>
      <c r="AF133" s="551">
        <v>218</v>
      </c>
      <c r="AG133" s="550" t="s">
        <v>127</v>
      </c>
      <c r="AH133" s="449" t="s">
        <v>45</v>
      </c>
      <c r="AI133" s="562" t="s">
        <v>126</v>
      </c>
      <c r="AJ133" s="383">
        <f t="shared" si="18"/>
        <v>0</v>
      </c>
      <c r="AK133" s="383">
        <f t="shared" si="19"/>
        <v>20260.2</v>
      </c>
      <c r="AL133" s="383">
        <f t="shared" si="20"/>
        <v>4308.41</v>
      </c>
      <c r="AM133" s="383">
        <f t="shared" si="21"/>
        <v>0</v>
      </c>
      <c r="AN133" s="383">
        <f t="shared" si="22"/>
        <v>0</v>
      </c>
      <c r="AO133" s="124">
        <f t="shared" si="27"/>
        <v>24568.61</v>
      </c>
      <c r="AR133" s="124">
        <f t="shared" si="23"/>
        <v>6069.81</v>
      </c>
      <c r="AS133" s="124">
        <f t="shared" si="24"/>
        <v>1723.26</v>
      </c>
      <c r="AV133" s="379">
        <f t="shared" si="28"/>
        <v>7793.0700000000006</v>
      </c>
      <c r="AW133" s="124">
        <f t="shared" si="25"/>
        <v>0</v>
      </c>
      <c r="AZ133" s="379"/>
      <c r="BA133" s="379">
        <v>493</v>
      </c>
      <c r="BB133" s="379">
        <v>109.31</v>
      </c>
      <c r="BC133" s="379"/>
      <c r="BD133" s="379">
        <v>0</v>
      </c>
      <c r="BE133" s="379">
        <f t="shared" si="29"/>
        <v>602.30999999999995</v>
      </c>
      <c r="BF133" s="379"/>
      <c r="BO133" s="477"/>
      <c r="BP133" s="477">
        <v>43705.96</v>
      </c>
      <c r="BQ133" s="477">
        <v>12798.07</v>
      </c>
      <c r="BR133" s="477"/>
      <c r="BS133" s="477">
        <v>0</v>
      </c>
      <c r="BT133" s="477">
        <v>56504.03</v>
      </c>
      <c r="BW133" s="126">
        <v>975</v>
      </c>
      <c r="BX133" s="125">
        <v>19400</v>
      </c>
      <c r="BY133" s="19" t="s">
        <v>45</v>
      </c>
      <c r="BZ133" t="s">
        <v>984</v>
      </c>
    </row>
    <row r="134" spans="1:78" x14ac:dyDescent="0.25">
      <c r="A134" s="443">
        <v>19028</v>
      </c>
      <c r="B134" s="19" t="s">
        <v>45</v>
      </c>
      <c r="C134" t="s">
        <v>146</v>
      </c>
      <c r="D134" s="379"/>
      <c r="E134" s="120"/>
      <c r="F134" s="379">
        <v>14438.36</v>
      </c>
      <c r="G134" s="120">
        <v>2.4119348999291757E-5</v>
      </c>
      <c r="H134" s="379">
        <v>36043.43</v>
      </c>
      <c r="I134" s="120">
        <v>1.3859947781877865E-4</v>
      </c>
      <c r="J134" s="379"/>
      <c r="K134" s="120"/>
      <c r="L134" s="379">
        <v>20513.759999999998</v>
      </c>
      <c r="M134" s="120">
        <v>9.2016450200316813E-5</v>
      </c>
      <c r="N134" s="379">
        <v>73738.039999999994</v>
      </c>
      <c r="O134" s="120">
        <v>1.039016762415701E-4</v>
      </c>
      <c r="P134" s="383">
        <f t="shared" si="26"/>
        <v>144733.59</v>
      </c>
      <c r="R134" s="379"/>
      <c r="S134" s="120"/>
      <c r="T134" s="380"/>
      <c r="U134" s="551">
        <v>250</v>
      </c>
      <c r="V134" s="550" t="s">
        <v>147</v>
      </c>
      <c r="W134" s="449" t="s">
        <v>45</v>
      </c>
      <c r="X134" s="562" t="s">
        <v>146</v>
      </c>
      <c r="Y134" s="379"/>
      <c r="Z134" s="379">
        <v>63771.77</v>
      </c>
      <c r="AA134" s="379">
        <v>33050.009999999995</v>
      </c>
      <c r="AB134" s="379"/>
      <c r="AC134" s="379">
        <v>0</v>
      </c>
      <c r="AD134" s="379">
        <v>96821.78</v>
      </c>
      <c r="AE134" s="124"/>
      <c r="AF134" s="551">
        <v>250</v>
      </c>
      <c r="AG134" s="550" t="s">
        <v>147</v>
      </c>
      <c r="AH134" s="449" t="s">
        <v>45</v>
      </c>
      <c r="AI134" s="562" t="s">
        <v>146</v>
      </c>
      <c r="AJ134" s="383">
        <f t="shared" si="18"/>
        <v>0</v>
      </c>
      <c r="AK134" s="383">
        <f t="shared" si="19"/>
        <v>73738.039999999994</v>
      </c>
      <c r="AL134" s="383">
        <f t="shared" si="20"/>
        <v>36043.43</v>
      </c>
      <c r="AM134" s="383">
        <f t="shared" si="21"/>
        <v>0</v>
      </c>
      <c r="AN134" s="383">
        <f t="shared" si="22"/>
        <v>0</v>
      </c>
      <c r="AO134" s="124">
        <f t="shared" si="27"/>
        <v>109781.47</v>
      </c>
      <c r="AR134" s="124">
        <f t="shared" si="23"/>
        <v>20513.759999999998</v>
      </c>
      <c r="AS134" s="124">
        <f t="shared" si="24"/>
        <v>14438.36</v>
      </c>
      <c r="AV134" s="379">
        <f t="shared" si="28"/>
        <v>34952.119999999995</v>
      </c>
      <c r="AW134" s="124">
        <f t="shared" si="25"/>
        <v>0</v>
      </c>
      <c r="AZ134" s="379"/>
      <c r="BA134" s="379">
        <v>1800.72</v>
      </c>
      <c r="BB134" s="379">
        <v>914.16</v>
      </c>
      <c r="BC134" s="379"/>
      <c r="BD134" s="379">
        <v>0</v>
      </c>
      <c r="BE134" s="379">
        <f t="shared" si="29"/>
        <v>2714.88</v>
      </c>
      <c r="BF134" s="379"/>
      <c r="BO134" s="477"/>
      <c r="BP134" s="477">
        <v>159824.29</v>
      </c>
      <c r="BQ134" s="477">
        <v>84445.959999999992</v>
      </c>
      <c r="BR134" s="477"/>
      <c r="BS134" s="477">
        <v>0</v>
      </c>
      <c r="BT134" s="477">
        <v>244270.25</v>
      </c>
      <c r="BW134" s="126">
        <v>270</v>
      </c>
      <c r="BX134" s="125">
        <v>19401</v>
      </c>
      <c r="BY134" s="19" t="s">
        <v>45</v>
      </c>
      <c r="BZ134" t="s">
        <v>801</v>
      </c>
    </row>
    <row r="135" spans="1:78" x14ac:dyDescent="0.25">
      <c r="A135" s="443">
        <v>19400</v>
      </c>
      <c r="B135" s="19" t="s">
        <v>45</v>
      </c>
      <c r="C135" t="s">
        <v>548</v>
      </c>
      <c r="D135" s="379"/>
      <c r="E135" s="120"/>
      <c r="F135" s="379">
        <v>28540</v>
      </c>
      <c r="G135" s="120">
        <v>4.7676205638298723E-5</v>
      </c>
      <c r="H135" s="379">
        <v>71356.06</v>
      </c>
      <c r="I135" s="120">
        <v>2.7438877640683577E-4</v>
      </c>
      <c r="J135" s="379"/>
      <c r="K135" s="120"/>
      <c r="L135" s="379">
        <v>51048.7</v>
      </c>
      <c r="M135" s="120">
        <v>2.2898387040410501E-4</v>
      </c>
      <c r="N135" s="379">
        <v>183531.23</v>
      </c>
      <c r="O135" s="120">
        <v>2.5860739503893976E-4</v>
      </c>
      <c r="P135" s="383">
        <f t="shared" si="26"/>
        <v>334475.99</v>
      </c>
      <c r="R135" s="379"/>
      <c r="S135" s="120"/>
      <c r="T135" s="380"/>
      <c r="U135" s="551">
        <v>975</v>
      </c>
      <c r="V135" s="550" t="s">
        <v>549</v>
      </c>
      <c r="W135" s="449" t="s">
        <v>45</v>
      </c>
      <c r="X135" s="562" t="s">
        <v>548</v>
      </c>
      <c r="Y135" s="379"/>
      <c r="Z135" s="379">
        <v>180958.47999999998</v>
      </c>
      <c r="AA135" s="379">
        <v>69252.349999999991</v>
      </c>
      <c r="AB135" s="379"/>
      <c r="AC135" s="379">
        <v>0</v>
      </c>
      <c r="AD135" s="379">
        <v>250210.82999999996</v>
      </c>
      <c r="AE135" s="124"/>
      <c r="AF135" s="551">
        <v>975</v>
      </c>
      <c r="AG135" s="550" t="s">
        <v>549</v>
      </c>
      <c r="AH135" s="449" t="s">
        <v>45</v>
      </c>
      <c r="AI135" s="562" t="s">
        <v>548</v>
      </c>
      <c r="AJ135" s="383">
        <f t="shared" ref="AJ135:AJ198" si="30">+J135</f>
        <v>0</v>
      </c>
      <c r="AK135" s="383">
        <f t="shared" ref="AK135:AK198" si="31">+N135</f>
        <v>183531.23</v>
      </c>
      <c r="AL135" s="383">
        <f t="shared" ref="AL135:AL198" si="32">+H135</f>
        <v>71356.06</v>
      </c>
      <c r="AM135" s="383">
        <f t="shared" ref="AM135:AM198" si="33">+D135</f>
        <v>0</v>
      </c>
      <c r="AN135" s="383">
        <f t="shared" ref="AN135:AN198" si="34">+R135</f>
        <v>0</v>
      </c>
      <c r="AO135" s="124">
        <f t="shared" si="27"/>
        <v>254887.29</v>
      </c>
      <c r="AR135" s="124">
        <f t="shared" ref="AR135:AR198" si="35">+L135</f>
        <v>51048.7</v>
      </c>
      <c r="AS135" s="124">
        <f t="shared" ref="AS135:AS198" si="36">+F135</f>
        <v>28540</v>
      </c>
      <c r="AV135" s="379">
        <f t="shared" si="28"/>
        <v>79588.7</v>
      </c>
      <c r="AW135" s="124">
        <f t="shared" ref="AW135:AW198" si="37">+AV135+AO135-P135</f>
        <v>0</v>
      </c>
      <c r="AZ135" s="379"/>
      <c r="BA135" s="379">
        <v>4482.16</v>
      </c>
      <c r="BB135" s="379">
        <v>1810.94</v>
      </c>
      <c r="BC135" s="379"/>
      <c r="BD135" s="379">
        <v>0</v>
      </c>
      <c r="BE135" s="379">
        <f t="shared" si="29"/>
        <v>6293.1</v>
      </c>
      <c r="BF135" s="379"/>
      <c r="BO135" s="477"/>
      <c r="BP135" s="477">
        <v>420020.56999999995</v>
      </c>
      <c r="BQ135" s="477">
        <v>170959.35</v>
      </c>
      <c r="BR135" s="477"/>
      <c r="BS135" s="477">
        <v>0</v>
      </c>
      <c r="BT135" s="477">
        <v>590979.91999999993</v>
      </c>
      <c r="BW135" s="126">
        <v>501</v>
      </c>
      <c r="BX135" s="125">
        <v>19403</v>
      </c>
      <c r="BY135" s="19" t="s">
        <v>45</v>
      </c>
      <c r="BZ135" t="s">
        <v>844</v>
      </c>
    </row>
    <row r="136" spans="1:78" x14ac:dyDescent="0.25">
      <c r="A136" s="443">
        <v>19401</v>
      </c>
      <c r="B136" s="19" t="s">
        <v>45</v>
      </c>
      <c r="C136" t="s">
        <v>160</v>
      </c>
      <c r="D136" s="379">
        <v>10843.14</v>
      </c>
      <c r="E136" s="120">
        <v>1.8113516902763222E-5</v>
      </c>
      <c r="F136" s="379">
        <v>237660.04</v>
      </c>
      <c r="G136" s="120">
        <v>3.970122263155676E-4</v>
      </c>
      <c r="H136" s="379">
        <v>584857.61</v>
      </c>
      <c r="I136" s="120">
        <v>2.2489801704315845E-3</v>
      </c>
      <c r="J136" s="379">
        <v>12057.65</v>
      </c>
      <c r="K136" s="120">
        <v>5.4085752721970523E-5</v>
      </c>
      <c r="L136" s="379">
        <v>553752.11</v>
      </c>
      <c r="M136" s="120">
        <v>2.4839085303296599E-3</v>
      </c>
      <c r="N136" s="379">
        <v>1882579.42</v>
      </c>
      <c r="O136" s="120">
        <v>2.6526763851586347E-3</v>
      </c>
      <c r="P136" s="383">
        <f t="shared" ref="P136:P199" si="38">+D136+F136+H136+J136+L136+N136+R136</f>
        <v>3281749.9699999997</v>
      </c>
      <c r="R136" s="379"/>
      <c r="S136" s="120"/>
      <c r="T136" s="380"/>
      <c r="U136" s="551">
        <v>270</v>
      </c>
      <c r="V136" s="550" t="s">
        <v>161</v>
      </c>
      <c r="W136" s="449" t="s">
        <v>45</v>
      </c>
      <c r="X136" s="562" t="s">
        <v>160</v>
      </c>
      <c r="Y136" s="379">
        <v>7050.97</v>
      </c>
      <c r="Z136" s="379">
        <v>1783419.4700000002</v>
      </c>
      <c r="AA136" s="379">
        <v>548118.31999999995</v>
      </c>
      <c r="AB136" s="379">
        <v>6460.09</v>
      </c>
      <c r="AC136" s="379">
        <v>0</v>
      </c>
      <c r="AD136" s="379">
        <v>2345048.85</v>
      </c>
      <c r="AE136" s="124"/>
      <c r="AF136" s="551">
        <v>270</v>
      </c>
      <c r="AG136" s="550" t="s">
        <v>161</v>
      </c>
      <c r="AH136" s="449" t="s">
        <v>45</v>
      </c>
      <c r="AI136" s="562" t="s">
        <v>160</v>
      </c>
      <c r="AJ136" s="383">
        <f t="shared" si="30"/>
        <v>12057.65</v>
      </c>
      <c r="AK136" s="383">
        <f t="shared" si="31"/>
        <v>1882579.42</v>
      </c>
      <c r="AL136" s="383">
        <f t="shared" si="32"/>
        <v>584857.61</v>
      </c>
      <c r="AM136" s="383">
        <f t="shared" si="33"/>
        <v>10843.14</v>
      </c>
      <c r="AN136" s="383">
        <f t="shared" si="34"/>
        <v>0</v>
      </c>
      <c r="AO136" s="124">
        <f t="shared" ref="AO136:AO199" si="39">SUM(AJ136:AN136)</f>
        <v>2490337.8199999998</v>
      </c>
      <c r="AR136" s="124">
        <f t="shared" si="35"/>
        <v>553752.11</v>
      </c>
      <c r="AS136" s="124">
        <f t="shared" si="36"/>
        <v>237660.04</v>
      </c>
      <c r="AV136" s="379">
        <f t="shared" ref="AV136:AV199" si="40">SUM(AQ136:AU136)</f>
        <v>791412.15</v>
      </c>
      <c r="AW136" s="124">
        <f t="shared" si="37"/>
        <v>0</v>
      </c>
      <c r="AZ136" s="379">
        <v>231.42</v>
      </c>
      <c r="BA136" s="379">
        <v>45846.16</v>
      </c>
      <c r="BB136" s="379">
        <v>14757.68</v>
      </c>
      <c r="BC136" s="379">
        <v>200.21</v>
      </c>
      <c r="BD136" s="379">
        <v>0</v>
      </c>
      <c r="BE136" s="379">
        <f t="shared" si="29"/>
        <v>61035.47</v>
      </c>
      <c r="BF136" s="379"/>
      <c r="BO136" s="477">
        <v>19340.04</v>
      </c>
      <c r="BP136" s="477">
        <v>4265597.16</v>
      </c>
      <c r="BQ136" s="477">
        <v>1385393.65</v>
      </c>
      <c r="BR136" s="477">
        <v>17503.439999999999</v>
      </c>
      <c r="BS136" s="477">
        <v>0</v>
      </c>
      <c r="BT136" s="477">
        <v>5687834.29</v>
      </c>
      <c r="BW136" s="126">
        <v>158</v>
      </c>
      <c r="BX136" s="125">
        <v>19404</v>
      </c>
      <c r="BY136" s="19" t="s">
        <v>45</v>
      </c>
      <c r="BZ136" t="s">
        <v>767</v>
      </c>
    </row>
    <row r="137" spans="1:78" x14ac:dyDescent="0.25">
      <c r="A137" s="443">
        <v>19403</v>
      </c>
      <c r="B137" s="19" t="s">
        <v>45</v>
      </c>
      <c r="C137" t="s">
        <v>248</v>
      </c>
      <c r="D137" s="379"/>
      <c r="E137" s="120"/>
      <c r="F137" s="379">
        <v>55258.38</v>
      </c>
      <c r="G137" s="120">
        <v>9.2309386409224008E-5</v>
      </c>
      <c r="H137" s="379">
        <v>136283.42000000001</v>
      </c>
      <c r="I137" s="120">
        <v>5.2405697369415998E-4</v>
      </c>
      <c r="J137" s="379">
        <v>0</v>
      </c>
      <c r="K137" s="120">
        <v>0</v>
      </c>
      <c r="L137" s="379">
        <v>78268.92</v>
      </c>
      <c r="M137" s="120">
        <v>3.5108279415439108E-4</v>
      </c>
      <c r="N137" s="379">
        <v>268051.57</v>
      </c>
      <c r="O137" s="120">
        <v>3.7770203062333318E-4</v>
      </c>
      <c r="P137" s="383">
        <f t="shared" si="38"/>
        <v>537862.29</v>
      </c>
      <c r="R137" s="379"/>
      <c r="S137" s="120"/>
      <c r="T137" s="380"/>
      <c r="U137" s="551">
        <v>501</v>
      </c>
      <c r="V137" s="550" t="s">
        <v>249</v>
      </c>
      <c r="W137" s="449" t="s">
        <v>45</v>
      </c>
      <c r="X137" s="562" t="s">
        <v>248</v>
      </c>
      <c r="Y137" s="379">
        <v>0</v>
      </c>
      <c r="Z137" s="379">
        <v>259486.65</v>
      </c>
      <c r="AA137" s="379">
        <v>128325.19999999998</v>
      </c>
      <c r="AB137" s="379"/>
      <c r="AC137" s="379">
        <v>0</v>
      </c>
      <c r="AD137" s="379">
        <v>387811.85</v>
      </c>
      <c r="AE137" s="124"/>
      <c r="AF137" s="551">
        <v>501</v>
      </c>
      <c r="AG137" s="550" t="s">
        <v>249</v>
      </c>
      <c r="AH137" s="449" t="s">
        <v>45</v>
      </c>
      <c r="AI137" s="562" t="s">
        <v>248</v>
      </c>
      <c r="AJ137" s="383">
        <f t="shared" si="30"/>
        <v>0</v>
      </c>
      <c r="AK137" s="383">
        <f t="shared" si="31"/>
        <v>268051.57</v>
      </c>
      <c r="AL137" s="383">
        <f t="shared" si="32"/>
        <v>136283.42000000001</v>
      </c>
      <c r="AM137" s="383">
        <f t="shared" si="33"/>
        <v>0</v>
      </c>
      <c r="AN137" s="383">
        <f t="shared" si="34"/>
        <v>0</v>
      </c>
      <c r="AO137" s="124">
        <f t="shared" si="39"/>
        <v>404334.99</v>
      </c>
      <c r="AR137" s="124">
        <f t="shared" si="35"/>
        <v>78268.92</v>
      </c>
      <c r="AS137" s="124">
        <f t="shared" si="36"/>
        <v>55258.38</v>
      </c>
      <c r="AV137" s="379">
        <f t="shared" si="40"/>
        <v>133527.29999999999</v>
      </c>
      <c r="AW137" s="124">
        <f t="shared" si="37"/>
        <v>0</v>
      </c>
      <c r="AZ137" s="379">
        <v>0</v>
      </c>
      <c r="BA137" s="379">
        <v>6531.75</v>
      </c>
      <c r="BB137" s="379">
        <v>3442.64</v>
      </c>
      <c r="BC137" s="379"/>
      <c r="BD137" s="379">
        <v>0</v>
      </c>
      <c r="BE137" s="379">
        <f t="shared" ref="BE137:BE200" si="41">SUM(AZ137:BD137)</f>
        <v>9974.39</v>
      </c>
      <c r="BF137" s="379"/>
      <c r="BO137" s="477">
        <v>0</v>
      </c>
      <c r="BP137" s="477">
        <v>612338.89</v>
      </c>
      <c r="BQ137" s="477">
        <v>323309.64</v>
      </c>
      <c r="BR137" s="477"/>
      <c r="BS137" s="477">
        <v>0</v>
      </c>
      <c r="BT137" s="477">
        <v>935648.53</v>
      </c>
      <c r="BW137" s="126">
        <v>1110</v>
      </c>
      <c r="BX137" s="125">
        <v>20094</v>
      </c>
      <c r="BY137" s="19" t="s">
        <v>34</v>
      </c>
      <c r="BZ137" t="s">
        <v>1018</v>
      </c>
    </row>
    <row r="138" spans="1:78" x14ac:dyDescent="0.25">
      <c r="A138" s="443">
        <v>19404</v>
      </c>
      <c r="B138" s="19" t="s">
        <v>45</v>
      </c>
      <c r="C138" t="s">
        <v>92</v>
      </c>
      <c r="D138" s="379"/>
      <c r="E138" s="120"/>
      <c r="F138" s="379">
        <v>97033.71</v>
      </c>
      <c r="G138" s="120">
        <v>1.6209527371433227E-4</v>
      </c>
      <c r="H138" s="379">
        <v>237032.72</v>
      </c>
      <c r="I138" s="120">
        <v>9.1147294300139494E-4</v>
      </c>
      <c r="J138" s="379">
        <v>0</v>
      </c>
      <c r="K138" s="120">
        <v>0</v>
      </c>
      <c r="L138" s="379">
        <v>176796.61</v>
      </c>
      <c r="M138" s="120">
        <v>7.9303825625579288E-4</v>
      </c>
      <c r="N138" s="379">
        <v>561946.04</v>
      </c>
      <c r="O138" s="120">
        <v>7.9181838184622761E-4</v>
      </c>
      <c r="P138" s="383">
        <f t="shared" si="38"/>
        <v>1072809.08</v>
      </c>
      <c r="R138" s="379"/>
      <c r="S138" s="120"/>
      <c r="T138" s="380"/>
      <c r="U138" s="551">
        <v>158</v>
      </c>
      <c r="V138" s="550" t="s">
        <v>93</v>
      </c>
      <c r="W138" s="449" t="s">
        <v>45</v>
      </c>
      <c r="X138" s="562" t="s">
        <v>92</v>
      </c>
      <c r="Y138" s="379">
        <v>0</v>
      </c>
      <c r="Z138" s="379">
        <v>516061.83</v>
      </c>
      <c r="AA138" s="379">
        <v>227203.66</v>
      </c>
      <c r="AB138" s="379"/>
      <c r="AC138" s="379">
        <v>0</v>
      </c>
      <c r="AD138" s="379">
        <v>743265.49</v>
      </c>
      <c r="AE138" s="124"/>
      <c r="AF138" s="551">
        <v>158</v>
      </c>
      <c r="AG138" s="550" t="s">
        <v>93</v>
      </c>
      <c r="AH138" s="449" t="s">
        <v>45</v>
      </c>
      <c r="AI138" s="562" t="s">
        <v>92</v>
      </c>
      <c r="AJ138" s="383">
        <f t="shared" si="30"/>
        <v>0</v>
      </c>
      <c r="AK138" s="383">
        <f t="shared" si="31"/>
        <v>561946.04</v>
      </c>
      <c r="AL138" s="383">
        <f t="shared" si="32"/>
        <v>237032.72</v>
      </c>
      <c r="AM138" s="383">
        <f t="shared" si="33"/>
        <v>0</v>
      </c>
      <c r="AN138" s="383">
        <f t="shared" si="34"/>
        <v>0</v>
      </c>
      <c r="AO138" s="124">
        <f t="shared" si="39"/>
        <v>798978.76</v>
      </c>
      <c r="AR138" s="124">
        <f t="shared" si="35"/>
        <v>176796.61</v>
      </c>
      <c r="AS138" s="124">
        <f t="shared" si="36"/>
        <v>97033.71</v>
      </c>
      <c r="AV138" s="379">
        <f t="shared" si="40"/>
        <v>273830.32</v>
      </c>
      <c r="AW138" s="124">
        <f t="shared" si="37"/>
        <v>0</v>
      </c>
      <c r="AZ138" s="379">
        <v>0</v>
      </c>
      <c r="BA138" s="379">
        <v>13650.58</v>
      </c>
      <c r="BB138" s="379">
        <v>5965.6900000000005</v>
      </c>
      <c r="BC138" s="379"/>
      <c r="BD138" s="379">
        <v>0</v>
      </c>
      <c r="BE138" s="379">
        <f t="shared" si="41"/>
        <v>19616.27</v>
      </c>
      <c r="BF138" s="379"/>
      <c r="BO138" s="477">
        <v>0</v>
      </c>
      <c r="BP138" s="477">
        <v>1268455.06</v>
      </c>
      <c r="BQ138" s="477">
        <v>567235.78</v>
      </c>
      <c r="BR138" s="477"/>
      <c r="BS138" s="477">
        <v>0</v>
      </c>
      <c r="BT138" s="477">
        <v>1835690.84</v>
      </c>
      <c r="BW138" s="126">
        <v>67</v>
      </c>
      <c r="BX138" s="125">
        <v>20203</v>
      </c>
      <c r="BY138" s="19" t="s">
        <v>45</v>
      </c>
      <c r="BZ138" t="s">
        <v>744</v>
      </c>
    </row>
    <row r="139" spans="1:78" x14ac:dyDescent="0.25">
      <c r="A139" s="443">
        <v>20094</v>
      </c>
      <c r="B139" s="19" t="s">
        <v>34</v>
      </c>
      <c r="C139" t="s">
        <v>618</v>
      </c>
      <c r="D139" s="379"/>
      <c r="E139" s="120"/>
      <c r="F139" s="379">
        <v>15290.01</v>
      </c>
      <c r="G139" s="120">
        <v>2.5542034371816534E-5</v>
      </c>
      <c r="H139" s="379">
        <v>38094.07</v>
      </c>
      <c r="I139" s="120">
        <v>1.4648489918945009E-4</v>
      </c>
      <c r="J139" s="379"/>
      <c r="K139" s="120"/>
      <c r="L139" s="379">
        <v>19795.669999999998</v>
      </c>
      <c r="M139" s="120">
        <v>8.8795388204644367E-5</v>
      </c>
      <c r="N139" s="379">
        <v>61873.72</v>
      </c>
      <c r="O139" s="120">
        <v>8.7184080608890084E-5</v>
      </c>
      <c r="P139" s="383">
        <f t="shared" si="38"/>
        <v>135053.47</v>
      </c>
      <c r="R139" s="379"/>
      <c r="S139" s="120"/>
      <c r="T139" s="380"/>
      <c r="U139" s="551">
        <v>1110</v>
      </c>
      <c r="V139" s="550" t="s">
        <v>619</v>
      </c>
      <c r="W139" s="449" t="s">
        <v>34</v>
      </c>
      <c r="X139" s="562" t="s">
        <v>618</v>
      </c>
      <c r="Y139" s="379"/>
      <c r="Z139" s="379">
        <v>54259.770000000004</v>
      </c>
      <c r="AA139" s="379">
        <v>29805.879999999997</v>
      </c>
      <c r="AB139" s="379"/>
      <c r="AC139" s="379">
        <v>0</v>
      </c>
      <c r="AD139" s="379">
        <v>84065.65</v>
      </c>
      <c r="AE139" s="124"/>
      <c r="AF139" s="551">
        <v>1110</v>
      </c>
      <c r="AG139" s="550" t="s">
        <v>619</v>
      </c>
      <c r="AH139" s="449" t="s">
        <v>34</v>
      </c>
      <c r="AI139" s="562" t="s">
        <v>618</v>
      </c>
      <c r="AJ139" s="383">
        <f t="shared" si="30"/>
        <v>0</v>
      </c>
      <c r="AK139" s="383">
        <f t="shared" si="31"/>
        <v>61873.72</v>
      </c>
      <c r="AL139" s="383">
        <f t="shared" si="32"/>
        <v>38094.07</v>
      </c>
      <c r="AM139" s="383">
        <f t="shared" si="33"/>
        <v>0</v>
      </c>
      <c r="AN139" s="383">
        <f t="shared" si="34"/>
        <v>0</v>
      </c>
      <c r="AO139" s="124">
        <f t="shared" si="39"/>
        <v>99967.790000000008</v>
      </c>
      <c r="AR139" s="124">
        <f t="shared" si="35"/>
        <v>19795.669999999998</v>
      </c>
      <c r="AS139" s="124">
        <f t="shared" si="36"/>
        <v>15290.01</v>
      </c>
      <c r="AV139" s="379">
        <f t="shared" si="40"/>
        <v>35085.68</v>
      </c>
      <c r="AW139" s="124">
        <f t="shared" si="37"/>
        <v>0</v>
      </c>
      <c r="AZ139" s="379"/>
      <c r="BA139" s="379">
        <v>1500.82</v>
      </c>
      <c r="BB139" s="379">
        <v>965.52</v>
      </c>
      <c r="BC139" s="379"/>
      <c r="BD139" s="379">
        <v>0</v>
      </c>
      <c r="BE139" s="379">
        <f t="shared" si="41"/>
        <v>2466.34</v>
      </c>
      <c r="BF139" s="379"/>
      <c r="BO139" s="477"/>
      <c r="BP139" s="477">
        <v>137429.98000000001</v>
      </c>
      <c r="BQ139" s="477">
        <v>84155.48000000001</v>
      </c>
      <c r="BR139" s="477"/>
      <c r="BS139" s="477">
        <v>0</v>
      </c>
      <c r="BT139" s="477">
        <v>221585.46000000002</v>
      </c>
      <c r="BW139" s="126">
        <v>113</v>
      </c>
      <c r="BX139" s="125">
        <v>20215</v>
      </c>
      <c r="BY139" s="19" t="s">
        <v>34</v>
      </c>
      <c r="BZ139" t="s">
        <v>758</v>
      </c>
    </row>
    <row r="140" spans="1:78" x14ac:dyDescent="0.25">
      <c r="A140" s="443">
        <v>20203</v>
      </c>
      <c r="B140" s="19" t="s">
        <v>45</v>
      </c>
      <c r="C140" t="s">
        <v>43</v>
      </c>
      <c r="D140" s="379"/>
      <c r="E140" s="120"/>
      <c r="F140" s="379">
        <v>6993.44</v>
      </c>
      <c r="G140" s="120">
        <v>1.1682574756801114E-5</v>
      </c>
      <c r="H140" s="379">
        <v>17865.23</v>
      </c>
      <c r="I140" s="120">
        <v>6.8697999860512131E-5</v>
      </c>
      <c r="J140" s="379"/>
      <c r="K140" s="120"/>
      <c r="L140" s="379">
        <v>32622.87</v>
      </c>
      <c r="M140" s="120">
        <v>1.4633303171853476E-4</v>
      </c>
      <c r="N140" s="379">
        <v>105194.32</v>
      </c>
      <c r="O140" s="120">
        <v>1.4822561298201206E-4</v>
      </c>
      <c r="P140" s="383">
        <f t="shared" si="38"/>
        <v>162675.85999999999</v>
      </c>
      <c r="R140" s="379"/>
      <c r="S140" s="120"/>
      <c r="T140" s="380"/>
      <c r="U140" s="551">
        <v>67</v>
      </c>
      <c r="V140" s="550" t="s">
        <v>44</v>
      </c>
      <c r="W140" s="449" t="s">
        <v>45</v>
      </c>
      <c r="X140" s="562" t="s">
        <v>43</v>
      </c>
      <c r="Y140" s="379"/>
      <c r="Z140" s="379">
        <v>109982.18000000001</v>
      </c>
      <c r="AA140" s="379">
        <v>20117.32</v>
      </c>
      <c r="AB140" s="379"/>
      <c r="AC140" s="379">
        <v>0</v>
      </c>
      <c r="AD140" s="379">
        <v>130099.5</v>
      </c>
      <c r="AE140" s="124"/>
      <c r="AF140" s="551">
        <v>67</v>
      </c>
      <c r="AG140" s="550" t="s">
        <v>44</v>
      </c>
      <c r="AH140" s="449" t="s">
        <v>45</v>
      </c>
      <c r="AI140" s="562" t="s">
        <v>43</v>
      </c>
      <c r="AJ140" s="383">
        <f t="shared" si="30"/>
        <v>0</v>
      </c>
      <c r="AK140" s="383">
        <f t="shared" si="31"/>
        <v>105194.32</v>
      </c>
      <c r="AL140" s="383">
        <f t="shared" si="32"/>
        <v>17865.23</v>
      </c>
      <c r="AM140" s="383">
        <f t="shared" si="33"/>
        <v>0</v>
      </c>
      <c r="AN140" s="383">
        <f t="shared" si="34"/>
        <v>0</v>
      </c>
      <c r="AO140" s="124">
        <f t="shared" si="39"/>
        <v>123059.55</v>
      </c>
      <c r="AR140" s="124">
        <f t="shared" si="35"/>
        <v>32622.87</v>
      </c>
      <c r="AS140" s="124">
        <f t="shared" si="36"/>
        <v>6993.44</v>
      </c>
      <c r="AV140" s="379">
        <f t="shared" si="40"/>
        <v>39616.31</v>
      </c>
      <c r="AW140" s="124">
        <f t="shared" si="37"/>
        <v>0</v>
      </c>
      <c r="AZ140" s="379"/>
      <c r="BA140" s="379">
        <v>2555.7599999999998</v>
      </c>
      <c r="BB140" s="379">
        <v>456.77</v>
      </c>
      <c r="BC140" s="379"/>
      <c r="BD140" s="379">
        <v>0</v>
      </c>
      <c r="BE140" s="379">
        <f t="shared" si="41"/>
        <v>3012.5299999999997</v>
      </c>
      <c r="BF140" s="379"/>
      <c r="BO140" s="477"/>
      <c r="BP140" s="477">
        <v>250355.13</v>
      </c>
      <c r="BQ140" s="477">
        <v>45432.76</v>
      </c>
      <c r="BR140" s="477"/>
      <c r="BS140" s="477">
        <v>0</v>
      </c>
      <c r="BT140" s="477">
        <v>295787.89</v>
      </c>
      <c r="BW140" s="126">
        <v>1000</v>
      </c>
      <c r="BX140" s="125">
        <v>20400</v>
      </c>
      <c r="BY140" s="19" t="s">
        <v>34</v>
      </c>
      <c r="BZ140" t="s">
        <v>990</v>
      </c>
    </row>
    <row r="141" spans="1:78" x14ac:dyDescent="0.25">
      <c r="A141" s="443">
        <v>20215</v>
      </c>
      <c r="B141" s="19" t="s">
        <v>34</v>
      </c>
      <c r="C141" t="s">
        <v>74</v>
      </c>
      <c r="D141" s="379"/>
      <c r="E141" s="120"/>
      <c r="F141" s="379">
        <v>9840.0300000000007</v>
      </c>
      <c r="G141" s="120">
        <v>1.6437816880414456E-5</v>
      </c>
      <c r="H141" s="379">
        <v>23932.14</v>
      </c>
      <c r="I141" s="120">
        <v>9.2027371065570203E-5</v>
      </c>
      <c r="J141" s="379">
        <v>0</v>
      </c>
      <c r="K141" s="120">
        <v>0</v>
      </c>
      <c r="L141" s="379">
        <v>13589.59</v>
      </c>
      <c r="M141" s="120">
        <v>6.0957417434820508E-5</v>
      </c>
      <c r="N141" s="379">
        <v>43057.13</v>
      </c>
      <c r="O141" s="120">
        <v>6.0670286071493019E-5</v>
      </c>
      <c r="P141" s="383">
        <f t="shared" si="38"/>
        <v>90418.889999999985</v>
      </c>
      <c r="R141" s="379"/>
      <c r="S141" s="120"/>
      <c r="T141" s="380"/>
      <c r="U141" s="551">
        <v>113</v>
      </c>
      <c r="V141" s="550" t="s">
        <v>75</v>
      </c>
      <c r="W141" s="449" t="s">
        <v>34</v>
      </c>
      <c r="X141" s="562" t="s">
        <v>74</v>
      </c>
      <c r="Y141" s="379">
        <v>0</v>
      </c>
      <c r="Z141" s="379">
        <v>43059.45</v>
      </c>
      <c r="AA141" s="379">
        <v>21012.2</v>
      </c>
      <c r="AB141" s="379"/>
      <c r="AC141" s="379">
        <v>0</v>
      </c>
      <c r="AD141" s="379">
        <v>64071.649999999994</v>
      </c>
      <c r="AE141" s="124"/>
      <c r="AF141" s="551">
        <v>113</v>
      </c>
      <c r="AG141" s="550" t="s">
        <v>75</v>
      </c>
      <c r="AH141" s="449" t="s">
        <v>34</v>
      </c>
      <c r="AI141" s="562" t="s">
        <v>74</v>
      </c>
      <c r="AJ141" s="383">
        <f t="shared" si="30"/>
        <v>0</v>
      </c>
      <c r="AK141" s="383">
        <f t="shared" si="31"/>
        <v>43057.13</v>
      </c>
      <c r="AL141" s="383">
        <f t="shared" si="32"/>
        <v>23932.14</v>
      </c>
      <c r="AM141" s="383">
        <f t="shared" si="33"/>
        <v>0</v>
      </c>
      <c r="AN141" s="383">
        <f t="shared" si="34"/>
        <v>0</v>
      </c>
      <c r="AO141" s="124">
        <f t="shared" si="39"/>
        <v>66989.26999999999</v>
      </c>
      <c r="AR141" s="124">
        <f t="shared" si="35"/>
        <v>13589.59</v>
      </c>
      <c r="AS141" s="124">
        <f t="shared" si="36"/>
        <v>9840.0300000000007</v>
      </c>
      <c r="AV141" s="379">
        <f t="shared" si="40"/>
        <v>23429.620000000003</v>
      </c>
      <c r="AW141" s="124">
        <f t="shared" si="37"/>
        <v>0</v>
      </c>
      <c r="AZ141" s="379">
        <v>0</v>
      </c>
      <c r="BA141" s="379">
        <v>1045.06</v>
      </c>
      <c r="BB141" s="379">
        <v>601.21</v>
      </c>
      <c r="BC141" s="379"/>
      <c r="BD141" s="379">
        <v>0</v>
      </c>
      <c r="BE141" s="379">
        <f t="shared" si="41"/>
        <v>1646.27</v>
      </c>
      <c r="BF141" s="379"/>
      <c r="BO141" s="477">
        <v>0</v>
      </c>
      <c r="BP141" s="477">
        <v>100751.23000000001</v>
      </c>
      <c r="BQ141" s="477">
        <v>55385.58</v>
      </c>
      <c r="BR141" s="477"/>
      <c r="BS141" s="477">
        <v>0</v>
      </c>
      <c r="BT141" s="477">
        <v>156136.81</v>
      </c>
      <c r="BW141" s="126">
        <v>332</v>
      </c>
      <c r="BX141" s="125">
        <v>20401</v>
      </c>
      <c r="BY141" s="19" t="s">
        <v>34</v>
      </c>
      <c r="BZ141" t="s">
        <v>817</v>
      </c>
    </row>
    <row r="142" spans="1:78" x14ac:dyDescent="0.25">
      <c r="A142" s="443">
        <v>20400</v>
      </c>
      <c r="B142" s="19" t="s">
        <v>34</v>
      </c>
      <c r="C142" t="s">
        <v>560</v>
      </c>
      <c r="D142" s="379"/>
      <c r="E142" s="120"/>
      <c r="F142" s="379">
        <v>16341.79</v>
      </c>
      <c r="G142" s="120">
        <v>2.7299037860472801E-5</v>
      </c>
      <c r="H142" s="379">
        <v>40512.629999999997</v>
      </c>
      <c r="I142" s="120">
        <v>1.5578510044869163E-4</v>
      </c>
      <c r="J142" s="379"/>
      <c r="K142" s="120"/>
      <c r="L142" s="379">
        <v>34196.120000000003</v>
      </c>
      <c r="M142" s="120">
        <v>1.5338999642308668E-4</v>
      </c>
      <c r="N142" s="379">
        <v>122553.24</v>
      </c>
      <c r="O142" s="120">
        <v>1.7268545603918195E-4</v>
      </c>
      <c r="P142" s="383">
        <f t="shared" si="38"/>
        <v>213603.78000000003</v>
      </c>
      <c r="R142" s="379"/>
      <c r="S142" s="120"/>
      <c r="T142" s="380"/>
      <c r="U142" s="551">
        <v>1000</v>
      </c>
      <c r="V142" s="550" t="s">
        <v>561</v>
      </c>
      <c r="W142" s="449" t="s">
        <v>34</v>
      </c>
      <c r="X142" s="562" t="s">
        <v>560</v>
      </c>
      <c r="Y142" s="379"/>
      <c r="Z142" s="379">
        <v>111952.16</v>
      </c>
      <c r="AA142" s="379">
        <v>44887.53</v>
      </c>
      <c r="AB142" s="379"/>
      <c r="AC142" s="379">
        <v>0</v>
      </c>
      <c r="AD142" s="379">
        <v>156839.69</v>
      </c>
      <c r="AE142" s="124"/>
      <c r="AF142" s="551">
        <v>1000</v>
      </c>
      <c r="AG142" s="550" t="s">
        <v>561</v>
      </c>
      <c r="AH142" s="449" t="s">
        <v>34</v>
      </c>
      <c r="AI142" s="562" t="s">
        <v>560</v>
      </c>
      <c r="AJ142" s="383">
        <f t="shared" si="30"/>
        <v>0</v>
      </c>
      <c r="AK142" s="383">
        <f t="shared" si="31"/>
        <v>122553.24</v>
      </c>
      <c r="AL142" s="383">
        <f t="shared" si="32"/>
        <v>40512.629999999997</v>
      </c>
      <c r="AM142" s="383">
        <f t="shared" si="33"/>
        <v>0</v>
      </c>
      <c r="AN142" s="383">
        <f t="shared" si="34"/>
        <v>0</v>
      </c>
      <c r="AO142" s="124">
        <f t="shared" si="39"/>
        <v>163065.87</v>
      </c>
      <c r="AR142" s="124">
        <f t="shared" si="35"/>
        <v>34196.120000000003</v>
      </c>
      <c r="AS142" s="124">
        <f t="shared" si="36"/>
        <v>16341.79</v>
      </c>
      <c r="AV142" s="379">
        <f t="shared" si="40"/>
        <v>50537.91</v>
      </c>
      <c r="AW142" s="124">
        <f t="shared" si="37"/>
        <v>0</v>
      </c>
      <c r="AZ142" s="379"/>
      <c r="BA142" s="379">
        <v>2992.5299999999997</v>
      </c>
      <c r="BB142" s="379">
        <v>1032.3399999999999</v>
      </c>
      <c r="BC142" s="379"/>
      <c r="BD142" s="379">
        <v>0</v>
      </c>
      <c r="BE142" s="379">
        <f t="shared" si="41"/>
        <v>4024.87</v>
      </c>
      <c r="BF142" s="379"/>
      <c r="BO142" s="477"/>
      <c r="BP142" s="477">
        <v>271694.05</v>
      </c>
      <c r="BQ142" s="477">
        <v>102774.29000000001</v>
      </c>
      <c r="BR142" s="477"/>
      <c r="BS142" s="477">
        <v>0</v>
      </c>
      <c r="BT142" s="477">
        <v>374468.33999999997</v>
      </c>
      <c r="BW142" s="126">
        <v>505</v>
      </c>
      <c r="BX142" s="125">
        <v>20402</v>
      </c>
      <c r="BY142" s="19" t="s">
        <v>34</v>
      </c>
      <c r="BZ142" t="s">
        <v>845</v>
      </c>
    </row>
    <row r="143" spans="1:78" x14ac:dyDescent="0.25">
      <c r="A143" s="443">
        <v>20401</v>
      </c>
      <c r="B143" s="19" t="s">
        <v>34</v>
      </c>
      <c r="C143" t="s">
        <v>194</v>
      </c>
      <c r="D143" s="379"/>
      <c r="E143" s="120"/>
      <c r="F143" s="379">
        <v>13584.8</v>
      </c>
      <c r="G143" s="120">
        <v>2.2693472962689573E-5</v>
      </c>
      <c r="H143" s="379">
        <v>33767.33</v>
      </c>
      <c r="I143" s="120">
        <v>1.2984708462358824E-4</v>
      </c>
      <c r="J143" s="379">
        <v>0</v>
      </c>
      <c r="K143" s="120">
        <v>0</v>
      </c>
      <c r="L143" s="379">
        <v>24971.23</v>
      </c>
      <c r="M143" s="120">
        <v>1.1201086206213085E-4</v>
      </c>
      <c r="N143" s="379">
        <v>85949.17</v>
      </c>
      <c r="O143" s="120">
        <v>1.2110794963592292E-4</v>
      </c>
      <c r="P143" s="383">
        <f t="shared" si="38"/>
        <v>158272.53</v>
      </c>
      <c r="R143" s="379"/>
      <c r="S143" s="120"/>
      <c r="T143" s="380"/>
      <c r="U143" s="551">
        <v>332</v>
      </c>
      <c r="V143" s="550" t="s">
        <v>195</v>
      </c>
      <c r="W143" s="449" t="s">
        <v>34</v>
      </c>
      <c r="X143" s="562" t="s">
        <v>194</v>
      </c>
      <c r="Y143" s="379">
        <v>0</v>
      </c>
      <c r="Z143" s="379">
        <v>107121</v>
      </c>
      <c r="AA143" s="379">
        <v>29606.560000000001</v>
      </c>
      <c r="AB143" s="379"/>
      <c r="AC143" s="379">
        <v>0</v>
      </c>
      <c r="AD143" s="379">
        <v>136727.56</v>
      </c>
      <c r="AE143" s="124"/>
      <c r="AF143" s="551">
        <v>332</v>
      </c>
      <c r="AG143" s="550" t="s">
        <v>195</v>
      </c>
      <c r="AH143" s="449" t="s">
        <v>34</v>
      </c>
      <c r="AI143" s="562" t="s">
        <v>194</v>
      </c>
      <c r="AJ143" s="383">
        <f t="shared" si="30"/>
        <v>0</v>
      </c>
      <c r="AK143" s="383">
        <f t="shared" si="31"/>
        <v>85949.17</v>
      </c>
      <c r="AL143" s="383">
        <f t="shared" si="32"/>
        <v>33767.33</v>
      </c>
      <c r="AM143" s="383">
        <f t="shared" si="33"/>
        <v>0</v>
      </c>
      <c r="AN143" s="383">
        <f t="shared" si="34"/>
        <v>0</v>
      </c>
      <c r="AO143" s="124">
        <f t="shared" si="39"/>
        <v>119716.5</v>
      </c>
      <c r="AR143" s="124">
        <f t="shared" si="35"/>
        <v>24971.23</v>
      </c>
      <c r="AS143" s="124">
        <f t="shared" si="36"/>
        <v>13584.8</v>
      </c>
      <c r="AV143" s="379">
        <f t="shared" si="40"/>
        <v>38556.03</v>
      </c>
      <c r="AW143" s="124">
        <f t="shared" si="37"/>
        <v>0</v>
      </c>
      <c r="AZ143" s="379">
        <v>0</v>
      </c>
      <c r="BA143" s="379">
        <v>2094.8000000000002</v>
      </c>
      <c r="BB143" s="379">
        <v>855.15000000000009</v>
      </c>
      <c r="BC143" s="379"/>
      <c r="BD143" s="379">
        <v>0</v>
      </c>
      <c r="BE143" s="379">
        <f t="shared" si="41"/>
        <v>2949.9500000000003</v>
      </c>
      <c r="BF143" s="379"/>
      <c r="BO143" s="477">
        <v>0</v>
      </c>
      <c r="BP143" s="477">
        <v>220136.2</v>
      </c>
      <c r="BQ143" s="477">
        <v>77813.84</v>
      </c>
      <c r="BR143" s="477"/>
      <c r="BS143" s="477">
        <v>0</v>
      </c>
      <c r="BT143" s="477">
        <v>297950.04000000004</v>
      </c>
      <c r="BW143" s="126">
        <v>819</v>
      </c>
      <c r="BX143" s="125">
        <v>20403</v>
      </c>
      <c r="BY143" s="19" t="s">
        <v>34</v>
      </c>
      <c r="BZ143" t="s">
        <v>946</v>
      </c>
    </row>
    <row r="144" spans="1:78" x14ac:dyDescent="0.25">
      <c r="A144" s="443">
        <v>20402</v>
      </c>
      <c r="B144" s="19" t="s">
        <v>34</v>
      </c>
      <c r="C144" t="s">
        <v>250</v>
      </c>
      <c r="D144" s="379"/>
      <c r="E144" s="120"/>
      <c r="F144" s="379">
        <v>13035.13</v>
      </c>
      <c r="G144" s="120">
        <v>2.1775246615345367E-5</v>
      </c>
      <c r="H144" s="379">
        <v>32139.85</v>
      </c>
      <c r="I144" s="120">
        <v>1.2358886008279101E-4</v>
      </c>
      <c r="J144" s="379">
        <v>0</v>
      </c>
      <c r="K144" s="120">
        <v>0</v>
      </c>
      <c r="L144" s="379">
        <v>21878.65</v>
      </c>
      <c r="M144" s="120">
        <v>9.8138796016681567E-5</v>
      </c>
      <c r="N144" s="379">
        <v>76807.98</v>
      </c>
      <c r="O144" s="120">
        <v>1.0822742061938439E-4</v>
      </c>
      <c r="P144" s="383">
        <f t="shared" si="38"/>
        <v>143861.60999999999</v>
      </c>
      <c r="R144" s="379"/>
      <c r="S144" s="120"/>
      <c r="T144" s="380"/>
      <c r="U144" s="551">
        <v>505</v>
      </c>
      <c r="V144" s="550" t="s">
        <v>251</v>
      </c>
      <c r="W144" s="449" t="s">
        <v>34</v>
      </c>
      <c r="X144" s="562" t="s">
        <v>250</v>
      </c>
      <c r="Y144" s="379">
        <v>0</v>
      </c>
      <c r="Z144" s="379">
        <v>71178.91</v>
      </c>
      <c r="AA144" s="379">
        <v>29336.22</v>
      </c>
      <c r="AB144" s="379"/>
      <c r="AC144" s="379">
        <v>0</v>
      </c>
      <c r="AD144" s="379">
        <v>100515.13</v>
      </c>
      <c r="AE144" s="124"/>
      <c r="AF144" s="551">
        <v>505</v>
      </c>
      <c r="AG144" s="550" t="s">
        <v>251</v>
      </c>
      <c r="AH144" s="449" t="s">
        <v>34</v>
      </c>
      <c r="AI144" s="562" t="s">
        <v>250</v>
      </c>
      <c r="AJ144" s="383">
        <f t="shared" si="30"/>
        <v>0</v>
      </c>
      <c r="AK144" s="383">
        <f t="shared" si="31"/>
        <v>76807.98</v>
      </c>
      <c r="AL144" s="383">
        <f t="shared" si="32"/>
        <v>32139.85</v>
      </c>
      <c r="AM144" s="383">
        <f t="shared" si="33"/>
        <v>0</v>
      </c>
      <c r="AN144" s="383">
        <f t="shared" si="34"/>
        <v>0</v>
      </c>
      <c r="AO144" s="124">
        <f t="shared" si="39"/>
        <v>108947.82999999999</v>
      </c>
      <c r="AR144" s="124">
        <f t="shared" si="35"/>
        <v>21878.65</v>
      </c>
      <c r="AS144" s="124">
        <f t="shared" si="36"/>
        <v>13035.13</v>
      </c>
      <c r="AV144" s="379">
        <f t="shared" si="40"/>
        <v>34913.78</v>
      </c>
      <c r="AW144" s="124">
        <f t="shared" si="37"/>
        <v>0</v>
      </c>
      <c r="AZ144" s="379">
        <v>0</v>
      </c>
      <c r="BA144" s="379">
        <v>1873.69</v>
      </c>
      <c r="BB144" s="379">
        <v>811.55</v>
      </c>
      <c r="BC144" s="379"/>
      <c r="BD144" s="379">
        <v>0</v>
      </c>
      <c r="BE144" s="379">
        <f t="shared" si="41"/>
        <v>2685.24</v>
      </c>
      <c r="BF144" s="379"/>
      <c r="BO144" s="477">
        <v>0</v>
      </c>
      <c r="BP144" s="477">
        <v>171739.22999999998</v>
      </c>
      <c r="BQ144" s="477">
        <v>75322.75</v>
      </c>
      <c r="BR144" s="477"/>
      <c r="BS144" s="477">
        <v>0</v>
      </c>
      <c r="BT144" s="477">
        <v>247061.97999999998</v>
      </c>
      <c r="BW144" s="126">
        <v>335</v>
      </c>
      <c r="BX144" s="125">
        <v>20404</v>
      </c>
      <c r="BY144" s="19" t="s">
        <v>45</v>
      </c>
      <c r="BZ144" t="s">
        <v>818</v>
      </c>
    </row>
    <row r="145" spans="1:78" x14ac:dyDescent="0.25">
      <c r="A145" s="443">
        <v>20403</v>
      </c>
      <c r="B145" s="19" t="s">
        <v>34</v>
      </c>
      <c r="C145" t="s">
        <v>466</v>
      </c>
      <c r="D145" s="379"/>
      <c r="E145" s="120"/>
      <c r="F145" s="379">
        <v>3138.23</v>
      </c>
      <c r="G145" s="120">
        <v>5.2424281296523541E-6</v>
      </c>
      <c r="H145" s="379">
        <v>7721.7</v>
      </c>
      <c r="I145" s="120">
        <v>2.9692612159088716E-5</v>
      </c>
      <c r="J145" s="379"/>
      <c r="K145" s="120"/>
      <c r="L145" s="379">
        <v>7731.18</v>
      </c>
      <c r="M145" s="120">
        <v>3.4678954002566346E-5</v>
      </c>
      <c r="N145" s="379">
        <v>24541.19</v>
      </c>
      <c r="O145" s="120">
        <v>3.4580126864815742E-5</v>
      </c>
      <c r="P145" s="383">
        <f t="shared" si="38"/>
        <v>43132.3</v>
      </c>
      <c r="R145" s="379"/>
      <c r="S145" s="120"/>
      <c r="T145" s="380"/>
      <c r="U145" s="551">
        <v>819</v>
      </c>
      <c r="V145" s="550" t="s">
        <v>467</v>
      </c>
      <c r="W145" s="449" t="s">
        <v>34</v>
      </c>
      <c r="X145" s="562" t="s">
        <v>466</v>
      </c>
      <c r="Y145" s="379"/>
      <c r="Z145" s="379">
        <v>19307.86</v>
      </c>
      <c r="AA145" s="379">
        <v>7721.61</v>
      </c>
      <c r="AB145" s="379"/>
      <c r="AC145" s="379">
        <v>0</v>
      </c>
      <c r="AD145" s="379">
        <v>27029.47</v>
      </c>
      <c r="AE145" s="124"/>
      <c r="AF145" s="551">
        <v>819</v>
      </c>
      <c r="AG145" s="550" t="s">
        <v>467</v>
      </c>
      <c r="AH145" s="449" t="s">
        <v>34</v>
      </c>
      <c r="AI145" s="562" t="s">
        <v>466</v>
      </c>
      <c r="AJ145" s="383">
        <f t="shared" si="30"/>
        <v>0</v>
      </c>
      <c r="AK145" s="383">
        <f t="shared" si="31"/>
        <v>24541.19</v>
      </c>
      <c r="AL145" s="383">
        <f t="shared" si="32"/>
        <v>7721.7</v>
      </c>
      <c r="AM145" s="383">
        <f t="shared" si="33"/>
        <v>0</v>
      </c>
      <c r="AN145" s="383">
        <f t="shared" si="34"/>
        <v>0</v>
      </c>
      <c r="AO145" s="124">
        <f t="shared" si="39"/>
        <v>32262.89</v>
      </c>
      <c r="AR145" s="124">
        <f t="shared" si="35"/>
        <v>7731.18</v>
      </c>
      <c r="AS145" s="124">
        <f t="shared" si="36"/>
        <v>3138.23</v>
      </c>
      <c r="AV145" s="379">
        <f t="shared" si="40"/>
        <v>10869.41</v>
      </c>
      <c r="AW145" s="124">
        <f t="shared" si="37"/>
        <v>0</v>
      </c>
      <c r="AZ145" s="379"/>
      <c r="BA145" s="379">
        <v>595.65</v>
      </c>
      <c r="BB145" s="379">
        <v>194.8</v>
      </c>
      <c r="BC145" s="379"/>
      <c r="BD145" s="379">
        <v>0</v>
      </c>
      <c r="BE145" s="379">
        <f t="shared" si="41"/>
        <v>790.45</v>
      </c>
      <c r="BF145" s="379"/>
      <c r="BO145" s="477"/>
      <c r="BP145" s="477">
        <v>52175.88</v>
      </c>
      <c r="BQ145" s="477">
        <v>18776.34</v>
      </c>
      <c r="BR145" s="477"/>
      <c r="BS145" s="477">
        <v>0</v>
      </c>
      <c r="BT145" s="477">
        <v>70952.22</v>
      </c>
      <c r="BW145" s="126">
        <v>1093</v>
      </c>
      <c r="BX145" s="125">
        <v>20405</v>
      </c>
      <c r="BY145" s="19" t="s">
        <v>34</v>
      </c>
      <c r="BZ145" t="s">
        <v>1012</v>
      </c>
    </row>
    <row r="146" spans="1:78" x14ac:dyDescent="0.25">
      <c r="A146" s="443">
        <v>20404</v>
      </c>
      <c r="B146" s="19" t="s">
        <v>45</v>
      </c>
      <c r="C146" t="s">
        <v>196</v>
      </c>
      <c r="D146" s="379"/>
      <c r="E146" s="120"/>
      <c r="F146" s="379">
        <v>87731.9</v>
      </c>
      <c r="G146" s="120">
        <v>1.4655655590184512E-4</v>
      </c>
      <c r="H146" s="379">
        <v>217717.65</v>
      </c>
      <c r="I146" s="120">
        <v>8.3719980595441698E-4</v>
      </c>
      <c r="J146" s="379">
        <v>0</v>
      </c>
      <c r="K146" s="120">
        <v>0</v>
      </c>
      <c r="L146" s="379">
        <v>120203.71</v>
      </c>
      <c r="M146" s="120">
        <v>5.3918534169788111E-4</v>
      </c>
      <c r="N146" s="379">
        <v>409858.73</v>
      </c>
      <c r="O146" s="120">
        <v>5.7751750750685939E-4</v>
      </c>
      <c r="P146" s="383">
        <f t="shared" si="38"/>
        <v>835511.99</v>
      </c>
      <c r="R146" s="379"/>
      <c r="S146" s="120"/>
      <c r="T146" s="380"/>
      <c r="U146" s="551">
        <v>335</v>
      </c>
      <c r="V146" s="550" t="s">
        <v>197</v>
      </c>
      <c r="W146" s="449" t="s">
        <v>45</v>
      </c>
      <c r="X146" s="562" t="s">
        <v>196</v>
      </c>
      <c r="Y146" s="379">
        <v>0</v>
      </c>
      <c r="Z146" s="379">
        <v>418170.58999999997</v>
      </c>
      <c r="AA146" s="379">
        <v>203283.16999999998</v>
      </c>
      <c r="AB146" s="379"/>
      <c r="AC146" s="379">
        <v>0</v>
      </c>
      <c r="AD146" s="379">
        <v>621453.76</v>
      </c>
      <c r="AE146" s="124"/>
      <c r="AF146" s="551">
        <v>335</v>
      </c>
      <c r="AG146" s="550" t="s">
        <v>197</v>
      </c>
      <c r="AH146" s="449" t="s">
        <v>45</v>
      </c>
      <c r="AI146" s="562" t="s">
        <v>196</v>
      </c>
      <c r="AJ146" s="383">
        <f t="shared" si="30"/>
        <v>0</v>
      </c>
      <c r="AK146" s="383">
        <f t="shared" si="31"/>
        <v>409858.73</v>
      </c>
      <c r="AL146" s="383">
        <f t="shared" si="32"/>
        <v>217717.65</v>
      </c>
      <c r="AM146" s="383">
        <f t="shared" si="33"/>
        <v>0</v>
      </c>
      <c r="AN146" s="383">
        <f t="shared" si="34"/>
        <v>0</v>
      </c>
      <c r="AO146" s="124">
        <f t="shared" si="39"/>
        <v>627576.38</v>
      </c>
      <c r="AR146" s="124">
        <f t="shared" si="35"/>
        <v>120203.71</v>
      </c>
      <c r="AS146" s="124">
        <f t="shared" si="36"/>
        <v>87731.9</v>
      </c>
      <c r="AV146" s="379">
        <f t="shared" si="40"/>
        <v>207935.61</v>
      </c>
      <c r="AW146" s="124">
        <f t="shared" si="37"/>
        <v>0</v>
      </c>
      <c r="AZ146" s="379">
        <v>0</v>
      </c>
      <c r="BA146" s="379">
        <v>9985.27</v>
      </c>
      <c r="BB146" s="379">
        <v>5511.01</v>
      </c>
      <c r="BC146" s="379"/>
      <c r="BD146" s="379">
        <v>0</v>
      </c>
      <c r="BE146" s="379">
        <f t="shared" si="41"/>
        <v>15496.28</v>
      </c>
      <c r="BF146" s="379"/>
      <c r="BO146" s="477">
        <v>0</v>
      </c>
      <c r="BP146" s="477">
        <v>958218.3</v>
      </c>
      <c r="BQ146" s="477">
        <v>514243.73</v>
      </c>
      <c r="BR146" s="477"/>
      <c r="BS146" s="477">
        <v>0</v>
      </c>
      <c r="BT146" s="477">
        <v>1472462.03</v>
      </c>
      <c r="BW146" s="126">
        <v>555</v>
      </c>
      <c r="BX146" s="125">
        <v>20406</v>
      </c>
      <c r="BY146" s="19" t="s">
        <v>34</v>
      </c>
      <c r="BZ146" t="s">
        <v>858</v>
      </c>
    </row>
    <row r="147" spans="1:78" x14ac:dyDescent="0.25">
      <c r="A147" s="443">
        <v>20405</v>
      </c>
      <c r="B147" s="19" t="s">
        <v>34</v>
      </c>
      <c r="C147" t="s">
        <v>606</v>
      </c>
      <c r="D147" s="379">
        <v>2931.57</v>
      </c>
      <c r="E147" s="120">
        <v>4.8972016174865939E-6</v>
      </c>
      <c r="F147" s="379">
        <v>117094.86</v>
      </c>
      <c r="G147" s="120">
        <v>1.9560752013131742E-4</v>
      </c>
      <c r="H147" s="379">
        <v>289977.63</v>
      </c>
      <c r="I147" s="120">
        <v>1.1150644679800729E-3</v>
      </c>
      <c r="J147" s="379">
        <v>0</v>
      </c>
      <c r="K147" s="120">
        <v>0</v>
      </c>
      <c r="L147" s="379">
        <v>166356.81</v>
      </c>
      <c r="M147" s="120">
        <v>7.4620952584258406E-4</v>
      </c>
      <c r="N147" s="379">
        <v>527432.89</v>
      </c>
      <c r="O147" s="120">
        <v>7.4318711720484649E-4</v>
      </c>
      <c r="P147" s="383">
        <f t="shared" si="38"/>
        <v>1103793.76</v>
      </c>
      <c r="R147" s="379"/>
      <c r="S147" s="120"/>
      <c r="T147" s="380"/>
      <c r="U147" s="551">
        <v>1093</v>
      </c>
      <c r="V147" s="550" t="s">
        <v>607</v>
      </c>
      <c r="W147" s="449" t="s">
        <v>34</v>
      </c>
      <c r="X147" s="562" t="s">
        <v>606</v>
      </c>
      <c r="Y147" s="379">
        <v>0</v>
      </c>
      <c r="Z147" s="379">
        <v>562628.26</v>
      </c>
      <c r="AA147" s="379">
        <v>271085.52</v>
      </c>
      <c r="AB147" s="379">
        <v>1893.97</v>
      </c>
      <c r="AC147" s="379">
        <v>0</v>
      </c>
      <c r="AD147" s="379">
        <v>835607.75</v>
      </c>
      <c r="AE147" s="124"/>
      <c r="AF147" s="551">
        <v>1093</v>
      </c>
      <c r="AG147" s="550" t="s">
        <v>607</v>
      </c>
      <c r="AH147" s="449" t="s">
        <v>34</v>
      </c>
      <c r="AI147" s="562" t="s">
        <v>606</v>
      </c>
      <c r="AJ147" s="383">
        <f t="shared" si="30"/>
        <v>0</v>
      </c>
      <c r="AK147" s="383">
        <f t="shared" si="31"/>
        <v>527432.89</v>
      </c>
      <c r="AL147" s="383">
        <f t="shared" si="32"/>
        <v>289977.63</v>
      </c>
      <c r="AM147" s="383">
        <f t="shared" si="33"/>
        <v>2931.57</v>
      </c>
      <c r="AN147" s="383">
        <f t="shared" si="34"/>
        <v>0</v>
      </c>
      <c r="AO147" s="124">
        <f t="shared" si="39"/>
        <v>820342.09</v>
      </c>
      <c r="AR147" s="124">
        <f t="shared" si="35"/>
        <v>166356.81</v>
      </c>
      <c r="AS147" s="124">
        <f t="shared" si="36"/>
        <v>117094.86</v>
      </c>
      <c r="AV147" s="379">
        <f t="shared" si="40"/>
        <v>283451.67</v>
      </c>
      <c r="AW147" s="124">
        <f t="shared" si="37"/>
        <v>0</v>
      </c>
      <c r="AZ147" s="379">
        <v>0</v>
      </c>
      <c r="BA147" s="379">
        <v>12803.580000000002</v>
      </c>
      <c r="BB147" s="379">
        <v>7334.3099999999995</v>
      </c>
      <c r="BC147" s="379">
        <v>61.04</v>
      </c>
      <c r="BD147" s="379">
        <v>0</v>
      </c>
      <c r="BE147" s="379">
        <f t="shared" si="41"/>
        <v>20198.93</v>
      </c>
      <c r="BF147" s="379"/>
      <c r="BO147" s="477">
        <v>0</v>
      </c>
      <c r="BP147" s="477">
        <v>1269221.54</v>
      </c>
      <c r="BQ147" s="477">
        <v>685492.32000000007</v>
      </c>
      <c r="BR147" s="477">
        <v>4886.58</v>
      </c>
      <c r="BS147" s="477">
        <v>0</v>
      </c>
      <c r="BT147" s="477">
        <v>1959600.4400000002</v>
      </c>
      <c r="BW147" s="126">
        <v>632</v>
      </c>
      <c r="BX147" s="125">
        <v>21014</v>
      </c>
      <c r="BY147" s="19" t="s">
        <v>13</v>
      </c>
      <c r="BZ147" t="s">
        <v>885</v>
      </c>
    </row>
    <row r="148" spans="1:78" x14ac:dyDescent="0.25">
      <c r="A148" s="443">
        <v>20406</v>
      </c>
      <c r="B148" s="19" t="s">
        <v>34</v>
      </c>
      <c r="C148" t="s">
        <v>278</v>
      </c>
      <c r="D148" s="379"/>
      <c r="E148" s="120"/>
      <c r="F148" s="379">
        <v>20997.63</v>
      </c>
      <c r="G148" s="120">
        <v>3.5076640707670303E-5</v>
      </c>
      <c r="H148" s="379">
        <v>51314.79</v>
      </c>
      <c r="I148" s="120">
        <v>1.9732314872309E-4</v>
      </c>
      <c r="J148" s="379">
        <v>0</v>
      </c>
      <c r="K148" s="120">
        <v>0</v>
      </c>
      <c r="L148" s="379">
        <v>38454.019999999997</v>
      </c>
      <c r="M148" s="120">
        <v>1.7248921779000959E-4</v>
      </c>
      <c r="N148" s="379">
        <v>129286.66</v>
      </c>
      <c r="O148" s="120">
        <v>1.8217328111343824E-4</v>
      </c>
      <c r="P148" s="383">
        <f t="shared" si="38"/>
        <v>240053.1</v>
      </c>
      <c r="R148" s="379"/>
      <c r="S148" s="120"/>
      <c r="T148" s="380"/>
      <c r="U148" s="551">
        <v>555</v>
      </c>
      <c r="V148" s="550" t="s">
        <v>279</v>
      </c>
      <c r="W148" s="449" t="s">
        <v>34</v>
      </c>
      <c r="X148" s="562" t="s">
        <v>278</v>
      </c>
      <c r="Y148" s="379">
        <v>0</v>
      </c>
      <c r="Z148" s="379">
        <v>139246.78</v>
      </c>
      <c r="AA148" s="379">
        <v>51070.22</v>
      </c>
      <c r="AB148" s="379"/>
      <c r="AC148" s="379">
        <v>0</v>
      </c>
      <c r="AD148" s="379">
        <v>190317</v>
      </c>
      <c r="AE148" s="124"/>
      <c r="AF148" s="551">
        <v>555</v>
      </c>
      <c r="AG148" s="550" t="s">
        <v>279</v>
      </c>
      <c r="AH148" s="449" t="s">
        <v>34</v>
      </c>
      <c r="AI148" s="562" t="s">
        <v>278</v>
      </c>
      <c r="AJ148" s="383">
        <f t="shared" si="30"/>
        <v>0</v>
      </c>
      <c r="AK148" s="383">
        <f t="shared" si="31"/>
        <v>129286.66</v>
      </c>
      <c r="AL148" s="383">
        <f t="shared" si="32"/>
        <v>51314.79</v>
      </c>
      <c r="AM148" s="383">
        <f t="shared" si="33"/>
        <v>0</v>
      </c>
      <c r="AN148" s="383">
        <f t="shared" si="34"/>
        <v>0</v>
      </c>
      <c r="AO148" s="124">
        <f t="shared" si="39"/>
        <v>180601.45</v>
      </c>
      <c r="AR148" s="124">
        <f t="shared" si="35"/>
        <v>38454.019999999997</v>
      </c>
      <c r="AS148" s="124">
        <f t="shared" si="36"/>
        <v>20997.63</v>
      </c>
      <c r="AV148" s="379">
        <f t="shared" si="40"/>
        <v>59451.649999999994</v>
      </c>
      <c r="AW148" s="124">
        <f t="shared" si="37"/>
        <v>0</v>
      </c>
      <c r="AZ148" s="379">
        <v>0</v>
      </c>
      <c r="BA148" s="379">
        <v>3147.46</v>
      </c>
      <c r="BB148" s="379">
        <v>1291.69</v>
      </c>
      <c r="BC148" s="379"/>
      <c r="BD148" s="379">
        <v>0</v>
      </c>
      <c r="BE148" s="379">
        <f t="shared" si="41"/>
        <v>4439.1499999999996</v>
      </c>
      <c r="BF148" s="379"/>
      <c r="BO148" s="477">
        <v>0</v>
      </c>
      <c r="BP148" s="477">
        <v>310134.92</v>
      </c>
      <c r="BQ148" s="477">
        <v>124674.32999999999</v>
      </c>
      <c r="BR148" s="477"/>
      <c r="BS148" s="477">
        <v>0</v>
      </c>
      <c r="BT148" s="477">
        <v>434809.25</v>
      </c>
      <c r="BW148" s="126">
        <v>285</v>
      </c>
      <c r="BX148" s="125">
        <v>21036</v>
      </c>
      <c r="BY148" s="19" t="s">
        <v>13</v>
      </c>
      <c r="BZ148" t="s">
        <v>807</v>
      </c>
    </row>
    <row r="149" spans="1:78" x14ac:dyDescent="0.25">
      <c r="A149" s="443">
        <v>21014</v>
      </c>
      <c r="B149" s="19" t="s">
        <v>13</v>
      </c>
      <c r="C149" t="s">
        <v>330</v>
      </c>
      <c r="D149" s="379">
        <v>1478.97</v>
      </c>
      <c r="E149" s="120">
        <v>2.4706264139059095E-6</v>
      </c>
      <c r="F149" s="379">
        <v>47731.27</v>
      </c>
      <c r="G149" s="120">
        <v>7.9735313381119782E-5</v>
      </c>
      <c r="H149" s="379">
        <v>118736.65</v>
      </c>
      <c r="I149" s="120">
        <v>4.565835628837511E-4</v>
      </c>
      <c r="J149" s="379"/>
      <c r="K149" s="120"/>
      <c r="L149" s="379">
        <v>106685.65</v>
      </c>
      <c r="M149" s="120">
        <v>4.7854877898120238E-4</v>
      </c>
      <c r="N149" s="379">
        <v>368752.63</v>
      </c>
      <c r="O149" s="120">
        <v>5.1959634912302378E-4</v>
      </c>
      <c r="P149" s="383">
        <f t="shared" si="38"/>
        <v>643385.16999999993</v>
      </c>
      <c r="R149" s="379"/>
      <c r="S149" s="120"/>
      <c r="T149" s="380"/>
      <c r="U149" s="551">
        <v>632</v>
      </c>
      <c r="V149" s="550" t="s">
        <v>331</v>
      </c>
      <c r="W149" s="449" t="s">
        <v>13</v>
      </c>
      <c r="X149" s="562" t="s">
        <v>330</v>
      </c>
      <c r="Y149" s="379"/>
      <c r="Z149" s="379">
        <v>332521.07999999996</v>
      </c>
      <c r="AA149" s="379">
        <v>110074.18</v>
      </c>
      <c r="AB149" s="379">
        <v>940.2</v>
      </c>
      <c r="AC149" s="379">
        <v>0</v>
      </c>
      <c r="AD149" s="379">
        <v>443535.45999999996</v>
      </c>
      <c r="AE149" s="124"/>
      <c r="AF149" s="551">
        <v>632</v>
      </c>
      <c r="AG149" s="550" t="s">
        <v>331</v>
      </c>
      <c r="AH149" s="449" t="s">
        <v>13</v>
      </c>
      <c r="AI149" s="562" t="s">
        <v>330</v>
      </c>
      <c r="AJ149" s="383">
        <f t="shared" si="30"/>
        <v>0</v>
      </c>
      <c r="AK149" s="383">
        <f t="shared" si="31"/>
        <v>368752.63</v>
      </c>
      <c r="AL149" s="383">
        <f t="shared" si="32"/>
        <v>118736.65</v>
      </c>
      <c r="AM149" s="383">
        <f t="shared" si="33"/>
        <v>1478.97</v>
      </c>
      <c r="AN149" s="383">
        <f t="shared" si="34"/>
        <v>0</v>
      </c>
      <c r="AO149" s="124">
        <f t="shared" si="39"/>
        <v>488968.25</v>
      </c>
      <c r="AR149" s="124">
        <f t="shared" si="35"/>
        <v>106685.65</v>
      </c>
      <c r="AS149" s="124">
        <f t="shared" si="36"/>
        <v>47731.27</v>
      </c>
      <c r="AV149" s="379">
        <f t="shared" si="40"/>
        <v>154416.91999999998</v>
      </c>
      <c r="AW149" s="124">
        <f t="shared" si="37"/>
        <v>0</v>
      </c>
      <c r="AZ149" s="379"/>
      <c r="BA149" s="379">
        <v>8989.58</v>
      </c>
      <c r="BB149" s="379">
        <v>3008.13</v>
      </c>
      <c r="BC149" s="379">
        <v>30.78</v>
      </c>
      <c r="BD149" s="379">
        <v>0</v>
      </c>
      <c r="BE149" s="379">
        <f t="shared" si="41"/>
        <v>12028.49</v>
      </c>
      <c r="BF149" s="379"/>
      <c r="BO149" s="477"/>
      <c r="BP149" s="477">
        <v>816948.94000000006</v>
      </c>
      <c r="BQ149" s="477">
        <v>279550.23</v>
      </c>
      <c r="BR149" s="477">
        <v>2449.9499999999998</v>
      </c>
      <c r="BS149" s="477">
        <v>0</v>
      </c>
      <c r="BT149" s="477">
        <v>1098949.1199999999</v>
      </c>
      <c r="BW149" s="126">
        <v>613</v>
      </c>
      <c r="BX149" s="125">
        <v>21206</v>
      </c>
      <c r="BY149" s="19" t="s">
        <v>13</v>
      </c>
      <c r="BZ149" t="s">
        <v>877</v>
      </c>
    </row>
    <row r="150" spans="1:78" x14ac:dyDescent="0.25">
      <c r="A150" s="443">
        <v>21036</v>
      </c>
      <c r="B150" s="19" t="s">
        <v>13</v>
      </c>
      <c r="C150" t="s">
        <v>172</v>
      </c>
      <c r="D150" s="379"/>
      <c r="E150" s="120"/>
      <c r="F150" s="379">
        <v>7677.96</v>
      </c>
      <c r="G150" s="120">
        <v>1.2826068670029153E-5</v>
      </c>
      <c r="H150" s="379">
        <v>19108.62</v>
      </c>
      <c r="I150" s="120">
        <v>7.3479265259645648E-5</v>
      </c>
      <c r="J150" s="379"/>
      <c r="K150" s="120"/>
      <c r="L150" s="379">
        <v>7467.16</v>
      </c>
      <c r="M150" s="120">
        <v>3.3494666812802615E-5</v>
      </c>
      <c r="N150" s="379">
        <v>25250.57</v>
      </c>
      <c r="O150" s="120">
        <v>3.5579689249335929E-5</v>
      </c>
      <c r="P150" s="383">
        <f t="shared" si="38"/>
        <v>59504.31</v>
      </c>
      <c r="R150" s="379"/>
      <c r="S150" s="120"/>
      <c r="T150" s="380"/>
      <c r="U150" s="551">
        <v>285</v>
      </c>
      <c r="V150" s="550" t="s">
        <v>173</v>
      </c>
      <c r="W150" s="449" t="s">
        <v>13</v>
      </c>
      <c r="X150" s="562" t="s">
        <v>172</v>
      </c>
      <c r="Y150" s="379"/>
      <c r="Z150" s="379">
        <v>25715.41</v>
      </c>
      <c r="AA150" s="379">
        <v>18118</v>
      </c>
      <c r="AB150" s="379"/>
      <c r="AC150" s="379">
        <v>0</v>
      </c>
      <c r="AD150" s="379">
        <v>43833.41</v>
      </c>
      <c r="AE150" s="124"/>
      <c r="AF150" s="551">
        <v>285</v>
      </c>
      <c r="AG150" s="550" t="s">
        <v>173</v>
      </c>
      <c r="AH150" s="449" t="s">
        <v>13</v>
      </c>
      <c r="AI150" s="562" t="s">
        <v>172</v>
      </c>
      <c r="AJ150" s="383">
        <f t="shared" si="30"/>
        <v>0</v>
      </c>
      <c r="AK150" s="383">
        <f t="shared" si="31"/>
        <v>25250.57</v>
      </c>
      <c r="AL150" s="383">
        <f t="shared" si="32"/>
        <v>19108.62</v>
      </c>
      <c r="AM150" s="383">
        <f t="shared" si="33"/>
        <v>0</v>
      </c>
      <c r="AN150" s="383">
        <f t="shared" si="34"/>
        <v>0</v>
      </c>
      <c r="AO150" s="124">
        <f t="shared" si="39"/>
        <v>44359.19</v>
      </c>
      <c r="AR150" s="124">
        <f t="shared" si="35"/>
        <v>7467.16</v>
      </c>
      <c r="AS150" s="124">
        <f t="shared" si="36"/>
        <v>7677.96</v>
      </c>
      <c r="AV150" s="379">
        <f t="shared" si="40"/>
        <v>15145.119999999999</v>
      </c>
      <c r="AW150" s="124">
        <f t="shared" si="37"/>
        <v>0</v>
      </c>
      <c r="AZ150" s="379"/>
      <c r="BA150" s="379">
        <v>614.87</v>
      </c>
      <c r="BB150" s="379">
        <v>484.05999999999995</v>
      </c>
      <c r="BC150" s="379"/>
      <c r="BD150" s="379">
        <v>0</v>
      </c>
      <c r="BE150" s="379">
        <f t="shared" si="41"/>
        <v>1098.9299999999998</v>
      </c>
      <c r="BF150" s="379"/>
      <c r="BO150" s="477"/>
      <c r="BP150" s="477">
        <v>59048.009999999995</v>
      </c>
      <c r="BQ150" s="477">
        <v>45388.639999999999</v>
      </c>
      <c r="BR150" s="477"/>
      <c r="BS150" s="477">
        <v>0</v>
      </c>
      <c r="BT150" s="477">
        <v>104436.65</v>
      </c>
      <c r="BW150" s="126">
        <v>608</v>
      </c>
      <c r="BX150" s="125">
        <v>21214</v>
      </c>
      <c r="BY150" s="19" t="s">
        <v>13</v>
      </c>
      <c r="BZ150" t="s">
        <v>875</v>
      </c>
    </row>
    <row r="151" spans="1:78" x14ac:dyDescent="0.25">
      <c r="A151" s="443">
        <v>21206</v>
      </c>
      <c r="B151" s="19" t="s">
        <v>13</v>
      </c>
      <c r="C151" t="s">
        <v>316</v>
      </c>
      <c r="D151" s="379"/>
      <c r="E151" s="120"/>
      <c r="F151" s="379">
        <v>46167.99</v>
      </c>
      <c r="G151" s="120">
        <v>7.7123846711524841E-5</v>
      </c>
      <c r="H151" s="379">
        <v>114888.02</v>
      </c>
      <c r="I151" s="120">
        <v>4.4178424693857931E-4</v>
      </c>
      <c r="J151" s="379">
        <v>0</v>
      </c>
      <c r="K151" s="120">
        <v>0</v>
      </c>
      <c r="L151" s="379">
        <v>83959.22</v>
      </c>
      <c r="M151" s="120">
        <v>3.7660718395786261E-4</v>
      </c>
      <c r="N151" s="379">
        <v>293005.59000000003</v>
      </c>
      <c r="O151" s="120">
        <v>4.1286386170761029E-4</v>
      </c>
      <c r="P151" s="383">
        <f t="shared" si="38"/>
        <v>538020.82000000007</v>
      </c>
      <c r="R151" s="379"/>
      <c r="S151" s="120"/>
      <c r="T151" s="380"/>
      <c r="U151" s="551">
        <v>613</v>
      </c>
      <c r="V151" s="550" t="s">
        <v>317</v>
      </c>
      <c r="W151" s="449" t="s">
        <v>13</v>
      </c>
      <c r="X151" s="562" t="s">
        <v>316</v>
      </c>
      <c r="Y151" s="379">
        <v>0</v>
      </c>
      <c r="Z151" s="379">
        <v>296882.42</v>
      </c>
      <c r="AA151" s="379">
        <v>105287.06</v>
      </c>
      <c r="AB151" s="379"/>
      <c r="AC151" s="379">
        <v>0</v>
      </c>
      <c r="AD151" s="379">
        <v>402169.48</v>
      </c>
      <c r="AE151" s="124"/>
      <c r="AF151" s="551">
        <v>613</v>
      </c>
      <c r="AG151" s="550" t="s">
        <v>317</v>
      </c>
      <c r="AH151" s="449" t="s">
        <v>13</v>
      </c>
      <c r="AI151" s="562" t="s">
        <v>316</v>
      </c>
      <c r="AJ151" s="383">
        <f t="shared" si="30"/>
        <v>0</v>
      </c>
      <c r="AK151" s="383">
        <f t="shared" si="31"/>
        <v>293005.59000000003</v>
      </c>
      <c r="AL151" s="383">
        <f t="shared" si="32"/>
        <v>114888.02</v>
      </c>
      <c r="AM151" s="383">
        <f t="shared" si="33"/>
        <v>0</v>
      </c>
      <c r="AN151" s="383">
        <f t="shared" si="34"/>
        <v>0</v>
      </c>
      <c r="AO151" s="124">
        <f t="shared" si="39"/>
        <v>407893.61000000004</v>
      </c>
      <c r="AR151" s="124">
        <f t="shared" si="35"/>
        <v>83959.22</v>
      </c>
      <c r="AS151" s="124">
        <f t="shared" si="36"/>
        <v>46167.99</v>
      </c>
      <c r="AV151" s="379">
        <f t="shared" si="40"/>
        <v>130127.20999999999</v>
      </c>
      <c r="AW151" s="124">
        <f t="shared" si="37"/>
        <v>0</v>
      </c>
      <c r="AZ151" s="379">
        <v>0</v>
      </c>
      <c r="BA151" s="379">
        <v>7146.1399999999994</v>
      </c>
      <c r="BB151" s="379">
        <v>2910.96</v>
      </c>
      <c r="BC151" s="379"/>
      <c r="BD151" s="379">
        <v>0</v>
      </c>
      <c r="BE151" s="379">
        <f t="shared" si="41"/>
        <v>10057.099999999999</v>
      </c>
      <c r="BF151" s="379"/>
      <c r="BO151" s="477">
        <v>0</v>
      </c>
      <c r="BP151" s="477">
        <v>680993.37000000011</v>
      </c>
      <c r="BQ151" s="477">
        <v>269254.03000000003</v>
      </c>
      <c r="BR151" s="477"/>
      <c r="BS151" s="477">
        <v>0</v>
      </c>
      <c r="BT151" s="477">
        <v>950247.40000000014</v>
      </c>
      <c r="BW151" s="126">
        <v>10</v>
      </c>
      <c r="BX151" s="125">
        <v>21226</v>
      </c>
      <c r="BY151" s="19" t="s">
        <v>13</v>
      </c>
      <c r="BZ151" t="s">
        <v>732</v>
      </c>
    </row>
    <row r="152" spans="1:78" x14ac:dyDescent="0.25">
      <c r="A152" s="443">
        <v>21214</v>
      </c>
      <c r="B152" s="19" t="s">
        <v>13</v>
      </c>
      <c r="C152" t="s">
        <v>312</v>
      </c>
      <c r="D152" s="379"/>
      <c r="E152" s="120"/>
      <c r="F152" s="379">
        <v>43740.639999999999</v>
      </c>
      <c r="G152" s="120">
        <v>7.306894700037822E-5</v>
      </c>
      <c r="H152" s="379">
        <v>108841.94</v>
      </c>
      <c r="I152" s="120">
        <v>4.1853497430135908E-4</v>
      </c>
      <c r="J152" s="379"/>
      <c r="K152" s="120"/>
      <c r="L152" s="379">
        <v>68683.91</v>
      </c>
      <c r="M152" s="120">
        <v>3.0808830677935407E-4</v>
      </c>
      <c r="N152" s="379">
        <v>225306.51</v>
      </c>
      <c r="O152" s="120">
        <v>3.1747147140252275E-4</v>
      </c>
      <c r="P152" s="383">
        <f t="shared" si="38"/>
        <v>446573</v>
      </c>
      <c r="R152" s="379"/>
      <c r="S152" s="120"/>
      <c r="T152" s="380"/>
      <c r="U152" s="551">
        <v>608</v>
      </c>
      <c r="V152" s="550" t="s">
        <v>313</v>
      </c>
      <c r="W152" s="449" t="s">
        <v>13</v>
      </c>
      <c r="X152" s="562" t="s">
        <v>312</v>
      </c>
      <c r="Y152" s="379"/>
      <c r="Z152" s="379">
        <v>220547.46000000002</v>
      </c>
      <c r="AA152" s="379">
        <v>108964.45999999999</v>
      </c>
      <c r="AB152" s="379"/>
      <c r="AC152" s="379">
        <v>0</v>
      </c>
      <c r="AD152" s="379">
        <v>329511.92000000004</v>
      </c>
      <c r="AE152" s="124"/>
      <c r="AF152" s="551">
        <v>608</v>
      </c>
      <c r="AG152" s="550" t="s">
        <v>313</v>
      </c>
      <c r="AH152" s="449" t="s">
        <v>13</v>
      </c>
      <c r="AI152" s="562" t="s">
        <v>312</v>
      </c>
      <c r="AJ152" s="383">
        <f t="shared" si="30"/>
        <v>0</v>
      </c>
      <c r="AK152" s="383">
        <f t="shared" si="31"/>
        <v>225306.51</v>
      </c>
      <c r="AL152" s="383">
        <f t="shared" si="32"/>
        <v>108841.94</v>
      </c>
      <c r="AM152" s="383">
        <f t="shared" si="33"/>
        <v>0</v>
      </c>
      <c r="AN152" s="383">
        <f t="shared" si="34"/>
        <v>0</v>
      </c>
      <c r="AO152" s="124">
        <f t="shared" si="39"/>
        <v>334148.45</v>
      </c>
      <c r="AR152" s="124">
        <f t="shared" si="35"/>
        <v>68683.91</v>
      </c>
      <c r="AS152" s="124">
        <f t="shared" si="36"/>
        <v>43740.639999999999</v>
      </c>
      <c r="AV152" s="379">
        <f t="shared" si="40"/>
        <v>112424.55</v>
      </c>
      <c r="AW152" s="124">
        <f t="shared" si="37"/>
        <v>0</v>
      </c>
      <c r="AZ152" s="379"/>
      <c r="BA152" s="379">
        <v>5478.72</v>
      </c>
      <c r="BB152" s="379">
        <v>2757.69</v>
      </c>
      <c r="BC152" s="379"/>
      <c r="BD152" s="379">
        <v>0</v>
      </c>
      <c r="BE152" s="379">
        <f t="shared" si="41"/>
        <v>8236.41</v>
      </c>
      <c r="BF152" s="379"/>
      <c r="BO152" s="477"/>
      <c r="BP152" s="477">
        <v>520016.6</v>
      </c>
      <c r="BQ152" s="477">
        <v>264304.73</v>
      </c>
      <c r="BR152" s="477"/>
      <c r="BS152" s="477">
        <v>0</v>
      </c>
      <c r="BT152" s="477">
        <v>784321.33</v>
      </c>
      <c r="BW152" s="126">
        <v>1106</v>
      </c>
      <c r="BX152" s="125">
        <v>21232</v>
      </c>
      <c r="BY152" s="19" t="s">
        <v>13</v>
      </c>
      <c r="BZ152" t="s">
        <v>1016</v>
      </c>
    </row>
    <row r="153" spans="1:78" x14ac:dyDescent="0.25">
      <c r="A153" s="443">
        <v>21226</v>
      </c>
      <c r="B153" s="19" t="s">
        <v>13</v>
      </c>
      <c r="C153" t="s">
        <v>14</v>
      </c>
      <c r="D153" s="379">
        <v>3925.32</v>
      </c>
      <c r="E153" s="120">
        <v>6.5572657153513223E-6</v>
      </c>
      <c r="F153" s="379">
        <v>40253.86</v>
      </c>
      <c r="G153" s="120">
        <v>6.7244264439218199E-5</v>
      </c>
      <c r="H153" s="379">
        <v>99592.62</v>
      </c>
      <c r="I153" s="120">
        <v>3.8296813390412756E-4</v>
      </c>
      <c r="J153" s="379">
        <v>0</v>
      </c>
      <c r="K153" s="120">
        <v>0</v>
      </c>
      <c r="L153" s="379">
        <v>91881.48</v>
      </c>
      <c r="M153" s="120">
        <v>4.1214324574097609E-4</v>
      </c>
      <c r="N153" s="379">
        <v>306799.48</v>
      </c>
      <c r="O153" s="120">
        <v>4.3230034649743962E-4</v>
      </c>
      <c r="P153" s="383">
        <f t="shared" si="38"/>
        <v>542452.76</v>
      </c>
      <c r="R153" s="379"/>
      <c r="S153" s="120"/>
      <c r="T153" s="380"/>
      <c r="U153" s="551">
        <v>10</v>
      </c>
      <c r="V153" s="550" t="s">
        <v>15</v>
      </c>
      <c r="W153" s="449" t="s">
        <v>13</v>
      </c>
      <c r="X153" s="562" t="s">
        <v>14</v>
      </c>
      <c r="Y153" s="379">
        <v>0</v>
      </c>
      <c r="Z153" s="379">
        <v>290855.48</v>
      </c>
      <c r="AA153" s="379">
        <v>92381.359999999986</v>
      </c>
      <c r="AB153" s="379">
        <v>2489.06</v>
      </c>
      <c r="AC153" s="379">
        <v>0</v>
      </c>
      <c r="AD153" s="379">
        <v>385725.89999999997</v>
      </c>
      <c r="AE153" s="124"/>
      <c r="AF153" s="551">
        <v>10</v>
      </c>
      <c r="AG153" s="550" t="s">
        <v>15</v>
      </c>
      <c r="AH153" s="449" t="s">
        <v>13</v>
      </c>
      <c r="AI153" s="562" t="s">
        <v>14</v>
      </c>
      <c r="AJ153" s="383">
        <f t="shared" si="30"/>
        <v>0</v>
      </c>
      <c r="AK153" s="383">
        <f t="shared" si="31"/>
        <v>306799.48</v>
      </c>
      <c r="AL153" s="383">
        <f t="shared" si="32"/>
        <v>99592.62</v>
      </c>
      <c r="AM153" s="383">
        <f t="shared" si="33"/>
        <v>3925.32</v>
      </c>
      <c r="AN153" s="383">
        <f t="shared" si="34"/>
        <v>0</v>
      </c>
      <c r="AO153" s="124">
        <f t="shared" si="39"/>
        <v>410317.42</v>
      </c>
      <c r="AR153" s="124">
        <f t="shared" si="35"/>
        <v>91881.48</v>
      </c>
      <c r="AS153" s="124">
        <f t="shared" si="36"/>
        <v>40253.86</v>
      </c>
      <c r="AV153" s="379">
        <f t="shared" si="40"/>
        <v>132135.34</v>
      </c>
      <c r="AW153" s="124">
        <f t="shared" si="37"/>
        <v>0</v>
      </c>
      <c r="AZ153" s="379">
        <v>0</v>
      </c>
      <c r="BA153" s="379">
        <v>7466.4699999999993</v>
      </c>
      <c r="BB153" s="379">
        <v>2518.1400000000003</v>
      </c>
      <c r="BC153" s="379">
        <v>81.099999999999994</v>
      </c>
      <c r="BD153" s="379">
        <v>0</v>
      </c>
      <c r="BE153" s="379">
        <f t="shared" si="41"/>
        <v>10065.710000000001</v>
      </c>
      <c r="BF153" s="379"/>
      <c r="BO153" s="477">
        <v>0</v>
      </c>
      <c r="BP153" s="477">
        <v>697002.90999999992</v>
      </c>
      <c r="BQ153" s="477">
        <v>234745.98</v>
      </c>
      <c r="BR153" s="477">
        <v>6495.48</v>
      </c>
      <c r="BS153" s="477">
        <v>0</v>
      </c>
      <c r="BT153" s="477">
        <v>938244.36999999988</v>
      </c>
      <c r="BW153" s="126">
        <v>74</v>
      </c>
      <c r="BX153" s="125">
        <v>21234</v>
      </c>
      <c r="BY153" s="19" t="s">
        <v>13</v>
      </c>
      <c r="BZ153" t="s">
        <v>746</v>
      </c>
    </row>
    <row r="154" spans="1:78" x14ac:dyDescent="0.25">
      <c r="A154" s="443">
        <v>21232</v>
      </c>
      <c r="B154" s="19" t="s">
        <v>13</v>
      </c>
      <c r="C154" t="s">
        <v>614</v>
      </c>
      <c r="D154" s="379"/>
      <c r="E154" s="120"/>
      <c r="F154" s="379">
        <v>62481.53</v>
      </c>
      <c r="G154" s="120">
        <v>1.0437569281273759E-4</v>
      </c>
      <c r="H154" s="379">
        <v>151658.82999999999</v>
      </c>
      <c r="I154" s="120">
        <v>5.8318075290300945E-4</v>
      </c>
      <c r="J154" s="379">
        <v>0</v>
      </c>
      <c r="K154" s="120">
        <v>0</v>
      </c>
      <c r="L154" s="379">
        <v>135312.63</v>
      </c>
      <c r="M154" s="120">
        <v>6.0695786047359904E-4</v>
      </c>
      <c r="N154" s="379">
        <v>384676.2</v>
      </c>
      <c r="O154" s="120">
        <v>5.4203369102619854E-4</v>
      </c>
      <c r="P154" s="383">
        <f t="shared" si="38"/>
        <v>734129.19</v>
      </c>
      <c r="R154" s="379"/>
      <c r="S154" s="120"/>
      <c r="T154" s="380"/>
      <c r="U154" s="551">
        <v>1106</v>
      </c>
      <c r="V154" s="550" t="s">
        <v>615</v>
      </c>
      <c r="W154" s="449" t="s">
        <v>13</v>
      </c>
      <c r="X154" s="562" t="s">
        <v>614</v>
      </c>
      <c r="Y154" s="379">
        <v>0</v>
      </c>
      <c r="Z154" s="379">
        <v>365702.97</v>
      </c>
      <c r="AA154" s="379">
        <v>144930.41999999998</v>
      </c>
      <c r="AB154" s="379"/>
      <c r="AC154" s="379">
        <v>0</v>
      </c>
      <c r="AD154" s="379">
        <v>510633.38999999996</v>
      </c>
      <c r="AE154" s="124"/>
      <c r="AF154" s="551">
        <v>1106</v>
      </c>
      <c r="AG154" s="550" t="s">
        <v>615</v>
      </c>
      <c r="AH154" s="449" t="s">
        <v>13</v>
      </c>
      <c r="AI154" s="562" t="s">
        <v>614</v>
      </c>
      <c r="AJ154" s="383">
        <f t="shared" si="30"/>
        <v>0</v>
      </c>
      <c r="AK154" s="383">
        <f t="shared" si="31"/>
        <v>384676.2</v>
      </c>
      <c r="AL154" s="383">
        <f t="shared" si="32"/>
        <v>151658.82999999999</v>
      </c>
      <c r="AM154" s="383">
        <f t="shared" si="33"/>
        <v>0</v>
      </c>
      <c r="AN154" s="383">
        <f t="shared" si="34"/>
        <v>0</v>
      </c>
      <c r="AO154" s="124">
        <f t="shared" si="39"/>
        <v>536335.03</v>
      </c>
      <c r="AR154" s="124">
        <f t="shared" si="35"/>
        <v>135312.63</v>
      </c>
      <c r="AS154" s="124">
        <f t="shared" si="36"/>
        <v>62481.53</v>
      </c>
      <c r="AV154" s="379">
        <f t="shared" si="40"/>
        <v>197794.16</v>
      </c>
      <c r="AW154" s="124">
        <f t="shared" si="37"/>
        <v>0</v>
      </c>
      <c r="AZ154" s="379">
        <v>0</v>
      </c>
      <c r="BA154" s="379">
        <v>9283.2200000000012</v>
      </c>
      <c r="BB154" s="379">
        <v>3807.9300000000003</v>
      </c>
      <c r="BC154" s="379"/>
      <c r="BD154" s="379">
        <v>0</v>
      </c>
      <c r="BE154" s="379">
        <f t="shared" si="41"/>
        <v>13091.150000000001</v>
      </c>
      <c r="BF154" s="379"/>
      <c r="BO154" s="477">
        <v>0</v>
      </c>
      <c r="BP154" s="477">
        <v>894975.02</v>
      </c>
      <c r="BQ154" s="477">
        <v>362878.71</v>
      </c>
      <c r="BR154" s="477"/>
      <c r="BS154" s="477">
        <v>0</v>
      </c>
      <c r="BT154" s="477">
        <v>1257853.73</v>
      </c>
      <c r="BW154" s="126">
        <v>988</v>
      </c>
      <c r="BX154" s="125">
        <v>21237</v>
      </c>
      <c r="BY154" s="19" t="s">
        <v>13</v>
      </c>
      <c r="BZ154" t="s">
        <v>985</v>
      </c>
    </row>
    <row r="155" spans="1:78" x14ac:dyDescent="0.25">
      <c r="A155" s="443">
        <v>21234</v>
      </c>
      <c r="B155" s="19" t="s">
        <v>13</v>
      </c>
      <c r="C155" t="s">
        <v>48</v>
      </c>
      <c r="D155" s="379"/>
      <c r="E155" s="120"/>
      <c r="F155" s="379">
        <v>13270.38</v>
      </c>
      <c r="G155" s="120">
        <v>2.2168232858387054E-5</v>
      </c>
      <c r="H155" s="379">
        <v>32941.300000000003</v>
      </c>
      <c r="I155" s="120">
        <v>1.2667071304456133E-4</v>
      </c>
      <c r="J155" s="379"/>
      <c r="K155" s="120"/>
      <c r="L155" s="379">
        <v>13728.23</v>
      </c>
      <c r="M155" s="120">
        <v>6.157930053454342E-5</v>
      </c>
      <c r="N155" s="379">
        <v>51558.33</v>
      </c>
      <c r="O155" s="120">
        <v>7.2649027709660184E-5</v>
      </c>
      <c r="P155" s="383">
        <f t="shared" si="38"/>
        <v>111498.24000000001</v>
      </c>
      <c r="R155" s="379"/>
      <c r="S155" s="120"/>
      <c r="T155" s="380"/>
      <c r="U155" s="551">
        <v>74</v>
      </c>
      <c r="V155" s="550" t="s">
        <v>49</v>
      </c>
      <c r="W155" s="449" t="s">
        <v>13</v>
      </c>
      <c r="X155" s="562" t="s">
        <v>48</v>
      </c>
      <c r="Y155" s="379"/>
      <c r="Z155" s="379">
        <v>50550.16</v>
      </c>
      <c r="AA155" s="379">
        <v>33752.550000000003</v>
      </c>
      <c r="AB155" s="379"/>
      <c r="AC155" s="379">
        <v>0</v>
      </c>
      <c r="AD155" s="379">
        <v>84302.71</v>
      </c>
      <c r="AE155" s="124"/>
      <c r="AF155" s="551">
        <v>74</v>
      </c>
      <c r="AG155" s="550" t="s">
        <v>49</v>
      </c>
      <c r="AH155" s="449" t="s">
        <v>13</v>
      </c>
      <c r="AI155" s="562" t="s">
        <v>48</v>
      </c>
      <c r="AJ155" s="383">
        <f t="shared" si="30"/>
        <v>0</v>
      </c>
      <c r="AK155" s="383">
        <f t="shared" si="31"/>
        <v>51558.33</v>
      </c>
      <c r="AL155" s="383">
        <f t="shared" si="32"/>
        <v>32941.300000000003</v>
      </c>
      <c r="AM155" s="383">
        <f t="shared" si="33"/>
        <v>0</v>
      </c>
      <c r="AN155" s="383">
        <f t="shared" si="34"/>
        <v>0</v>
      </c>
      <c r="AO155" s="124">
        <f t="shared" si="39"/>
        <v>84499.63</v>
      </c>
      <c r="AR155" s="124">
        <f t="shared" si="35"/>
        <v>13728.23</v>
      </c>
      <c r="AS155" s="124">
        <f t="shared" si="36"/>
        <v>13270.38</v>
      </c>
      <c r="AV155" s="379">
        <f t="shared" si="40"/>
        <v>26998.61</v>
      </c>
      <c r="AW155" s="124">
        <f t="shared" si="37"/>
        <v>0</v>
      </c>
      <c r="AZ155" s="379"/>
      <c r="BA155" s="379">
        <v>1261.51</v>
      </c>
      <c r="BB155" s="379">
        <v>833.8</v>
      </c>
      <c r="BC155" s="379"/>
      <c r="BD155" s="379">
        <v>0</v>
      </c>
      <c r="BE155" s="379">
        <f t="shared" si="41"/>
        <v>2095.31</v>
      </c>
      <c r="BF155" s="379"/>
      <c r="BO155" s="477"/>
      <c r="BP155" s="477">
        <v>117098.23000000001</v>
      </c>
      <c r="BQ155" s="477">
        <v>80798.03</v>
      </c>
      <c r="BR155" s="477"/>
      <c r="BS155" s="477">
        <v>0</v>
      </c>
      <c r="BT155" s="477">
        <v>197896.26</v>
      </c>
      <c r="BW155" s="126">
        <v>680</v>
      </c>
      <c r="BX155" s="125">
        <v>21300</v>
      </c>
      <c r="BY155" s="19" t="s">
        <v>13</v>
      </c>
      <c r="BZ155" t="s">
        <v>906</v>
      </c>
    </row>
    <row r="156" spans="1:78" x14ac:dyDescent="0.25">
      <c r="A156" s="443">
        <v>21237</v>
      </c>
      <c r="B156" s="19" t="s">
        <v>13</v>
      </c>
      <c r="C156" t="s">
        <v>550</v>
      </c>
      <c r="D156" s="379"/>
      <c r="E156" s="120"/>
      <c r="F156" s="379">
        <v>72852.03</v>
      </c>
      <c r="G156" s="120">
        <v>1.2169966234924693E-4</v>
      </c>
      <c r="H156" s="379">
        <v>180128.61</v>
      </c>
      <c r="I156" s="120">
        <v>6.9265692211375074E-4</v>
      </c>
      <c r="J156" s="379"/>
      <c r="K156" s="120"/>
      <c r="L156" s="379">
        <v>121565.29</v>
      </c>
      <c r="M156" s="120">
        <v>5.4529284018980777E-4</v>
      </c>
      <c r="N156" s="379">
        <v>426640.82</v>
      </c>
      <c r="O156" s="120">
        <v>6.0116455971813182E-4</v>
      </c>
      <c r="P156" s="383">
        <f t="shared" si="38"/>
        <v>801186.75</v>
      </c>
      <c r="R156" s="379"/>
      <c r="S156" s="120"/>
      <c r="T156" s="380"/>
      <c r="U156" s="551">
        <v>988</v>
      </c>
      <c r="V156" s="550" t="s">
        <v>551</v>
      </c>
      <c r="W156" s="449" t="s">
        <v>13</v>
      </c>
      <c r="X156" s="562" t="s">
        <v>550</v>
      </c>
      <c r="Y156" s="379"/>
      <c r="Z156" s="379">
        <v>403697.43</v>
      </c>
      <c r="AA156" s="379">
        <v>174660.59</v>
      </c>
      <c r="AB156" s="379"/>
      <c r="AC156" s="379">
        <v>0</v>
      </c>
      <c r="AD156" s="379">
        <v>578358.02</v>
      </c>
      <c r="AE156" s="124"/>
      <c r="AF156" s="551">
        <v>988</v>
      </c>
      <c r="AG156" s="550" t="s">
        <v>551</v>
      </c>
      <c r="AH156" s="449" t="s">
        <v>13</v>
      </c>
      <c r="AI156" s="562" t="s">
        <v>550</v>
      </c>
      <c r="AJ156" s="383">
        <f t="shared" si="30"/>
        <v>0</v>
      </c>
      <c r="AK156" s="383">
        <f t="shared" si="31"/>
        <v>426640.82</v>
      </c>
      <c r="AL156" s="383">
        <f t="shared" si="32"/>
        <v>180128.61</v>
      </c>
      <c r="AM156" s="383">
        <f t="shared" si="33"/>
        <v>0</v>
      </c>
      <c r="AN156" s="383">
        <f t="shared" si="34"/>
        <v>0</v>
      </c>
      <c r="AO156" s="124">
        <f t="shared" si="39"/>
        <v>606769.42999999993</v>
      </c>
      <c r="AR156" s="124">
        <f t="shared" si="35"/>
        <v>121565.29</v>
      </c>
      <c r="AS156" s="124">
        <f t="shared" si="36"/>
        <v>72852.03</v>
      </c>
      <c r="AV156" s="379">
        <f t="shared" si="40"/>
        <v>194417.32</v>
      </c>
      <c r="AW156" s="124">
        <f t="shared" si="37"/>
        <v>0</v>
      </c>
      <c r="AZ156" s="379"/>
      <c r="BA156" s="379">
        <v>10408.150000000001</v>
      </c>
      <c r="BB156" s="379">
        <v>4553.4799999999996</v>
      </c>
      <c r="BC156" s="379"/>
      <c r="BD156" s="379">
        <v>0</v>
      </c>
      <c r="BE156" s="379">
        <f t="shared" si="41"/>
        <v>14961.630000000001</v>
      </c>
      <c r="BF156" s="379"/>
      <c r="BO156" s="477"/>
      <c r="BP156" s="477">
        <v>962311.69</v>
      </c>
      <c r="BQ156" s="477">
        <v>432194.70999999996</v>
      </c>
      <c r="BR156" s="477"/>
      <c r="BS156" s="477">
        <v>0</v>
      </c>
      <c r="BT156" s="477">
        <v>1394506.4</v>
      </c>
      <c r="BW156" s="126">
        <v>714</v>
      </c>
      <c r="BX156" s="125">
        <v>21301</v>
      </c>
      <c r="BY156" s="19" t="s">
        <v>13</v>
      </c>
      <c r="BZ156" t="s">
        <v>920</v>
      </c>
    </row>
    <row r="157" spans="1:78" x14ac:dyDescent="0.25">
      <c r="A157" s="443">
        <v>21300</v>
      </c>
      <c r="B157" s="19" t="s">
        <v>13</v>
      </c>
      <c r="C157" t="s">
        <v>384</v>
      </c>
      <c r="D157" s="379">
        <v>2080.67</v>
      </c>
      <c r="E157" s="120">
        <v>3.4757691235262439E-6</v>
      </c>
      <c r="F157" s="379">
        <v>78165.52</v>
      </c>
      <c r="G157" s="120">
        <v>1.3057587264697098E-4</v>
      </c>
      <c r="H157" s="379">
        <v>189934.27</v>
      </c>
      <c r="I157" s="120">
        <v>7.3036308258927942E-4</v>
      </c>
      <c r="J157" s="379">
        <v>0</v>
      </c>
      <c r="K157" s="120">
        <v>0</v>
      </c>
      <c r="L157" s="379">
        <v>134197.67000000001</v>
      </c>
      <c r="M157" s="120">
        <v>6.019565997922152E-4</v>
      </c>
      <c r="N157" s="379">
        <v>394288.8</v>
      </c>
      <c r="O157" s="120">
        <v>5.5557846727790955E-4</v>
      </c>
      <c r="P157" s="383">
        <f t="shared" si="38"/>
        <v>798666.92999999993</v>
      </c>
      <c r="R157" s="379"/>
      <c r="S157" s="120"/>
      <c r="T157" s="380"/>
      <c r="U157" s="551">
        <v>680</v>
      </c>
      <c r="V157" s="550" t="s">
        <v>385</v>
      </c>
      <c r="W157" s="449" t="s">
        <v>13</v>
      </c>
      <c r="X157" s="562" t="s">
        <v>384</v>
      </c>
      <c r="Y157" s="379">
        <v>0</v>
      </c>
      <c r="Z157" s="379">
        <v>388109.29000000004</v>
      </c>
      <c r="AA157" s="379">
        <v>182869.08000000002</v>
      </c>
      <c r="AB157" s="379">
        <v>1310.6400000000001</v>
      </c>
      <c r="AC157" s="379">
        <v>0</v>
      </c>
      <c r="AD157" s="379">
        <v>572289.01000000013</v>
      </c>
      <c r="AE157" s="124"/>
      <c r="AF157" s="551">
        <v>680</v>
      </c>
      <c r="AG157" s="550" t="s">
        <v>385</v>
      </c>
      <c r="AH157" s="449" t="s">
        <v>13</v>
      </c>
      <c r="AI157" s="562" t="s">
        <v>384</v>
      </c>
      <c r="AJ157" s="383">
        <f t="shared" si="30"/>
        <v>0</v>
      </c>
      <c r="AK157" s="383">
        <f t="shared" si="31"/>
        <v>394288.8</v>
      </c>
      <c r="AL157" s="383">
        <f t="shared" si="32"/>
        <v>189934.27</v>
      </c>
      <c r="AM157" s="383">
        <f t="shared" si="33"/>
        <v>2080.67</v>
      </c>
      <c r="AN157" s="383">
        <f t="shared" si="34"/>
        <v>0</v>
      </c>
      <c r="AO157" s="124">
        <f t="shared" si="39"/>
        <v>586303.74</v>
      </c>
      <c r="AR157" s="124">
        <f t="shared" si="35"/>
        <v>134197.67000000001</v>
      </c>
      <c r="AS157" s="124">
        <f t="shared" si="36"/>
        <v>78165.52</v>
      </c>
      <c r="AV157" s="379">
        <f t="shared" si="40"/>
        <v>212363.19</v>
      </c>
      <c r="AW157" s="124">
        <f t="shared" si="37"/>
        <v>0</v>
      </c>
      <c r="AZ157" s="379">
        <v>0</v>
      </c>
      <c r="BA157" s="379">
        <v>9534.34</v>
      </c>
      <c r="BB157" s="379">
        <v>4770.68</v>
      </c>
      <c r="BC157" s="379">
        <v>42.6</v>
      </c>
      <c r="BD157" s="379">
        <v>0</v>
      </c>
      <c r="BE157" s="379">
        <f t="shared" si="41"/>
        <v>14347.62</v>
      </c>
      <c r="BF157" s="379"/>
      <c r="BO157" s="477">
        <v>0</v>
      </c>
      <c r="BP157" s="477">
        <v>926130.1</v>
      </c>
      <c r="BQ157" s="477">
        <v>455739.55</v>
      </c>
      <c r="BR157" s="477">
        <v>3433.91</v>
      </c>
      <c r="BS157" s="477">
        <v>0</v>
      </c>
      <c r="BT157" s="477">
        <v>1385303.5599999998</v>
      </c>
      <c r="BW157" s="126">
        <v>122</v>
      </c>
      <c r="BX157" s="125">
        <v>21302</v>
      </c>
      <c r="BY157" s="19" t="s">
        <v>13</v>
      </c>
      <c r="BZ157" t="s">
        <v>762</v>
      </c>
    </row>
    <row r="158" spans="1:78" x14ac:dyDescent="0.25">
      <c r="A158" s="443">
        <v>21301</v>
      </c>
      <c r="B158" s="19" t="s">
        <v>13</v>
      </c>
      <c r="C158" t="s">
        <v>412</v>
      </c>
      <c r="D158" s="379"/>
      <c r="E158" s="120"/>
      <c r="F158" s="379">
        <v>29593.279999999999</v>
      </c>
      <c r="G158" s="120">
        <v>4.9435714884083839E-5</v>
      </c>
      <c r="H158" s="379">
        <v>73415.259999999995</v>
      </c>
      <c r="I158" s="120">
        <v>2.8230711394364703E-4</v>
      </c>
      <c r="J158" s="379"/>
      <c r="K158" s="120"/>
      <c r="L158" s="379">
        <v>56652.44</v>
      </c>
      <c r="M158" s="120">
        <v>2.5411998697393538E-4</v>
      </c>
      <c r="N158" s="379">
        <v>192024.45</v>
      </c>
      <c r="O158" s="120">
        <v>2.7057489234004006E-4</v>
      </c>
      <c r="P158" s="383">
        <f t="shared" si="38"/>
        <v>351685.43</v>
      </c>
      <c r="R158" s="379"/>
      <c r="S158" s="120"/>
      <c r="T158" s="380"/>
      <c r="U158" s="551">
        <v>714</v>
      </c>
      <c r="V158" s="550" t="s">
        <v>413</v>
      </c>
      <c r="W158" s="449" t="s">
        <v>13</v>
      </c>
      <c r="X158" s="562" t="s">
        <v>412</v>
      </c>
      <c r="Y158" s="379"/>
      <c r="Z158" s="379">
        <v>181397.18</v>
      </c>
      <c r="AA158" s="379">
        <v>67622.81</v>
      </c>
      <c r="AB158" s="379"/>
      <c r="AC158" s="379">
        <v>0</v>
      </c>
      <c r="AD158" s="379">
        <v>249019.99</v>
      </c>
      <c r="AE158" s="124"/>
      <c r="AF158" s="551">
        <v>714</v>
      </c>
      <c r="AG158" s="550" t="s">
        <v>413</v>
      </c>
      <c r="AH158" s="449" t="s">
        <v>13</v>
      </c>
      <c r="AI158" s="562" t="s">
        <v>412</v>
      </c>
      <c r="AJ158" s="383">
        <f t="shared" si="30"/>
        <v>0</v>
      </c>
      <c r="AK158" s="383">
        <f t="shared" si="31"/>
        <v>192024.45</v>
      </c>
      <c r="AL158" s="383">
        <f t="shared" si="32"/>
        <v>73415.259999999995</v>
      </c>
      <c r="AM158" s="383">
        <f t="shared" si="33"/>
        <v>0</v>
      </c>
      <c r="AN158" s="383">
        <f t="shared" si="34"/>
        <v>0</v>
      </c>
      <c r="AO158" s="124">
        <f t="shared" si="39"/>
        <v>265439.71000000002</v>
      </c>
      <c r="AR158" s="124">
        <f t="shared" si="35"/>
        <v>56652.44</v>
      </c>
      <c r="AS158" s="124">
        <f t="shared" si="36"/>
        <v>29593.279999999999</v>
      </c>
      <c r="AV158" s="379">
        <f t="shared" si="40"/>
        <v>86245.72</v>
      </c>
      <c r="AW158" s="124">
        <f t="shared" si="37"/>
        <v>0</v>
      </c>
      <c r="AZ158" s="379"/>
      <c r="BA158" s="379">
        <v>4676.87</v>
      </c>
      <c r="BB158" s="379">
        <v>1858.02</v>
      </c>
      <c r="BC158" s="379"/>
      <c r="BD158" s="379">
        <v>0</v>
      </c>
      <c r="BE158" s="379">
        <f t="shared" si="41"/>
        <v>6534.8899999999994</v>
      </c>
      <c r="BF158" s="379"/>
      <c r="BO158" s="477"/>
      <c r="BP158" s="477">
        <v>434750.94</v>
      </c>
      <c r="BQ158" s="477">
        <v>172489.37</v>
      </c>
      <c r="BR158" s="477"/>
      <c r="BS158" s="477">
        <v>0</v>
      </c>
      <c r="BT158" s="477">
        <v>607240.31000000006</v>
      </c>
      <c r="BW158" s="126">
        <v>1091</v>
      </c>
      <c r="BX158" s="125">
        <v>21303</v>
      </c>
      <c r="BY158" s="19" t="s">
        <v>13</v>
      </c>
      <c r="BZ158" t="s">
        <v>1010</v>
      </c>
    </row>
    <row r="159" spans="1:78" x14ac:dyDescent="0.25">
      <c r="A159" s="443">
        <v>21302</v>
      </c>
      <c r="B159" s="19" t="s">
        <v>13</v>
      </c>
      <c r="C159" t="s">
        <v>82</v>
      </c>
      <c r="D159" s="379">
        <v>3246.26</v>
      </c>
      <c r="E159" s="120">
        <v>5.4228927580723057E-6</v>
      </c>
      <c r="F159" s="379">
        <v>268691.96000000002</v>
      </c>
      <c r="G159" s="120">
        <v>4.4885119615688631E-4</v>
      </c>
      <c r="H159" s="379">
        <v>667410.82999999996</v>
      </c>
      <c r="I159" s="120">
        <v>2.5664259069849244E-3</v>
      </c>
      <c r="J159" s="379">
        <v>29515.86</v>
      </c>
      <c r="K159" s="120">
        <v>1.3239623851549025E-4</v>
      </c>
      <c r="L159" s="379">
        <v>540840.30000000005</v>
      </c>
      <c r="M159" s="120">
        <v>2.4259913604953169E-3</v>
      </c>
      <c r="N159" s="379">
        <v>1782623.33</v>
      </c>
      <c r="O159" s="120">
        <v>2.5118317776595309E-3</v>
      </c>
      <c r="P159" s="383">
        <f t="shared" si="38"/>
        <v>3292328.54</v>
      </c>
      <c r="R159" s="379"/>
      <c r="S159" s="120"/>
      <c r="T159" s="380"/>
      <c r="U159" s="551">
        <v>122</v>
      </c>
      <c r="V159" s="550" t="s">
        <v>83</v>
      </c>
      <c r="W159" s="449" t="s">
        <v>13</v>
      </c>
      <c r="X159" s="562" t="s">
        <v>82</v>
      </c>
      <c r="Y159" s="379">
        <v>16647.72</v>
      </c>
      <c r="Z159" s="379">
        <v>1813440.74</v>
      </c>
      <c r="AA159" s="379">
        <v>623183.98</v>
      </c>
      <c r="AB159" s="379">
        <v>2058.7600000000002</v>
      </c>
      <c r="AC159" s="379">
        <v>0</v>
      </c>
      <c r="AD159" s="379">
        <v>2455331.1999999997</v>
      </c>
      <c r="AE159" s="124"/>
      <c r="AF159" s="551">
        <v>122</v>
      </c>
      <c r="AG159" s="550" t="s">
        <v>83</v>
      </c>
      <c r="AH159" s="449" t="s">
        <v>13</v>
      </c>
      <c r="AI159" s="562" t="s">
        <v>82</v>
      </c>
      <c r="AJ159" s="383">
        <f t="shared" si="30"/>
        <v>29515.86</v>
      </c>
      <c r="AK159" s="383">
        <f t="shared" si="31"/>
        <v>1782623.33</v>
      </c>
      <c r="AL159" s="383">
        <f t="shared" si="32"/>
        <v>667410.82999999996</v>
      </c>
      <c r="AM159" s="383">
        <f t="shared" si="33"/>
        <v>3246.26</v>
      </c>
      <c r="AN159" s="383">
        <f t="shared" si="34"/>
        <v>0</v>
      </c>
      <c r="AO159" s="124">
        <f t="shared" si="39"/>
        <v>2482796.2799999998</v>
      </c>
      <c r="AR159" s="124">
        <f t="shared" si="35"/>
        <v>540840.30000000005</v>
      </c>
      <c r="AS159" s="124">
        <f t="shared" si="36"/>
        <v>268691.96000000002</v>
      </c>
      <c r="AV159" s="379">
        <f t="shared" si="40"/>
        <v>809532.26</v>
      </c>
      <c r="AW159" s="124">
        <f t="shared" si="37"/>
        <v>0</v>
      </c>
      <c r="AZ159" s="379">
        <v>542.26</v>
      </c>
      <c r="BA159" s="379">
        <v>43359.009999999995</v>
      </c>
      <c r="BB159" s="379">
        <v>16899.939999999999</v>
      </c>
      <c r="BC159" s="379">
        <v>67.55</v>
      </c>
      <c r="BD159" s="379">
        <v>0</v>
      </c>
      <c r="BE159" s="379">
        <f t="shared" si="41"/>
        <v>60868.759999999995</v>
      </c>
      <c r="BF159" s="379"/>
      <c r="BO159" s="477">
        <v>46705.84</v>
      </c>
      <c r="BP159" s="477">
        <v>4180263.38</v>
      </c>
      <c r="BQ159" s="477">
        <v>1576186.71</v>
      </c>
      <c r="BR159" s="477">
        <v>5372.57</v>
      </c>
      <c r="BS159" s="477">
        <v>0</v>
      </c>
      <c r="BT159" s="477">
        <v>5808528.5</v>
      </c>
      <c r="BW159" s="126">
        <v>119</v>
      </c>
      <c r="BX159" s="125">
        <v>21401</v>
      </c>
      <c r="BY159" s="19" t="s">
        <v>13</v>
      </c>
      <c r="BZ159" t="s">
        <v>761</v>
      </c>
    </row>
    <row r="160" spans="1:78" x14ac:dyDescent="0.25">
      <c r="A160" s="443">
        <v>21303</v>
      </c>
      <c r="B160" s="19" t="s">
        <v>13</v>
      </c>
      <c r="C160" t="s">
        <v>602</v>
      </c>
      <c r="D160" s="379"/>
      <c r="E160" s="120"/>
      <c r="F160" s="379">
        <v>37778.86</v>
      </c>
      <c r="G160" s="120">
        <v>6.310976517661171E-5</v>
      </c>
      <c r="H160" s="379">
        <v>93405.25</v>
      </c>
      <c r="I160" s="120">
        <v>3.5917555225827491E-4</v>
      </c>
      <c r="J160" s="379">
        <v>0</v>
      </c>
      <c r="K160" s="120">
        <v>0</v>
      </c>
      <c r="L160" s="379">
        <v>55127.7</v>
      </c>
      <c r="M160" s="120">
        <v>2.4728061855593543E-4</v>
      </c>
      <c r="N160" s="379">
        <v>187876.82</v>
      </c>
      <c r="O160" s="120">
        <v>2.6473061292293292E-4</v>
      </c>
      <c r="P160" s="383">
        <f t="shared" si="38"/>
        <v>374188.63</v>
      </c>
      <c r="R160" s="379"/>
      <c r="S160" s="120"/>
      <c r="T160" s="380"/>
      <c r="U160" s="551">
        <v>1091</v>
      </c>
      <c r="V160" s="550" t="s">
        <v>603</v>
      </c>
      <c r="W160" s="449" t="s">
        <v>13</v>
      </c>
      <c r="X160" s="562" t="s">
        <v>602</v>
      </c>
      <c r="Y160" s="379">
        <v>0</v>
      </c>
      <c r="Z160" s="379">
        <v>210813.83000000002</v>
      </c>
      <c r="AA160" s="379">
        <v>82174.679999999993</v>
      </c>
      <c r="AB160" s="379"/>
      <c r="AC160" s="379">
        <v>0</v>
      </c>
      <c r="AD160" s="379">
        <v>292988.51</v>
      </c>
      <c r="AE160" s="124"/>
      <c r="AF160" s="551">
        <v>1091</v>
      </c>
      <c r="AG160" s="550" t="s">
        <v>603</v>
      </c>
      <c r="AH160" s="449" t="s">
        <v>13</v>
      </c>
      <c r="AI160" s="562" t="s">
        <v>602</v>
      </c>
      <c r="AJ160" s="383">
        <f t="shared" si="30"/>
        <v>0</v>
      </c>
      <c r="AK160" s="383">
        <f t="shared" si="31"/>
        <v>187876.82</v>
      </c>
      <c r="AL160" s="383">
        <f t="shared" si="32"/>
        <v>93405.25</v>
      </c>
      <c r="AM160" s="383">
        <f t="shared" si="33"/>
        <v>0</v>
      </c>
      <c r="AN160" s="383">
        <f t="shared" si="34"/>
        <v>0</v>
      </c>
      <c r="AO160" s="124">
        <f t="shared" si="39"/>
        <v>281282.07</v>
      </c>
      <c r="AR160" s="124">
        <f t="shared" si="35"/>
        <v>55127.7</v>
      </c>
      <c r="AS160" s="124">
        <f t="shared" si="36"/>
        <v>37778.86</v>
      </c>
      <c r="AV160" s="379">
        <f t="shared" si="40"/>
        <v>92906.559999999998</v>
      </c>
      <c r="AW160" s="124">
        <f t="shared" si="37"/>
        <v>0</v>
      </c>
      <c r="AZ160" s="379">
        <v>0</v>
      </c>
      <c r="BA160" s="379">
        <v>4576.9799999999996</v>
      </c>
      <c r="BB160" s="379">
        <v>2361.0699999999997</v>
      </c>
      <c r="BC160" s="379"/>
      <c r="BD160" s="379">
        <v>0</v>
      </c>
      <c r="BE160" s="379">
        <f t="shared" si="41"/>
        <v>6938.0499999999993</v>
      </c>
      <c r="BF160" s="379"/>
      <c r="BO160" s="477">
        <v>0</v>
      </c>
      <c r="BP160" s="477">
        <v>458395.33</v>
      </c>
      <c r="BQ160" s="477">
        <v>215719.86</v>
      </c>
      <c r="BR160" s="477"/>
      <c r="BS160" s="477">
        <v>0</v>
      </c>
      <c r="BT160" s="477">
        <v>674115.19</v>
      </c>
      <c r="BW160" s="126">
        <v>928</v>
      </c>
      <c r="BX160" s="125">
        <v>22008</v>
      </c>
      <c r="BY160" s="19" t="s">
        <v>18</v>
      </c>
      <c r="BZ160" t="s">
        <v>969</v>
      </c>
    </row>
    <row r="161" spans="1:78" x14ac:dyDescent="0.25">
      <c r="A161" s="443">
        <v>21401</v>
      </c>
      <c r="B161" s="19" t="s">
        <v>13</v>
      </c>
      <c r="C161" t="s">
        <v>80</v>
      </c>
      <c r="D161" s="379"/>
      <c r="E161" s="120"/>
      <c r="F161" s="379">
        <v>294173.06</v>
      </c>
      <c r="G161" s="120">
        <v>4.9141749480755383E-4</v>
      </c>
      <c r="H161" s="379">
        <v>731209.53</v>
      </c>
      <c r="I161" s="120">
        <v>2.8117540154783982E-3</v>
      </c>
      <c r="J161" s="379">
        <v>0</v>
      </c>
      <c r="K161" s="120">
        <v>0</v>
      </c>
      <c r="L161" s="379">
        <v>574580.42000000004</v>
      </c>
      <c r="M161" s="120">
        <v>2.5773359249112366E-3</v>
      </c>
      <c r="N161" s="379">
        <v>1875595.4</v>
      </c>
      <c r="O161" s="120">
        <v>2.6428354484466657E-3</v>
      </c>
      <c r="P161" s="383">
        <f t="shared" si="38"/>
        <v>3475558.41</v>
      </c>
      <c r="R161" s="379"/>
      <c r="S161" s="120"/>
      <c r="T161" s="380"/>
      <c r="U161" s="551">
        <v>119</v>
      </c>
      <c r="V161" s="550" t="s">
        <v>81</v>
      </c>
      <c r="W161" s="449" t="s">
        <v>13</v>
      </c>
      <c r="X161" s="562" t="s">
        <v>80</v>
      </c>
      <c r="Y161" s="379">
        <v>0</v>
      </c>
      <c r="Z161" s="379">
        <v>1839908.9699999997</v>
      </c>
      <c r="AA161" s="379">
        <v>674369.72</v>
      </c>
      <c r="AB161" s="379"/>
      <c r="AC161" s="379">
        <v>0</v>
      </c>
      <c r="AD161" s="379">
        <v>2514278.6899999995</v>
      </c>
      <c r="AE161" s="124"/>
      <c r="AF161" s="551">
        <v>119</v>
      </c>
      <c r="AG161" s="550" t="s">
        <v>81</v>
      </c>
      <c r="AH161" s="449" t="s">
        <v>13</v>
      </c>
      <c r="AI161" s="562" t="s">
        <v>80</v>
      </c>
      <c r="AJ161" s="383">
        <f t="shared" si="30"/>
        <v>0</v>
      </c>
      <c r="AK161" s="383">
        <f t="shared" si="31"/>
        <v>1875595.4</v>
      </c>
      <c r="AL161" s="383">
        <f t="shared" si="32"/>
        <v>731209.53</v>
      </c>
      <c r="AM161" s="383">
        <f t="shared" si="33"/>
        <v>0</v>
      </c>
      <c r="AN161" s="383">
        <f t="shared" si="34"/>
        <v>0</v>
      </c>
      <c r="AO161" s="124">
        <f t="shared" si="39"/>
        <v>2606804.9299999997</v>
      </c>
      <c r="AR161" s="124">
        <f t="shared" si="35"/>
        <v>574580.42000000004</v>
      </c>
      <c r="AS161" s="124">
        <f t="shared" si="36"/>
        <v>294173.06</v>
      </c>
      <c r="AV161" s="379">
        <f t="shared" si="40"/>
        <v>868753.48</v>
      </c>
      <c r="AW161" s="124">
        <f t="shared" si="37"/>
        <v>0</v>
      </c>
      <c r="AZ161" s="379">
        <v>0</v>
      </c>
      <c r="BA161" s="379">
        <v>45598.630000000005</v>
      </c>
      <c r="BB161" s="379">
        <v>18520.07</v>
      </c>
      <c r="BC161" s="379"/>
      <c r="BD161" s="379">
        <v>0</v>
      </c>
      <c r="BE161" s="379">
        <f t="shared" si="41"/>
        <v>64118.700000000004</v>
      </c>
      <c r="BF161" s="379"/>
      <c r="BO161" s="477">
        <v>0</v>
      </c>
      <c r="BP161" s="477">
        <v>4335683.42</v>
      </c>
      <c r="BQ161" s="477">
        <v>1718272.38</v>
      </c>
      <c r="BR161" s="477"/>
      <c r="BS161" s="477">
        <v>0</v>
      </c>
      <c r="BT161" s="477">
        <v>6053955.7999999998</v>
      </c>
      <c r="BW161" s="126">
        <v>798</v>
      </c>
      <c r="BX161" s="125">
        <v>22009</v>
      </c>
      <c r="BY161" s="19" t="s">
        <v>18</v>
      </c>
      <c r="BZ161" t="s">
        <v>937</v>
      </c>
    </row>
    <row r="162" spans="1:78" x14ac:dyDescent="0.25">
      <c r="A162" s="443">
        <v>22008</v>
      </c>
      <c r="B162" s="19" t="s">
        <v>18</v>
      </c>
      <c r="C162" t="s">
        <v>514</v>
      </c>
      <c r="D162" s="379"/>
      <c r="E162" s="120"/>
      <c r="F162" s="379">
        <v>12302.26</v>
      </c>
      <c r="G162" s="120">
        <v>2.0550983797330654E-5</v>
      </c>
      <c r="H162" s="379">
        <v>30591.11</v>
      </c>
      <c r="I162" s="120">
        <v>1.1763341812632198E-4</v>
      </c>
      <c r="J162" s="379">
        <v>0</v>
      </c>
      <c r="K162" s="120">
        <v>0</v>
      </c>
      <c r="L162" s="379">
        <v>24679.06</v>
      </c>
      <c r="M162" s="120">
        <v>1.1070030533069662E-4</v>
      </c>
      <c r="N162" s="379">
        <v>84667.12</v>
      </c>
      <c r="O162" s="120">
        <v>1.1930145811505384E-4</v>
      </c>
      <c r="P162" s="383">
        <f t="shared" si="38"/>
        <v>152239.54999999999</v>
      </c>
      <c r="R162" s="379"/>
      <c r="S162" s="120"/>
      <c r="T162" s="380"/>
      <c r="U162" s="551">
        <v>928</v>
      </c>
      <c r="V162" s="550" t="s">
        <v>515</v>
      </c>
      <c r="W162" s="449" t="s">
        <v>18</v>
      </c>
      <c r="X162" s="562" t="s">
        <v>514</v>
      </c>
      <c r="Y162" s="379">
        <v>0</v>
      </c>
      <c r="Z162" s="379">
        <v>96884.260000000009</v>
      </c>
      <c r="AA162" s="379">
        <v>28801.06</v>
      </c>
      <c r="AB162" s="379"/>
      <c r="AC162" s="379">
        <v>0</v>
      </c>
      <c r="AD162" s="379">
        <v>125685.32</v>
      </c>
      <c r="AE162" s="124"/>
      <c r="AF162" s="551">
        <v>928</v>
      </c>
      <c r="AG162" s="550" t="s">
        <v>515</v>
      </c>
      <c r="AH162" s="449" t="s">
        <v>18</v>
      </c>
      <c r="AI162" s="562" t="s">
        <v>514</v>
      </c>
      <c r="AJ162" s="383">
        <f t="shared" si="30"/>
        <v>0</v>
      </c>
      <c r="AK162" s="383">
        <f t="shared" si="31"/>
        <v>84667.12</v>
      </c>
      <c r="AL162" s="383">
        <f t="shared" si="32"/>
        <v>30591.11</v>
      </c>
      <c r="AM162" s="383">
        <f t="shared" si="33"/>
        <v>0</v>
      </c>
      <c r="AN162" s="383">
        <f t="shared" si="34"/>
        <v>0</v>
      </c>
      <c r="AO162" s="124">
        <f t="shared" si="39"/>
        <v>115258.23</v>
      </c>
      <c r="AR162" s="124">
        <f t="shared" si="35"/>
        <v>24679.06</v>
      </c>
      <c r="AS162" s="124">
        <f t="shared" si="36"/>
        <v>12302.26</v>
      </c>
      <c r="AV162" s="379">
        <f t="shared" si="40"/>
        <v>36981.32</v>
      </c>
      <c r="AW162" s="124">
        <f t="shared" si="37"/>
        <v>0</v>
      </c>
      <c r="AZ162" s="379">
        <v>0</v>
      </c>
      <c r="BA162" s="379">
        <v>2063.1999999999998</v>
      </c>
      <c r="BB162" s="379">
        <v>774.8</v>
      </c>
      <c r="BC162" s="379"/>
      <c r="BD162" s="379">
        <v>0</v>
      </c>
      <c r="BE162" s="379">
        <f t="shared" si="41"/>
        <v>2838</v>
      </c>
      <c r="BF162" s="379"/>
      <c r="BO162" s="477">
        <v>0</v>
      </c>
      <c r="BP162" s="477">
        <v>208293.64</v>
      </c>
      <c r="BQ162" s="477">
        <v>72469.23000000001</v>
      </c>
      <c r="BR162" s="477"/>
      <c r="BS162" s="477">
        <v>0</v>
      </c>
      <c r="BT162" s="477">
        <v>280762.87</v>
      </c>
      <c r="BW162" s="126">
        <v>17</v>
      </c>
      <c r="BX162" s="125">
        <v>22017</v>
      </c>
      <c r="BY162" s="19" t="s">
        <v>18</v>
      </c>
      <c r="BZ162" t="s">
        <v>733</v>
      </c>
    </row>
    <row r="163" spans="1:78" x14ac:dyDescent="0.25">
      <c r="A163" s="443">
        <v>22009</v>
      </c>
      <c r="B163" s="19" t="s">
        <v>18</v>
      </c>
      <c r="C163" t="s">
        <v>448</v>
      </c>
      <c r="D163" s="379">
        <v>2545.6799999999998</v>
      </c>
      <c r="E163" s="120">
        <v>4.2525705385180193E-6</v>
      </c>
      <c r="F163" s="379">
        <v>63154.74</v>
      </c>
      <c r="G163" s="120">
        <v>1.0550029331721407E-4</v>
      </c>
      <c r="H163" s="379">
        <v>153033.16</v>
      </c>
      <c r="I163" s="120">
        <v>5.8846552797437986E-4</v>
      </c>
      <c r="J163" s="379">
        <v>0</v>
      </c>
      <c r="K163" s="120">
        <v>0</v>
      </c>
      <c r="L163" s="379">
        <v>107358.14</v>
      </c>
      <c r="M163" s="120">
        <v>4.815652977761581E-4</v>
      </c>
      <c r="N163" s="379">
        <v>320684.92</v>
      </c>
      <c r="O163" s="120">
        <v>4.5186583116928262E-4</v>
      </c>
      <c r="P163" s="383">
        <f t="shared" si="38"/>
        <v>646776.64</v>
      </c>
      <c r="R163" s="379"/>
      <c r="S163" s="120"/>
      <c r="T163" s="380"/>
      <c r="U163" s="551">
        <v>798</v>
      </c>
      <c r="V163" s="550" t="s">
        <v>449</v>
      </c>
      <c r="W163" s="449" t="s">
        <v>18</v>
      </c>
      <c r="X163" s="562" t="s">
        <v>448</v>
      </c>
      <c r="Y163" s="379">
        <v>0</v>
      </c>
      <c r="Z163" s="379">
        <v>317403.88</v>
      </c>
      <c r="AA163" s="379">
        <v>150762.97999999998</v>
      </c>
      <c r="AB163" s="379">
        <v>1603.59</v>
      </c>
      <c r="AC163" s="379">
        <v>0</v>
      </c>
      <c r="AD163" s="379">
        <v>469770.45</v>
      </c>
      <c r="AE163" s="124"/>
      <c r="AF163" s="551">
        <v>798</v>
      </c>
      <c r="AG163" s="550" t="s">
        <v>449</v>
      </c>
      <c r="AH163" s="449" t="s">
        <v>18</v>
      </c>
      <c r="AI163" s="562" t="s">
        <v>448</v>
      </c>
      <c r="AJ163" s="383">
        <f t="shared" si="30"/>
        <v>0</v>
      </c>
      <c r="AK163" s="383">
        <f t="shared" si="31"/>
        <v>320684.92</v>
      </c>
      <c r="AL163" s="383">
        <f t="shared" si="32"/>
        <v>153033.16</v>
      </c>
      <c r="AM163" s="383">
        <f t="shared" si="33"/>
        <v>2545.6799999999998</v>
      </c>
      <c r="AN163" s="383">
        <f t="shared" si="34"/>
        <v>0</v>
      </c>
      <c r="AO163" s="124">
        <f t="shared" si="39"/>
        <v>476263.75999999995</v>
      </c>
      <c r="AR163" s="124">
        <f t="shared" si="35"/>
        <v>107358.14</v>
      </c>
      <c r="AS163" s="124">
        <f t="shared" si="36"/>
        <v>63154.74</v>
      </c>
      <c r="AV163" s="379">
        <f t="shared" si="40"/>
        <v>170512.88</v>
      </c>
      <c r="AW163" s="124">
        <f t="shared" si="37"/>
        <v>0</v>
      </c>
      <c r="AZ163" s="379">
        <v>0</v>
      </c>
      <c r="BA163" s="379">
        <v>7760.3600000000006</v>
      </c>
      <c r="BB163" s="379">
        <v>3839.5599999999995</v>
      </c>
      <c r="BC163" s="379">
        <v>52.13</v>
      </c>
      <c r="BD163" s="379">
        <v>0</v>
      </c>
      <c r="BE163" s="379">
        <f t="shared" si="41"/>
        <v>11652.05</v>
      </c>
      <c r="BF163" s="379"/>
      <c r="BO163" s="477">
        <v>0</v>
      </c>
      <c r="BP163" s="477">
        <v>753207.3</v>
      </c>
      <c r="BQ163" s="477">
        <v>370790.44</v>
      </c>
      <c r="BR163" s="477">
        <v>4201.3999999999996</v>
      </c>
      <c r="BS163" s="477">
        <v>0</v>
      </c>
      <c r="BT163" s="477">
        <v>1128199.1399999999</v>
      </c>
      <c r="BW163" s="126">
        <v>211</v>
      </c>
      <c r="BX163" s="125">
        <v>22073</v>
      </c>
      <c r="BY163" s="19" t="s">
        <v>18</v>
      </c>
      <c r="BZ163" t="s">
        <v>781</v>
      </c>
    </row>
    <row r="164" spans="1:78" x14ac:dyDescent="0.25">
      <c r="A164" s="443">
        <v>22017</v>
      </c>
      <c r="B164" s="19" t="s">
        <v>18</v>
      </c>
      <c r="C164" t="s">
        <v>16</v>
      </c>
      <c r="D164" s="379">
        <v>21.7</v>
      </c>
      <c r="E164" s="120">
        <v>3.6249953130731679E-8</v>
      </c>
      <c r="F164" s="379">
        <v>13731.66</v>
      </c>
      <c r="G164" s="120">
        <v>2.2938803290651752E-5</v>
      </c>
      <c r="H164" s="379">
        <v>33449.699999999997</v>
      </c>
      <c r="I164" s="120">
        <v>1.2862568721108949E-4</v>
      </c>
      <c r="J164" s="379"/>
      <c r="K164" s="120"/>
      <c r="L164" s="379">
        <v>25591.62</v>
      </c>
      <c r="M164" s="120">
        <v>1.1479368127907472E-4</v>
      </c>
      <c r="N164" s="379">
        <v>78328.5</v>
      </c>
      <c r="O164" s="120">
        <v>1.1036993182199885E-4</v>
      </c>
      <c r="P164" s="383">
        <f t="shared" si="38"/>
        <v>151123.18</v>
      </c>
      <c r="R164" s="379"/>
      <c r="S164" s="120"/>
      <c r="T164" s="380"/>
      <c r="U164" s="551">
        <v>17</v>
      </c>
      <c r="V164" s="550" t="s">
        <v>17</v>
      </c>
      <c r="W164" s="449" t="s">
        <v>18</v>
      </c>
      <c r="X164" s="562" t="s">
        <v>16</v>
      </c>
      <c r="Y164" s="379"/>
      <c r="Z164" s="379">
        <v>67003.78</v>
      </c>
      <c r="AA164" s="379">
        <v>37018.230000000003</v>
      </c>
      <c r="AB164" s="379">
        <v>12.75</v>
      </c>
      <c r="AC164" s="379">
        <v>0</v>
      </c>
      <c r="AD164" s="379">
        <v>104034.76000000001</v>
      </c>
      <c r="AE164" s="124"/>
      <c r="AF164" s="551">
        <v>17</v>
      </c>
      <c r="AG164" s="550" t="s">
        <v>17</v>
      </c>
      <c r="AH164" s="449" t="s">
        <v>18</v>
      </c>
      <c r="AI164" s="562" t="s">
        <v>16</v>
      </c>
      <c r="AJ164" s="383">
        <f t="shared" si="30"/>
        <v>0</v>
      </c>
      <c r="AK164" s="383">
        <f t="shared" si="31"/>
        <v>78328.5</v>
      </c>
      <c r="AL164" s="383">
        <f t="shared" si="32"/>
        <v>33449.699999999997</v>
      </c>
      <c r="AM164" s="383">
        <f t="shared" si="33"/>
        <v>21.7</v>
      </c>
      <c r="AN164" s="383">
        <f t="shared" si="34"/>
        <v>0</v>
      </c>
      <c r="AO164" s="124">
        <f t="shared" si="39"/>
        <v>111799.9</v>
      </c>
      <c r="AR164" s="124">
        <f t="shared" si="35"/>
        <v>25591.62</v>
      </c>
      <c r="AS164" s="124">
        <f t="shared" si="36"/>
        <v>13731.66</v>
      </c>
      <c r="AV164" s="379">
        <f t="shared" si="40"/>
        <v>39323.279999999999</v>
      </c>
      <c r="AW164" s="124">
        <f t="shared" si="37"/>
        <v>0</v>
      </c>
      <c r="AZ164" s="379"/>
      <c r="BA164" s="379">
        <v>1897.9</v>
      </c>
      <c r="BB164" s="379">
        <v>840.83999999999992</v>
      </c>
      <c r="BC164" s="379">
        <v>0.38</v>
      </c>
      <c r="BD164" s="379">
        <v>0</v>
      </c>
      <c r="BE164" s="379">
        <f t="shared" si="41"/>
        <v>2739.12</v>
      </c>
      <c r="BF164" s="379"/>
      <c r="BO164" s="477"/>
      <c r="BP164" s="477">
        <v>172821.8</v>
      </c>
      <c r="BQ164" s="477">
        <v>85040.430000000008</v>
      </c>
      <c r="BR164" s="477">
        <v>34.83</v>
      </c>
      <c r="BS164" s="477">
        <v>0</v>
      </c>
      <c r="BT164" s="477">
        <v>257897.05999999997</v>
      </c>
      <c r="BW164" s="126">
        <v>664</v>
      </c>
      <c r="BX164" s="125">
        <v>22105</v>
      </c>
      <c r="BY164" s="19" t="s">
        <v>18</v>
      </c>
      <c r="BZ164" t="s">
        <v>902</v>
      </c>
    </row>
    <row r="165" spans="1:78" x14ac:dyDescent="0.25">
      <c r="A165" s="443">
        <v>22073</v>
      </c>
      <c r="B165" s="19" t="s">
        <v>18</v>
      </c>
      <c r="C165" t="s">
        <v>120</v>
      </c>
      <c r="D165" s="379"/>
      <c r="E165" s="120"/>
      <c r="F165" s="379">
        <v>16976.37</v>
      </c>
      <c r="G165" s="120">
        <v>2.8359106766357576E-5</v>
      </c>
      <c r="H165" s="379">
        <v>42076.33</v>
      </c>
      <c r="I165" s="120">
        <v>1.6179806878897514E-4</v>
      </c>
      <c r="J165" s="379">
        <v>0</v>
      </c>
      <c r="K165" s="120">
        <v>0</v>
      </c>
      <c r="L165" s="379">
        <v>24323.01</v>
      </c>
      <c r="M165" s="120">
        <v>1.0910320869439868E-4</v>
      </c>
      <c r="N165" s="379">
        <v>86248.320000000007</v>
      </c>
      <c r="O165" s="120">
        <v>1.2152947136944969E-4</v>
      </c>
      <c r="P165" s="383">
        <f t="shared" si="38"/>
        <v>169624.03</v>
      </c>
      <c r="R165" s="379"/>
      <c r="S165" s="120"/>
      <c r="T165" s="380"/>
      <c r="U165" s="551">
        <v>211</v>
      </c>
      <c r="V165" s="550" t="s">
        <v>121</v>
      </c>
      <c r="W165" s="449" t="s">
        <v>18</v>
      </c>
      <c r="X165" s="562" t="s">
        <v>120</v>
      </c>
      <c r="Y165" s="379">
        <v>0</v>
      </c>
      <c r="Z165" s="379">
        <v>86484.53</v>
      </c>
      <c r="AA165" s="379">
        <v>41648.270000000004</v>
      </c>
      <c r="AB165" s="379"/>
      <c r="AC165" s="379">
        <v>0</v>
      </c>
      <c r="AD165" s="379">
        <v>128132.8</v>
      </c>
      <c r="AE165" s="124"/>
      <c r="AF165" s="551">
        <v>211</v>
      </c>
      <c r="AG165" s="550" t="s">
        <v>121</v>
      </c>
      <c r="AH165" s="449" t="s">
        <v>18</v>
      </c>
      <c r="AI165" s="562" t="s">
        <v>120</v>
      </c>
      <c r="AJ165" s="383">
        <f t="shared" si="30"/>
        <v>0</v>
      </c>
      <c r="AK165" s="383">
        <f t="shared" si="31"/>
        <v>86248.320000000007</v>
      </c>
      <c r="AL165" s="383">
        <f t="shared" si="32"/>
        <v>42076.33</v>
      </c>
      <c r="AM165" s="383">
        <f t="shared" si="33"/>
        <v>0</v>
      </c>
      <c r="AN165" s="383">
        <f t="shared" si="34"/>
        <v>0</v>
      </c>
      <c r="AO165" s="124">
        <f t="shared" si="39"/>
        <v>128324.65000000001</v>
      </c>
      <c r="AR165" s="124">
        <f t="shared" si="35"/>
        <v>24323.01</v>
      </c>
      <c r="AS165" s="124">
        <f t="shared" si="36"/>
        <v>16976.37</v>
      </c>
      <c r="AV165" s="379">
        <f t="shared" si="40"/>
        <v>41299.379999999997</v>
      </c>
      <c r="AW165" s="124">
        <f t="shared" si="37"/>
        <v>0</v>
      </c>
      <c r="AZ165" s="379">
        <v>0</v>
      </c>
      <c r="BA165" s="379">
        <v>2104.8200000000002</v>
      </c>
      <c r="BB165" s="379">
        <v>1064.5</v>
      </c>
      <c r="BC165" s="379"/>
      <c r="BD165" s="379">
        <v>0</v>
      </c>
      <c r="BE165" s="379">
        <f t="shared" si="41"/>
        <v>3169.32</v>
      </c>
      <c r="BF165" s="379"/>
      <c r="BO165" s="477">
        <v>0</v>
      </c>
      <c r="BP165" s="477">
        <v>199160.68</v>
      </c>
      <c r="BQ165" s="477">
        <v>101765.47</v>
      </c>
      <c r="BR165" s="477"/>
      <c r="BS165" s="477">
        <v>0</v>
      </c>
      <c r="BT165" s="477">
        <v>300926.15000000002</v>
      </c>
      <c r="BW165" s="126">
        <v>1099</v>
      </c>
      <c r="BX165" s="125">
        <v>22200</v>
      </c>
      <c r="BY165" s="19" t="s">
        <v>18</v>
      </c>
      <c r="BZ165" t="s">
        <v>1013</v>
      </c>
    </row>
    <row r="166" spans="1:78" x14ac:dyDescent="0.25">
      <c r="A166" s="443">
        <v>22105</v>
      </c>
      <c r="B166" s="19" t="s">
        <v>18</v>
      </c>
      <c r="C166" t="s">
        <v>374</v>
      </c>
      <c r="D166" s="379"/>
      <c r="E166" s="120"/>
      <c r="F166" s="379">
        <v>23984.84</v>
      </c>
      <c r="G166" s="120">
        <v>4.0066789209589796E-5</v>
      </c>
      <c r="H166" s="379">
        <v>59679.09</v>
      </c>
      <c r="I166" s="120">
        <v>2.2948678055057173E-4</v>
      </c>
      <c r="J166" s="379">
        <v>0</v>
      </c>
      <c r="K166" s="120">
        <v>0</v>
      </c>
      <c r="L166" s="379">
        <v>43296.77</v>
      </c>
      <c r="M166" s="120">
        <v>1.9421184027401954E-4</v>
      </c>
      <c r="N166" s="379">
        <v>146060.69</v>
      </c>
      <c r="O166" s="120">
        <v>2.0580897626246015E-4</v>
      </c>
      <c r="P166" s="383">
        <f t="shared" si="38"/>
        <v>273021.39</v>
      </c>
      <c r="R166" s="379"/>
      <c r="S166" s="120"/>
      <c r="T166" s="380"/>
      <c r="U166" s="551">
        <v>664</v>
      </c>
      <c r="V166" s="550" t="s">
        <v>375</v>
      </c>
      <c r="W166" s="449" t="s">
        <v>18</v>
      </c>
      <c r="X166" s="562" t="s">
        <v>374</v>
      </c>
      <c r="Y166" s="379">
        <v>0</v>
      </c>
      <c r="Z166" s="379">
        <v>136239.91</v>
      </c>
      <c r="AA166" s="379">
        <v>58330.17</v>
      </c>
      <c r="AB166" s="379"/>
      <c r="AC166" s="379">
        <v>0</v>
      </c>
      <c r="AD166" s="379">
        <v>194570.08000000002</v>
      </c>
      <c r="AE166" s="124"/>
      <c r="AF166" s="551">
        <v>664</v>
      </c>
      <c r="AG166" s="550" t="s">
        <v>375</v>
      </c>
      <c r="AH166" s="449" t="s">
        <v>18</v>
      </c>
      <c r="AI166" s="562" t="s">
        <v>374</v>
      </c>
      <c r="AJ166" s="383">
        <f t="shared" si="30"/>
        <v>0</v>
      </c>
      <c r="AK166" s="383">
        <f t="shared" si="31"/>
        <v>146060.69</v>
      </c>
      <c r="AL166" s="383">
        <f t="shared" si="32"/>
        <v>59679.09</v>
      </c>
      <c r="AM166" s="383">
        <f t="shared" si="33"/>
        <v>0</v>
      </c>
      <c r="AN166" s="383">
        <f t="shared" si="34"/>
        <v>0</v>
      </c>
      <c r="AO166" s="124">
        <f t="shared" si="39"/>
        <v>205739.78</v>
      </c>
      <c r="AR166" s="124">
        <f t="shared" si="35"/>
        <v>43296.77</v>
      </c>
      <c r="AS166" s="124">
        <f t="shared" si="36"/>
        <v>23984.84</v>
      </c>
      <c r="AV166" s="379">
        <f t="shared" si="40"/>
        <v>67281.61</v>
      </c>
      <c r="AW166" s="124">
        <f t="shared" si="37"/>
        <v>0</v>
      </c>
      <c r="AZ166" s="379">
        <v>0</v>
      </c>
      <c r="BA166" s="379">
        <v>3556.51</v>
      </c>
      <c r="BB166" s="379">
        <v>1511.98</v>
      </c>
      <c r="BC166" s="379"/>
      <c r="BD166" s="379">
        <v>0</v>
      </c>
      <c r="BE166" s="379">
        <f t="shared" si="41"/>
        <v>5068.49</v>
      </c>
      <c r="BF166" s="379"/>
      <c r="BO166" s="477">
        <v>0</v>
      </c>
      <c r="BP166" s="477">
        <v>329153.88</v>
      </c>
      <c r="BQ166" s="477">
        <v>143506.07999999999</v>
      </c>
      <c r="BR166" s="477"/>
      <c r="BS166" s="477">
        <v>0</v>
      </c>
      <c r="BT166" s="477">
        <v>472659.95999999996</v>
      </c>
      <c r="BW166" s="126">
        <v>369</v>
      </c>
      <c r="BX166" s="125">
        <v>22204</v>
      </c>
      <c r="BY166" s="19" t="s">
        <v>18</v>
      </c>
      <c r="BZ166" t="s">
        <v>827</v>
      </c>
    </row>
    <row r="167" spans="1:78" x14ac:dyDescent="0.25">
      <c r="A167" s="443">
        <v>22200</v>
      </c>
      <c r="B167" s="19" t="s">
        <v>18</v>
      </c>
      <c r="C167" t="s">
        <v>608</v>
      </c>
      <c r="D167" s="379"/>
      <c r="E167" s="120"/>
      <c r="F167" s="379">
        <v>24691.17</v>
      </c>
      <c r="G167" s="120">
        <v>4.1246716831471342E-5</v>
      </c>
      <c r="H167" s="379">
        <v>61338.61</v>
      </c>
      <c r="I167" s="120">
        <v>2.3586820999360253E-4</v>
      </c>
      <c r="J167" s="379">
        <v>0</v>
      </c>
      <c r="K167" s="120">
        <v>0</v>
      </c>
      <c r="L167" s="379">
        <v>42987.53</v>
      </c>
      <c r="M167" s="120">
        <v>1.9282471441021176E-4</v>
      </c>
      <c r="N167" s="379">
        <v>148533.60999999999</v>
      </c>
      <c r="O167" s="120">
        <v>2.0929348077615895E-4</v>
      </c>
      <c r="P167" s="383">
        <f t="shared" si="38"/>
        <v>277550.92</v>
      </c>
      <c r="R167" s="379"/>
      <c r="S167" s="120"/>
      <c r="T167" s="380"/>
      <c r="U167" s="551">
        <v>1099</v>
      </c>
      <c r="V167" s="550" t="s">
        <v>609</v>
      </c>
      <c r="W167" s="449" t="s">
        <v>18</v>
      </c>
      <c r="X167" s="562" t="s">
        <v>608</v>
      </c>
      <c r="Y167" s="379">
        <v>0</v>
      </c>
      <c r="Z167" s="379">
        <v>160313.16</v>
      </c>
      <c r="AA167" s="379">
        <v>55833.2</v>
      </c>
      <c r="AB167" s="379"/>
      <c r="AC167" s="379">
        <v>0</v>
      </c>
      <c r="AD167" s="379">
        <v>216146.36</v>
      </c>
      <c r="AE167" s="124"/>
      <c r="AF167" s="551">
        <v>1099</v>
      </c>
      <c r="AG167" s="550" t="s">
        <v>609</v>
      </c>
      <c r="AH167" s="449" t="s">
        <v>18</v>
      </c>
      <c r="AI167" s="562" t="s">
        <v>608</v>
      </c>
      <c r="AJ167" s="383">
        <f t="shared" si="30"/>
        <v>0</v>
      </c>
      <c r="AK167" s="383">
        <f t="shared" si="31"/>
        <v>148533.60999999999</v>
      </c>
      <c r="AL167" s="383">
        <f t="shared" si="32"/>
        <v>61338.61</v>
      </c>
      <c r="AM167" s="383">
        <f t="shared" si="33"/>
        <v>0</v>
      </c>
      <c r="AN167" s="383">
        <f t="shared" si="34"/>
        <v>0</v>
      </c>
      <c r="AO167" s="124">
        <f t="shared" si="39"/>
        <v>209872.21999999997</v>
      </c>
      <c r="AR167" s="124">
        <f t="shared" si="35"/>
        <v>42987.53</v>
      </c>
      <c r="AS167" s="124">
        <f t="shared" si="36"/>
        <v>24691.17</v>
      </c>
      <c r="AV167" s="379">
        <f t="shared" si="40"/>
        <v>67678.7</v>
      </c>
      <c r="AW167" s="124">
        <f t="shared" si="37"/>
        <v>0</v>
      </c>
      <c r="AZ167" s="379">
        <v>0</v>
      </c>
      <c r="BA167" s="379">
        <v>3620.88</v>
      </c>
      <c r="BB167" s="379">
        <v>1553.13</v>
      </c>
      <c r="BC167" s="379"/>
      <c r="BD167" s="379">
        <v>0</v>
      </c>
      <c r="BE167" s="379">
        <f t="shared" si="41"/>
        <v>5174.01</v>
      </c>
      <c r="BF167" s="379"/>
      <c r="BO167" s="477">
        <v>0</v>
      </c>
      <c r="BP167" s="477">
        <v>355455.18</v>
      </c>
      <c r="BQ167" s="477">
        <v>143416.10999999999</v>
      </c>
      <c r="BR167" s="477"/>
      <c r="BS167" s="477">
        <v>0</v>
      </c>
      <c r="BT167" s="477">
        <v>498871.29</v>
      </c>
      <c r="BW167" s="126">
        <v>223</v>
      </c>
      <c r="BX167" s="125">
        <v>22207</v>
      </c>
      <c r="BY167" s="19" t="s">
        <v>18</v>
      </c>
      <c r="BZ167" t="s">
        <v>786</v>
      </c>
    </row>
    <row r="168" spans="1:78" x14ac:dyDescent="0.25">
      <c r="A168" s="443">
        <v>22204</v>
      </c>
      <c r="B168" s="19" t="s">
        <v>18</v>
      </c>
      <c r="C168" t="s">
        <v>214</v>
      </c>
      <c r="D168" s="379"/>
      <c r="E168" s="120"/>
      <c r="F168" s="379">
        <v>20063.14</v>
      </c>
      <c r="G168" s="120">
        <v>3.3515570721442768E-5</v>
      </c>
      <c r="H168" s="379">
        <v>48732.58</v>
      </c>
      <c r="I168" s="120">
        <v>1.8739365650721521E-4</v>
      </c>
      <c r="J168" s="379"/>
      <c r="K168" s="120"/>
      <c r="L168" s="379">
        <v>38812.97</v>
      </c>
      <c r="M168" s="120">
        <v>1.7409932265617764E-4</v>
      </c>
      <c r="N168" s="379">
        <v>118908.17</v>
      </c>
      <c r="O168" s="120">
        <v>1.675493162256222E-4</v>
      </c>
      <c r="P168" s="383">
        <f t="shared" si="38"/>
        <v>226516.86</v>
      </c>
      <c r="R168" s="379"/>
      <c r="S168" s="120"/>
      <c r="T168" s="380"/>
      <c r="U168" s="551">
        <v>369</v>
      </c>
      <c r="V168" s="550" t="s">
        <v>215</v>
      </c>
      <c r="W168" s="449" t="s">
        <v>18</v>
      </c>
      <c r="X168" s="562" t="s">
        <v>214</v>
      </c>
      <c r="Y168" s="379"/>
      <c r="Z168" s="379">
        <v>108073.96</v>
      </c>
      <c r="AA168" s="379">
        <v>41688.6</v>
      </c>
      <c r="AB168" s="379"/>
      <c r="AC168" s="379">
        <v>0</v>
      </c>
      <c r="AD168" s="379">
        <v>149762.56</v>
      </c>
      <c r="AE168" s="124"/>
      <c r="AF168" s="551">
        <v>369</v>
      </c>
      <c r="AG168" s="550" t="s">
        <v>215</v>
      </c>
      <c r="AH168" s="449" t="s">
        <v>18</v>
      </c>
      <c r="AI168" s="562" t="s">
        <v>214</v>
      </c>
      <c r="AJ168" s="383">
        <f t="shared" si="30"/>
        <v>0</v>
      </c>
      <c r="AK168" s="383">
        <f t="shared" si="31"/>
        <v>118908.17</v>
      </c>
      <c r="AL168" s="383">
        <f t="shared" si="32"/>
        <v>48732.58</v>
      </c>
      <c r="AM168" s="383">
        <f t="shared" si="33"/>
        <v>0</v>
      </c>
      <c r="AN168" s="383">
        <f t="shared" si="34"/>
        <v>0</v>
      </c>
      <c r="AO168" s="124">
        <f t="shared" si="39"/>
        <v>167640.75</v>
      </c>
      <c r="AR168" s="124">
        <f t="shared" si="35"/>
        <v>38812.97</v>
      </c>
      <c r="AS168" s="124">
        <f t="shared" si="36"/>
        <v>20063.14</v>
      </c>
      <c r="AV168" s="379">
        <f t="shared" si="40"/>
        <v>58876.11</v>
      </c>
      <c r="AW168" s="124">
        <f t="shared" si="37"/>
        <v>0</v>
      </c>
      <c r="AZ168" s="379"/>
      <c r="BA168" s="379">
        <v>2881.35</v>
      </c>
      <c r="BB168" s="379">
        <v>1223.78</v>
      </c>
      <c r="BC168" s="379"/>
      <c r="BD168" s="379">
        <v>0</v>
      </c>
      <c r="BE168" s="379">
        <f t="shared" si="41"/>
        <v>4105.13</v>
      </c>
      <c r="BF168" s="379"/>
      <c r="BO168" s="477"/>
      <c r="BP168" s="477">
        <v>268676.44999999995</v>
      </c>
      <c r="BQ168" s="477">
        <v>111708.09999999999</v>
      </c>
      <c r="BR168" s="477"/>
      <c r="BS168" s="477">
        <v>0</v>
      </c>
      <c r="BT168" s="477">
        <v>380384.54999999993</v>
      </c>
      <c r="BW168" s="126">
        <v>911</v>
      </c>
      <c r="BX168" s="125">
        <v>23042</v>
      </c>
      <c r="BY168" s="19" t="s">
        <v>13</v>
      </c>
      <c r="BZ168" t="s">
        <v>968</v>
      </c>
    </row>
    <row r="169" spans="1:78" x14ac:dyDescent="0.25">
      <c r="A169" s="443">
        <v>22207</v>
      </c>
      <c r="B169" s="19" t="s">
        <v>18</v>
      </c>
      <c r="C169" t="s">
        <v>130</v>
      </c>
      <c r="D169" s="379">
        <v>2588.46</v>
      </c>
      <c r="E169" s="120">
        <v>4.3240347318328912E-6</v>
      </c>
      <c r="F169" s="379">
        <v>42579.35</v>
      </c>
      <c r="G169" s="120">
        <v>7.1129006536268207E-5</v>
      </c>
      <c r="H169" s="379">
        <v>105645.12</v>
      </c>
      <c r="I169" s="120">
        <v>4.0624209366595262E-4</v>
      </c>
      <c r="J169" s="379">
        <v>0</v>
      </c>
      <c r="K169" s="120">
        <v>0</v>
      </c>
      <c r="L169" s="379">
        <v>94376.86</v>
      </c>
      <c r="M169" s="120">
        <v>4.2333651355247758E-4</v>
      </c>
      <c r="N169" s="379">
        <v>323207.74</v>
      </c>
      <c r="O169" s="120">
        <v>4.5542064801626906E-4</v>
      </c>
      <c r="P169" s="383">
        <f t="shared" si="38"/>
        <v>568397.53</v>
      </c>
      <c r="R169" s="379"/>
      <c r="S169" s="120"/>
      <c r="T169" s="380"/>
      <c r="U169" s="551">
        <v>223</v>
      </c>
      <c r="V169" s="550" t="s">
        <v>131</v>
      </c>
      <c r="W169" s="449" t="s">
        <v>18</v>
      </c>
      <c r="X169" s="562" t="s">
        <v>130</v>
      </c>
      <c r="Y169" s="379">
        <v>0</v>
      </c>
      <c r="Z169" s="379">
        <v>299365.7</v>
      </c>
      <c r="AA169" s="379">
        <v>99654.11</v>
      </c>
      <c r="AB169" s="379">
        <v>1642.21</v>
      </c>
      <c r="AC169" s="379">
        <v>0</v>
      </c>
      <c r="AD169" s="379">
        <v>400662.02</v>
      </c>
      <c r="AE169" s="124"/>
      <c r="AF169" s="551">
        <v>223</v>
      </c>
      <c r="AG169" s="550" t="s">
        <v>131</v>
      </c>
      <c r="AH169" s="449" t="s">
        <v>18</v>
      </c>
      <c r="AI169" s="562" t="s">
        <v>130</v>
      </c>
      <c r="AJ169" s="383">
        <f t="shared" si="30"/>
        <v>0</v>
      </c>
      <c r="AK169" s="383">
        <f t="shared" si="31"/>
        <v>323207.74</v>
      </c>
      <c r="AL169" s="383">
        <f t="shared" si="32"/>
        <v>105645.12</v>
      </c>
      <c r="AM169" s="383">
        <f t="shared" si="33"/>
        <v>2588.46</v>
      </c>
      <c r="AN169" s="383">
        <f t="shared" si="34"/>
        <v>0</v>
      </c>
      <c r="AO169" s="124">
        <f t="shared" si="39"/>
        <v>431441.32</v>
      </c>
      <c r="AR169" s="124">
        <f t="shared" si="35"/>
        <v>94376.86</v>
      </c>
      <c r="AS169" s="124">
        <f t="shared" si="36"/>
        <v>42579.35</v>
      </c>
      <c r="AV169" s="379">
        <f t="shared" si="40"/>
        <v>136956.21</v>
      </c>
      <c r="AW169" s="124">
        <f t="shared" si="37"/>
        <v>0</v>
      </c>
      <c r="AZ169" s="379">
        <v>0</v>
      </c>
      <c r="BA169" s="379">
        <v>7875.58</v>
      </c>
      <c r="BB169" s="379">
        <v>2673.9300000000003</v>
      </c>
      <c r="BC169" s="379">
        <v>53.75</v>
      </c>
      <c r="BD169" s="379">
        <v>0</v>
      </c>
      <c r="BE169" s="379">
        <f t="shared" si="41"/>
        <v>10603.26</v>
      </c>
      <c r="BF169" s="379"/>
      <c r="BO169" s="477">
        <v>0</v>
      </c>
      <c r="BP169" s="477">
        <v>724825.88</v>
      </c>
      <c r="BQ169" s="477">
        <v>250552.51</v>
      </c>
      <c r="BR169" s="477">
        <v>4284.42</v>
      </c>
      <c r="BS169" s="477">
        <v>0</v>
      </c>
      <c r="BT169" s="477">
        <v>979662.81</v>
      </c>
      <c r="BW169" s="126">
        <v>356</v>
      </c>
      <c r="BX169" s="125">
        <v>23054</v>
      </c>
      <c r="BY169" s="19" t="s">
        <v>13</v>
      </c>
      <c r="BZ169" t="s">
        <v>823</v>
      </c>
    </row>
    <row r="170" spans="1:78" x14ac:dyDescent="0.25">
      <c r="A170" s="443">
        <v>23042</v>
      </c>
      <c r="B170" s="19" t="s">
        <v>13</v>
      </c>
      <c r="C170" t="s">
        <v>510</v>
      </c>
      <c r="D170" s="379"/>
      <c r="E170" s="120"/>
      <c r="F170" s="379">
        <v>23278.94</v>
      </c>
      <c r="G170" s="120">
        <v>3.8887579904751838E-5</v>
      </c>
      <c r="H170" s="379">
        <v>56817.74</v>
      </c>
      <c r="I170" s="120">
        <v>2.1848389830943202E-4</v>
      </c>
      <c r="J170" s="379"/>
      <c r="K170" s="120"/>
      <c r="L170" s="379">
        <v>44139.87</v>
      </c>
      <c r="M170" s="120">
        <v>1.9799364668902526E-4</v>
      </c>
      <c r="N170" s="379">
        <v>132040.44</v>
      </c>
      <c r="O170" s="120">
        <v>1.8605353556555698E-4</v>
      </c>
      <c r="P170" s="383">
        <f t="shared" si="38"/>
        <v>256276.99</v>
      </c>
      <c r="R170" s="379"/>
      <c r="S170" s="120"/>
      <c r="T170" s="380"/>
      <c r="U170" s="551">
        <v>911</v>
      </c>
      <c r="V170" s="550" t="s">
        <v>511</v>
      </c>
      <c r="W170" s="449" t="s">
        <v>13</v>
      </c>
      <c r="X170" s="562" t="s">
        <v>510</v>
      </c>
      <c r="Y170" s="379"/>
      <c r="Z170" s="379">
        <v>133220.66999999998</v>
      </c>
      <c r="AA170" s="379">
        <v>52567.7</v>
      </c>
      <c r="AB170" s="379"/>
      <c r="AC170" s="379">
        <v>0</v>
      </c>
      <c r="AD170" s="379">
        <v>185788.37</v>
      </c>
      <c r="AE170" s="124"/>
      <c r="AF170" s="551">
        <v>911</v>
      </c>
      <c r="AG170" s="550" t="s">
        <v>511</v>
      </c>
      <c r="AH170" s="449" t="s">
        <v>13</v>
      </c>
      <c r="AI170" s="562" t="s">
        <v>510</v>
      </c>
      <c r="AJ170" s="383">
        <f t="shared" si="30"/>
        <v>0</v>
      </c>
      <c r="AK170" s="383">
        <f t="shared" si="31"/>
        <v>132040.44</v>
      </c>
      <c r="AL170" s="383">
        <f t="shared" si="32"/>
        <v>56817.74</v>
      </c>
      <c r="AM170" s="383">
        <f t="shared" si="33"/>
        <v>0</v>
      </c>
      <c r="AN170" s="383">
        <f t="shared" si="34"/>
        <v>0</v>
      </c>
      <c r="AO170" s="124">
        <f t="shared" si="39"/>
        <v>188858.18</v>
      </c>
      <c r="AR170" s="124">
        <f t="shared" si="35"/>
        <v>44139.87</v>
      </c>
      <c r="AS170" s="124">
        <f t="shared" si="36"/>
        <v>23278.94</v>
      </c>
      <c r="AV170" s="379">
        <f t="shared" si="40"/>
        <v>67418.81</v>
      </c>
      <c r="AW170" s="124">
        <f t="shared" si="37"/>
        <v>0</v>
      </c>
      <c r="AZ170" s="379"/>
      <c r="BA170" s="379">
        <v>3195.44</v>
      </c>
      <c r="BB170" s="379">
        <v>1429.38</v>
      </c>
      <c r="BC170" s="379"/>
      <c r="BD170" s="379">
        <v>0</v>
      </c>
      <c r="BE170" s="379">
        <f t="shared" si="41"/>
        <v>4624.82</v>
      </c>
      <c r="BF170" s="379"/>
      <c r="BO170" s="477"/>
      <c r="BP170" s="477">
        <v>312596.42000000004</v>
      </c>
      <c r="BQ170" s="477">
        <v>134093.76000000001</v>
      </c>
      <c r="BR170" s="477"/>
      <c r="BS170" s="477">
        <v>0</v>
      </c>
      <c r="BT170" s="477">
        <v>446690.18000000005</v>
      </c>
      <c r="BW170" s="126">
        <v>863</v>
      </c>
      <c r="BX170" s="125">
        <v>23309</v>
      </c>
      <c r="BY170" s="19" t="s">
        <v>13</v>
      </c>
      <c r="BZ170" t="s">
        <v>957</v>
      </c>
    </row>
    <row r="171" spans="1:78" x14ac:dyDescent="0.25">
      <c r="A171" s="443">
        <v>23054</v>
      </c>
      <c r="B171" s="19" t="s">
        <v>13</v>
      </c>
      <c r="C171" t="s">
        <v>206</v>
      </c>
      <c r="D171" s="379"/>
      <c r="E171" s="120"/>
      <c r="F171" s="379">
        <v>25536.9</v>
      </c>
      <c r="G171" s="120">
        <v>4.2659512815860922E-5</v>
      </c>
      <c r="H171" s="379">
        <v>62274.43</v>
      </c>
      <c r="I171" s="120">
        <v>2.3946676216614465E-4</v>
      </c>
      <c r="J171" s="379"/>
      <c r="K171" s="120"/>
      <c r="L171" s="379">
        <v>44150.91</v>
      </c>
      <c r="M171" s="120">
        <v>1.9804316767446195E-4</v>
      </c>
      <c r="N171" s="379">
        <v>133607.24</v>
      </c>
      <c r="O171" s="120">
        <v>1.8826125828689988E-4</v>
      </c>
      <c r="P171" s="383">
        <f t="shared" si="38"/>
        <v>265569.48</v>
      </c>
      <c r="R171" s="379"/>
      <c r="S171" s="120"/>
      <c r="T171" s="380"/>
      <c r="U171" s="551">
        <v>356</v>
      </c>
      <c r="V171" s="550" t="s">
        <v>207</v>
      </c>
      <c r="W171" s="449" t="s">
        <v>13</v>
      </c>
      <c r="X171" s="562" t="s">
        <v>206</v>
      </c>
      <c r="Y171" s="379"/>
      <c r="Z171" s="379">
        <v>132933.83000000002</v>
      </c>
      <c r="AA171" s="379">
        <v>58336.71</v>
      </c>
      <c r="AB171" s="379"/>
      <c r="AC171" s="379">
        <v>0</v>
      </c>
      <c r="AD171" s="379">
        <v>191270.54</v>
      </c>
      <c r="AE171" s="124"/>
      <c r="AF171" s="551">
        <v>356</v>
      </c>
      <c r="AG171" s="550" t="s">
        <v>207</v>
      </c>
      <c r="AH171" s="449" t="s">
        <v>13</v>
      </c>
      <c r="AI171" s="562" t="s">
        <v>206</v>
      </c>
      <c r="AJ171" s="383">
        <f t="shared" si="30"/>
        <v>0</v>
      </c>
      <c r="AK171" s="383">
        <f t="shared" si="31"/>
        <v>133607.24</v>
      </c>
      <c r="AL171" s="383">
        <f t="shared" si="32"/>
        <v>62274.43</v>
      </c>
      <c r="AM171" s="383">
        <f t="shared" si="33"/>
        <v>0</v>
      </c>
      <c r="AN171" s="383">
        <f t="shared" si="34"/>
        <v>0</v>
      </c>
      <c r="AO171" s="124">
        <f t="shared" si="39"/>
        <v>195881.66999999998</v>
      </c>
      <c r="AR171" s="124">
        <f t="shared" si="35"/>
        <v>44150.91</v>
      </c>
      <c r="AS171" s="124">
        <f t="shared" si="36"/>
        <v>25536.9</v>
      </c>
      <c r="AV171" s="379">
        <f t="shared" si="40"/>
        <v>69687.81</v>
      </c>
      <c r="AW171" s="124">
        <f t="shared" si="37"/>
        <v>0</v>
      </c>
      <c r="AZ171" s="379"/>
      <c r="BA171" s="379">
        <v>3235.45</v>
      </c>
      <c r="BB171" s="379">
        <v>1566.17</v>
      </c>
      <c r="BC171" s="379"/>
      <c r="BD171" s="379">
        <v>0</v>
      </c>
      <c r="BE171" s="379">
        <f t="shared" si="41"/>
        <v>4801.62</v>
      </c>
      <c r="BF171" s="379"/>
      <c r="BO171" s="477"/>
      <c r="BP171" s="477">
        <v>313927.43</v>
      </c>
      <c r="BQ171" s="477">
        <v>147714.21</v>
      </c>
      <c r="BR171" s="477"/>
      <c r="BS171" s="477">
        <v>0</v>
      </c>
      <c r="BT171" s="477">
        <v>461641.64</v>
      </c>
      <c r="BW171" s="126">
        <v>567</v>
      </c>
      <c r="BX171" s="125">
        <v>23311</v>
      </c>
      <c r="BY171" s="19" t="s">
        <v>13</v>
      </c>
      <c r="BZ171" t="s">
        <v>863</v>
      </c>
    </row>
    <row r="172" spans="1:78" x14ac:dyDescent="0.25">
      <c r="A172" s="443">
        <v>23309</v>
      </c>
      <c r="B172" s="19" t="s">
        <v>13</v>
      </c>
      <c r="C172" t="s">
        <v>490</v>
      </c>
      <c r="D172" s="379"/>
      <c r="E172" s="120"/>
      <c r="F172" s="379">
        <v>465699.25</v>
      </c>
      <c r="G172" s="120">
        <v>7.7795281039248374E-4</v>
      </c>
      <c r="H172" s="379">
        <v>1158722.1499999999</v>
      </c>
      <c r="I172" s="120">
        <v>4.455688177486229E-3</v>
      </c>
      <c r="J172" s="379">
        <v>0</v>
      </c>
      <c r="K172" s="120">
        <v>0</v>
      </c>
      <c r="L172" s="379">
        <v>773204.59</v>
      </c>
      <c r="M172" s="120">
        <v>3.4682838080581707E-3</v>
      </c>
      <c r="N172" s="379">
        <v>2696231.32</v>
      </c>
      <c r="O172" s="120">
        <v>3.7991646331123146E-3</v>
      </c>
      <c r="P172" s="383">
        <f t="shared" si="38"/>
        <v>5093857.3099999996</v>
      </c>
      <c r="R172" s="379"/>
      <c r="S172" s="120"/>
      <c r="T172" s="380"/>
      <c r="U172" s="551">
        <v>863</v>
      </c>
      <c r="V172" s="550" t="s">
        <v>491</v>
      </c>
      <c r="W172" s="449" t="s">
        <v>13</v>
      </c>
      <c r="X172" s="562" t="s">
        <v>490</v>
      </c>
      <c r="Y172" s="379">
        <v>0</v>
      </c>
      <c r="Z172" s="379">
        <v>2647792.41</v>
      </c>
      <c r="AA172" s="379">
        <v>1076882.58</v>
      </c>
      <c r="AB172" s="379"/>
      <c r="AC172" s="379">
        <v>0</v>
      </c>
      <c r="AD172" s="379">
        <v>3724674.99</v>
      </c>
      <c r="AE172" s="124"/>
      <c r="AF172" s="551">
        <v>863</v>
      </c>
      <c r="AG172" s="550" t="s">
        <v>491</v>
      </c>
      <c r="AH172" s="449" t="s">
        <v>13</v>
      </c>
      <c r="AI172" s="562" t="s">
        <v>490</v>
      </c>
      <c r="AJ172" s="383">
        <f t="shared" si="30"/>
        <v>0</v>
      </c>
      <c r="AK172" s="383">
        <f t="shared" si="31"/>
        <v>2696231.32</v>
      </c>
      <c r="AL172" s="383">
        <f t="shared" si="32"/>
        <v>1158722.1499999999</v>
      </c>
      <c r="AM172" s="383">
        <f t="shared" si="33"/>
        <v>0</v>
      </c>
      <c r="AN172" s="383">
        <f t="shared" si="34"/>
        <v>0</v>
      </c>
      <c r="AO172" s="124">
        <f t="shared" si="39"/>
        <v>3854953.4699999997</v>
      </c>
      <c r="AR172" s="124">
        <f t="shared" si="35"/>
        <v>773204.59</v>
      </c>
      <c r="AS172" s="124">
        <f t="shared" si="36"/>
        <v>465699.25</v>
      </c>
      <c r="AV172" s="379">
        <f t="shared" si="40"/>
        <v>1238903.8399999999</v>
      </c>
      <c r="AW172" s="124">
        <f t="shared" si="37"/>
        <v>0</v>
      </c>
      <c r="AZ172" s="379">
        <v>0</v>
      </c>
      <c r="BA172" s="379">
        <v>65757.27</v>
      </c>
      <c r="BB172" s="379">
        <v>29358.800000000003</v>
      </c>
      <c r="BC172" s="379"/>
      <c r="BD172" s="379">
        <v>0</v>
      </c>
      <c r="BE172" s="379">
        <f t="shared" si="41"/>
        <v>95116.07</v>
      </c>
      <c r="BF172" s="379"/>
      <c r="BO172" s="477">
        <v>0</v>
      </c>
      <c r="BP172" s="477">
        <v>6182985.5899999999</v>
      </c>
      <c r="BQ172" s="477">
        <v>2730662.7800000003</v>
      </c>
      <c r="BR172" s="477"/>
      <c r="BS172" s="477">
        <v>0</v>
      </c>
      <c r="BT172" s="477">
        <v>8913648.370000001</v>
      </c>
      <c r="BW172" s="126">
        <v>747</v>
      </c>
      <c r="BX172" s="125">
        <v>23402</v>
      </c>
      <c r="BY172" s="19" t="s">
        <v>13</v>
      </c>
      <c r="BZ172" t="s">
        <v>922</v>
      </c>
    </row>
    <row r="173" spans="1:78" x14ac:dyDescent="0.25">
      <c r="A173" s="443">
        <v>23311</v>
      </c>
      <c r="B173" s="19" t="s">
        <v>13</v>
      </c>
      <c r="C173" t="s">
        <v>288</v>
      </c>
      <c r="D173" s="379"/>
      <c r="E173" s="120"/>
      <c r="F173" s="379">
        <v>27589.98</v>
      </c>
      <c r="G173" s="120">
        <v>4.6089192713263803E-5</v>
      </c>
      <c r="H173" s="379">
        <v>68117.289999999994</v>
      </c>
      <c r="I173" s="120">
        <v>2.6193458348526517E-4</v>
      </c>
      <c r="J173" s="379">
        <v>0</v>
      </c>
      <c r="K173" s="120">
        <v>0</v>
      </c>
      <c r="L173" s="379">
        <v>50314.13</v>
      </c>
      <c r="M173" s="120">
        <v>2.2568888577799811E-4</v>
      </c>
      <c r="N173" s="379">
        <v>167550.41</v>
      </c>
      <c r="O173" s="120">
        <v>2.3608938417623158E-4</v>
      </c>
      <c r="P173" s="383">
        <f t="shared" si="38"/>
        <v>313571.81</v>
      </c>
      <c r="R173" s="379"/>
      <c r="S173" s="120"/>
      <c r="T173" s="380"/>
      <c r="U173" s="551">
        <v>567</v>
      </c>
      <c r="V173" s="550" t="s">
        <v>289</v>
      </c>
      <c r="W173" s="449" t="s">
        <v>13</v>
      </c>
      <c r="X173" s="562" t="s">
        <v>288</v>
      </c>
      <c r="Y173" s="379">
        <v>0</v>
      </c>
      <c r="Z173" s="379">
        <v>185015.7</v>
      </c>
      <c r="AA173" s="379">
        <v>66263.19</v>
      </c>
      <c r="AB173" s="379"/>
      <c r="AC173" s="379">
        <v>0</v>
      </c>
      <c r="AD173" s="379">
        <v>251278.89</v>
      </c>
      <c r="AE173" s="124"/>
      <c r="AF173" s="551">
        <v>567</v>
      </c>
      <c r="AG173" s="550" t="s">
        <v>289</v>
      </c>
      <c r="AH173" s="449" t="s">
        <v>13</v>
      </c>
      <c r="AI173" s="562" t="s">
        <v>288</v>
      </c>
      <c r="AJ173" s="383">
        <f t="shared" si="30"/>
        <v>0</v>
      </c>
      <c r="AK173" s="383">
        <f t="shared" si="31"/>
        <v>167550.41</v>
      </c>
      <c r="AL173" s="383">
        <f t="shared" si="32"/>
        <v>68117.289999999994</v>
      </c>
      <c r="AM173" s="383">
        <f t="shared" si="33"/>
        <v>0</v>
      </c>
      <c r="AN173" s="383">
        <f t="shared" si="34"/>
        <v>0</v>
      </c>
      <c r="AO173" s="124">
        <f t="shared" si="39"/>
        <v>235667.7</v>
      </c>
      <c r="AR173" s="124">
        <f t="shared" si="35"/>
        <v>50314.13</v>
      </c>
      <c r="AS173" s="124">
        <f t="shared" si="36"/>
        <v>27589.98</v>
      </c>
      <c r="AV173" s="379">
        <f t="shared" si="40"/>
        <v>77904.11</v>
      </c>
      <c r="AW173" s="124">
        <f t="shared" si="37"/>
        <v>0</v>
      </c>
      <c r="AZ173" s="379">
        <v>0</v>
      </c>
      <c r="BA173" s="379">
        <v>4077.2999999999997</v>
      </c>
      <c r="BB173" s="379">
        <v>1720.94</v>
      </c>
      <c r="BC173" s="379"/>
      <c r="BD173" s="379">
        <v>0</v>
      </c>
      <c r="BE173" s="379">
        <f t="shared" si="41"/>
        <v>5798.24</v>
      </c>
      <c r="BF173" s="379"/>
      <c r="BO173" s="477">
        <v>0</v>
      </c>
      <c r="BP173" s="477">
        <v>406957.54000000004</v>
      </c>
      <c r="BQ173" s="477">
        <v>163691.4</v>
      </c>
      <c r="BR173" s="477"/>
      <c r="BS173" s="477">
        <v>0</v>
      </c>
      <c r="BT173" s="477">
        <v>570648.94000000006</v>
      </c>
      <c r="BW173" s="126">
        <v>650</v>
      </c>
      <c r="BX173" s="125">
        <v>23403</v>
      </c>
      <c r="BY173" s="19" t="s">
        <v>52</v>
      </c>
      <c r="BZ173" t="s">
        <v>894</v>
      </c>
    </row>
    <row r="174" spans="1:78" x14ac:dyDescent="0.25">
      <c r="A174" s="443">
        <v>23402</v>
      </c>
      <c r="B174" s="19" t="s">
        <v>13</v>
      </c>
      <c r="C174" t="s">
        <v>416</v>
      </c>
      <c r="D174" s="379"/>
      <c r="E174" s="120"/>
      <c r="F174" s="379">
        <v>75668.160000000003</v>
      </c>
      <c r="G174" s="120">
        <v>1.2640402089809705E-4</v>
      </c>
      <c r="H174" s="379">
        <v>188811.35</v>
      </c>
      <c r="I174" s="120">
        <v>7.2604506608440567E-4</v>
      </c>
      <c r="J174" s="379"/>
      <c r="K174" s="120"/>
      <c r="L174" s="379">
        <v>138611.24</v>
      </c>
      <c r="M174" s="120">
        <v>6.2175409396737422E-4</v>
      </c>
      <c r="N174" s="379">
        <v>501209.14</v>
      </c>
      <c r="O174" s="120">
        <v>7.0623615427797902E-4</v>
      </c>
      <c r="P174" s="383">
        <f t="shared" si="38"/>
        <v>904299.89</v>
      </c>
      <c r="R174" s="379"/>
      <c r="S174" s="120"/>
      <c r="T174" s="380"/>
      <c r="U174" s="551">
        <v>747</v>
      </c>
      <c r="V174" s="550" t="s">
        <v>417</v>
      </c>
      <c r="W174" s="449" t="s">
        <v>13</v>
      </c>
      <c r="X174" s="562" t="s">
        <v>416</v>
      </c>
      <c r="Y174" s="379"/>
      <c r="Z174" s="379">
        <v>502482.09</v>
      </c>
      <c r="AA174" s="379">
        <v>175975.96</v>
      </c>
      <c r="AB174" s="379"/>
      <c r="AC174" s="379">
        <v>0</v>
      </c>
      <c r="AD174" s="379">
        <v>678458.05</v>
      </c>
      <c r="AE174" s="124"/>
      <c r="AF174" s="551">
        <v>747</v>
      </c>
      <c r="AG174" s="550" t="s">
        <v>417</v>
      </c>
      <c r="AH174" s="449" t="s">
        <v>13</v>
      </c>
      <c r="AI174" s="562" t="s">
        <v>416</v>
      </c>
      <c r="AJ174" s="383">
        <f t="shared" si="30"/>
        <v>0</v>
      </c>
      <c r="AK174" s="383">
        <f t="shared" si="31"/>
        <v>501209.14</v>
      </c>
      <c r="AL174" s="383">
        <f t="shared" si="32"/>
        <v>188811.35</v>
      </c>
      <c r="AM174" s="383">
        <f t="shared" si="33"/>
        <v>0</v>
      </c>
      <c r="AN174" s="383">
        <f t="shared" si="34"/>
        <v>0</v>
      </c>
      <c r="AO174" s="124">
        <f t="shared" si="39"/>
        <v>690020.49</v>
      </c>
      <c r="AR174" s="124">
        <f t="shared" si="35"/>
        <v>138611.24</v>
      </c>
      <c r="AS174" s="124">
        <f t="shared" si="36"/>
        <v>75668.160000000003</v>
      </c>
      <c r="AV174" s="379">
        <f t="shared" si="40"/>
        <v>214279.4</v>
      </c>
      <c r="AW174" s="124">
        <f t="shared" si="37"/>
        <v>0</v>
      </c>
      <c r="AZ174" s="379"/>
      <c r="BA174" s="379">
        <v>12243.86</v>
      </c>
      <c r="BB174" s="379">
        <v>4788.8099999999995</v>
      </c>
      <c r="BC174" s="379"/>
      <c r="BD174" s="379">
        <v>0</v>
      </c>
      <c r="BE174" s="379">
        <f t="shared" si="41"/>
        <v>17032.669999999998</v>
      </c>
      <c r="BF174" s="379"/>
      <c r="BO174" s="477"/>
      <c r="BP174" s="477">
        <v>1154546.33</v>
      </c>
      <c r="BQ174" s="477">
        <v>445244.28</v>
      </c>
      <c r="BR174" s="477"/>
      <c r="BS174" s="477">
        <v>0</v>
      </c>
      <c r="BT174" s="477">
        <v>1599790.61</v>
      </c>
      <c r="BW174" s="126">
        <v>382</v>
      </c>
      <c r="BX174" s="125">
        <v>23404</v>
      </c>
      <c r="BY174" s="19" t="s">
        <v>13</v>
      </c>
      <c r="BZ174" t="s">
        <v>831</v>
      </c>
    </row>
    <row r="175" spans="1:78" x14ac:dyDescent="0.25">
      <c r="A175" s="443">
        <v>23403</v>
      </c>
      <c r="B175" s="19" t="s">
        <v>52</v>
      </c>
      <c r="C175" t="s">
        <v>350</v>
      </c>
      <c r="D175" s="379"/>
      <c r="E175" s="120"/>
      <c r="F175" s="379">
        <v>212101.31</v>
      </c>
      <c r="G175" s="120">
        <v>3.5431624638095814E-4</v>
      </c>
      <c r="H175" s="379">
        <v>527430.71</v>
      </c>
      <c r="I175" s="120">
        <v>2.0281538408411094E-3</v>
      </c>
      <c r="J175" s="379">
        <v>15137.67</v>
      </c>
      <c r="K175" s="120">
        <v>6.7901479675292582E-5</v>
      </c>
      <c r="L175" s="379">
        <v>404402.29</v>
      </c>
      <c r="M175" s="120">
        <v>1.8139854994247316E-3</v>
      </c>
      <c r="N175" s="379">
        <v>1383009.54</v>
      </c>
      <c r="O175" s="120">
        <v>1.9487500544370694E-3</v>
      </c>
      <c r="P175" s="383">
        <f t="shared" si="38"/>
        <v>2542081.52</v>
      </c>
      <c r="R175" s="379"/>
      <c r="S175" s="120"/>
      <c r="T175" s="380"/>
      <c r="U175" s="551">
        <v>650</v>
      </c>
      <c r="V175" s="550" t="s">
        <v>351</v>
      </c>
      <c r="W175" s="449" t="s">
        <v>52</v>
      </c>
      <c r="X175" s="562" t="s">
        <v>350</v>
      </c>
      <c r="Y175" s="379">
        <v>8672.58</v>
      </c>
      <c r="Z175" s="379">
        <v>1370078.73</v>
      </c>
      <c r="AA175" s="379">
        <v>487116.70999999996</v>
      </c>
      <c r="AB175" s="379"/>
      <c r="AC175" s="379">
        <v>0</v>
      </c>
      <c r="AD175" s="379">
        <v>1865868.02</v>
      </c>
      <c r="AE175" s="124"/>
      <c r="AF175" s="551">
        <v>650</v>
      </c>
      <c r="AG175" s="550" t="s">
        <v>351</v>
      </c>
      <c r="AH175" s="449" t="s">
        <v>52</v>
      </c>
      <c r="AI175" s="562" t="s">
        <v>350</v>
      </c>
      <c r="AJ175" s="383">
        <f t="shared" si="30"/>
        <v>15137.67</v>
      </c>
      <c r="AK175" s="383">
        <f t="shared" si="31"/>
        <v>1383009.54</v>
      </c>
      <c r="AL175" s="383">
        <f t="shared" si="32"/>
        <v>527430.71</v>
      </c>
      <c r="AM175" s="383">
        <f t="shared" si="33"/>
        <v>0</v>
      </c>
      <c r="AN175" s="383">
        <f t="shared" si="34"/>
        <v>0</v>
      </c>
      <c r="AO175" s="124">
        <f t="shared" si="39"/>
        <v>1925577.92</v>
      </c>
      <c r="AR175" s="124">
        <f t="shared" si="35"/>
        <v>404402.29</v>
      </c>
      <c r="AS175" s="124">
        <f t="shared" si="36"/>
        <v>212101.31</v>
      </c>
      <c r="AV175" s="379">
        <f t="shared" si="40"/>
        <v>616503.6</v>
      </c>
      <c r="AW175" s="124">
        <f t="shared" si="37"/>
        <v>0</v>
      </c>
      <c r="AZ175" s="379">
        <v>283.39</v>
      </c>
      <c r="BA175" s="379">
        <v>33698.300000000003</v>
      </c>
      <c r="BB175" s="379">
        <v>13360.76</v>
      </c>
      <c r="BC175" s="379"/>
      <c r="BD175" s="379">
        <v>0</v>
      </c>
      <c r="BE175" s="379">
        <f t="shared" si="41"/>
        <v>47342.450000000004</v>
      </c>
      <c r="BF175" s="379"/>
      <c r="BO175" s="477">
        <v>24093.64</v>
      </c>
      <c r="BP175" s="477">
        <v>3191188.86</v>
      </c>
      <c r="BQ175" s="477">
        <v>1240009.49</v>
      </c>
      <c r="BR175" s="477"/>
      <c r="BS175" s="477">
        <v>0</v>
      </c>
      <c r="BT175" s="477">
        <v>4455291.99</v>
      </c>
      <c r="BW175" s="126">
        <v>637</v>
      </c>
      <c r="BX175" s="125">
        <v>24014</v>
      </c>
      <c r="BY175" s="19" t="s">
        <v>55</v>
      </c>
      <c r="BZ175" t="s">
        <v>886</v>
      </c>
    </row>
    <row r="176" spans="1:78" x14ac:dyDescent="0.25">
      <c r="A176" s="443">
        <v>23404</v>
      </c>
      <c r="B176" s="19" t="s">
        <v>13</v>
      </c>
      <c r="C176" t="s">
        <v>222</v>
      </c>
      <c r="D176" s="379"/>
      <c r="E176" s="120"/>
      <c r="F176" s="379">
        <v>66251.87</v>
      </c>
      <c r="G176" s="120">
        <v>1.1067406370153587E-4</v>
      </c>
      <c r="H176" s="379">
        <v>157383.24</v>
      </c>
      <c r="I176" s="120">
        <v>6.0519309292782382E-4</v>
      </c>
      <c r="J176" s="379"/>
      <c r="K176" s="120"/>
      <c r="L176" s="379">
        <v>94947.29</v>
      </c>
      <c r="M176" s="120">
        <v>4.2589523236793444E-4</v>
      </c>
      <c r="N176" s="379">
        <v>251338.14</v>
      </c>
      <c r="O176" s="120">
        <v>3.5415172480090905E-4</v>
      </c>
      <c r="P176" s="383">
        <f t="shared" si="38"/>
        <v>569920.54</v>
      </c>
      <c r="R176" s="379"/>
      <c r="S176" s="120"/>
      <c r="T176" s="380"/>
      <c r="U176" s="551">
        <v>382</v>
      </c>
      <c r="V176" s="550" t="s">
        <v>223</v>
      </c>
      <c r="W176" s="449" t="s">
        <v>13</v>
      </c>
      <c r="X176" s="562" t="s">
        <v>222</v>
      </c>
      <c r="Y176" s="379"/>
      <c r="Z176" s="379">
        <v>253461.19</v>
      </c>
      <c r="AA176" s="379">
        <v>156289.03</v>
      </c>
      <c r="AB176" s="379"/>
      <c r="AC176" s="379">
        <v>0</v>
      </c>
      <c r="AD176" s="379">
        <v>409750.22</v>
      </c>
      <c r="AE176" s="124"/>
      <c r="AF176" s="551">
        <v>382</v>
      </c>
      <c r="AG176" s="550" t="s">
        <v>223</v>
      </c>
      <c r="AH176" s="449" t="s">
        <v>13</v>
      </c>
      <c r="AI176" s="562" t="s">
        <v>222</v>
      </c>
      <c r="AJ176" s="383">
        <f t="shared" si="30"/>
        <v>0</v>
      </c>
      <c r="AK176" s="383">
        <f t="shared" si="31"/>
        <v>251338.14</v>
      </c>
      <c r="AL176" s="383">
        <f t="shared" si="32"/>
        <v>157383.24</v>
      </c>
      <c r="AM176" s="383">
        <f t="shared" si="33"/>
        <v>0</v>
      </c>
      <c r="AN176" s="383">
        <f t="shared" si="34"/>
        <v>0</v>
      </c>
      <c r="AO176" s="124">
        <f t="shared" si="39"/>
        <v>408721.38</v>
      </c>
      <c r="AR176" s="124">
        <f t="shared" si="35"/>
        <v>94947.29</v>
      </c>
      <c r="AS176" s="124">
        <f t="shared" si="36"/>
        <v>66251.87</v>
      </c>
      <c r="AV176" s="379">
        <f t="shared" si="40"/>
        <v>161199.15999999997</v>
      </c>
      <c r="AW176" s="124">
        <f t="shared" si="37"/>
        <v>0</v>
      </c>
      <c r="AZ176" s="379"/>
      <c r="BA176" s="379">
        <v>6038.44</v>
      </c>
      <c r="BB176" s="379">
        <v>3914.78</v>
      </c>
      <c r="BC176" s="379"/>
      <c r="BD176" s="379">
        <v>0</v>
      </c>
      <c r="BE176" s="379">
        <f t="shared" si="41"/>
        <v>9953.2199999999993</v>
      </c>
      <c r="BF176" s="379"/>
      <c r="BO176" s="477"/>
      <c r="BP176" s="477">
        <v>605785.06000000006</v>
      </c>
      <c r="BQ176" s="477">
        <v>383838.92</v>
      </c>
      <c r="BR176" s="477"/>
      <c r="BS176" s="477">
        <v>0</v>
      </c>
      <c r="BT176" s="477">
        <v>989623.98</v>
      </c>
      <c r="BW176" s="126">
        <v>679</v>
      </c>
      <c r="BX176" s="125">
        <v>24019</v>
      </c>
      <c r="BY176" s="19" t="s">
        <v>55</v>
      </c>
      <c r="BZ176" t="s">
        <v>905</v>
      </c>
    </row>
    <row r="177" spans="1:78" x14ac:dyDescent="0.25">
      <c r="A177" s="443">
        <v>24014</v>
      </c>
      <c r="B177" s="19" t="s">
        <v>55</v>
      </c>
      <c r="C177" t="s">
        <v>334</v>
      </c>
      <c r="D177" s="379"/>
      <c r="E177" s="120"/>
      <c r="F177" s="379">
        <v>28268.09</v>
      </c>
      <c r="G177" s="120">
        <v>4.7221978691027879E-5</v>
      </c>
      <c r="H177" s="379">
        <v>69355.92</v>
      </c>
      <c r="I177" s="120">
        <v>2.6669754503500323E-4</v>
      </c>
      <c r="J177" s="379"/>
      <c r="K177" s="120"/>
      <c r="L177" s="379">
        <v>33363.65</v>
      </c>
      <c r="M177" s="120">
        <v>1.496558718989498E-4</v>
      </c>
      <c r="N177" s="379">
        <v>95519.58</v>
      </c>
      <c r="O177" s="120">
        <v>1.3459327744391844E-4</v>
      </c>
      <c r="P177" s="383">
        <f t="shared" si="38"/>
        <v>226507.24</v>
      </c>
      <c r="R177" s="379"/>
      <c r="S177" s="120"/>
      <c r="T177" s="380"/>
      <c r="U177" s="551">
        <v>637</v>
      </c>
      <c r="V177" s="550" t="s">
        <v>335</v>
      </c>
      <c r="W177" s="449" t="s">
        <v>55</v>
      </c>
      <c r="X177" s="562" t="s">
        <v>334</v>
      </c>
      <c r="Y177" s="379"/>
      <c r="Z177" s="379">
        <v>82935.69</v>
      </c>
      <c r="AA177" s="379">
        <v>66900.44</v>
      </c>
      <c r="AB177" s="379"/>
      <c r="AC177" s="379">
        <v>0</v>
      </c>
      <c r="AD177" s="379">
        <v>149836.13</v>
      </c>
      <c r="AE177" s="124"/>
      <c r="AF177" s="551">
        <v>637</v>
      </c>
      <c r="AG177" s="550" t="s">
        <v>335</v>
      </c>
      <c r="AH177" s="449" t="s">
        <v>55</v>
      </c>
      <c r="AI177" s="562" t="s">
        <v>334</v>
      </c>
      <c r="AJ177" s="383">
        <f t="shared" si="30"/>
        <v>0</v>
      </c>
      <c r="AK177" s="383">
        <f t="shared" si="31"/>
        <v>95519.58</v>
      </c>
      <c r="AL177" s="383">
        <f t="shared" si="32"/>
        <v>69355.92</v>
      </c>
      <c r="AM177" s="383">
        <f t="shared" si="33"/>
        <v>0</v>
      </c>
      <c r="AN177" s="383">
        <f t="shared" si="34"/>
        <v>0</v>
      </c>
      <c r="AO177" s="124">
        <f t="shared" si="39"/>
        <v>164875.5</v>
      </c>
      <c r="AR177" s="124">
        <f t="shared" si="35"/>
        <v>33363.65</v>
      </c>
      <c r="AS177" s="124">
        <f t="shared" si="36"/>
        <v>28268.09</v>
      </c>
      <c r="AV177" s="379">
        <f t="shared" si="40"/>
        <v>61631.740000000005</v>
      </c>
      <c r="AW177" s="124">
        <f t="shared" si="37"/>
        <v>0</v>
      </c>
      <c r="AZ177" s="379"/>
      <c r="BA177" s="379">
        <v>2305.9700000000003</v>
      </c>
      <c r="BB177" s="379">
        <v>1748.2</v>
      </c>
      <c r="BC177" s="379"/>
      <c r="BD177" s="379">
        <v>0</v>
      </c>
      <c r="BE177" s="379">
        <f t="shared" si="41"/>
        <v>4054.17</v>
      </c>
      <c r="BF177" s="379"/>
      <c r="BO177" s="477"/>
      <c r="BP177" s="477">
        <v>214124.89</v>
      </c>
      <c r="BQ177" s="477">
        <v>166272.65</v>
      </c>
      <c r="BR177" s="477"/>
      <c r="BS177" s="477">
        <v>0</v>
      </c>
      <c r="BT177" s="477">
        <v>380397.54000000004</v>
      </c>
      <c r="BW177" s="126">
        <v>670</v>
      </c>
      <c r="BX177" s="125">
        <v>24105</v>
      </c>
      <c r="BY177" s="19" t="s">
        <v>55</v>
      </c>
      <c r="BZ177" t="s">
        <v>903</v>
      </c>
    </row>
    <row r="178" spans="1:78" x14ac:dyDescent="0.25">
      <c r="A178" s="443">
        <v>24019</v>
      </c>
      <c r="B178" s="19" t="s">
        <v>55</v>
      </c>
      <c r="C178" t="s">
        <v>382</v>
      </c>
      <c r="D178" s="379"/>
      <c r="E178" s="120"/>
      <c r="F178" s="379">
        <v>218275.87</v>
      </c>
      <c r="G178" s="120">
        <v>3.646308782059761E-4</v>
      </c>
      <c r="H178" s="379">
        <v>529220.86</v>
      </c>
      <c r="I178" s="120">
        <v>2.0350375878989582E-3</v>
      </c>
      <c r="J178" s="379">
        <v>21715</v>
      </c>
      <c r="K178" s="120">
        <v>9.7404728148319951E-5</v>
      </c>
      <c r="L178" s="379">
        <v>804734.54</v>
      </c>
      <c r="M178" s="120">
        <v>3.6097144416423351E-3</v>
      </c>
      <c r="N178" s="379">
        <v>2229597.9900000002</v>
      </c>
      <c r="O178" s="120">
        <v>3.1416480354757937E-3</v>
      </c>
      <c r="P178" s="383">
        <f t="shared" si="38"/>
        <v>3803544.2600000002</v>
      </c>
      <c r="R178" s="379"/>
      <c r="S178" s="120"/>
      <c r="T178" s="380"/>
      <c r="U178" s="551">
        <v>679</v>
      </c>
      <c r="V178" s="550" t="s">
        <v>383</v>
      </c>
      <c r="W178" s="449" t="s">
        <v>55</v>
      </c>
      <c r="X178" s="562" t="s">
        <v>382</v>
      </c>
      <c r="Y178" s="379">
        <v>12001.62</v>
      </c>
      <c r="Z178" s="379">
        <v>2192618.3000000003</v>
      </c>
      <c r="AA178" s="379">
        <v>502973.68</v>
      </c>
      <c r="AB178" s="379"/>
      <c r="AC178" s="379">
        <v>0</v>
      </c>
      <c r="AD178" s="379">
        <v>2707593.6000000006</v>
      </c>
      <c r="AE178" s="124"/>
      <c r="AF178" s="551">
        <v>679</v>
      </c>
      <c r="AG178" s="550" t="s">
        <v>383</v>
      </c>
      <c r="AH178" s="449" t="s">
        <v>55</v>
      </c>
      <c r="AI178" s="562" t="s">
        <v>382</v>
      </c>
      <c r="AJ178" s="383">
        <f t="shared" si="30"/>
        <v>21715</v>
      </c>
      <c r="AK178" s="383">
        <f t="shared" si="31"/>
        <v>2229597.9900000002</v>
      </c>
      <c r="AL178" s="383">
        <f t="shared" si="32"/>
        <v>529220.86</v>
      </c>
      <c r="AM178" s="383">
        <f t="shared" si="33"/>
        <v>0</v>
      </c>
      <c r="AN178" s="383">
        <f t="shared" si="34"/>
        <v>0</v>
      </c>
      <c r="AO178" s="124">
        <f t="shared" si="39"/>
        <v>2780533.85</v>
      </c>
      <c r="AR178" s="124">
        <f t="shared" si="35"/>
        <v>804734.54</v>
      </c>
      <c r="AS178" s="124">
        <f t="shared" si="36"/>
        <v>218275.87</v>
      </c>
      <c r="AV178" s="379">
        <f t="shared" si="40"/>
        <v>1023010.41</v>
      </c>
      <c r="AW178" s="124">
        <f t="shared" si="37"/>
        <v>0</v>
      </c>
      <c r="AZ178" s="379">
        <v>389.17</v>
      </c>
      <c r="BA178" s="379">
        <v>53726.48</v>
      </c>
      <c r="BB178" s="379">
        <v>13329.64</v>
      </c>
      <c r="BC178" s="379"/>
      <c r="BD178" s="379">
        <v>0</v>
      </c>
      <c r="BE178" s="379">
        <f t="shared" si="41"/>
        <v>67445.290000000008</v>
      </c>
      <c r="BF178" s="379"/>
      <c r="BO178" s="477">
        <v>34105.79</v>
      </c>
      <c r="BP178" s="477">
        <v>5280677.3100000005</v>
      </c>
      <c r="BQ178" s="477">
        <v>1263800.05</v>
      </c>
      <c r="BR178" s="477"/>
      <c r="BS178" s="477">
        <v>0</v>
      </c>
      <c r="BT178" s="477">
        <v>6578583.1500000004</v>
      </c>
      <c r="BW178" s="126">
        <v>84</v>
      </c>
      <c r="BX178" s="125">
        <v>24111</v>
      </c>
      <c r="BY178" s="19" t="s">
        <v>55</v>
      </c>
      <c r="BZ178" t="s">
        <v>748</v>
      </c>
    </row>
    <row r="179" spans="1:78" x14ac:dyDescent="0.25">
      <c r="A179" s="443">
        <v>24105</v>
      </c>
      <c r="B179" s="19" t="s">
        <v>55</v>
      </c>
      <c r="C179" t="s">
        <v>376</v>
      </c>
      <c r="D179" s="379"/>
      <c r="E179" s="120"/>
      <c r="F179" s="379">
        <v>110528.94</v>
      </c>
      <c r="G179" s="120">
        <v>1.846391195663343E-4</v>
      </c>
      <c r="H179" s="379">
        <v>273906.08</v>
      </c>
      <c r="I179" s="120">
        <v>1.0532637892505959E-3</v>
      </c>
      <c r="J179" s="379">
        <v>0</v>
      </c>
      <c r="K179" s="120">
        <v>0</v>
      </c>
      <c r="L179" s="379">
        <v>180185.06</v>
      </c>
      <c r="M179" s="120">
        <v>8.0823747573975212E-4</v>
      </c>
      <c r="N179" s="379">
        <v>608474.26</v>
      </c>
      <c r="O179" s="120">
        <v>8.5737965863818665E-4</v>
      </c>
      <c r="P179" s="383">
        <f t="shared" si="38"/>
        <v>1173094.3400000001</v>
      </c>
      <c r="R179" s="379"/>
      <c r="S179" s="120"/>
      <c r="T179" s="380"/>
      <c r="U179" s="551">
        <v>670</v>
      </c>
      <c r="V179" s="550" t="s">
        <v>377</v>
      </c>
      <c r="W179" s="449" t="s">
        <v>55</v>
      </c>
      <c r="X179" s="562" t="s">
        <v>376</v>
      </c>
      <c r="Y179" s="379">
        <v>0</v>
      </c>
      <c r="Z179" s="379">
        <v>587382.65999999992</v>
      </c>
      <c r="AA179" s="379">
        <v>255772.6</v>
      </c>
      <c r="AB179" s="379"/>
      <c r="AC179" s="379">
        <v>0</v>
      </c>
      <c r="AD179" s="379">
        <v>843155.25999999989</v>
      </c>
      <c r="AE179" s="124"/>
      <c r="AF179" s="551">
        <v>670</v>
      </c>
      <c r="AG179" s="550" t="s">
        <v>377</v>
      </c>
      <c r="AH179" s="449" t="s">
        <v>55</v>
      </c>
      <c r="AI179" s="562" t="s">
        <v>376</v>
      </c>
      <c r="AJ179" s="383">
        <f t="shared" si="30"/>
        <v>0</v>
      </c>
      <c r="AK179" s="383">
        <f t="shared" si="31"/>
        <v>608474.26</v>
      </c>
      <c r="AL179" s="383">
        <f t="shared" si="32"/>
        <v>273906.08</v>
      </c>
      <c r="AM179" s="383">
        <f t="shared" si="33"/>
        <v>0</v>
      </c>
      <c r="AN179" s="383">
        <f t="shared" si="34"/>
        <v>0</v>
      </c>
      <c r="AO179" s="124">
        <f t="shared" si="39"/>
        <v>882380.34000000008</v>
      </c>
      <c r="AR179" s="124">
        <f t="shared" si="35"/>
        <v>180185.06</v>
      </c>
      <c r="AS179" s="124">
        <f t="shared" si="36"/>
        <v>110528.94</v>
      </c>
      <c r="AV179" s="379">
        <f t="shared" si="40"/>
        <v>290714</v>
      </c>
      <c r="AW179" s="124">
        <f t="shared" si="37"/>
        <v>0</v>
      </c>
      <c r="AZ179" s="379">
        <v>0</v>
      </c>
      <c r="BA179" s="379">
        <v>14817.36</v>
      </c>
      <c r="BB179" s="379">
        <v>6929.82</v>
      </c>
      <c r="BC179" s="379"/>
      <c r="BD179" s="379">
        <v>0</v>
      </c>
      <c r="BE179" s="379">
        <f t="shared" si="41"/>
        <v>21747.18</v>
      </c>
      <c r="BF179" s="379"/>
      <c r="BO179" s="477">
        <v>0</v>
      </c>
      <c r="BP179" s="477">
        <v>1390859.3399999999</v>
      </c>
      <c r="BQ179" s="477">
        <v>647137.43999999994</v>
      </c>
      <c r="BR179" s="477"/>
      <c r="BS179" s="477">
        <v>0</v>
      </c>
      <c r="BT179" s="477">
        <v>2037996.7799999998</v>
      </c>
      <c r="BW179" s="126">
        <v>710</v>
      </c>
      <c r="BX179" s="125">
        <v>24122</v>
      </c>
      <c r="BY179" s="19" t="s">
        <v>55</v>
      </c>
      <c r="BZ179" t="s">
        <v>918</v>
      </c>
    </row>
    <row r="180" spans="1:78" x14ac:dyDescent="0.25">
      <c r="A180" s="443">
        <v>24111</v>
      </c>
      <c r="B180" s="19" t="s">
        <v>55</v>
      </c>
      <c r="C180" t="s">
        <v>53</v>
      </c>
      <c r="D180" s="379"/>
      <c r="E180" s="120"/>
      <c r="F180" s="379">
        <v>85908.26</v>
      </c>
      <c r="G180" s="120">
        <v>1.4351015661487148E-4</v>
      </c>
      <c r="H180" s="379">
        <v>212284.59</v>
      </c>
      <c r="I180" s="120">
        <v>8.1630780763577483E-4</v>
      </c>
      <c r="J180" s="379">
        <v>0</v>
      </c>
      <c r="K180" s="120">
        <v>0</v>
      </c>
      <c r="L180" s="379">
        <v>145149.5</v>
      </c>
      <c r="M180" s="120">
        <v>6.5108209018487529E-4</v>
      </c>
      <c r="N180" s="379">
        <v>486611.27</v>
      </c>
      <c r="O180" s="120">
        <v>6.8566680957399002E-4</v>
      </c>
      <c r="P180" s="383">
        <f t="shared" si="38"/>
        <v>929953.62</v>
      </c>
      <c r="R180" s="379"/>
      <c r="S180" s="120"/>
      <c r="T180" s="380"/>
      <c r="U180" s="551">
        <v>84</v>
      </c>
      <c r="V180" s="550" t="s">
        <v>54</v>
      </c>
      <c r="W180" s="449" t="s">
        <v>55</v>
      </c>
      <c r="X180" s="562" t="s">
        <v>53</v>
      </c>
      <c r="Y180" s="379">
        <v>0</v>
      </c>
      <c r="Z180" s="379">
        <v>486236.23</v>
      </c>
      <c r="AA180" s="379">
        <v>181875.68</v>
      </c>
      <c r="AB180" s="379"/>
      <c r="AC180" s="379">
        <v>0</v>
      </c>
      <c r="AD180" s="379">
        <v>668111.90999999992</v>
      </c>
      <c r="AE180" s="124"/>
      <c r="AF180" s="551">
        <v>84</v>
      </c>
      <c r="AG180" s="550" t="s">
        <v>54</v>
      </c>
      <c r="AH180" s="449" t="s">
        <v>55</v>
      </c>
      <c r="AI180" s="562" t="s">
        <v>53</v>
      </c>
      <c r="AJ180" s="383">
        <f t="shared" si="30"/>
        <v>0</v>
      </c>
      <c r="AK180" s="383">
        <f t="shared" si="31"/>
        <v>486611.27</v>
      </c>
      <c r="AL180" s="383">
        <f t="shared" si="32"/>
        <v>212284.59</v>
      </c>
      <c r="AM180" s="383">
        <f t="shared" si="33"/>
        <v>0</v>
      </c>
      <c r="AN180" s="383">
        <f t="shared" si="34"/>
        <v>0</v>
      </c>
      <c r="AO180" s="124">
        <f t="shared" si="39"/>
        <v>698895.86</v>
      </c>
      <c r="AR180" s="124">
        <f t="shared" si="35"/>
        <v>145149.5</v>
      </c>
      <c r="AS180" s="124">
        <f t="shared" si="36"/>
        <v>85908.26</v>
      </c>
      <c r="AV180" s="379">
        <f t="shared" si="40"/>
        <v>231057.76</v>
      </c>
      <c r="AW180" s="124">
        <f t="shared" si="37"/>
        <v>0</v>
      </c>
      <c r="AZ180" s="379">
        <v>0</v>
      </c>
      <c r="BA180" s="379">
        <v>11845.599999999999</v>
      </c>
      <c r="BB180" s="379">
        <v>5365.18</v>
      </c>
      <c r="BC180" s="379"/>
      <c r="BD180" s="379">
        <v>0</v>
      </c>
      <c r="BE180" s="379">
        <f t="shared" si="41"/>
        <v>17210.78</v>
      </c>
      <c r="BF180" s="379"/>
      <c r="BO180" s="477">
        <v>0</v>
      </c>
      <c r="BP180" s="477">
        <v>1129842.6000000001</v>
      </c>
      <c r="BQ180" s="477">
        <v>485433.71</v>
      </c>
      <c r="BR180" s="477"/>
      <c r="BS180" s="477">
        <v>0</v>
      </c>
      <c r="BT180" s="477">
        <v>1615276.31</v>
      </c>
      <c r="BW180" s="126">
        <v>588</v>
      </c>
      <c r="BX180" s="125">
        <v>24350</v>
      </c>
      <c r="BY180" s="19" t="s">
        <v>55</v>
      </c>
      <c r="BZ180" t="s">
        <v>871</v>
      </c>
    </row>
    <row r="181" spans="1:78" x14ac:dyDescent="0.25">
      <c r="A181" s="443">
        <v>24122</v>
      </c>
      <c r="B181" s="19" t="s">
        <v>55</v>
      </c>
      <c r="C181" t="s">
        <v>408</v>
      </c>
      <c r="D181" s="379"/>
      <c r="E181" s="120"/>
      <c r="F181" s="379">
        <v>25386.02</v>
      </c>
      <c r="G181" s="120">
        <v>4.2407467058793417E-5</v>
      </c>
      <c r="H181" s="379">
        <v>61669.85</v>
      </c>
      <c r="I181" s="120">
        <v>2.3714194257212494E-4</v>
      </c>
      <c r="J181" s="379"/>
      <c r="K181" s="120"/>
      <c r="L181" s="379">
        <v>55737.9</v>
      </c>
      <c r="M181" s="120">
        <v>2.500177295444735E-4</v>
      </c>
      <c r="N181" s="379">
        <v>157056.79</v>
      </c>
      <c r="O181" s="120">
        <v>2.2130319365852775E-4</v>
      </c>
      <c r="P181" s="383">
        <f t="shared" si="38"/>
        <v>299850.56</v>
      </c>
      <c r="R181" s="379"/>
      <c r="S181" s="120"/>
      <c r="T181" s="380"/>
      <c r="U181" s="551">
        <v>710</v>
      </c>
      <c r="V181" s="550" t="s">
        <v>409</v>
      </c>
      <c r="W181" s="449" t="s">
        <v>55</v>
      </c>
      <c r="X181" s="562" t="s">
        <v>408</v>
      </c>
      <c r="Y181" s="379"/>
      <c r="Z181" s="379">
        <v>144343.91</v>
      </c>
      <c r="AA181" s="379">
        <v>52561.72</v>
      </c>
      <c r="AB181" s="379"/>
      <c r="AC181" s="379">
        <v>0</v>
      </c>
      <c r="AD181" s="379">
        <v>196905.63</v>
      </c>
      <c r="AE181" s="124"/>
      <c r="AF181" s="551">
        <v>710</v>
      </c>
      <c r="AG181" s="550" t="s">
        <v>409</v>
      </c>
      <c r="AH181" s="449" t="s">
        <v>55</v>
      </c>
      <c r="AI181" s="562" t="s">
        <v>408</v>
      </c>
      <c r="AJ181" s="383">
        <f t="shared" si="30"/>
        <v>0</v>
      </c>
      <c r="AK181" s="383">
        <f t="shared" si="31"/>
        <v>157056.79</v>
      </c>
      <c r="AL181" s="383">
        <f t="shared" si="32"/>
        <v>61669.85</v>
      </c>
      <c r="AM181" s="383">
        <f t="shared" si="33"/>
        <v>0</v>
      </c>
      <c r="AN181" s="383">
        <f t="shared" si="34"/>
        <v>0</v>
      </c>
      <c r="AO181" s="124">
        <f t="shared" si="39"/>
        <v>218726.64</v>
      </c>
      <c r="AR181" s="124">
        <f t="shared" si="35"/>
        <v>55737.9</v>
      </c>
      <c r="AS181" s="124">
        <f t="shared" si="36"/>
        <v>25386.02</v>
      </c>
      <c r="AV181" s="379">
        <f t="shared" si="40"/>
        <v>81123.92</v>
      </c>
      <c r="AW181" s="124">
        <f t="shared" si="37"/>
        <v>0</v>
      </c>
      <c r="AZ181" s="379"/>
      <c r="BA181" s="379">
        <v>3788.1899999999996</v>
      </c>
      <c r="BB181" s="379">
        <v>1548.78</v>
      </c>
      <c r="BC181" s="379"/>
      <c r="BD181" s="379">
        <v>0</v>
      </c>
      <c r="BE181" s="379">
        <f t="shared" si="41"/>
        <v>5336.9699999999993</v>
      </c>
      <c r="BF181" s="379"/>
      <c r="BO181" s="477"/>
      <c r="BP181" s="477">
        <v>360926.79</v>
      </c>
      <c r="BQ181" s="477">
        <v>141166.37</v>
      </c>
      <c r="BR181" s="477"/>
      <c r="BS181" s="477">
        <v>0</v>
      </c>
      <c r="BT181" s="477">
        <v>502093.16</v>
      </c>
      <c r="BW181" s="126">
        <v>989</v>
      </c>
      <c r="BX181" s="125">
        <v>24404</v>
      </c>
      <c r="BY181" s="19" t="s">
        <v>55</v>
      </c>
      <c r="BZ181" t="s">
        <v>986</v>
      </c>
    </row>
    <row r="182" spans="1:78" x14ac:dyDescent="0.25">
      <c r="A182" s="443">
        <v>24350</v>
      </c>
      <c r="B182" s="19" t="s">
        <v>55</v>
      </c>
      <c r="C182" t="s">
        <v>304</v>
      </c>
      <c r="D182" s="379"/>
      <c r="E182" s="120"/>
      <c r="F182" s="379">
        <v>71591.86</v>
      </c>
      <c r="G182" s="120">
        <v>1.1959454237520297E-4</v>
      </c>
      <c r="H182" s="379">
        <v>177380.16</v>
      </c>
      <c r="I182" s="120">
        <v>6.8208817949377755E-4</v>
      </c>
      <c r="J182" s="379"/>
      <c r="K182" s="120"/>
      <c r="L182" s="379">
        <v>126729.86</v>
      </c>
      <c r="M182" s="120">
        <v>5.6845901734168299E-4</v>
      </c>
      <c r="N182" s="379">
        <v>388610.05</v>
      </c>
      <c r="O182" s="120">
        <v>5.4757674057135731E-4</v>
      </c>
      <c r="P182" s="383">
        <f t="shared" si="38"/>
        <v>764311.92999999993</v>
      </c>
      <c r="R182" s="379"/>
      <c r="S182" s="120"/>
      <c r="T182" s="380"/>
      <c r="U182" s="551">
        <v>588</v>
      </c>
      <c r="V182" s="550" t="s">
        <v>305</v>
      </c>
      <c r="W182" s="449" t="s">
        <v>55</v>
      </c>
      <c r="X182" s="562" t="s">
        <v>304</v>
      </c>
      <c r="Y182" s="379"/>
      <c r="Z182" s="379">
        <v>396599.58999999997</v>
      </c>
      <c r="AA182" s="379">
        <v>169247.99</v>
      </c>
      <c r="AB182" s="379"/>
      <c r="AC182" s="379">
        <v>0</v>
      </c>
      <c r="AD182" s="379">
        <v>565847.57999999996</v>
      </c>
      <c r="AE182" s="124"/>
      <c r="AF182" s="551">
        <v>588</v>
      </c>
      <c r="AG182" s="550" t="s">
        <v>305</v>
      </c>
      <c r="AH182" s="449" t="s">
        <v>55</v>
      </c>
      <c r="AI182" s="562" t="s">
        <v>304</v>
      </c>
      <c r="AJ182" s="383">
        <f t="shared" si="30"/>
        <v>0</v>
      </c>
      <c r="AK182" s="383">
        <f t="shared" si="31"/>
        <v>388610.05</v>
      </c>
      <c r="AL182" s="383">
        <f t="shared" si="32"/>
        <v>177380.16</v>
      </c>
      <c r="AM182" s="383">
        <f t="shared" si="33"/>
        <v>0</v>
      </c>
      <c r="AN182" s="383">
        <f t="shared" si="34"/>
        <v>0</v>
      </c>
      <c r="AO182" s="124">
        <f t="shared" si="39"/>
        <v>565990.21</v>
      </c>
      <c r="AR182" s="124">
        <f t="shared" si="35"/>
        <v>126729.86</v>
      </c>
      <c r="AS182" s="124">
        <f t="shared" si="36"/>
        <v>71591.86</v>
      </c>
      <c r="AV182" s="379">
        <f t="shared" si="40"/>
        <v>198321.72</v>
      </c>
      <c r="AW182" s="124">
        <f t="shared" si="37"/>
        <v>0</v>
      </c>
      <c r="AZ182" s="379"/>
      <c r="BA182" s="379">
        <v>9417.2000000000007</v>
      </c>
      <c r="BB182" s="379">
        <v>4487.16</v>
      </c>
      <c r="BC182" s="379"/>
      <c r="BD182" s="379">
        <v>0</v>
      </c>
      <c r="BE182" s="379">
        <f t="shared" si="41"/>
        <v>13904.36</v>
      </c>
      <c r="BF182" s="379"/>
      <c r="BO182" s="477"/>
      <c r="BP182" s="477">
        <v>921356.7</v>
      </c>
      <c r="BQ182" s="477">
        <v>422707.17</v>
      </c>
      <c r="BR182" s="477"/>
      <c r="BS182" s="477">
        <v>0</v>
      </c>
      <c r="BT182" s="477">
        <v>1344063.8699999999</v>
      </c>
      <c r="BW182" s="126">
        <v>687</v>
      </c>
      <c r="BX182" s="125">
        <v>24410</v>
      </c>
      <c r="BY182" s="19" t="s">
        <v>55</v>
      </c>
      <c r="BZ182" t="s">
        <v>912</v>
      </c>
    </row>
    <row r="183" spans="1:78" x14ac:dyDescent="0.25">
      <c r="A183" s="443">
        <v>24404</v>
      </c>
      <c r="B183" s="19" t="s">
        <v>55</v>
      </c>
      <c r="C183" t="s">
        <v>552</v>
      </c>
      <c r="D183" s="379"/>
      <c r="E183" s="120"/>
      <c r="F183" s="379">
        <v>101040.48</v>
      </c>
      <c r="G183" s="120">
        <v>1.6878860204178026E-4</v>
      </c>
      <c r="H183" s="379">
        <v>245435.53</v>
      </c>
      <c r="I183" s="120">
        <v>9.4378465912304068E-4</v>
      </c>
      <c r="J183" s="379">
        <v>0</v>
      </c>
      <c r="K183" s="120">
        <v>0</v>
      </c>
      <c r="L183" s="379">
        <v>215476.62</v>
      </c>
      <c r="M183" s="120">
        <v>9.6654117400040709E-4</v>
      </c>
      <c r="N183" s="379">
        <v>589728.01</v>
      </c>
      <c r="O183" s="120">
        <v>8.3096497771849396E-4</v>
      </c>
      <c r="P183" s="383">
        <f t="shared" si="38"/>
        <v>1151680.6400000001</v>
      </c>
      <c r="R183" s="379"/>
      <c r="S183" s="120"/>
      <c r="T183" s="380"/>
      <c r="U183" s="551">
        <v>989</v>
      </c>
      <c r="V183" s="550" t="s">
        <v>553</v>
      </c>
      <c r="W183" s="449" t="s">
        <v>55</v>
      </c>
      <c r="X183" s="562" t="s">
        <v>552</v>
      </c>
      <c r="Y183" s="379">
        <v>0</v>
      </c>
      <c r="Z183" s="379">
        <v>554590.01</v>
      </c>
      <c r="AA183" s="379">
        <v>214979.19</v>
      </c>
      <c r="AB183" s="379"/>
      <c r="AC183" s="379">
        <v>0</v>
      </c>
      <c r="AD183" s="379">
        <v>769569.2</v>
      </c>
      <c r="AE183" s="124"/>
      <c r="AF183" s="551">
        <v>989</v>
      </c>
      <c r="AG183" s="550" t="s">
        <v>553</v>
      </c>
      <c r="AH183" s="449" t="s">
        <v>55</v>
      </c>
      <c r="AI183" s="562" t="s">
        <v>552</v>
      </c>
      <c r="AJ183" s="383">
        <f t="shared" si="30"/>
        <v>0</v>
      </c>
      <c r="AK183" s="383">
        <f t="shared" si="31"/>
        <v>589728.01</v>
      </c>
      <c r="AL183" s="383">
        <f t="shared" si="32"/>
        <v>245435.53</v>
      </c>
      <c r="AM183" s="383">
        <f t="shared" si="33"/>
        <v>0</v>
      </c>
      <c r="AN183" s="383">
        <f t="shared" si="34"/>
        <v>0</v>
      </c>
      <c r="AO183" s="124">
        <f t="shared" si="39"/>
        <v>835163.54</v>
      </c>
      <c r="AR183" s="124">
        <f t="shared" si="35"/>
        <v>215476.62</v>
      </c>
      <c r="AS183" s="124">
        <f t="shared" si="36"/>
        <v>101040.48</v>
      </c>
      <c r="AV183" s="379">
        <f t="shared" si="40"/>
        <v>316517.09999999998</v>
      </c>
      <c r="AW183" s="124">
        <f t="shared" si="37"/>
        <v>0</v>
      </c>
      <c r="AZ183" s="379">
        <v>0</v>
      </c>
      <c r="BA183" s="379">
        <v>14200.170000000002</v>
      </c>
      <c r="BB183" s="379">
        <v>6164.06</v>
      </c>
      <c r="BC183" s="379"/>
      <c r="BD183" s="379">
        <v>0</v>
      </c>
      <c r="BE183" s="379">
        <f t="shared" si="41"/>
        <v>20364.230000000003</v>
      </c>
      <c r="BF183" s="379"/>
      <c r="BO183" s="477">
        <v>0</v>
      </c>
      <c r="BP183" s="477">
        <v>1373994.81</v>
      </c>
      <c r="BQ183" s="477">
        <v>567619.26</v>
      </c>
      <c r="BR183" s="477"/>
      <c r="BS183" s="477">
        <v>0</v>
      </c>
      <c r="BT183" s="477">
        <v>1941614.07</v>
      </c>
      <c r="BW183" s="126">
        <v>661</v>
      </c>
      <c r="BX183" s="125">
        <v>25101</v>
      </c>
      <c r="BY183" s="19" t="s">
        <v>34</v>
      </c>
      <c r="BZ183" t="s">
        <v>900</v>
      </c>
    </row>
    <row r="184" spans="1:78" x14ac:dyDescent="0.25">
      <c r="A184" s="443">
        <v>24410</v>
      </c>
      <c r="B184" s="19" t="s">
        <v>55</v>
      </c>
      <c r="C184" t="s">
        <v>396</v>
      </c>
      <c r="D184" s="379"/>
      <c r="E184" s="120"/>
      <c r="F184" s="379">
        <v>47881.41</v>
      </c>
      <c r="G184" s="120">
        <v>7.9986122964670391E-5</v>
      </c>
      <c r="H184" s="379">
        <v>118359.63</v>
      </c>
      <c r="I184" s="120">
        <v>4.5513379034192492E-4</v>
      </c>
      <c r="J184" s="379"/>
      <c r="K184" s="120"/>
      <c r="L184" s="379">
        <v>96891.34</v>
      </c>
      <c r="M184" s="120">
        <v>4.3461545625726169E-4</v>
      </c>
      <c r="N184" s="379">
        <v>319249.12</v>
      </c>
      <c r="O184" s="120">
        <v>4.4984269593612963E-4</v>
      </c>
      <c r="P184" s="383">
        <f t="shared" si="38"/>
        <v>582381.5</v>
      </c>
      <c r="R184" s="379"/>
      <c r="S184" s="120"/>
      <c r="T184" s="380"/>
      <c r="U184" s="551">
        <v>687</v>
      </c>
      <c r="V184" s="550" t="s">
        <v>397</v>
      </c>
      <c r="W184" s="449" t="s">
        <v>55</v>
      </c>
      <c r="X184" s="562" t="s">
        <v>396</v>
      </c>
      <c r="Y184" s="379"/>
      <c r="Z184" s="379">
        <v>295455.09999999998</v>
      </c>
      <c r="AA184" s="379">
        <v>115193.27</v>
      </c>
      <c r="AB184" s="379"/>
      <c r="AC184" s="379">
        <v>0</v>
      </c>
      <c r="AD184" s="379">
        <v>410648.37</v>
      </c>
      <c r="AE184" s="124"/>
      <c r="AF184" s="551">
        <v>687</v>
      </c>
      <c r="AG184" s="550" t="s">
        <v>397</v>
      </c>
      <c r="AH184" s="449" t="s">
        <v>55</v>
      </c>
      <c r="AI184" s="562" t="s">
        <v>396</v>
      </c>
      <c r="AJ184" s="383">
        <f t="shared" si="30"/>
        <v>0</v>
      </c>
      <c r="AK184" s="383">
        <f t="shared" si="31"/>
        <v>319249.12</v>
      </c>
      <c r="AL184" s="383">
        <f t="shared" si="32"/>
        <v>118359.63</v>
      </c>
      <c r="AM184" s="383">
        <f t="shared" si="33"/>
        <v>0</v>
      </c>
      <c r="AN184" s="383">
        <f t="shared" si="34"/>
        <v>0</v>
      </c>
      <c r="AO184" s="124">
        <f t="shared" si="39"/>
        <v>437608.75</v>
      </c>
      <c r="AR184" s="124">
        <f t="shared" si="35"/>
        <v>96891.34</v>
      </c>
      <c r="AS184" s="124">
        <f t="shared" si="36"/>
        <v>47881.41</v>
      </c>
      <c r="AV184" s="379">
        <f t="shared" si="40"/>
        <v>144772.75</v>
      </c>
      <c r="AW184" s="124">
        <f t="shared" si="37"/>
        <v>0</v>
      </c>
      <c r="AZ184" s="379"/>
      <c r="BA184" s="379">
        <v>7764.91</v>
      </c>
      <c r="BB184" s="379">
        <v>2991.7</v>
      </c>
      <c r="BC184" s="379"/>
      <c r="BD184" s="379">
        <v>0</v>
      </c>
      <c r="BE184" s="379">
        <f t="shared" si="41"/>
        <v>10756.61</v>
      </c>
      <c r="BF184" s="379"/>
      <c r="BO184" s="477"/>
      <c r="BP184" s="477">
        <v>719360.47</v>
      </c>
      <c r="BQ184" s="477">
        <v>284426.01</v>
      </c>
      <c r="BR184" s="477"/>
      <c r="BS184" s="477">
        <v>0</v>
      </c>
      <c r="BT184" s="477">
        <v>1003786.48</v>
      </c>
      <c r="BW184" s="126">
        <v>797</v>
      </c>
      <c r="BX184" s="125">
        <v>25116</v>
      </c>
      <c r="BY184" s="19" t="s">
        <v>13</v>
      </c>
      <c r="BZ184" t="s">
        <v>936</v>
      </c>
    </row>
    <row r="185" spans="1:78" x14ac:dyDescent="0.25">
      <c r="A185" s="443">
        <v>25101</v>
      </c>
      <c r="B185" s="19" t="s">
        <v>34</v>
      </c>
      <c r="C185" t="s">
        <v>370</v>
      </c>
      <c r="D185" s="379">
        <v>2419.7800000000002</v>
      </c>
      <c r="E185" s="120">
        <v>4.0422539901696738E-6</v>
      </c>
      <c r="F185" s="379">
        <v>85588.04</v>
      </c>
      <c r="G185" s="120">
        <v>1.4297522758300406E-4</v>
      </c>
      <c r="H185" s="379">
        <v>211711.33</v>
      </c>
      <c r="I185" s="120">
        <v>8.141034242945003E-4</v>
      </c>
      <c r="J185" s="379"/>
      <c r="K185" s="120"/>
      <c r="L185" s="379">
        <v>148920.57</v>
      </c>
      <c r="M185" s="120">
        <v>6.67997588604322E-4</v>
      </c>
      <c r="N185" s="379">
        <v>488729.65</v>
      </c>
      <c r="O185" s="120">
        <v>6.8865174425514805E-4</v>
      </c>
      <c r="P185" s="383">
        <f t="shared" si="38"/>
        <v>937369.37</v>
      </c>
      <c r="R185" s="379"/>
      <c r="S185" s="120"/>
      <c r="T185" s="380"/>
      <c r="U185" s="551">
        <v>661</v>
      </c>
      <c r="V185" s="550" t="s">
        <v>371</v>
      </c>
      <c r="W185" s="449" t="s">
        <v>34</v>
      </c>
      <c r="X185" s="562" t="s">
        <v>370</v>
      </c>
      <c r="Y185" s="379"/>
      <c r="Z185" s="379">
        <v>468502.61</v>
      </c>
      <c r="AA185" s="379">
        <v>200849.63</v>
      </c>
      <c r="AB185" s="379">
        <v>1533.37</v>
      </c>
      <c r="AC185" s="379">
        <v>0</v>
      </c>
      <c r="AD185" s="379">
        <v>670885.61</v>
      </c>
      <c r="AE185" s="124"/>
      <c r="AF185" s="551">
        <v>661</v>
      </c>
      <c r="AG185" s="550" t="s">
        <v>371</v>
      </c>
      <c r="AH185" s="449" t="s">
        <v>34</v>
      </c>
      <c r="AI185" s="562" t="s">
        <v>370</v>
      </c>
      <c r="AJ185" s="383">
        <f t="shared" si="30"/>
        <v>0</v>
      </c>
      <c r="AK185" s="383">
        <f t="shared" si="31"/>
        <v>488729.65</v>
      </c>
      <c r="AL185" s="383">
        <f t="shared" si="32"/>
        <v>211711.33</v>
      </c>
      <c r="AM185" s="383">
        <f t="shared" si="33"/>
        <v>2419.7800000000002</v>
      </c>
      <c r="AN185" s="383">
        <f t="shared" si="34"/>
        <v>0</v>
      </c>
      <c r="AO185" s="124">
        <f t="shared" si="39"/>
        <v>702860.76</v>
      </c>
      <c r="AR185" s="124">
        <f t="shared" si="35"/>
        <v>148920.57</v>
      </c>
      <c r="AS185" s="124">
        <f t="shared" si="36"/>
        <v>85588.04</v>
      </c>
      <c r="AV185" s="379">
        <f t="shared" si="40"/>
        <v>234508.61</v>
      </c>
      <c r="AW185" s="124">
        <f t="shared" si="37"/>
        <v>0</v>
      </c>
      <c r="AZ185" s="379"/>
      <c r="BA185" s="379">
        <v>11884.86</v>
      </c>
      <c r="BB185" s="379">
        <v>5352.68</v>
      </c>
      <c r="BC185" s="379">
        <v>50.06</v>
      </c>
      <c r="BD185" s="379">
        <v>0</v>
      </c>
      <c r="BE185" s="379">
        <f t="shared" si="41"/>
        <v>17287.600000000002</v>
      </c>
      <c r="BF185" s="379"/>
      <c r="BO185" s="477"/>
      <c r="BP185" s="477">
        <v>1118037.69</v>
      </c>
      <c r="BQ185" s="477">
        <v>503501.68</v>
      </c>
      <c r="BR185" s="477">
        <v>4003.21</v>
      </c>
      <c r="BS185" s="477">
        <v>0</v>
      </c>
      <c r="BT185" s="477">
        <v>1625542.5799999998</v>
      </c>
      <c r="BW185" s="126">
        <v>908</v>
      </c>
      <c r="BX185" s="125">
        <v>25118</v>
      </c>
      <c r="BY185" s="19" t="s">
        <v>13</v>
      </c>
      <c r="BZ185" t="s">
        <v>965</v>
      </c>
    </row>
    <row r="186" spans="1:78" x14ac:dyDescent="0.25">
      <c r="A186" s="443">
        <v>25116</v>
      </c>
      <c r="B186" s="19" t="s">
        <v>13</v>
      </c>
      <c r="C186" t="s">
        <v>446</v>
      </c>
      <c r="D186" s="379"/>
      <c r="E186" s="120"/>
      <c r="F186" s="379">
        <v>50920.37</v>
      </c>
      <c r="G186" s="120">
        <v>8.5062720087535288E-5</v>
      </c>
      <c r="H186" s="379">
        <v>125951.85</v>
      </c>
      <c r="I186" s="120">
        <v>4.8432850703468384E-4</v>
      </c>
      <c r="J186" s="379">
        <v>0</v>
      </c>
      <c r="K186" s="120">
        <v>0</v>
      </c>
      <c r="L186" s="379">
        <v>92805.93</v>
      </c>
      <c r="M186" s="120">
        <v>4.1628995543182179E-4</v>
      </c>
      <c r="N186" s="379">
        <v>316137.94</v>
      </c>
      <c r="O186" s="120">
        <v>4.4545884172615539E-4</v>
      </c>
      <c r="P186" s="383">
        <f t="shared" si="38"/>
        <v>585816.09000000008</v>
      </c>
      <c r="R186" s="379"/>
      <c r="S186" s="120"/>
      <c r="T186" s="380"/>
      <c r="U186" s="551">
        <v>797</v>
      </c>
      <c r="V186" s="550" t="s">
        <v>447</v>
      </c>
      <c r="W186" s="449" t="s">
        <v>13</v>
      </c>
      <c r="X186" s="562" t="s">
        <v>446</v>
      </c>
      <c r="Y186" s="379">
        <v>0</v>
      </c>
      <c r="Z186" s="379">
        <v>304349.03000000003</v>
      </c>
      <c r="AA186" s="379">
        <v>121270.9</v>
      </c>
      <c r="AB186" s="379"/>
      <c r="AC186" s="379">
        <v>0</v>
      </c>
      <c r="AD186" s="379">
        <v>425619.93000000005</v>
      </c>
      <c r="AE186" s="124"/>
      <c r="AF186" s="551">
        <v>797</v>
      </c>
      <c r="AG186" s="550" t="s">
        <v>447</v>
      </c>
      <c r="AH186" s="449" t="s">
        <v>13</v>
      </c>
      <c r="AI186" s="562" t="s">
        <v>446</v>
      </c>
      <c r="AJ186" s="383">
        <f t="shared" si="30"/>
        <v>0</v>
      </c>
      <c r="AK186" s="383">
        <f t="shared" si="31"/>
        <v>316137.94</v>
      </c>
      <c r="AL186" s="383">
        <f t="shared" si="32"/>
        <v>125951.85</v>
      </c>
      <c r="AM186" s="383">
        <f t="shared" si="33"/>
        <v>0</v>
      </c>
      <c r="AN186" s="383">
        <f t="shared" si="34"/>
        <v>0</v>
      </c>
      <c r="AO186" s="124">
        <f t="shared" si="39"/>
        <v>442089.79000000004</v>
      </c>
      <c r="AR186" s="124">
        <f t="shared" si="35"/>
        <v>92805.93</v>
      </c>
      <c r="AS186" s="124">
        <f t="shared" si="36"/>
        <v>50920.37</v>
      </c>
      <c r="AV186" s="379">
        <f t="shared" si="40"/>
        <v>143726.29999999999</v>
      </c>
      <c r="AW186" s="124">
        <f t="shared" si="37"/>
        <v>0</v>
      </c>
      <c r="AZ186" s="379">
        <v>0</v>
      </c>
      <c r="BA186" s="379">
        <v>7701.85</v>
      </c>
      <c r="BB186" s="379">
        <v>3184.35</v>
      </c>
      <c r="BC186" s="379"/>
      <c r="BD186" s="379">
        <v>0</v>
      </c>
      <c r="BE186" s="379">
        <f t="shared" si="41"/>
        <v>10886.2</v>
      </c>
      <c r="BF186" s="379"/>
      <c r="BO186" s="477">
        <v>0</v>
      </c>
      <c r="BP186" s="477">
        <v>720994.75</v>
      </c>
      <c r="BQ186" s="477">
        <v>301327.46999999997</v>
      </c>
      <c r="BR186" s="477"/>
      <c r="BS186" s="477">
        <v>0</v>
      </c>
      <c r="BT186" s="477">
        <v>1022322.22</v>
      </c>
      <c r="BW186" s="126">
        <v>634</v>
      </c>
      <c r="BX186" s="125">
        <v>25155</v>
      </c>
      <c r="BY186" s="19" t="s">
        <v>34</v>
      </c>
      <c r="BZ186" t="s">
        <v>1122</v>
      </c>
    </row>
    <row r="187" spans="1:78" x14ac:dyDescent="0.25">
      <c r="A187" s="443">
        <v>25118</v>
      </c>
      <c r="B187" s="19" t="s">
        <v>13</v>
      </c>
      <c r="C187" t="s">
        <v>504</v>
      </c>
      <c r="D187" s="379"/>
      <c r="E187" s="120"/>
      <c r="F187" s="379">
        <v>80217.72</v>
      </c>
      <c r="G187" s="120">
        <v>1.3400408250019159E-4</v>
      </c>
      <c r="H187" s="379">
        <v>192743.13</v>
      </c>
      <c r="I187" s="120">
        <v>7.4116412259202214E-4</v>
      </c>
      <c r="J187" s="379">
        <v>0</v>
      </c>
      <c r="K187" s="120">
        <v>0</v>
      </c>
      <c r="L187" s="379">
        <v>124719.5</v>
      </c>
      <c r="M187" s="120">
        <v>5.5944135354798021E-4</v>
      </c>
      <c r="N187" s="379">
        <v>356901.26</v>
      </c>
      <c r="O187" s="120">
        <v>5.0289700087944342E-4</v>
      </c>
      <c r="P187" s="383">
        <f t="shared" si="38"/>
        <v>754581.61</v>
      </c>
      <c r="R187" s="379"/>
      <c r="S187" s="120"/>
      <c r="T187" s="380"/>
      <c r="U187" s="551">
        <v>908</v>
      </c>
      <c r="V187" s="550" t="s">
        <v>505</v>
      </c>
      <c r="W187" s="449" t="s">
        <v>13</v>
      </c>
      <c r="X187" s="562" t="s">
        <v>504</v>
      </c>
      <c r="Y187" s="379">
        <v>0</v>
      </c>
      <c r="Z187" s="379">
        <v>341888.13</v>
      </c>
      <c r="AA187" s="379">
        <v>172364.69</v>
      </c>
      <c r="AB187" s="379"/>
      <c r="AC187" s="379">
        <v>0</v>
      </c>
      <c r="AD187" s="379">
        <v>514252.82</v>
      </c>
      <c r="AE187" s="124"/>
      <c r="AF187" s="551">
        <v>908</v>
      </c>
      <c r="AG187" s="550" t="s">
        <v>505</v>
      </c>
      <c r="AH187" s="449" t="s">
        <v>13</v>
      </c>
      <c r="AI187" s="562" t="s">
        <v>504</v>
      </c>
      <c r="AJ187" s="383">
        <f t="shared" si="30"/>
        <v>0</v>
      </c>
      <c r="AK187" s="383">
        <f t="shared" si="31"/>
        <v>356901.26</v>
      </c>
      <c r="AL187" s="383">
        <f t="shared" si="32"/>
        <v>192743.13</v>
      </c>
      <c r="AM187" s="383">
        <f t="shared" si="33"/>
        <v>0</v>
      </c>
      <c r="AN187" s="383">
        <f t="shared" si="34"/>
        <v>0</v>
      </c>
      <c r="AO187" s="124">
        <f t="shared" si="39"/>
        <v>549644.39</v>
      </c>
      <c r="AR187" s="124">
        <f t="shared" si="35"/>
        <v>124719.5</v>
      </c>
      <c r="AS187" s="124">
        <f t="shared" si="36"/>
        <v>80217.72</v>
      </c>
      <c r="AV187" s="379">
        <f t="shared" si="40"/>
        <v>204937.22</v>
      </c>
      <c r="AW187" s="124">
        <f t="shared" si="37"/>
        <v>0</v>
      </c>
      <c r="AZ187" s="379">
        <v>0</v>
      </c>
      <c r="BA187" s="379">
        <v>8616.4000000000015</v>
      </c>
      <c r="BB187" s="379">
        <v>4819.7</v>
      </c>
      <c r="BC187" s="379"/>
      <c r="BD187" s="379">
        <v>0</v>
      </c>
      <c r="BE187" s="379">
        <f t="shared" si="41"/>
        <v>13436.100000000002</v>
      </c>
      <c r="BF187" s="379"/>
      <c r="BO187" s="477">
        <v>0</v>
      </c>
      <c r="BP187" s="477">
        <v>832125.29</v>
      </c>
      <c r="BQ187" s="477">
        <v>450145.24</v>
      </c>
      <c r="BR187" s="477"/>
      <c r="BS187" s="477">
        <v>0</v>
      </c>
      <c r="BT187" s="477">
        <v>1282270.53</v>
      </c>
      <c r="BW187" s="126">
        <v>1102</v>
      </c>
      <c r="BX187" s="125">
        <v>25160</v>
      </c>
      <c r="BY187" s="19" t="s">
        <v>13</v>
      </c>
      <c r="BZ187" t="s">
        <v>1014</v>
      </c>
    </row>
    <row r="188" spans="1:78" x14ac:dyDescent="0.25">
      <c r="A188" s="443">
        <v>25155</v>
      </c>
      <c r="B188" s="19" t="s">
        <v>34</v>
      </c>
      <c r="C188" t="s">
        <v>332</v>
      </c>
      <c r="D188" s="379"/>
      <c r="E188" s="120"/>
      <c r="F188" s="379">
        <v>31114.799999999999</v>
      </c>
      <c r="G188" s="120">
        <v>5.1977421275211527E-5</v>
      </c>
      <c r="H188" s="379">
        <v>77837.86</v>
      </c>
      <c r="I188" s="120">
        <v>2.9931354342611671E-4</v>
      </c>
      <c r="J188" s="379"/>
      <c r="K188" s="120"/>
      <c r="L188" s="379">
        <v>54220.65</v>
      </c>
      <c r="M188" s="120">
        <v>2.4321195824431057E-4</v>
      </c>
      <c r="N188" s="379">
        <v>187087.78</v>
      </c>
      <c r="O188" s="120">
        <v>2.6361880443681574E-4</v>
      </c>
      <c r="P188" s="383">
        <f t="shared" si="38"/>
        <v>350261.08999999997</v>
      </c>
      <c r="R188" s="379"/>
      <c r="S188" s="120"/>
      <c r="T188" s="380"/>
      <c r="U188" s="551">
        <v>634</v>
      </c>
      <c r="V188" s="550" t="s">
        <v>333</v>
      </c>
      <c r="W188" s="449" t="s">
        <v>34</v>
      </c>
      <c r="X188" s="562" t="s">
        <v>332</v>
      </c>
      <c r="Y188" s="379"/>
      <c r="Z188" s="379">
        <v>192224.41</v>
      </c>
      <c r="AA188" s="379">
        <v>68489.11</v>
      </c>
      <c r="AB188" s="379"/>
      <c r="AC188" s="379">
        <v>0</v>
      </c>
      <c r="AD188" s="379">
        <v>260713.52000000002</v>
      </c>
      <c r="AE188" s="124"/>
      <c r="AF188" s="551">
        <v>634</v>
      </c>
      <c r="AG188" s="550" t="s">
        <v>333</v>
      </c>
      <c r="AH188" s="449" t="s">
        <v>34</v>
      </c>
      <c r="AI188" s="562" t="s">
        <v>332</v>
      </c>
      <c r="AJ188" s="383">
        <f t="shared" si="30"/>
        <v>0</v>
      </c>
      <c r="AK188" s="383">
        <f t="shared" si="31"/>
        <v>187087.78</v>
      </c>
      <c r="AL188" s="383">
        <f t="shared" si="32"/>
        <v>77837.86</v>
      </c>
      <c r="AM188" s="383">
        <f t="shared" si="33"/>
        <v>0</v>
      </c>
      <c r="AN188" s="383">
        <f t="shared" si="34"/>
        <v>0</v>
      </c>
      <c r="AO188" s="124">
        <f t="shared" si="39"/>
        <v>264925.64</v>
      </c>
      <c r="AR188" s="124">
        <f t="shared" si="35"/>
        <v>54220.65</v>
      </c>
      <c r="AS188" s="124">
        <f t="shared" si="36"/>
        <v>31114.799999999999</v>
      </c>
      <c r="AV188" s="379">
        <f t="shared" si="40"/>
        <v>85335.45</v>
      </c>
      <c r="AW188" s="124">
        <f t="shared" si="37"/>
        <v>0</v>
      </c>
      <c r="AZ188" s="379"/>
      <c r="BA188" s="379">
        <v>4560.4400000000005</v>
      </c>
      <c r="BB188" s="379">
        <v>1975.94</v>
      </c>
      <c r="BC188" s="379"/>
      <c r="BD188" s="379">
        <v>0</v>
      </c>
      <c r="BE188" s="379">
        <f t="shared" si="41"/>
        <v>6536.380000000001</v>
      </c>
      <c r="BF188" s="379"/>
      <c r="BO188" s="477"/>
      <c r="BP188" s="477">
        <v>438093.28</v>
      </c>
      <c r="BQ188" s="477">
        <v>179417.71000000002</v>
      </c>
      <c r="BR188" s="477"/>
      <c r="BS188" s="477">
        <v>0</v>
      </c>
      <c r="BT188" s="477">
        <v>617510.99</v>
      </c>
      <c r="BW188" s="126">
        <v>641</v>
      </c>
      <c r="BX188" s="125">
        <v>25200</v>
      </c>
      <c r="BY188" s="19" t="s">
        <v>13</v>
      </c>
      <c r="BZ188" t="s">
        <v>889</v>
      </c>
    </row>
    <row r="189" spans="1:78" x14ac:dyDescent="0.25">
      <c r="A189" s="443">
        <v>25160</v>
      </c>
      <c r="B189" s="19" t="s">
        <v>13</v>
      </c>
      <c r="C189" t="s">
        <v>610</v>
      </c>
      <c r="D189" s="379"/>
      <c r="E189" s="120"/>
      <c r="F189" s="379">
        <v>43070.57</v>
      </c>
      <c r="G189" s="120">
        <v>7.19495918808248E-5</v>
      </c>
      <c r="H189" s="379">
        <v>105341.33</v>
      </c>
      <c r="I189" s="120">
        <v>4.050739158491753E-4</v>
      </c>
      <c r="J189" s="379">
        <v>0</v>
      </c>
      <c r="K189" s="120">
        <v>0</v>
      </c>
      <c r="L189" s="379">
        <v>75852.960000000006</v>
      </c>
      <c r="M189" s="120">
        <v>3.4024577241747122E-4</v>
      </c>
      <c r="N189" s="379">
        <v>233416.21</v>
      </c>
      <c r="O189" s="120">
        <v>3.2889856417331326E-4</v>
      </c>
      <c r="P189" s="383">
        <f t="shared" si="38"/>
        <v>457681.06999999995</v>
      </c>
      <c r="R189" s="379"/>
      <c r="S189" s="120"/>
      <c r="T189" s="380"/>
      <c r="U189" s="551">
        <v>1102</v>
      </c>
      <c r="V189" s="550" t="s">
        <v>611</v>
      </c>
      <c r="W189" s="449" t="s">
        <v>13</v>
      </c>
      <c r="X189" s="562" t="s">
        <v>610</v>
      </c>
      <c r="Y189" s="379">
        <v>0</v>
      </c>
      <c r="Z189" s="379">
        <v>219619.19</v>
      </c>
      <c r="AA189" s="379">
        <v>100762.48000000001</v>
      </c>
      <c r="AB189" s="379"/>
      <c r="AC189" s="379">
        <v>0</v>
      </c>
      <c r="AD189" s="379">
        <v>320381.67000000004</v>
      </c>
      <c r="AE189" s="124"/>
      <c r="AF189" s="551">
        <v>1102</v>
      </c>
      <c r="AG189" s="550" t="s">
        <v>611</v>
      </c>
      <c r="AH189" s="449" t="s">
        <v>13</v>
      </c>
      <c r="AI189" s="562" t="s">
        <v>610</v>
      </c>
      <c r="AJ189" s="383">
        <f t="shared" si="30"/>
        <v>0</v>
      </c>
      <c r="AK189" s="383">
        <f t="shared" si="31"/>
        <v>233416.21</v>
      </c>
      <c r="AL189" s="383">
        <f t="shared" si="32"/>
        <v>105341.33</v>
      </c>
      <c r="AM189" s="383">
        <f t="shared" si="33"/>
        <v>0</v>
      </c>
      <c r="AN189" s="383">
        <f t="shared" si="34"/>
        <v>0</v>
      </c>
      <c r="AO189" s="124">
        <f t="shared" si="39"/>
        <v>338757.54</v>
      </c>
      <c r="AR189" s="124">
        <f t="shared" si="35"/>
        <v>75852.960000000006</v>
      </c>
      <c r="AS189" s="124">
        <f t="shared" si="36"/>
        <v>43070.57</v>
      </c>
      <c r="AV189" s="379">
        <f t="shared" si="40"/>
        <v>118923.53</v>
      </c>
      <c r="AW189" s="124">
        <f t="shared" si="37"/>
        <v>0</v>
      </c>
      <c r="AZ189" s="379">
        <v>0</v>
      </c>
      <c r="BA189" s="379">
        <v>5657.58</v>
      </c>
      <c r="BB189" s="379">
        <v>2651.6</v>
      </c>
      <c r="BC189" s="379"/>
      <c r="BD189" s="379">
        <v>0</v>
      </c>
      <c r="BE189" s="379">
        <f t="shared" si="41"/>
        <v>8309.18</v>
      </c>
      <c r="BF189" s="379"/>
      <c r="BO189" s="477">
        <v>0</v>
      </c>
      <c r="BP189" s="477">
        <v>534545.93999999994</v>
      </c>
      <c r="BQ189" s="477">
        <v>251825.98</v>
      </c>
      <c r="BR189" s="477"/>
      <c r="BS189" s="477">
        <v>0</v>
      </c>
      <c r="BT189" s="477">
        <v>786371.91999999993</v>
      </c>
      <c r="BW189" s="126">
        <v>639</v>
      </c>
      <c r="BX189" s="125">
        <v>26056</v>
      </c>
      <c r="BY189" s="19" t="s">
        <v>18</v>
      </c>
      <c r="BZ189" t="s">
        <v>887</v>
      </c>
    </row>
    <row r="190" spans="1:78" x14ac:dyDescent="0.25">
      <c r="A190" s="443">
        <v>25200</v>
      </c>
      <c r="B190" s="19" t="s">
        <v>13</v>
      </c>
      <c r="C190" t="s">
        <v>352</v>
      </c>
      <c r="D190" s="379"/>
      <c r="E190" s="120"/>
      <c r="F190" s="379">
        <v>14685.75</v>
      </c>
      <c r="G190" s="120">
        <v>2.4532615170029623E-5</v>
      </c>
      <c r="H190" s="379">
        <v>37321.35</v>
      </c>
      <c r="I190" s="120">
        <v>1.435135230329598E-4</v>
      </c>
      <c r="J190" s="379">
        <v>10469.52</v>
      </c>
      <c r="K190" s="120">
        <v>4.6962042341395291E-5</v>
      </c>
      <c r="L190" s="379">
        <v>23564.76</v>
      </c>
      <c r="M190" s="120">
        <v>1.0570200514300732E-4</v>
      </c>
      <c r="N190" s="379">
        <v>63719.99</v>
      </c>
      <c r="O190" s="120">
        <v>8.9785594668587398E-5</v>
      </c>
      <c r="P190" s="383">
        <f t="shared" si="38"/>
        <v>149761.37</v>
      </c>
      <c r="R190" s="379"/>
      <c r="S190" s="120"/>
      <c r="T190" s="380"/>
      <c r="U190" s="551">
        <v>641</v>
      </c>
      <c r="V190" s="550" t="s">
        <v>353</v>
      </c>
      <c r="W190" s="449" t="s">
        <v>13</v>
      </c>
      <c r="X190" s="562" t="s">
        <v>352</v>
      </c>
      <c r="Y190" s="379">
        <v>6100.28</v>
      </c>
      <c r="Z190" s="379">
        <v>58212.82</v>
      </c>
      <c r="AA190" s="379">
        <v>32612.39</v>
      </c>
      <c r="AB190" s="379"/>
      <c r="AC190" s="379">
        <v>0</v>
      </c>
      <c r="AD190" s="379">
        <v>96925.489999999991</v>
      </c>
      <c r="AE190" s="124"/>
      <c r="AF190" s="551">
        <v>641</v>
      </c>
      <c r="AG190" s="550" t="s">
        <v>353</v>
      </c>
      <c r="AH190" s="449" t="s">
        <v>13</v>
      </c>
      <c r="AI190" s="562" t="s">
        <v>352</v>
      </c>
      <c r="AJ190" s="383">
        <f t="shared" si="30"/>
        <v>10469.52</v>
      </c>
      <c r="AK190" s="383">
        <f t="shared" si="31"/>
        <v>63719.99</v>
      </c>
      <c r="AL190" s="383">
        <f t="shared" si="32"/>
        <v>37321.35</v>
      </c>
      <c r="AM190" s="383">
        <f t="shared" si="33"/>
        <v>0</v>
      </c>
      <c r="AN190" s="383">
        <f t="shared" si="34"/>
        <v>0</v>
      </c>
      <c r="AO190" s="124">
        <f t="shared" si="39"/>
        <v>111510.85999999999</v>
      </c>
      <c r="AR190" s="124">
        <f t="shared" si="35"/>
        <v>23564.76</v>
      </c>
      <c r="AS190" s="124">
        <f t="shared" si="36"/>
        <v>14685.75</v>
      </c>
      <c r="AV190" s="379">
        <f t="shared" si="40"/>
        <v>38250.509999999995</v>
      </c>
      <c r="AW190" s="124">
        <f t="shared" si="37"/>
        <v>0</v>
      </c>
      <c r="AZ190" s="379">
        <v>200</v>
      </c>
      <c r="BA190" s="379">
        <v>1533.2400000000002</v>
      </c>
      <c r="BB190" s="379">
        <v>952.62999999999988</v>
      </c>
      <c r="BC190" s="379"/>
      <c r="BD190" s="379">
        <v>0</v>
      </c>
      <c r="BE190" s="379">
        <f t="shared" si="41"/>
        <v>2685.87</v>
      </c>
      <c r="BF190" s="379"/>
      <c r="BO190" s="477">
        <v>16769.8</v>
      </c>
      <c r="BP190" s="477">
        <v>147030.81</v>
      </c>
      <c r="BQ190" s="477">
        <v>85572.12</v>
      </c>
      <c r="BR190" s="477"/>
      <c r="BS190" s="477">
        <v>0</v>
      </c>
      <c r="BT190" s="477">
        <v>249372.72999999998</v>
      </c>
      <c r="BW190" s="126">
        <v>215</v>
      </c>
      <c r="BX190" s="125">
        <v>26059</v>
      </c>
      <c r="BY190" s="19" t="s">
        <v>18</v>
      </c>
      <c r="BZ190" t="s">
        <v>783</v>
      </c>
    </row>
    <row r="191" spans="1:78" x14ac:dyDescent="0.25">
      <c r="A191" s="443">
        <v>26056</v>
      </c>
      <c r="B191" s="19" t="s">
        <v>18</v>
      </c>
      <c r="C191" t="s">
        <v>336</v>
      </c>
      <c r="D191" s="379"/>
      <c r="E191" s="120"/>
      <c r="F191" s="379">
        <v>92791.360000000001</v>
      </c>
      <c r="G191" s="120">
        <v>1.5500840787727424E-4</v>
      </c>
      <c r="H191" s="379">
        <v>222272.51</v>
      </c>
      <c r="I191" s="120">
        <v>8.5471482096651885E-4</v>
      </c>
      <c r="J191" s="379"/>
      <c r="K191" s="120"/>
      <c r="L191" s="379">
        <v>170865.55</v>
      </c>
      <c r="M191" s="120">
        <v>7.6643391423730919E-4</v>
      </c>
      <c r="N191" s="379">
        <v>599166.28</v>
      </c>
      <c r="O191" s="120">
        <v>8.4426411170443298E-4</v>
      </c>
      <c r="P191" s="383">
        <f t="shared" si="38"/>
        <v>1085095.7</v>
      </c>
      <c r="R191" s="379"/>
      <c r="S191" s="120"/>
      <c r="T191" s="380"/>
      <c r="U191" s="551">
        <v>639</v>
      </c>
      <c r="V191" s="550" t="s">
        <v>337</v>
      </c>
      <c r="W191" s="449" t="s">
        <v>18</v>
      </c>
      <c r="X191" s="562" t="s">
        <v>336</v>
      </c>
      <c r="Y191" s="379"/>
      <c r="Z191" s="379">
        <v>607459.86</v>
      </c>
      <c r="AA191" s="379">
        <v>196065.15</v>
      </c>
      <c r="AB191" s="379"/>
      <c r="AC191" s="379">
        <v>0</v>
      </c>
      <c r="AD191" s="379">
        <v>803525.01</v>
      </c>
      <c r="AE191" s="124"/>
      <c r="AF191" s="551">
        <v>639</v>
      </c>
      <c r="AG191" s="550" t="s">
        <v>337</v>
      </c>
      <c r="AH191" s="449" t="s">
        <v>18</v>
      </c>
      <c r="AI191" s="562" t="s">
        <v>336</v>
      </c>
      <c r="AJ191" s="383">
        <f t="shared" si="30"/>
        <v>0</v>
      </c>
      <c r="AK191" s="383">
        <f t="shared" si="31"/>
        <v>599166.28</v>
      </c>
      <c r="AL191" s="383">
        <f t="shared" si="32"/>
        <v>222272.51</v>
      </c>
      <c r="AM191" s="383">
        <f t="shared" si="33"/>
        <v>0</v>
      </c>
      <c r="AN191" s="383">
        <f t="shared" si="34"/>
        <v>0</v>
      </c>
      <c r="AO191" s="124">
        <f t="shared" si="39"/>
        <v>821438.79</v>
      </c>
      <c r="AR191" s="124">
        <f t="shared" si="35"/>
        <v>170865.55</v>
      </c>
      <c r="AS191" s="124">
        <f t="shared" si="36"/>
        <v>92791.360000000001</v>
      </c>
      <c r="AV191" s="379">
        <f t="shared" si="40"/>
        <v>263656.90999999997</v>
      </c>
      <c r="AW191" s="124">
        <f t="shared" si="37"/>
        <v>0</v>
      </c>
      <c r="AZ191" s="379"/>
      <c r="BA191" s="379">
        <v>14616.470000000001</v>
      </c>
      <c r="BB191" s="379">
        <v>5573.29</v>
      </c>
      <c r="BC191" s="379"/>
      <c r="BD191" s="379">
        <v>0</v>
      </c>
      <c r="BE191" s="379">
        <f t="shared" si="41"/>
        <v>20189.760000000002</v>
      </c>
      <c r="BF191" s="379"/>
      <c r="BO191" s="477"/>
      <c r="BP191" s="477">
        <v>1392108.16</v>
      </c>
      <c r="BQ191" s="477">
        <v>516702.31</v>
      </c>
      <c r="BR191" s="477"/>
      <c r="BS191" s="477">
        <v>0</v>
      </c>
      <c r="BT191" s="477">
        <v>1908810.47</v>
      </c>
      <c r="BW191" s="126">
        <v>851</v>
      </c>
      <c r="BX191" s="125">
        <v>26070</v>
      </c>
      <c r="BY191" s="19" t="s">
        <v>18</v>
      </c>
      <c r="BZ191" t="s">
        <v>954</v>
      </c>
    </row>
    <row r="192" spans="1:78" x14ac:dyDescent="0.25">
      <c r="A192" s="443">
        <v>26059</v>
      </c>
      <c r="B192" s="19" t="s">
        <v>18</v>
      </c>
      <c r="C192" t="s">
        <v>124</v>
      </c>
      <c r="D192" s="379"/>
      <c r="E192" s="120"/>
      <c r="F192" s="379">
        <v>48395.18</v>
      </c>
      <c r="G192" s="120">
        <v>8.0844378191397389E-5</v>
      </c>
      <c r="H192" s="379">
        <v>117569.91</v>
      </c>
      <c r="I192" s="120">
        <v>4.5209704329473639E-4</v>
      </c>
      <c r="J192" s="379"/>
      <c r="K192" s="120"/>
      <c r="L192" s="379">
        <v>73387</v>
      </c>
      <c r="M192" s="120">
        <v>3.2918447085520405E-4</v>
      </c>
      <c r="N192" s="379">
        <v>210219.69</v>
      </c>
      <c r="O192" s="120">
        <v>2.9621316446685092E-4</v>
      </c>
      <c r="P192" s="383">
        <f t="shared" si="38"/>
        <v>449571.78</v>
      </c>
      <c r="R192" s="379"/>
      <c r="S192" s="120"/>
      <c r="T192" s="380"/>
      <c r="U192" s="551">
        <v>215</v>
      </c>
      <c r="V192" s="550" t="s">
        <v>125</v>
      </c>
      <c r="W192" s="449" t="s">
        <v>18</v>
      </c>
      <c r="X192" s="562" t="s">
        <v>124</v>
      </c>
      <c r="Y192" s="379"/>
      <c r="Z192" s="379">
        <v>210185.08000000002</v>
      </c>
      <c r="AA192" s="379">
        <v>109875.04999999999</v>
      </c>
      <c r="AB192" s="379"/>
      <c r="AC192" s="379">
        <v>0</v>
      </c>
      <c r="AD192" s="379">
        <v>320060.13</v>
      </c>
      <c r="AE192" s="124"/>
      <c r="AF192" s="551">
        <v>215</v>
      </c>
      <c r="AG192" s="550" t="s">
        <v>125</v>
      </c>
      <c r="AH192" s="449" t="s">
        <v>18</v>
      </c>
      <c r="AI192" s="562" t="s">
        <v>124</v>
      </c>
      <c r="AJ192" s="383">
        <f t="shared" si="30"/>
        <v>0</v>
      </c>
      <c r="AK192" s="383">
        <f t="shared" si="31"/>
        <v>210219.69</v>
      </c>
      <c r="AL192" s="383">
        <f t="shared" si="32"/>
        <v>117569.91</v>
      </c>
      <c r="AM192" s="383">
        <f t="shared" si="33"/>
        <v>0</v>
      </c>
      <c r="AN192" s="383">
        <f t="shared" si="34"/>
        <v>0</v>
      </c>
      <c r="AO192" s="124">
        <f t="shared" si="39"/>
        <v>327789.59999999998</v>
      </c>
      <c r="AR192" s="124">
        <f t="shared" si="35"/>
        <v>73387</v>
      </c>
      <c r="AS192" s="124">
        <f t="shared" si="36"/>
        <v>48395.18</v>
      </c>
      <c r="AV192" s="379">
        <f t="shared" si="40"/>
        <v>121782.18</v>
      </c>
      <c r="AW192" s="124">
        <f t="shared" si="37"/>
        <v>0</v>
      </c>
      <c r="AZ192" s="379"/>
      <c r="BA192" s="379">
        <v>5075.2700000000004</v>
      </c>
      <c r="BB192" s="379">
        <v>2952.8999999999996</v>
      </c>
      <c r="BC192" s="379"/>
      <c r="BD192" s="379">
        <v>0</v>
      </c>
      <c r="BE192" s="379">
        <f t="shared" si="41"/>
        <v>8028.17</v>
      </c>
      <c r="BF192" s="379"/>
      <c r="BO192" s="477"/>
      <c r="BP192" s="477">
        <v>498867.04</v>
      </c>
      <c r="BQ192" s="477">
        <v>278793.03999999998</v>
      </c>
      <c r="BR192" s="477"/>
      <c r="BS192" s="477">
        <v>0</v>
      </c>
      <c r="BT192" s="477">
        <v>777660.08</v>
      </c>
      <c r="BW192" s="126">
        <v>943</v>
      </c>
      <c r="BX192" s="125">
        <v>27001</v>
      </c>
      <c r="BY192" s="19" t="s">
        <v>29</v>
      </c>
      <c r="BZ192" t="s">
        <v>973</v>
      </c>
    </row>
    <row r="193" spans="1:78" x14ac:dyDescent="0.25">
      <c r="A193" s="443">
        <v>26070</v>
      </c>
      <c r="B193" s="19" t="s">
        <v>18</v>
      </c>
      <c r="C193" t="s">
        <v>484</v>
      </c>
      <c r="D193" s="379"/>
      <c r="E193" s="120"/>
      <c r="F193" s="379">
        <v>37777.54</v>
      </c>
      <c r="G193" s="120">
        <v>6.3107560110338309E-5</v>
      </c>
      <c r="H193" s="379">
        <v>91631.56</v>
      </c>
      <c r="I193" s="120">
        <v>3.5235509960400782E-4</v>
      </c>
      <c r="J193" s="379">
        <v>0</v>
      </c>
      <c r="K193" s="120">
        <v>0</v>
      </c>
      <c r="L193" s="379">
        <v>57611.97</v>
      </c>
      <c r="M193" s="120">
        <v>2.5842405139024475E-4</v>
      </c>
      <c r="N193" s="379">
        <v>169338.82</v>
      </c>
      <c r="O193" s="120">
        <v>2.3860936974687039E-4</v>
      </c>
      <c r="P193" s="383">
        <f t="shared" si="38"/>
        <v>356359.89</v>
      </c>
      <c r="R193" s="379"/>
      <c r="S193" s="120"/>
      <c r="T193" s="380"/>
      <c r="U193" s="551">
        <v>851</v>
      </c>
      <c r="V193" s="550" t="s">
        <v>485</v>
      </c>
      <c r="W193" s="449" t="s">
        <v>18</v>
      </c>
      <c r="X193" s="562" t="s">
        <v>484</v>
      </c>
      <c r="Y193" s="379">
        <v>0</v>
      </c>
      <c r="Z193" s="379">
        <v>174390.52000000002</v>
      </c>
      <c r="AA193" s="379">
        <v>85051.55</v>
      </c>
      <c r="AB193" s="379"/>
      <c r="AC193" s="379">
        <v>0</v>
      </c>
      <c r="AD193" s="379">
        <v>259442.07</v>
      </c>
      <c r="AE193" s="124"/>
      <c r="AF193" s="551">
        <v>851</v>
      </c>
      <c r="AG193" s="550" t="s">
        <v>485</v>
      </c>
      <c r="AH193" s="449" t="s">
        <v>18</v>
      </c>
      <c r="AI193" s="562" t="s">
        <v>484</v>
      </c>
      <c r="AJ193" s="383">
        <f t="shared" si="30"/>
        <v>0</v>
      </c>
      <c r="AK193" s="383">
        <f t="shared" si="31"/>
        <v>169338.82</v>
      </c>
      <c r="AL193" s="383">
        <f t="shared" si="32"/>
        <v>91631.56</v>
      </c>
      <c r="AM193" s="383">
        <f t="shared" si="33"/>
        <v>0</v>
      </c>
      <c r="AN193" s="383">
        <f t="shared" si="34"/>
        <v>0</v>
      </c>
      <c r="AO193" s="124">
        <f t="shared" si="39"/>
        <v>260970.38</v>
      </c>
      <c r="AR193" s="124">
        <f t="shared" si="35"/>
        <v>57611.97</v>
      </c>
      <c r="AS193" s="124">
        <f t="shared" si="36"/>
        <v>37777.54</v>
      </c>
      <c r="AV193" s="379">
        <f t="shared" si="40"/>
        <v>95389.510000000009</v>
      </c>
      <c r="AW193" s="124">
        <f t="shared" si="37"/>
        <v>0</v>
      </c>
      <c r="AZ193" s="379">
        <v>0</v>
      </c>
      <c r="BA193" s="379">
        <v>4094.26</v>
      </c>
      <c r="BB193" s="379">
        <v>2300</v>
      </c>
      <c r="BC193" s="379"/>
      <c r="BD193" s="379">
        <v>0</v>
      </c>
      <c r="BE193" s="379">
        <f t="shared" si="41"/>
        <v>6394.26</v>
      </c>
      <c r="BF193" s="379"/>
      <c r="BO193" s="477">
        <v>0</v>
      </c>
      <c r="BP193" s="477">
        <v>405435.57</v>
      </c>
      <c r="BQ193" s="477">
        <v>216760.65</v>
      </c>
      <c r="BR193" s="477"/>
      <c r="BS193" s="477">
        <v>0</v>
      </c>
      <c r="BT193" s="477">
        <v>622196.22</v>
      </c>
      <c r="BW193" s="126">
        <v>784</v>
      </c>
      <c r="BX193" s="125">
        <v>27003</v>
      </c>
      <c r="BY193" s="19" t="s">
        <v>29</v>
      </c>
      <c r="BZ193" t="s">
        <v>929</v>
      </c>
    </row>
    <row r="194" spans="1:78" x14ac:dyDescent="0.25">
      <c r="A194" s="443">
        <v>27001</v>
      </c>
      <c r="B194" s="19" t="s">
        <v>29</v>
      </c>
      <c r="C194" t="s">
        <v>524</v>
      </c>
      <c r="D194" s="379"/>
      <c r="E194" s="120"/>
      <c r="F194" s="379">
        <v>197743.62</v>
      </c>
      <c r="G194" s="120">
        <v>3.3033165700005604E-4</v>
      </c>
      <c r="H194" s="379">
        <v>491747.47</v>
      </c>
      <c r="I194" s="120">
        <v>1.8909394183823658E-3</v>
      </c>
      <c r="J194" s="379">
        <v>0</v>
      </c>
      <c r="K194" s="120">
        <v>0</v>
      </c>
      <c r="L194" s="379">
        <v>540845</v>
      </c>
      <c r="M194" s="120">
        <v>2.4260124427988995E-3</v>
      </c>
      <c r="N194" s="379">
        <v>1816179.44</v>
      </c>
      <c r="O194" s="120">
        <v>2.5591145109291769E-3</v>
      </c>
      <c r="P194" s="383">
        <f t="shared" si="38"/>
        <v>3046515.53</v>
      </c>
      <c r="R194" s="379"/>
      <c r="S194" s="120"/>
      <c r="T194" s="380"/>
      <c r="U194" s="551">
        <v>943</v>
      </c>
      <c r="V194" s="550" t="s">
        <v>525</v>
      </c>
      <c r="W194" s="449" t="s">
        <v>29</v>
      </c>
      <c r="X194" s="562" t="s">
        <v>524</v>
      </c>
      <c r="Y194" s="379">
        <v>0</v>
      </c>
      <c r="Z194" s="379">
        <v>1736297.26</v>
      </c>
      <c r="AA194" s="379">
        <v>476911.75</v>
      </c>
      <c r="AB194" s="379"/>
      <c r="AC194" s="379">
        <v>0</v>
      </c>
      <c r="AD194" s="379">
        <v>2213209.0099999998</v>
      </c>
      <c r="AE194" s="124"/>
      <c r="AF194" s="551">
        <v>943</v>
      </c>
      <c r="AG194" s="550" t="s">
        <v>525</v>
      </c>
      <c r="AH194" s="449" t="s">
        <v>29</v>
      </c>
      <c r="AI194" s="562" t="s">
        <v>524</v>
      </c>
      <c r="AJ194" s="383">
        <f t="shared" si="30"/>
        <v>0</v>
      </c>
      <c r="AK194" s="383">
        <f t="shared" si="31"/>
        <v>1816179.44</v>
      </c>
      <c r="AL194" s="383">
        <f t="shared" si="32"/>
        <v>491747.47</v>
      </c>
      <c r="AM194" s="383">
        <f t="shared" si="33"/>
        <v>0</v>
      </c>
      <c r="AN194" s="383">
        <f t="shared" si="34"/>
        <v>0</v>
      </c>
      <c r="AO194" s="124">
        <f t="shared" si="39"/>
        <v>2307926.91</v>
      </c>
      <c r="AR194" s="124">
        <f t="shared" si="35"/>
        <v>540845</v>
      </c>
      <c r="AS194" s="124">
        <f t="shared" si="36"/>
        <v>197743.62</v>
      </c>
      <c r="AV194" s="379">
        <f t="shared" si="40"/>
        <v>738588.62</v>
      </c>
      <c r="AW194" s="124">
        <f t="shared" si="37"/>
        <v>0</v>
      </c>
      <c r="AZ194" s="379">
        <v>0</v>
      </c>
      <c r="BA194" s="379">
        <v>44215.35</v>
      </c>
      <c r="BB194" s="379">
        <v>12457.05</v>
      </c>
      <c r="BC194" s="379"/>
      <c r="BD194" s="379">
        <v>0</v>
      </c>
      <c r="BE194" s="379">
        <f t="shared" si="41"/>
        <v>56672.399999999994</v>
      </c>
      <c r="BF194" s="379"/>
      <c r="BO194" s="477">
        <v>0</v>
      </c>
      <c r="BP194" s="477">
        <v>4137537.05</v>
      </c>
      <c r="BQ194" s="477">
        <v>1178859.8900000001</v>
      </c>
      <c r="BR194" s="477"/>
      <c r="BS194" s="477">
        <v>0</v>
      </c>
      <c r="BT194" s="477">
        <v>5316396.9399999995</v>
      </c>
      <c r="BW194" s="126">
        <v>966</v>
      </c>
      <c r="BX194" s="125">
        <v>27010</v>
      </c>
      <c r="BY194" s="19" t="s">
        <v>29</v>
      </c>
      <c r="BZ194" t="s">
        <v>979</v>
      </c>
    </row>
    <row r="195" spans="1:78" x14ac:dyDescent="0.25">
      <c r="A195" s="443">
        <v>27003</v>
      </c>
      <c r="B195" s="19" t="s">
        <v>29</v>
      </c>
      <c r="C195" t="s">
        <v>432</v>
      </c>
      <c r="D195" s="379">
        <v>12810.63</v>
      </c>
      <c r="E195" s="120">
        <v>2.1400218298393788E-5</v>
      </c>
      <c r="F195" s="379">
        <v>2182056.7599999998</v>
      </c>
      <c r="G195" s="120">
        <v>3.6451361879537431E-3</v>
      </c>
      <c r="H195" s="379">
        <v>5280962.09</v>
      </c>
      <c r="I195" s="120">
        <v>2.0307129150992729E-2</v>
      </c>
      <c r="J195" s="379">
        <v>12700.2</v>
      </c>
      <c r="K195" s="120">
        <v>5.6967972757508318E-5</v>
      </c>
      <c r="L195" s="379">
        <v>4919143.84</v>
      </c>
      <c r="M195" s="120">
        <v>2.2065294425866112E-2</v>
      </c>
      <c r="N195" s="379">
        <v>14229785.380000001</v>
      </c>
      <c r="O195" s="120">
        <v>2.0050689624239913E-2</v>
      </c>
      <c r="P195" s="383">
        <f t="shared" si="38"/>
        <v>26637458.899999999</v>
      </c>
      <c r="R195" s="379"/>
      <c r="S195" s="120"/>
      <c r="T195" s="380"/>
      <c r="U195" s="551">
        <v>784</v>
      </c>
      <c r="V195" s="550" t="s">
        <v>433</v>
      </c>
      <c r="W195" s="449" t="s">
        <v>29</v>
      </c>
      <c r="X195" s="562" t="s">
        <v>432</v>
      </c>
      <c r="Y195" s="379">
        <v>6987.33</v>
      </c>
      <c r="Z195" s="379">
        <v>13519328.149999999</v>
      </c>
      <c r="AA195" s="379">
        <v>4847122.91</v>
      </c>
      <c r="AB195" s="379">
        <v>8140.18</v>
      </c>
      <c r="AC195" s="379">
        <v>0</v>
      </c>
      <c r="AD195" s="379">
        <v>18381578.57</v>
      </c>
      <c r="AE195" s="124"/>
      <c r="AF195" s="551">
        <v>784</v>
      </c>
      <c r="AG195" s="550" t="s">
        <v>433</v>
      </c>
      <c r="AH195" s="449" t="s">
        <v>29</v>
      </c>
      <c r="AI195" s="562" t="s">
        <v>432</v>
      </c>
      <c r="AJ195" s="383">
        <f t="shared" si="30"/>
        <v>12700.2</v>
      </c>
      <c r="AK195" s="383">
        <f t="shared" si="31"/>
        <v>14229785.380000001</v>
      </c>
      <c r="AL195" s="383">
        <f t="shared" si="32"/>
        <v>5280962.09</v>
      </c>
      <c r="AM195" s="383">
        <f t="shared" si="33"/>
        <v>12810.63</v>
      </c>
      <c r="AN195" s="383">
        <f t="shared" si="34"/>
        <v>0</v>
      </c>
      <c r="AO195" s="124">
        <f t="shared" si="39"/>
        <v>19536258.300000001</v>
      </c>
      <c r="AR195" s="124">
        <f t="shared" si="35"/>
        <v>4919143.84</v>
      </c>
      <c r="AS195" s="124">
        <f t="shared" si="36"/>
        <v>2182056.7599999998</v>
      </c>
      <c r="AV195" s="379">
        <f t="shared" si="40"/>
        <v>7101200.5999999996</v>
      </c>
      <c r="AW195" s="124">
        <f t="shared" si="37"/>
        <v>0</v>
      </c>
      <c r="AZ195" s="379">
        <v>226.37</v>
      </c>
      <c r="BA195" s="379">
        <v>343748.06</v>
      </c>
      <c r="BB195" s="379">
        <v>132484.74</v>
      </c>
      <c r="BC195" s="379">
        <v>264.01</v>
      </c>
      <c r="BD195" s="379">
        <v>0</v>
      </c>
      <c r="BE195" s="379">
        <f t="shared" si="41"/>
        <v>476723.18</v>
      </c>
      <c r="BF195" s="379"/>
      <c r="BO195" s="477">
        <v>19913.900000000001</v>
      </c>
      <c r="BP195" s="477">
        <v>33012005.43</v>
      </c>
      <c r="BQ195" s="477">
        <v>12442626.5</v>
      </c>
      <c r="BR195" s="477">
        <v>21214.82</v>
      </c>
      <c r="BS195" s="477">
        <v>0</v>
      </c>
      <c r="BT195" s="477">
        <v>45495760.649999999</v>
      </c>
      <c r="BW195" s="126">
        <v>99</v>
      </c>
      <c r="BX195" s="125">
        <v>27019</v>
      </c>
      <c r="BY195" s="19" t="s">
        <v>29</v>
      </c>
      <c r="BZ195" t="s">
        <v>754</v>
      </c>
    </row>
    <row r="196" spans="1:78" x14ac:dyDescent="0.25">
      <c r="A196" s="443">
        <v>27010</v>
      </c>
      <c r="B196" s="19" t="s">
        <v>29</v>
      </c>
      <c r="C196" t="s">
        <v>538</v>
      </c>
      <c r="D196" s="379">
        <v>40643.760000000002</v>
      </c>
      <c r="E196" s="120">
        <v>6.7895594242244577E-5</v>
      </c>
      <c r="F196" s="379">
        <v>3117583.32</v>
      </c>
      <c r="G196" s="120">
        <v>5.2079377525875974E-3</v>
      </c>
      <c r="H196" s="379">
        <v>7654284.8099999996</v>
      </c>
      <c r="I196" s="120">
        <v>2.9433377393389287E-2</v>
      </c>
      <c r="J196" s="379">
        <v>29211.46</v>
      </c>
      <c r="K196" s="120">
        <v>1.3103082293877607E-4</v>
      </c>
      <c r="L196" s="379">
        <v>6464348.4100000001</v>
      </c>
      <c r="M196" s="120">
        <v>2.8996458647574226E-2</v>
      </c>
      <c r="N196" s="379">
        <v>19918026.920000002</v>
      </c>
      <c r="O196" s="120">
        <v>2.8065790525659728E-2</v>
      </c>
      <c r="P196" s="383">
        <f t="shared" si="38"/>
        <v>37224098.68</v>
      </c>
      <c r="R196" s="379"/>
      <c r="S196" s="120"/>
      <c r="T196" s="380"/>
      <c r="U196" s="551">
        <v>966</v>
      </c>
      <c r="V196" s="550" t="s">
        <v>539</v>
      </c>
      <c r="W196" s="449" t="s">
        <v>29</v>
      </c>
      <c r="X196" s="562" t="s">
        <v>538</v>
      </c>
      <c r="Y196" s="379">
        <v>16911.310000000001</v>
      </c>
      <c r="Z196" s="379">
        <v>19417216.379999999</v>
      </c>
      <c r="AA196" s="379">
        <v>6777160.8100000005</v>
      </c>
      <c r="AB196" s="379">
        <v>25836.93</v>
      </c>
      <c r="AC196" s="379">
        <v>0</v>
      </c>
      <c r="AD196" s="379">
        <v>26237125.43</v>
      </c>
      <c r="AE196" s="124"/>
      <c r="AF196" s="551">
        <v>966</v>
      </c>
      <c r="AG196" s="550" t="s">
        <v>539</v>
      </c>
      <c r="AH196" s="449" t="s">
        <v>29</v>
      </c>
      <c r="AI196" s="562" t="s">
        <v>538</v>
      </c>
      <c r="AJ196" s="383">
        <f t="shared" si="30"/>
        <v>29211.46</v>
      </c>
      <c r="AK196" s="383">
        <f t="shared" si="31"/>
        <v>19918026.920000002</v>
      </c>
      <c r="AL196" s="383">
        <f t="shared" si="32"/>
        <v>7654284.8099999996</v>
      </c>
      <c r="AM196" s="383">
        <f t="shared" si="33"/>
        <v>40643.760000000002</v>
      </c>
      <c r="AN196" s="383">
        <f t="shared" si="34"/>
        <v>0</v>
      </c>
      <c r="AO196" s="124">
        <f t="shared" si="39"/>
        <v>27642166.950000003</v>
      </c>
      <c r="AR196" s="124">
        <f t="shared" si="35"/>
        <v>6464348.4100000001</v>
      </c>
      <c r="AS196" s="124">
        <f t="shared" si="36"/>
        <v>3117583.32</v>
      </c>
      <c r="AV196" s="379">
        <f t="shared" si="40"/>
        <v>9581931.7300000004</v>
      </c>
      <c r="AW196" s="124">
        <f t="shared" si="37"/>
        <v>0</v>
      </c>
      <c r="AZ196" s="379">
        <v>554.30999999999995</v>
      </c>
      <c r="BA196" s="379">
        <v>482845.8</v>
      </c>
      <c r="BB196" s="379">
        <v>192951.01</v>
      </c>
      <c r="BC196" s="379">
        <v>842.28</v>
      </c>
      <c r="BD196" s="379">
        <v>0</v>
      </c>
      <c r="BE196" s="379">
        <f t="shared" si="41"/>
        <v>677193.4</v>
      </c>
      <c r="BF196" s="379"/>
      <c r="BO196" s="477">
        <v>46677.08</v>
      </c>
      <c r="BP196" s="477">
        <v>46282437.510000005</v>
      </c>
      <c r="BQ196" s="477">
        <v>17741979.949999999</v>
      </c>
      <c r="BR196" s="477">
        <v>67322.97</v>
      </c>
      <c r="BS196" s="477">
        <v>0</v>
      </c>
      <c r="BT196" s="477">
        <v>64138417.510000005</v>
      </c>
      <c r="BW196" s="126">
        <v>1020</v>
      </c>
      <c r="BX196" s="125">
        <v>27083</v>
      </c>
      <c r="BY196" s="19" t="s">
        <v>29</v>
      </c>
      <c r="BZ196" t="s">
        <v>993</v>
      </c>
    </row>
    <row r="197" spans="1:78" x14ac:dyDescent="0.25">
      <c r="A197" s="443">
        <v>27019</v>
      </c>
      <c r="B197" s="19" t="s">
        <v>29</v>
      </c>
      <c r="C197" t="s">
        <v>66</v>
      </c>
      <c r="D197" s="379"/>
      <c r="E197" s="120"/>
      <c r="F197" s="379">
        <v>15208.42</v>
      </c>
      <c r="G197" s="120">
        <v>2.5405737889054486E-5</v>
      </c>
      <c r="H197" s="379">
        <v>37237.29</v>
      </c>
      <c r="I197" s="120">
        <v>1.4319028320518962E-4</v>
      </c>
      <c r="J197" s="379"/>
      <c r="K197" s="120"/>
      <c r="L197" s="379">
        <v>28628.02</v>
      </c>
      <c r="M197" s="120">
        <v>1.2841374651276381E-4</v>
      </c>
      <c r="N197" s="379">
        <v>94704.38</v>
      </c>
      <c r="O197" s="120">
        <v>1.3344460782275508E-4</v>
      </c>
      <c r="P197" s="383">
        <f t="shared" si="38"/>
        <v>175778.11</v>
      </c>
      <c r="R197" s="379"/>
      <c r="S197" s="120"/>
      <c r="T197" s="380"/>
      <c r="U197" s="551">
        <v>99</v>
      </c>
      <c r="V197" s="550" t="s">
        <v>67</v>
      </c>
      <c r="W197" s="449" t="s">
        <v>29</v>
      </c>
      <c r="X197" s="562" t="s">
        <v>66</v>
      </c>
      <c r="Y197" s="379"/>
      <c r="Z197" s="379">
        <v>105772.2</v>
      </c>
      <c r="AA197" s="379">
        <v>35774.81</v>
      </c>
      <c r="AB197" s="379"/>
      <c r="AC197" s="379">
        <v>0</v>
      </c>
      <c r="AD197" s="379">
        <v>141547.01</v>
      </c>
      <c r="AE197" s="124"/>
      <c r="AF197" s="551">
        <v>99</v>
      </c>
      <c r="AG197" s="550" t="s">
        <v>67</v>
      </c>
      <c r="AH197" s="449" t="s">
        <v>29</v>
      </c>
      <c r="AI197" s="562" t="s">
        <v>66</v>
      </c>
      <c r="AJ197" s="383">
        <f t="shared" si="30"/>
        <v>0</v>
      </c>
      <c r="AK197" s="383">
        <f t="shared" si="31"/>
        <v>94704.38</v>
      </c>
      <c r="AL197" s="383">
        <f t="shared" si="32"/>
        <v>37237.29</v>
      </c>
      <c r="AM197" s="383">
        <f t="shared" si="33"/>
        <v>0</v>
      </c>
      <c r="AN197" s="383">
        <f t="shared" si="34"/>
        <v>0</v>
      </c>
      <c r="AO197" s="124">
        <f t="shared" si="39"/>
        <v>131941.67000000001</v>
      </c>
      <c r="AR197" s="124">
        <f t="shared" si="35"/>
        <v>28628.02</v>
      </c>
      <c r="AS197" s="124">
        <f t="shared" si="36"/>
        <v>15208.42</v>
      </c>
      <c r="AV197" s="379">
        <f t="shared" si="40"/>
        <v>43836.44</v>
      </c>
      <c r="AW197" s="124">
        <f t="shared" si="37"/>
        <v>0</v>
      </c>
      <c r="AZ197" s="379"/>
      <c r="BA197" s="379">
        <v>2303.83</v>
      </c>
      <c r="BB197" s="379">
        <v>937.94</v>
      </c>
      <c r="BC197" s="379"/>
      <c r="BD197" s="379">
        <v>0</v>
      </c>
      <c r="BE197" s="379">
        <f t="shared" si="41"/>
        <v>3241.77</v>
      </c>
      <c r="BF197" s="379"/>
      <c r="BO197" s="477"/>
      <c r="BP197" s="477">
        <v>231408.43</v>
      </c>
      <c r="BQ197" s="477">
        <v>89158.459999999992</v>
      </c>
      <c r="BR197" s="477"/>
      <c r="BS197" s="477">
        <v>0</v>
      </c>
      <c r="BT197" s="477">
        <v>320566.89</v>
      </c>
      <c r="BW197" s="126">
        <v>955</v>
      </c>
      <c r="BX197" s="125">
        <v>27320</v>
      </c>
      <c r="BY197" s="19" t="s">
        <v>29</v>
      </c>
      <c r="BZ197" t="s">
        <v>1123</v>
      </c>
    </row>
    <row r="198" spans="1:78" x14ac:dyDescent="0.25">
      <c r="A198" s="443">
        <v>27083</v>
      </c>
      <c r="B198" s="19" t="s">
        <v>29</v>
      </c>
      <c r="C198" t="s">
        <v>568</v>
      </c>
      <c r="D198" s="379"/>
      <c r="E198" s="120"/>
      <c r="F198" s="379">
        <v>409033.67</v>
      </c>
      <c r="G198" s="120">
        <v>6.8329268969544556E-4</v>
      </c>
      <c r="H198" s="379">
        <v>1015827.01</v>
      </c>
      <c r="I198" s="120">
        <v>3.906206849353994E-3</v>
      </c>
      <c r="J198" s="379">
        <v>0</v>
      </c>
      <c r="K198" s="120">
        <v>0</v>
      </c>
      <c r="L198" s="379">
        <v>1003131.81</v>
      </c>
      <c r="M198" s="120">
        <v>4.499644542941844E-3</v>
      </c>
      <c r="N198" s="379">
        <v>3301693.02</v>
      </c>
      <c r="O198" s="120">
        <v>4.6522993995106445E-3</v>
      </c>
      <c r="P198" s="383">
        <f t="shared" si="38"/>
        <v>5729685.5099999998</v>
      </c>
      <c r="R198" s="379"/>
      <c r="S198" s="120"/>
      <c r="T198" s="380"/>
      <c r="U198" s="551">
        <v>1020</v>
      </c>
      <c r="V198" s="550" t="s">
        <v>569</v>
      </c>
      <c r="W198" s="449" t="s">
        <v>29</v>
      </c>
      <c r="X198" s="562" t="s">
        <v>568</v>
      </c>
      <c r="Y198" s="379">
        <v>0</v>
      </c>
      <c r="Z198" s="379">
        <v>3341833.12</v>
      </c>
      <c r="AA198" s="379">
        <v>1019706.71</v>
      </c>
      <c r="AB198" s="379"/>
      <c r="AC198" s="379">
        <v>0</v>
      </c>
      <c r="AD198" s="379">
        <v>4361539.83</v>
      </c>
      <c r="AE198" s="124"/>
      <c r="AF198" s="551">
        <v>1020</v>
      </c>
      <c r="AG198" s="550" t="s">
        <v>569</v>
      </c>
      <c r="AH198" s="449" t="s">
        <v>29</v>
      </c>
      <c r="AI198" s="562" t="s">
        <v>568</v>
      </c>
      <c r="AJ198" s="383">
        <f t="shared" si="30"/>
        <v>0</v>
      </c>
      <c r="AK198" s="383">
        <f t="shared" si="31"/>
        <v>3301693.02</v>
      </c>
      <c r="AL198" s="383">
        <f t="shared" si="32"/>
        <v>1015827.01</v>
      </c>
      <c r="AM198" s="383">
        <f t="shared" si="33"/>
        <v>0</v>
      </c>
      <c r="AN198" s="383">
        <f t="shared" si="34"/>
        <v>0</v>
      </c>
      <c r="AO198" s="124">
        <f t="shared" si="39"/>
        <v>4317520.03</v>
      </c>
      <c r="AR198" s="124">
        <f t="shared" si="35"/>
        <v>1003131.81</v>
      </c>
      <c r="AS198" s="124">
        <f t="shared" si="36"/>
        <v>409033.67</v>
      </c>
      <c r="AV198" s="379">
        <f t="shared" si="40"/>
        <v>1412165.48</v>
      </c>
      <c r="AW198" s="124">
        <f t="shared" si="37"/>
        <v>0</v>
      </c>
      <c r="AZ198" s="379">
        <v>0</v>
      </c>
      <c r="BA198" s="379">
        <v>80302.080000000002</v>
      </c>
      <c r="BB198" s="379">
        <v>25720.53</v>
      </c>
      <c r="BC198" s="379"/>
      <c r="BD198" s="379">
        <v>0</v>
      </c>
      <c r="BE198" s="379">
        <f t="shared" si="41"/>
        <v>106022.61</v>
      </c>
      <c r="BF198" s="379"/>
      <c r="BO198" s="477">
        <v>0</v>
      </c>
      <c r="BP198" s="477">
        <v>7726960.0299999993</v>
      </c>
      <c r="BQ198" s="477">
        <v>2470287.92</v>
      </c>
      <c r="BR198" s="477"/>
      <c r="BS198" s="477">
        <v>0</v>
      </c>
      <c r="BT198" s="477">
        <v>10197247.949999999</v>
      </c>
      <c r="BW198" s="126">
        <v>231</v>
      </c>
      <c r="BX198" s="125">
        <v>27343</v>
      </c>
      <c r="BY198" s="19" t="s">
        <v>29</v>
      </c>
      <c r="BZ198" t="s">
        <v>789</v>
      </c>
    </row>
    <row r="199" spans="1:78" x14ac:dyDescent="0.25">
      <c r="A199" s="443">
        <v>27320</v>
      </c>
      <c r="B199" s="19" t="s">
        <v>29</v>
      </c>
      <c r="C199" t="s">
        <v>1106</v>
      </c>
      <c r="D199" s="379"/>
      <c r="E199" s="120"/>
      <c r="F199" s="379">
        <v>803440.58</v>
      </c>
      <c r="G199" s="120">
        <v>1.3421513072962156E-3</v>
      </c>
      <c r="H199" s="379">
        <v>1952982.71</v>
      </c>
      <c r="I199" s="120">
        <v>7.5098952512317272E-3</v>
      </c>
      <c r="J199" s="379">
        <v>3927.38</v>
      </c>
      <c r="K199" s="120">
        <v>1.7616642009447333E-5</v>
      </c>
      <c r="L199" s="379">
        <v>2137930.7999999998</v>
      </c>
      <c r="M199" s="120">
        <v>9.5898949285710411E-3</v>
      </c>
      <c r="N199" s="379">
        <v>6262512.9400000004</v>
      </c>
      <c r="O199" s="120">
        <v>8.8242865141319651E-3</v>
      </c>
      <c r="P199" s="383">
        <f t="shared" si="38"/>
        <v>11160794.41</v>
      </c>
      <c r="R199" s="379"/>
      <c r="S199" s="120"/>
      <c r="T199" s="380"/>
      <c r="U199" s="551">
        <v>955</v>
      </c>
      <c r="V199" s="550" t="s">
        <v>535</v>
      </c>
      <c r="W199" s="449" t="s">
        <v>29</v>
      </c>
      <c r="X199" s="562" t="s">
        <v>1106</v>
      </c>
      <c r="Y199" s="379">
        <v>1624.01</v>
      </c>
      <c r="Z199" s="379">
        <v>6191267.71</v>
      </c>
      <c r="AA199" s="379">
        <v>1822911.83</v>
      </c>
      <c r="AB199" s="379"/>
      <c r="AC199" s="379">
        <v>0</v>
      </c>
      <c r="AD199" s="379">
        <v>8015803.5499999998</v>
      </c>
      <c r="AE199" s="124"/>
      <c r="AF199" s="551">
        <v>955</v>
      </c>
      <c r="AG199" s="550" t="s">
        <v>535</v>
      </c>
      <c r="AH199" s="449" t="s">
        <v>29</v>
      </c>
      <c r="AI199" s="562" t="s">
        <v>1106</v>
      </c>
      <c r="AJ199" s="383">
        <f t="shared" ref="AJ199:AJ262" si="42">+J199</f>
        <v>3927.38</v>
      </c>
      <c r="AK199" s="383">
        <f t="shared" ref="AK199:AK262" si="43">+N199</f>
        <v>6262512.9400000004</v>
      </c>
      <c r="AL199" s="383">
        <f t="shared" ref="AL199:AL262" si="44">+H199</f>
        <v>1952982.71</v>
      </c>
      <c r="AM199" s="383">
        <f t="shared" ref="AM199:AM262" si="45">+D199</f>
        <v>0</v>
      </c>
      <c r="AN199" s="383">
        <f t="shared" ref="AN199:AN262" si="46">+R199</f>
        <v>0</v>
      </c>
      <c r="AO199" s="124">
        <f t="shared" si="39"/>
        <v>8219423.0300000003</v>
      </c>
      <c r="AR199" s="124">
        <f t="shared" ref="AR199:AR262" si="47">+L199</f>
        <v>2137930.7999999998</v>
      </c>
      <c r="AS199" s="124">
        <f t="shared" ref="AS199:AS240" si="48">+F199</f>
        <v>803440.58</v>
      </c>
      <c r="AV199" s="379">
        <f t="shared" si="40"/>
        <v>2941371.38</v>
      </c>
      <c r="AW199" s="124">
        <f t="shared" ref="AW199:AW262" si="49">+AV199+AO199-P199</f>
        <v>0</v>
      </c>
      <c r="AZ199" s="379">
        <v>48.71</v>
      </c>
      <c r="BA199" s="379">
        <v>151388.76999999999</v>
      </c>
      <c r="BB199" s="379">
        <v>49062.16</v>
      </c>
      <c r="BC199" s="379"/>
      <c r="BD199" s="379">
        <v>0</v>
      </c>
      <c r="BE199" s="379">
        <f t="shared" si="41"/>
        <v>200499.63999999998</v>
      </c>
      <c r="BF199" s="379"/>
      <c r="BO199" s="477">
        <v>5600.1</v>
      </c>
      <c r="BP199" s="477">
        <v>14743100.220000001</v>
      </c>
      <c r="BQ199" s="477">
        <v>4628397.28</v>
      </c>
      <c r="BR199" s="477"/>
      <c r="BS199" s="477">
        <v>0</v>
      </c>
      <c r="BT199" s="477">
        <v>19377097.600000001</v>
      </c>
      <c r="BW199" s="126">
        <v>691</v>
      </c>
      <c r="BX199" s="125">
        <v>27344</v>
      </c>
      <c r="BY199" s="19" t="s">
        <v>29</v>
      </c>
      <c r="BZ199" t="s">
        <v>913</v>
      </c>
    </row>
    <row r="200" spans="1:78" x14ac:dyDescent="0.25">
      <c r="A200" s="443">
        <v>27343</v>
      </c>
      <c r="B200" s="19" t="s">
        <v>29</v>
      </c>
      <c r="C200" t="s">
        <v>136</v>
      </c>
      <c r="D200" s="379"/>
      <c r="E200" s="120"/>
      <c r="F200" s="379">
        <v>140064.98000000001</v>
      </c>
      <c r="G200" s="120">
        <v>2.3397921475838115E-4</v>
      </c>
      <c r="H200" s="379">
        <v>347997.37</v>
      </c>
      <c r="I200" s="120">
        <v>1.3381704727965208E-3</v>
      </c>
      <c r="J200" s="379"/>
      <c r="K200" s="120"/>
      <c r="L200" s="379">
        <v>285357.19</v>
      </c>
      <c r="M200" s="120">
        <v>1.2799972146957626E-3</v>
      </c>
      <c r="N200" s="379">
        <v>986409.29</v>
      </c>
      <c r="O200" s="120">
        <v>1.389914604337965E-3</v>
      </c>
      <c r="P200" s="383">
        <f t="shared" ref="P200:P263" si="50">+D200+F200+H200+J200+L200+N200+R200</f>
        <v>1759828.83</v>
      </c>
      <c r="R200" s="379"/>
      <c r="S200" s="120"/>
      <c r="T200" s="380"/>
      <c r="U200" s="551">
        <v>231</v>
      </c>
      <c r="V200" s="550" t="s">
        <v>137</v>
      </c>
      <c r="W200" s="449" t="s">
        <v>29</v>
      </c>
      <c r="X200" s="562" t="s">
        <v>136</v>
      </c>
      <c r="Y200" s="379"/>
      <c r="Z200" s="379">
        <v>984737.71000000008</v>
      </c>
      <c r="AA200" s="379">
        <v>333880.03000000003</v>
      </c>
      <c r="AB200" s="379"/>
      <c r="AC200" s="379">
        <v>0</v>
      </c>
      <c r="AD200" s="379">
        <v>1318617.7400000002</v>
      </c>
      <c r="AE200" s="124"/>
      <c r="AF200" s="551">
        <v>231</v>
      </c>
      <c r="AG200" s="550" t="s">
        <v>137</v>
      </c>
      <c r="AH200" s="449" t="s">
        <v>29</v>
      </c>
      <c r="AI200" s="562" t="s">
        <v>136</v>
      </c>
      <c r="AJ200" s="383">
        <f t="shared" si="42"/>
        <v>0</v>
      </c>
      <c r="AK200" s="383">
        <f t="shared" si="43"/>
        <v>986409.29</v>
      </c>
      <c r="AL200" s="383">
        <f t="shared" si="44"/>
        <v>347997.37</v>
      </c>
      <c r="AM200" s="383">
        <f t="shared" si="45"/>
        <v>0</v>
      </c>
      <c r="AN200" s="383">
        <f t="shared" si="46"/>
        <v>0</v>
      </c>
      <c r="AO200" s="124">
        <f t="shared" ref="AO200:AO263" si="51">SUM(AJ200:AN200)</f>
        <v>1334406.6600000001</v>
      </c>
      <c r="AR200" s="124">
        <f t="shared" si="47"/>
        <v>285357.19</v>
      </c>
      <c r="AS200" s="124">
        <f t="shared" si="48"/>
        <v>140064.98000000001</v>
      </c>
      <c r="AV200" s="379">
        <f t="shared" ref="AV200:AV263" si="52">SUM(AQ200:AU200)</f>
        <v>425422.17000000004</v>
      </c>
      <c r="AW200" s="124">
        <f t="shared" si="49"/>
        <v>0</v>
      </c>
      <c r="AZ200" s="379"/>
      <c r="BA200" s="379">
        <v>24047.31</v>
      </c>
      <c r="BB200" s="379">
        <v>8811.23</v>
      </c>
      <c r="BC200" s="379"/>
      <c r="BD200" s="379">
        <v>0</v>
      </c>
      <c r="BE200" s="379">
        <f t="shared" si="41"/>
        <v>32858.54</v>
      </c>
      <c r="BF200" s="379"/>
      <c r="BO200" s="477"/>
      <c r="BP200" s="477">
        <v>2280551.5</v>
      </c>
      <c r="BQ200" s="477">
        <v>830753.61</v>
      </c>
      <c r="BR200" s="477"/>
      <c r="BS200" s="477">
        <v>0</v>
      </c>
      <c r="BT200" s="477">
        <v>3111305.11</v>
      </c>
      <c r="BW200" s="126">
        <v>161</v>
      </c>
      <c r="BX200" s="125">
        <v>27400</v>
      </c>
      <c r="BY200" s="19" t="s">
        <v>29</v>
      </c>
      <c r="BZ200" t="s">
        <v>768</v>
      </c>
    </row>
    <row r="201" spans="1:78" x14ac:dyDescent="0.25">
      <c r="A201" s="443">
        <v>27344</v>
      </c>
      <c r="B201" s="19" t="s">
        <v>29</v>
      </c>
      <c r="C201" t="s">
        <v>398</v>
      </c>
      <c r="D201" s="379"/>
      <c r="E201" s="120"/>
      <c r="F201" s="379">
        <v>233986.15</v>
      </c>
      <c r="G201" s="120">
        <v>3.908749756101545E-4</v>
      </c>
      <c r="H201" s="379">
        <v>581241.59</v>
      </c>
      <c r="I201" s="120">
        <v>2.2350753205384898E-3</v>
      </c>
      <c r="J201" s="379">
        <v>0</v>
      </c>
      <c r="K201" s="120">
        <v>0</v>
      </c>
      <c r="L201" s="379">
        <v>421555.04</v>
      </c>
      <c r="M201" s="120">
        <v>1.8909258149092396E-3</v>
      </c>
      <c r="N201" s="379">
        <v>1454810</v>
      </c>
      <c r="O201" s="120">
        <v>2.0499215549124794E-3</v>
      </c>
      <c r="P201" s="383">
        <f t="shared" si="50"/>
        <v>2691592.7800000003</v>
      </c>
      <c r="R201" s="379"/>
      <c r="S201" s="120"/>
      <c r="T201" s="380"/>
      <c r="U201" s="551">
        <v>691</v>
      </c>
      <c r="V201" s="550" t="s">
        <v>399</v>
      </c>
      <c r="W201" s="449" t="s">
        <v>29</v>
      </c>
      <c r="X201" s="562" t="s">
        <v>398</v>
      </c>
      <c r="Y201" s="379">
        <v>0</v>
      </c>
      <c r="Z201" s="379">
        <v>1346130.98</v>
      </c>
      <c r="AA201" s="379">
        <v>571017.1399999999</v>
      </c>
      <c r="AB201" s="379"/>
      <c r="AC201" s="379">
        <v>0</v>
      </c>
      <c r="AD201" s="379">
        <v>1917148.1199999999</v>
      </c>
      <c r="AE201" s="124"/>
      <c r="AF201" s="551">
        <v>691</v>
      </c>
      <c r="AG201" s="550" t="s">
        <v>399</v>
      </c>
      <c r="AH201" s="449" t="s">
        <v>29</v>
      </c>
      <c r="AI201" s="562" t="s">
        <v>398</v>
      </c>
      <c r="AJ201" s="383">
        <f t="shared" si="42"/>
        <v>0</v>
      </c>
      <c r="AK201" s="383">
        <f t="shared" si="43"/>
        <v>1454810</v>
      </c>
      <c r="AL201" s="383">
        <f t="shared" si="44"/>
        <v>581241.59</v>
      </c>
      <c r="AM201" s="383">
        <f t="shared" si="45"/>
        <v>0</v>
      </c>
      <c r="AN201" s="383">
        <f t="shared" si="46"/>
        <v>0</v>
      </c>
      <c r="AO201" s="124">
        <f t="shared" si="51"/>
        <v>2036051.5899999999</v>
      </c>
      <c r="AR201" s="124">
        <f t="shared" si="47"/>
        <v>421555.04</v>
      </c>
      <c r="AS201" s="124">
        <f t="shared" si="48"/>
        <v>233986.15</v>
      </c>
      <c r="AV201" s="379">
        <f t="shared" si="52"/>
        <v>655541.18999999994</v>
      </c>
      <c r="AW201" s="124">
        <f t="shared" si="49"/>
        <v>0</v>
      </c>
      <c r="AZ201" s="379">
        <v>0</v>
      </c>
      <c r="BA201" s="379">
        <v>35463.54</v>
      </c>
      <c r="BB201" s="379">
        <v>14721.02</v>
      </c>
      <c r="BC201" s="379"/>
      <c r="BD201" s="379">
        <v>0</v>
      </c>
      <c r="BE201" s="379">
        <f t="shared" ref="BE201:BE264" si="53">SUM(AZ201:BD201)</f>
        <v>50184.56</v>
      </c>
      <c r="BF201" s="379"/>
      <c r="BO201" s="477">
        <v>0</v>
      </c>
      <c r="BP201" s="477">
        <v>3257959.5599999996</v>
      </c>
      <c r="BQ201" s="477">
        <v>1400965.9</v>
      </c>
      <c r="BR201" s="477"/>
      <c r="BS201" s="477">
        <v>0</v>
      </c>
      <c r="BT201" s="477">
        <v>4658925.459999999</v>
      </c>
      <c r="BW201" s="126">
        <v>718</v>
      </c>
      <c r="BX201" s="125">
        <v>27401</v>
      </c>
      <c r="BY201" s="19" t="s">
        <v>29</v>
      </c>
      <c r="BZ201" t="s">
        <v>921</v>
      </c>
    </row>
    <row r="202" spans="1:78" x14ac:dyDescent="0.25">
      <c r="A202" s="443">
        <v>27400</v>
      </c>
      <c r="B202" s="19" t="s">
        <v>29</v>
      </c>
      <c r="C202" t="s">
        <v>94</v>
      </c>
      <c r="D202" s="379">
        <v>11525.56</v>
      </c>
      <c r="E202" s="120">
        <v>1.9253502756010868E-5</v>
      </c>
      <c r="F202" s="379">
        <v>1415302.13</v>
      </c>
      <c r="G202" s="120">
        <v>2.3642689344850099E-3</v>
      </c>
      <c r="H202" s="379">
        <v>3533518.07</v>
      </c>
      <c r="I202" s="120">
        <v>1.3587601384363766E-2</v>
      </c>
      <c r="J202" s="379">
        <v>0</v>
      </c>
      <c r="K202" s="120">
        <v>0</v>
      </c>
      <c r="L202" s="379">
        <v>2372558.23</v>
      </c>
      <c r="M202" s="120">
        <v>1.0642338909012625E-2</v>
      </c>
      <c r="N202" s="379">
        <v>8437462.0299999993</v>
      </c>
      <c r="O202" s="120">
        <v>1.1888930708513554E-2</v>
      </c>
      <c r="P202" s="383">
        <f t="shared" si="50"/>
        <v>15770366.02</v>
      </c>
      <c r="R202" s="379"/>
      <c r="S202" s="120"/>
      <c r="T202" s="380"/>
      <c r="U202" s="551">
        <v>161</v>
      </c>
      <c r="V202" s="550" t="s">
        <v>95</v>
      </c>
      <c r="W202" s="449" t="s">
        <v>29</v>
      </c>
      <c r="X202" s="562" t="s">
        <v>94</v>
      </c>
      <c r="Y202" s="379">
        <v>0</v>
      </c>
      <c r="Z202" s="379">
        <v>7873638.0499999998</v>
      </c>
      <c r="AA202" s="379">
        <v>3222543.99</v>
      </c>
      <c r="AB202" s="379">
        <v>7427.26</v>
      </c>
      <c r="AC202" s="379">
        <v>0</v>
      </c>
      <c r="AD202" s="379">
        <v>11103609.299999999</v>
      </c>
      <c r="AE202" s="124"/>
      <c r="AF202" s="551">
        <v>161</v>
      </c>
      <c r="AG202" s="550" t="s">
        <v>95</v>
      </c>
      <c r="AH202" s="449" t="s">
        <v>29</v>
      </c>
      <c r="AI202" s="562" t="s">
        <v>94</v>
      </c>
      <c r="AJ202" s="383">
        <f t="shared" si="42"/>
        <v>0</v>
      </c>
      <c r="AK202" s="383">
        <f t="shared" si="43"/>
        <v>8437462.0299999993</v>
      </c>
      <c r="AL202" s="383">
        <f t="shared" si="44"/>
        <v>3533518.07</v>
      </c>
      <c r="AM202" s="383">
        <f t="shared" si="45"/>
        <v>11525.56</v>
      </c>
      <c r="AN202" s="383">
        <f t="shared" si="46"/>
        <v>0</v>
      </c>
      <c r="AO202" s="124">
        <f t="shared" si="51"/>
        <v>11982505.66</v>
      </c>
      <c r="AR202" s="124">
        <f t="shared" si="47"/>
        <v>2372558.23</v>
      </c>
      <c r="AS202" s="124">
        <f t="shared" si="48"/>
        <v>1415302.13</v>
      </c>
      <c r="AV202" s="379">
        <f t="shared" si="52"/>
        <v>3787860.36</v>
      </c>
      <c r="AW202" s="124">
        <f t="shared" si="49"/>
        <v>0</v>
      </c>
      <c r="AZ202" s="379">
        <v>0</v>
      </c>
      <c r="BA202" s="379">
        <v>205962.12</v>
      </c>
      <c r="BB202" s="379">
        <v>89638.97</v>
      </c>
      <c r="BC202" s="379">
        <v>243.53</v>
      </c>
      <c r="BD202" s="379">
        <v>0</v>
      </c>
      <c r="BE202" s="379">
        <f t="shared" si="53"/>
        <v>295844.62</v>
      </c>
      <c r="BF202" s="379"/>
      <c r="BO202" s="477">
        <v>0</v>
      </c>
      <c r="BP202" s="477">
        <v>18889620.43</v>
      </c>
      <c r="BQ202" s="477">
        <v>8261003.1600000001</v>
      </c>
      <c r="BR202" s="477">
        <v>19196.349999999999</v>
      </c>
      <c r="BS202" s="477">
        <v>0</v>
      </c>
      <c r="BT202" s="477">
        <v>27169819.940000001</v>
      </c>
      <c r="BW202" s="126">
        <v>319</v>
      </c>
      <c r="BX202" s="125">
        <v>27402</v>
      </c>
      <c r="BY202" s="19" t="s">
        <v>29</v>
      </c>
      <c r="BZ202" t="s">
        <v>814</v>
      </c>
    </row>
    <row r="203" spans="1:78" x14ac:dyDescent="0.25">
      <c r="A203" s="443">
        <v>27401</v>
      </c>
      <c r="B203" s="19" t="s">
        <v>29</v>
      </c>
      <c r="C203" t="s">
        <v>414</v>
      </c>
      <c r="D203" s="379"/>
      <c r="E203" s="120"/>
      <c r="F203" s="379">
        <v>665647.71</v>
      </c>
      <c r="G203" s="120">
        <v>1.1119676630911924E-3</v>
      </c>
      <c r="H203" s="379">
        <v>1655183.8</v>
      </c>
      <c r="I203" s="120">
        <v>6.3647552514869352E-3</v>
      </c>
      <c r="J203" s="379">
        <v>0</v>
      </c>
      <c r="K203" s="120">
        <v>0</v>
      </c>
      <c r="L203" s="379">
        <v>1596806.39</v>
      </c>
      <c r="M203" s="120">
        <v>7.1626291652521368E-3</v>
      </c>
      <c r="N203" s="379">
        <v>5421284.5300000003</v>
      </c>
      <c r="O203" s="120">
        <v>7.6389411767588695E-3</v>
      </c>
      <c r="P203" s="383">
        <f t="shared" si="50"/>
        <v>9338922.4299999997</v>
      </c>
      <c r="R203" s="379"/>
      <c r="S203" s="120"/>
      <c r="T203" s="380"/>
      <c r="U203" s="551">
        <v>718</v>
      </c>
      <c r="V203" s="550" t="s">
        <v>415</v>
      </c>
      <c r="W203" s="449" t="s">
        <v>29</v>
      </c>
      <c r="X203" s="562" t="s">
        <v>414</v>
      </c>
      <c r="Y203" s="379">
        <v>0</v>
      </c>
      <c r="Z203" s="379">
        <v>5303105.2</v>
      </c>
      <c r="AA203" s="379">
        <v>1588984.52</v>
      </c>
      <c r="AB203" s="379"/>
      <c r="AC203" s="379">
        <v>0</v>
      </c>
      <c r="AD203" s="379">
        <v>6892089.7200000007</v>
      </c>
      <c r="AE203" s="124"/>
      <c r="AF203" s="551">
        <v>718</v>
      </c>
      <c r="AG203" s="550" t="s">
        <v>415</v>
      </c>
      <c r="AH203" s="449" t="s">
        <v>29</v>
      </c>
      <c r="AI203" s="562" t="s">
        <v>414</v>
      </c>
      <c r="AJ203" s="383">
        <f t="shared" si="42"/>
        <v>0</v>
      </c>
      <c r="AK203" s="383">
        <f t="shared" si="43"/>
        <v>5421284.5300000003</v>
      </c>
      <c r="AL203" s="383">
        <f t="shared" si="44"/>
        <v>1655183.8</v>
      </c>
      <c r="AM203" s="383">
        <f t="shared" si="45"/>
        <v>0</v>
      </c>
      <c r="AN203" s="383">
        <f t="shared" si="46"/>
        <v>0</v>
      </c>
      <c r="AO203" s="124">
        <f t="shared" si="51"/>
        <v>7076468.3300000001</v>
      </c>
      <c r="AR203" s="124">
        <f t="shared" si="47"/>
        <v>1596806.39</v>
      </c>
      <c r="AS203" s="124">
        <f t="shared" si="48"/>
        <v>665647.71</v>
      </c>
      <c r="AV203" s="379">
        <f t="shared" si="52"/>
        <v>2262454.0999999996</v>
      </c>
      <c r="AW203" s="124">
        <f t="shared" si="49"/>
        <v>0</v>
      </c>
      <c r="AZ203" s="379">
        <v>0</v>
      </c>
      <c r="BA203" s="379">
        <v>132050.31</v>
      </c>
      <c r="BB203" s="379">
        <v>41931.850000000006</v>
      </c>
      <c r="BC203" s="379"/>
      <c r="BD203" s="379">
        <v>0</v>
      </c>
      <c r="BE203" s="379">
        <f t="shared" si="53"/>
        <v>173982.16</v>
      </c>
      <c r="BF203" s="379"/>
      <c r="BO203" s="477">
        <v>0</v>
      </c>
      <c r="BP203" s="477">
        <v>12453246.43</v>
      </c>
      <c r="BQ203" s="477">
        <v>3951747.88</v>
      </c>
      <c r="BR203" s="477"/>
      <c r="BS203" s="477">
        <v>0</v>
      </c>
      <c r="BT203" s="477">
        <v>16404994.309999999</v>
      </c>
      <c r="BW203" s="126">
        <v>66</v>
      </c>
      <c r="BX203" s="125">
        <v>27403</v>
      </c>
      <c r="BY203" s="19" t="s">
        <v>29</v>
      </c>
      <c r="BZ203" t="s">
        <v>743</v>
      </c>
    </row>
    <row r="204" spans="1:78" x14ac:dyDescent="0.25">
      <c r="A204" s="443">
        <v>27402</v>
      </c>
      <c r="B204" s="19" t="s">
        <v>29</v>
      </c>
      <c r="C204" t="s">
        <v>188</v>
      </c>
      <c r="D204" s="379">
        <v>7877.54</v>
      </c>
      <c r="E204" s="120">
        <v>1.3159468008546731E-5</v>
      </c>
      <c r="F204" s="379">
        <v>692841.46</v>
      </c>
      <c r="G204" s="120">
        <v>1.1573949517063461E-3</v>
      </c>
      <c r="H204" s="379">
        <v>1719005.63</v>
      </c>
      <c r="I204" s="120">
        <v>6.610172302845223E-3</v>
      </c>
      <c r="J204" s="379">
        <v>12870.49</v>
      </c>
      <c r="K204" s="120">
        <v>5.7731824986676047E-5</v>
      </c>
      <c r="L204" s="379">
        <v>1414414.48</v>
      </c>
      <c r="M204" s="120">
        <v>6.3444926508610328E-3</v>
      </c>
      <c r="N204" s="379">
        <v>4557156.59</v>
      </c>
      <c r="O204" s="120">
        <v>6.4213289178328805E-3</v>
      </c>
      <c r="P204" s="383">
        <f t="shared" si="50"/>
        <v>8404166.1899999995</v>
      </c>
      <c r="R204" s="379"/>
      <c r="S204" s="120"/>
      <c r="T204" s="380"/>
      <c r="U204" s="551">
        <v>319</v>
      </c>
      <c r="V204" s="550" t="s">
        <v>189</v>
      </c>
      <c r="W204" s="449" t="s">
        <v>29</v>
      </c>
      <c r="X204" s="562" t="s">
        <v>188</v>
      </c>
      <c r="Y204" s="379">
        <v>7115.65</v>
      </c>
      <c r="Z204" s="379">
        <v>4539525.1899999995</v>
      </c>
      <c r="AA204" s="379">
        <v>1656367.92</v>
      </c>
      <c r="AB204" s="379">
        <v>4994.3100000000004</v>
      </c>
      <c r="AC204" s="379">
        <v>0</v>
      </c>
      <c r="AD204" s="379">
        <v>6208003.0699999994</v>
      </c>
      <c r="AE204" s="124"/>
      <c r="AF204" s="551">
        <v>319</v>
      </c>
      <c r="AG204" s="550" t="s">
        <v>189</v>
      </c>
      <c r="AH204" s="449" t="s">
        <v>29</v>
      </c>
      <c r="AI204" s="562" t="s">
        <v>188</v>
      </c>
      <c r="AJ204" s="383">
        <f t="shared" si="42"/>
        <v>12870.49</v>
      </c>
      <c r="AK204" s="383">
        <f t="shared" si="43"/>
        <v>4557156.59</v>
      </c>
      <c r="AL204" s="383">
        <f t="shared" si="44"/>
        <v>1719005.63</v>
      </c>
      <c r="AM204" s="383">
        <f t="shared" si="45"/>
        <v>7877.54</v>
      </c>
      <c r="AN204" s="383">
        <f t="shared" si="46"/>
        <v>0</v>
      </c>
      <c r="AO204" s="124">
        <f t="shared" si="51"/>
        <v>6296910.25</v>
      </c>
      <c r="AR204" s="124">
        <f t="shared" si="47"/>
        <v>1414414.48</v>
      </c>
      <c r="AS204" s="124">
        <f t="shared" si="48"/>
        <v>692841.46</v>
      </c>
      <c r="AV204" s="379">
        <f t="shared" si="52"/>
        <v>2107255.94</v>
      </c>
      <c r="AW204" s="124">
        <f t="shared" si="49"/>
        <v>0</v>
      </c>
      <c r="AZ204" s="379">
        <v>230.75</v>
      </c>
      <c r="BA204" s="379">
        <v>110728.04</v>
      </c>
      <c r="BB204" s="379">
        <v>43509.3</v>
      </c>
      <c r="BC204" s="379">
        <v>163.5</v>
      </c>
      <c r="BD204" s="379">
        <v>0</v>
      </c>
      <c r="BE204" s="379">
        <f t="shared" si="53"/>
        <v>154631.59</v>
      </c>
      <c r="BF204" s="379"/>
      <c r="BO204" s="477">
        <v>20216.89</v>
      </c>
      <c r="BP204" s="477">
        <v>10621824.300000001</v>
      </c>
      <c r="BQ204" s="477">
        <v>4111724.31</v>
      </c>
      <c r="BR204" s="477">
        <v>13035.35</v>
      </c>
      <c r="BS204" s="477">
        <v>0</v>
      </c>
      <c r="BT204" s="477">
        <v>14766800.850000001</v>
      </c>
      <c r="BW204" s="126">
        <v>251</v>
      </c>
      <c r="BX204" s="125">
        <v>27404</v>
      </c>
      <c r="BY204" s="19" t="s">
        <v>29</v>
      </c>
      <c r="BZ204" t="s">
        <v>794</v>
      </c>
    </row>
    <row r="205" spans="1:78" x14ac:dyDescent="0.25">
      <c r="A205" s="443">
        <v>27403</v>
      </c>
      <c r="B205" s="19" t="s">
        <v>29</v>
      </c>
      <c r="C205" t="s">
        <v>41</v>
      </c>
      <c r="D205" s="379"/>
      <c r="E205" s="120"/>
      <c r="F205" s="379">
        <v>1654638.13</v>
      </c>
      <c r="G205" s="120">
        <v>2.7640808599456918E-3</v>
      </c>
      <c r="H205" s="379">
        <v>4114568.97</v>
      </c>
      <c r="I205" s="120">
        <v>1.5821943435775948E-2</v>
      </c>
      <c r="J205" s="379">
        <v>0</v>
      </c>
      <c r="K205" s="120">
        <v>0</v>
      </c>
      <c r="L205" s="379">
        <v>3377480.56</v>
      </c>
      <c r="M205" s="120">
        <v>1.5150015002212084E-2</v>
      </c>
      <c r="N205" s="379">
        <v>11573287.77</v>
      </c>
      <c r="O205" s="120">
        <v>1.6307512363076954E-2</v>
      </c>
      <c r="P205" s="383">
        <f t="shared" si="50"/>
        <v>20719975.43</v>
      </c>
      <c r="R205" s="379"/>
      <c r="S205" s="120"/>
      <c r="T205" s="380"/>
      <c r="U205" s="551">
        <v>66</v>
      </c>
      <c r="V205" s="550" t="s">
        <v>42</v>
      </c>
      <c r="W205" s="449" t="s">
        <v>29</v>
      </c>
      <c r="X205" s="562" t="s">
        <v>41</v>
      </c>
      <c r="Y205" s="379">
        <v>0</v>
      </c>
      <c r="Z205" s="379">
        <v>10951206.07</v>
      </c>
      <c r="AA205" s="379">
        <v>3761971.55</v>
      </c>
      <c r="AB205" s="379"/>
      <c r="AC205" s="379">
        <v>0</v>
      </c>
      <c r="AD205" s="379">
        <v>14713177.620000001</v>
      </c>
      <c r="AE205" s="124"/>
      <c r="AF205" s="551">
        <v>66</v>
      </c>
      <c r="AG205" s="550" t="s">
        <v>42</v>
      </c>
      <c r="AH205" s="449" t="s">
        <v>29</v>
      </c>
      <c r="AI205" s="562" t="s">
        <v>41</v>
      </c>
      <c r="AJ205" s="383">
        <f t="shared" si="42"/>
        <v>0</v>
      </c>
      <c r="AK205" s="383">
        <f t="shared" si="43"/>
        <v>11573287.77</v>
      </c>
      <c r="AL205" s="383">
        <f t="shared" si="44"/>
        <v>4114568.97</v>
      </c>
      <c r="AM205" s="383">
        <f t="shared" si="45"/>
        <v>0</v>
      </c>
      <c r="AN205" s="383">
        <f t="shared" si="46"/>
        <v>0</v>
      </c>
      <c r="AO205" s="124">
        <f t="shared" si="51"/>
        <v>15687856.74</v>
      </c>
      <c r="AR205" s="124">
        <f t="shared" si="47"/>
        <v>3377480.56</v>
      </c>
      <c r="AS205" s="124">
        <f t="shared" si="48"/>
        <v>1654638.13</v>
      </c>
      <c r="AV205" s="379">
        <f t="shared" si="52"/>
        <v>5032118.6899999995</v>
      </c>
      <c r="AW205" s="124">
        <f t="shared" si="49"/>
        <v>0</v>
      </c>
      <c r="AZ205" s="379">
        <v>0</v>
      </c>
      <c r="BA205" s="379">
        <v>282033.11</v>
      </c>
      <c r="BB205" s="379">
        <v>104253.22</v>
      </c>
      <c r="BC205" s="379"/>
      <c r="BD205" s="379">
        <v>0</v>
      </c>
      <c r="BE205" s="379">
        <f t="shared" si="53"/>
        <v>386286.32999999996</v>
      </c>
      <c r="BF205" s="379"/>
      <c r="BO205" s="477">
        <v>0</v>
      </c>
      <c r="BP205" s="477">
        <v>26184007.509999998</v>
      </c>
      <c r="BQ205" s="477">
        <v>9635431.870000001</v>
      </c>
      <c r="BR205" s="477"/>
      <c r="BS205" s="477">
        <v>0</v>
      </c>
      <c r="BT205" s="477">
        <v>35819439.379999995</v>
      </c>
      <c r="BW205" s="126">
        <v>1092</v>
      </c>
      <c r="BX205" s="125">
        <v>27416</v>
      </c>
      <c r="BY205" s="19" t="s">
        <v>29</v>
      </c>
      <c r="BZ205" t="s">
        <v>1011</v>
      </c>
    </row>
    <row r="206" spans="1:78" x14ac:dyDescent="0.25">
      <c r="A206" s="443">
        <v>27404</v>
      </c>
      <c r="B206" s="19" t="s">
        <v>29</v>
      </c>
      <c r="C206" t="s">
        <v>148</v>
      </c>
      <c r="D206" s="379"/>
      <c r="E206" s="120"/>
      <c r="F206" s="379">
        <v>153096.98000000001</v>
      </c>
      <c r="G206" s="120">
        <v>2.55749232693851E-4</v>
      </c>
      <c r="H206" s="379">
        <v>379742.32</v>
      </c>
      <c r="I206" s="120">
        <v>1.4602408055418572E-3</v>
      </c>
      <c r="J206" s="379">
        <v>0</v>
      </c>
      <c r="K206" s="120">
        <v>0</v>
      </c>
      <c r="L206" s="379">
        <v>295190.37</v>
      </c>
      <c r="M206" s="120">
        <v>1.324104892555928E-3</v>
      </c>
      <c r="N206" s="379">
        <v>1009509.69</v>
      </c>
      <c r="O206" s="120">
        <v>1.422464564736299E-3</v>
      </c>
      <c r="P206" s="383">
        <f t="shared" si="50"/>
        <v>1837539.3599999999</v>
      </c>
      <c r="R206" s="379"/>
      <c r="S206" s="120"/>
      <c r="T206" s="380"/>
      <c r="U206" s="551">
        <v>251</v>
      </c>
      <c r="V206" s="550" t="s">
        <v>149</v>
      </c>
      <c r="W206" s="449" t="s">
        <v>29</v>
      </c>
      <c r="X206" s="562" t="s">
        <v>148</v>
      </c>
      <c r="Y206" s="379">
        <v>0</v>
      </c>
      <c r="Z206" s="379">
        <v>1004102.79</v>
      </c>
      <c r="AA206" s="379">
        <v>356502.44</v>
      </c>
      <c r="AB206" s="379"/>
      <c r="AC206" s="379">
        <v>0</v>
      </c>
      <c r="AD206" s="379">
        <v>1360605.23</v>
      </c>
      <c r="AE206" s="124"/>
      <c r="AF206" s="551">
        <v>251</v>
      </c>
      <c r="AG206" s="550" t="s">
        <v>149</v>
      </c>
      <c r="AH206" s="449" t="s">
        <v>29</v>
      </c>
      <c r="AI206" s="562" t="s">
        <v>148</v>
      </c>
      <c r="AJ206" s="383">
        <f t="shared" si="42"/>
        <v>0</v>
      </c>
      <c r="AK206" s="383">
        <f t="shared" si="43"/>
        <v>1009509.69</v>
      </c>
      <c r="AL206" s="383">
        <f t="shared" si="44"/>
        <v>379742.32</v>
      </c>
      <c r="AM206" s="383">
        <f t="shared" si="45"/>
        <v>0</v>
      </c>
      <c r="AN206" s="383">
        <f t="shared" si="46"/>
        <v>0</v>
      </c>
      <c r="AO206" s="124">
        <f t="shared" si="51"/>
        <v>1389252.01</v>
      </c>
      <c r="AR206" s="124">
        <f t="shared" si="47"/>
        <v>295190.37</v>
      </c>
      <c r="AS206" s="124">
        <f t="shared" si="48"/>
        <v>153096.98000000001</v>
      </c>
      <c r="AV206" s="379">
        <f t="shared" si="52"/>
        <v>448287.35</v>
      </c>
      <c r="AW206" s="124">
        <f t="shared" si="49"/>
        <v>0</v>
      </c>
      <c r="AZ206" s="379">
        <v>0</v>
      </c>
      <c r="BA206" s="379">
        <v>24598.17</v>
      </c>
      <c r="BB206" s="379">
        <v>9610.67</v>
      </c>
      <c r="BC206" s="379"/>
      <c r="BD206" s="379">
        <v>0</v>
      </c>
      <c r="BE206" s="379">
        <f t="shared" si="53"/>
        <v>34208.839999999997</v>
      </c>
      <c r="BF206" s="379"/>
      <c r="BO206" s="477">
        <v>0</v>
      </c>
      <c r="BP206" s="477">
        <v>2333401.02</v>
      </c>
      <c r="BQ206" s="477">
        <v>898952.40999999992</v>
      </c>
      <c r="BR206" s="477"/>
      <c r="BS206" s="477">
        <v>0</v>
      </c>
      <c r="BT206" s="477">
        <v>3232353.4299999997</v>
      </c>
      <c r="BW206" s="126">
        <v>303</v>
      </c>
      <c r="BX206" s="125">
        <v>27417</v>
      </c>
      <c r="BY206" s="19" t="s">
        <v>29</v>
      </c>
      <c r="BZ206" t="s">
        <v>812</v>
      </c>
    </row>
    <row r="207" spans="1:78" x14ac:dyDescent="0.25">
      <c r="A207" s="443">
        <v>27416</v>
      </c>
      <c r="B207" s="19" t="s">
        <v>29</v>
      </c>
      <c r="C207" t="s">
        <v>604</v>
      </c>
      <c r="D207" s="379"/>
      <c r="E207" s="120"/>
      <c r="F207" s="379">
        <v>356751.67</v>
      </c>
      <c r="G207" s="120">
        <v>5.9595536022167075E-4</v>
      </c>
      <c r="H207" s="379">
        <v>885981.56</v>
      </c>
      <c r="I207" s="120">
        <v>3.4069061011415091E-3</v>
      </c>
      <c r="J207" s="379">
        <v>0</v>
      </c>
      <c r="K207" s="120">
        <v>0</v>
      </c>
      <c r="L207" s="379">
        <v>656949.59</v>
      </c>
      <c r="M207" s="120">
        <v>2.9468107861432302E-3</v>
      </c>
      <c r="N207" s="379">
        <v>2256968.62</v>
      </c>
      <c r="O207" s="120">
        <v>3.1802150266351434E-3</v>
      </c>
      <c r="P207" s="383">
        <f t="shared" si="50"/>
        <v>4156651.44</v>
      </c>
      <c r="R207" s="379"/>
      <c r="S207" s="120"/>
      <c r="T207" s="380"/>
      <c r="U207" s="551">
        <v>1092</v>
      </c>
      <c r="V207" s="550" t="s">
        <v>605</v>
      </c>
      <c r="W207" s="449" t="s">
        <v>29</v>
      </c>
      <c r="X207" s="562" t="s">
        <v>604</v>
      </c>
      <c r="Y207" s="379">
        <v>0</v>
      </c>
      <c r="Z207" s="379">
        <v>2117249.35</v>
      </c>
      <c r="AA207" s="379">
        <v>865214.22</v>
      </c>
      <c r="AB207" s="379"/>
      <c r="AC207" s="379">
        <v>0</v>
      </c>
      <c r="AD207" s="379">
        <v>2982463.5700000003</v>
      </c>
      <c r="AE207" s="124"/>
      <c r="AF207" s="551">
        <v>1092</v>
      </c>
      <c r="AG207" s="550" t="s">
        <v>605</v>
      </c>
      <c r="AH207" s="449" t="s">
        <v>29</v>
      </c>
      <c r="AI207" s="562" t="s">
        <v>604</v>
      </c>
      <c r="AJ207" s="383">
        <f t="shared" si="42"/>
        <v>0</v>
      </c>
      <c r="AK207" s="383">
        <f t="shared" si="43"/>
        <v>2256968.62</v>
      </c>
      <c r="AL207" s="383">
        <f t="shared" si="44"/>
        <v>885981.56</v>
      </c>
      <c r="AM207" s="383">
        <f t="shared" si="45"/>
        <v>0</v>
      </c>
      <c r="AN207" s="383">
        <f t="shared" si="46"/>
        <v>0</v>
      </c>
      <c r="AO207" s="124">
        <f t="shared" si="51"/>
        <v>3142950.18</v>
      </c>
      <c r="AR207" s="124">
        <f t="shared" si="47"/>
        <v>656949.59</v>
      </c>
      <c r="AS207" s="124">
        <f t="shared" si="48"/>
        <v>356751.67</v>
      </c>
      <c r="AV207" s="379">
        <f t="shared" si="52"/>
        <v>1013701.26</v>
      </c>
      <c r="AW207" s="124">
        <f t="shared" si="49"/>
        <v>0</v>
      </c>
      <c r="AZ207" s="379">
        <v>0</v>
      </c>
      <c r="BA207" s="379">
        <v>55006.009999999995</v>
      </c>
      <c r="BB207" s="379">
        <v>22433.040000000001</v>
      </c>
      <c r="BC207" s="379"/>
      <c r="BD207" s="379">
        <v>0</v>
      </c>
      <c r="BE207" s="379">
        <f t="shared" si="53"/>
        <v>77439.049999999988</v>
      </c>
      <c r="BF207" s="379"/>
      <c r="BO207" s="477">
        <v>0</v>
      </c>
      <c r="BP207" s="477">
        <v>5086173.57</v>
      </c>
      <c r="BQ207" s="477">
        <v>2130380.4899999998</v>
      </c>
      <c r="BR207" s="477"/>
      <c r="BS207" s="477">
        <v>0</v>
      </c>
      <c r="BT207" s="477">
        <v>7216554.0600000005</v>
      </c>
      <c r="BW207" s="126">
        <v>4174</v>
      </c>
      <c r="BX207" s="125">
        <v>27901</v>
      </c>
      <c r="BY207" s="19" t="s">
        <v>1039</v>
      </c>
      <c r="BZ207" s="381" t="s">
        <v>1155</v>
      </c>
    </row>
    <row r="208" spans="1:78" x14ac:dyDescent="0.25">
      <c r="A208" s="443">
        <v>27417</v>
      </c>
      <c r="B208" s="19" t="s">
        <v>29</v>
      </c>
      <c r="C208" t="s">
        <v>184</v>
      </c>
      <c r="D208" s="379">
        <v>11907.52</v>
      </c>
      <c r="E208" s="120">
        <v>1.989156875130185E-5</v>
      </c>
      <c r="F208" s="379">
        <v>329854.59000000003</v>
      </c>
      <c r="G208" s="120">
        <v>5.5102366025146156E-4</v>
      </c>
      <c r="H208" s="379">
        <v>820444.07</v>
      </c>
      <c r="I208" s="120">
        <v>3.1548917425870252E-3</v>
      </c>
      <c r="J208" s="379">
        <v>0</v>
      </c>
      <c r="K208" s="120">
        <v>0</v>
      </c>
      <c r="L208" s="379">
        <v>760364.91</v>
      </c>
      <c r="M208" s="120">
        <v>3.410690184299874E-3</v>
      </c>
      <c r="N208" s="379">
        <v>2595710.87</v>
      </c>
      <c r="O208" s="120">
        <v>3.6575248058053115E-3</v>
      </c>
      <c r="P208" s="383">
        <f t="shared" si="50"/>
        <v>4518281.96</v>
      </c>
      <c r="R208" s="379"/>
      <c r="S208" s="120"/>
      <c r="T208" s="380"/>
      <c r="U208" s="551">
        <v>303</v>
      </c>
      <c r="V208" s="550" t="s">
        <v>185</v>
      </c>
      <c r="W208" s="449" t="s">
        <v>29</v>
      </c>
      <c r="X208" s="562" t="s">
        <v>184</v>
      </c>
      <c r="Y208" s="379">
        <v>0</v>
      </c>
      <c r="Z208" s="379">
        <v>2564615.2599999998</v>
      </c>
      <c r="AA208" s="379">
        <v>762925.5</v>
      </c>
      <c r="AB208" s="379">
        <v>7644.58</v>
      </c>
      <c r="AC208" s="379">
        <v>0</v>
      </c>
      <c r="AD208" s="379">
        <v>3335185.34</v>
      </c>
      <c r="AE208" s="124"/>
      <c r="AF208" s="551">
        <v>303</v>
      </c>
      <c r="AG208" s="550" t="s">
        <v>185</v>
      </c>
      <c r="AH208" s="449" t="s">
        <v>29</v>
      </c>
      <c r="AI208" s="562" t="s">
        <v>184</v>
      </c>
      <c r="AJ208" s="383">
        <f t="shared" si="42"/>
        <v>0</v>
      </c>
      <c r="AK208" s="383">
        <f t="shared" si="43"/>
        <v>2595710.87</v>
      </c>
      <c r="AL208" s="383">
        <f t="shared" si="44"/>
        <v>820444.07</v>
      </c>
      <c r="AM208" s="383">
        <f t="shared" si="45"/>
        <v>11907.52</v>
      </c>
      <c r="AN208" s="383">
        <f t="shared" si="46"/>
        <v>0</v>
      </c>
      <c r="AO208" s="124">
        <f t="shared" si="51"/>
        <v>3428062.46</v>
      </c>
      <c r="AR208" s="124">
        <f t="shared" si="47"/>
        <v>760364.91</v>
      </c>
      <c r="AS208" s="124">
        <f t="shared" si="48"/>
        <v>329854.59000000003</v>
      </c>
      <c r="AV208" s="379">
        <f t="shared" si="52"/>
        <v>1090219.5</v>
      </c>
      <c r="AW208" s="124">
        <f t="shared" si="49"/>
        <v>0</v>
      </c>
      <c r="AZ208" s="379">
        <v>0</v>
      </c>
      <c r="BA208" s="379">
        <v>63242.880000000005</v>
      </c>
      <c r="BB208" s="379">
        <v>20796.82</v>
      </c>
      <c r="BC208" s="379">
        <v>250.83</v>
      </c>
      <c r="BD208" s="379">
        <v>0</v>
      </c>
      <c r="BE208" s="379">
        <f t="shared" si="53"/>
        <v>84290.530000000013</v>
      </c>
      <c r="BF208" s="379"/>
      <c r="BO208" s="477">
        <v>0</v>
      </c>
      <c r="BP208" s="477">
        <v>5983933.9199999999</v>
      </c>
      <c r="BQ208" s="477">
        <v>1934020.98</v>
      </c>
      <c r="BR208" s="477">
        <v>19802.93</v>
      </c>
      <c r="BS208" s="477">
        <v>0</v>
      </c>
      <c r="BT208" s="477">
        <v>7937757.8300000001</v>
      </c>
      <c r="BW208" s="126">
        <v>2631</v>
      </c>
      <c r="BX208" s="125">
        <v>27904</v>
      </c>
      <c r="BY208" s="19" t="s">
        <v>1039</v>
      </c>
      <c r="BZ208" t="s">
        <v>1024</v>
      </c>
    </row>
    <row r="209" spans="1:78" x14ac:dyDescent="0.25">
      <c r="A209" s="446">
        <v>27901</v>
      </c>
      <c r="B209" s="19" t="s">
        <v>1039</v>
      </c>
      <c r="C209" t="s">
        <v>1150</v>
      </c>
      <c r="D209" s="379">
        <v>6829.5</v>
      </c>
      <c r="E209" s="120">
        <v>1.1408712207665071E-5</v>
      </c>
      <c r="F209" s="379">
        <v>246095.21</v>
      </c>
      <c r="G209" s="120">
        <v>4.1110321788928898E-4</v>
      </c>
      <c r="H209" s="379">
        <v>612373.93000000005</v>
      </c>
      <c r="I209" s="120">
        <v>2.3547899555573181E-3</v>
      </c>
      <c r="J209" s="379"/>
      <c r="K209" s="120"/>
      <c r="L209" s="379">
        <v>209077.3</v>
      </c>
      <c r="M209" s="120">
        <v>9.3783640656158111E-4</v>
      </c>
      <c r="N209" s="379">
        <v>742627.56</v>
      </c>
      <c r="O209" s="120">
        <v>1.0464103508472315E-3</v>
      </c>
      <c r="P209" s="383">
        <f t="shared" si="50"/>
        <v>1817003.5</v>
      </c>
      <c r="R209" s="379"/>
      <c r="S209" s="120"/>
      <c r="T209" s="380"/>
      <c r="U209" s="555">
        <v>4174</v>
      </c>
      <c r="V209" s="550" t="s">
        <v>1134</v>
      </c>
      <c r="W209" s="449" t="s">
        <v>1039</v>
      </c>
      <c r="X209" s="562" t="s">
        <v>1150</v>
      </c>
      <c r="Y209" s="379"/>
      <c r="Z209" s="379">
        <v>695984.48</v>
      </c>
      <c r="AA209" s="379">
        <v>548941.14</v>
      </c>
      <c r="AB209" s="379">
        <v>4324.4799999999996</v>
      </c>
      <c r="AC209" s="379">
        <v>0</v>
      </c>
      <c r="AD209" s="379">
        <v>1249250.1000000001</v>
      </c>
      <c r="AE209" s="124"/>
      <c r="AF209" s="555">
        <v>4174</v>
      </c>
      <c r="AG209" s="550" t="s">
        <v>1134</v>
      </c>
      <c r="AH209" s="449" t="s">
        <v>1039</v>
      </c>
      <c r="AI209" s="562" t="s">
        <v>1150</v>
      </c>
      <c r="AJ209" s="383">
        <f t="shared" si="42"/>
        <v>0</v>
      </c>
      <c r="AK209" s="383">
        <f t="shared" si="43"/>
        <v>742627.56</v>
      </c>
      <c r="AL209" s="383">
        <f t="shared" si="44"/>
        <v>612373.93000000005</v>
      </c>
      <c r="AM209" s="383">
        <f t="shared" si="45"/>
        <v>6829.5</v>
      </c>
      <c r="AN209" s="383">
        <f t="shared" si="46"/>
        <v>0</v>
      </c>
      <c r="AO209" s="124">
        <f t="shared" si="51"/>
        <v>1361830.9900000002</v>
      </c>
      <c r="AR209" s="124">
        <f t="shared" si="47"/>
        <v>209077.3</v>
      </c>
      <c r="AS209" s="124">
        <f t="shared" si="48"/>
        <v>246095.21</v>
      </c>
      <c r="AV209" s="379">
        <f t="shared" si="52"/>
        <v>455172.51</v>
      </c>
      <c r="AW209" s="124">
        <f t="shared" si="49"/>
        <v>0</v>
      </c>
      <c r="AZ209" s="379"/>
      <c r="BA209" s="379">
        <v>18127.11</v>
      </c>
      <c r="BB209" s="379">
        <v>15516.61</v>
      </c>
      <c r="BC209" s="379">
        <v>141.35</v>
      </c>
      <c r="BD209" s="379">
        <v>0</v>
      </c>
      <c r="BE209" s="379">
        <f t="shared" si="53"/>
        <v>33785.07</v>
      </c>
      <c r="BF209" s="379"/>
      <c r="BO209" s="477"/>
      <c r="BP209" s="477">
        <v>1665816.4500000002</v>
      </c>
      <c r="BQ209" s="477">
        <v>1422926.8900000001</v>
      </c>
      <c r="BR209" s="477">
        <v>11295.33</v>
      </c>
      <c r="BS209" s="477">
        <v>0</v>
      </c>
      <c r="BT209" s="477">
        <v>3100038.6700000004</v>
      </c>
      <c r="BW209" s="126">
        <v>860</v>
      </c>
      <c r="BX209" s="125">
        <v>28010</v>
      </c>
      <c r="BY209" s="19" t="s">
        <v>21</v>
      </c>
      <c r="BZ209" t="s">
        <v>956</v>
      </c>
    </row>
    <row r="210" spans="1:78" x14ac:dyDescent="0.25">
      <c r="A210" s="443">
        <v>27904</v>
      </c>
      <c r="B210" s="19" t="s">
        <v>1039</v>
      </c>
      <c r="C210" t="s">
        <v>1085</v>
      </c>
      <c r="D210" s="379"/>
      <c r="E210" s="120"/>
      <c r="F210" s="379">
        <v>26291.68</v>
      </c>
      <c r="G210" s="120">
        <v>4.3920376393004404E-5</v>
      </c>
      <c r="H210" s="379">
        <v>64575.46</v>
      </c>
      <c r="I210" s="120">
        <v>2.4831501984987075E-4</v>
      </c>
      <c r="J210" s="379"/>
      <c r="K210" s="120"/>
      <c r="L210" s="379">
        <v>47933.71</v>
      </c>
      <c r="M210" s="120">
        <v>2.1501128214093508E-4</v>
      </c>
      <c r="N210" s="379">
        <v>144164.07</v>
      </c>
      <c r="O210" s="120">
        <v>2.0313651579031733E-4</v>
      </c>
      <c r="P210" s="383">
        <f t="shared" si="50"/>
        <v>282964.92000000004</v>
      </c>
      <c r="R210" s="379"/>
      <c r="S210" s="120"/>
      <c r="T210" s="380"/>
      <c r="U210" s="551">
        <v>2631</v>
      </c>
      <c r="V210" s="550" t="s">
        <v>1060</v>
      </c>
      <c r="W210" s="449" t="s">
        <v>1039</v>
      </c>
      <c r="X210" s="562" t="s">
        <v>1085</v>
      </c>
      <c r="Y210" s="379"/>
      <c r="Z210" s="379">
        <v>119967.75</v>
      </c>
      <c r="AA210" s="379">
        <v>60254.159999999996</v>
      </c>
      <c r="AB210" s="379"/>
      <c r="AC210" s="379">
        <v>0</v>
      </c>
      <c r="AD210" s="379">
        <v>180221.91</v>
      </c>
      <c r="AE210" s="124"/>
      <c r="AF210" s="551">
        <v>2631</v>
      </c>
      <c r="AG210" s="550" t="s">
        <v>1060</v>
      </c>
      <c r="AH210" s="449" t="s">
        <v>1039</v>
      </c>
      <c r="AI210" s="562" t="s">
        <v>1085</v>
      </c>
      <c r="AJ210" s="383">
        <f t="shared" si="42"/>
        <v>0</v>
      </c>
      <c r="AK210" s="383">
        <f t="shared" si="43"/>
        <v>144164.07</v>
      </c>
      <c r="AL210" s="383">
        <f t="shared" si="44"/>
        <v>64575.46</v>
      </c>
      <c r="AM210" s="383">
        <f t="shared" si="45"/>
        <v>0</v>
      </c>
      <c r="AN210" s="383">
        <f t="shared" si="46"/>
        <v>0</v>
      </c>
      <c r="AO210" s="124">
        <f t="shared" si="51"/>
        <v>208739.53</v>
      </c>
      <c r="AR210" s="124">
        <f t="shared" si="47"/>
        <v>47933.71</v>
      </c>
      <c r="AS210" s="124">
        <f t="shared" si="48"/>
        <v>26291.68</v>
      </c>
      <c r="AV210" s="379">
        <f t="shared" si="52"/>
        <v>74225.39</v>
      </c>
      <c r="AW210" s="124">
        <f t="shared" si="49"/>
        <v>0</v>
      </c>
      <c r="AZ210" s="379"/>
      <c r="BA210" s="379">
        <v>3489.49</v>
      </c>
      <c r="BB210" s="379">
        <v>1628.38</v>
      </c>
      <c r="BC210" s="379"/>
      <c r="BD210" s="379">
        <v>0</v>
      </c>
      <c r="BE210" s="379">
        <f t="shared" si="53"/>
        <v>5117.87</v>
      </c>
      <c r="BF210" s="379"/>
      <c r="BO210" s="477"/>
      <c r="BP210" s="477">
        <v>315555.02</v>
      </c>
      <c r="BQ210" s="477">
        <v>152749.68</v>
      </c>
      <c r="BR210" s="477"/>
      <c r="BS210" s="477">
        <v>0</v>
      </c>
      <c r="BT210" s="477">
        <v>468304.7</v>
      </c>
      <c r="BW210" s="126">
        <v>682</v>
      </c>
      <c r="BX210" s="125">
        <v>28137</v>
      </c>
      <c r="BY210" s="19" t="s">
        <v>21</v>
      </c>
      <c r="BZ210" t="s">
        <v>908</v>
      </c>
    </row>
    <row r="211" spans="1:78" x14ac:dyDescent="0.25">
      <c r="A211" s="443">
        <v>28010</v>
      </c>
      <c r="B211" s="19" t="s">
        <v>21</v>
      </c>
      <c r="C211" t="s">
        <v>488</v>
      </c>
      <c r="D211" s="379"/>
      <c r="E211" s="120"/>
      <c r="F211" s="379">
        <v>1934.14</v>
      </c>
      <c r="G211" s="120">
        <v>3.2309900621324139E-6</v>
      </c>
      <c r="H211" s="379">
        <v>4828.62</v>
      </c>
      <c r="I211" s="120">
        <v>1.8567717073134019E-5</v>
      </c>
      <c r="J211" s="379"/>
      <c r="K211" s="120"/>
      <c r="L211" s="379">
        <v>5026.8999999999996</v>
      </c>
      <c r="M211" s="120">
        <v>2.2548645080763964E-5</v>
      </c>
      <c r="N211" s="379">
        <v>17502.310000000001</v>
      </c>
      <c r="O211" s="120">
        <v>2.4661888858174086E-5</v>
      </c>
      <c r="P211" s="383">
        <f t="shared" si="50"/>
        <v>29291.97</v>
      </c>
      <c r="R211" s="379"/>
      <c r="S211" s="120"/>
      <c r="T211" s="380"/>
      <c r="U211" s="551">
        <v>860</v>
      </c>
      <c r="V211" s="550" t="s">
        <v>489</v>
      </c>
      <c r="W211" s="449" t="s">
        <v>21</v>
      </c>
      <c r="X211" s="562" t="s">
        <v>488</v>
      </c>
      <c r="Y211" s="379"/>
      <c r="Z211" s="379">
        <v>14358.82</v>
      </c>
      <c r="AA211" s="379">
        <v>4828.5</v>
      </c>
      <c r="AB211" s="379"/>
      <c r="AC211" s="379">
        <v>0</v>
      </c>
      <c r="AD211" s="379">
        <v>19187.32</v>
      </c>
      <c r="AE211" s="124"/>
      <c r="AF211" s="551">
        <v>860</v>
      </c>
      <c r="AG211" s="550" t="s">
        <v>489</v>
      </c>
      <c r="AH211" s="449" t="s">
        <v>21</v>
      </c>
      <c r="AI211" s="562" t="s">
        <v>488</v>
      </c>
      <c r="AJ211" s="383">
        <f t="shared" si="42"/>
        <v>0</v>
      </c>
      <c r="AK211" s="383">
        <f t="shared" si="43"/>
        <v>17502.310000000001</v>
      </c>
      <c r="AL211" s="383">
        <f t="shared" si="44"/>
        <v>4828.62</v>
      </c>
      <c r="AM211" s="383">
        <f t="shared" si="45"/>
        <v>0</v>
      </c>
      <c r="AN211" s="383">
        <f t="shared" si="46"/>
        <v>0</v>
      </c>
      <c r="AO211" s="124">
        <f t="shared" si="51"/>
        <v>22330.93</v>
      </c>
      <c r="AR211" s="124">
        <f t="shared" si="47"/>
        <v>5026.8999999999996</v>
      </c>
      <c r="AS211" s="124">
        <f t="shared" si="48"/>
        <v>1934.14</v>
      </c>
      <c r="AV211" s="379">
        <f t="shared" si="52"/>
        <v>6961.04</v>
      </c>
      <c r="AW211" s="124">
        <f t="shared" si="49"/>
        <v>0</v>
      </c>
      <c r="AZ211" s="379"/>
      <c r="BA211" s="379">
        <v>426.66999999999996</v>
      </c>
      <c r="BB211" s="379">
        <v>122.42</v>
      </c>
      <c r="BC211" s="379"/>
      <c r="BD211" s="379">
        <v>0</v>
      </c>
      <c r="BE211" s="379">
        <f t="shared" si="53"/>
        <v>549.08999999999992</v>
      </c>
      <c r="BF211" s="379"/>
      <c r="BO211" s="477"/>
      <c r="BP211" s="477">
        <v>37314.699999999997</v>
      </c>
      <c r="BQ211" s="477">
        <v>11713.68</v>
      </c>
      <c r="BR211" s="477"/>
      <c r="BS211" s="477">
        <v>0</v>
      </c>
      <c r="BT211" s="477">
        <v>49028.38</v>
      </c>
      <c r="BW211" s="126">
        <v>552</v>
      </c>
      <c r="BX211" s="125">
        <v>28144</v>
      </c>
      <c r="BY211" s="19" t="s">
        <v>21</v>
      </c>
      <c r="BZ211" t="s">
        <v>857</v>
      </c>
    </row>
    <row r="212" spans="1:78" x14ac:dyDescent="0.25">
      <c r="A212" s="443">
        <v>28137</v>
      </c>
      <c r="B212" s="19" t="s">
        <v>21</v>
      </c>
      <c r="C212" t="s">
        <v>388</v>
      </c>
      <c r="D212" s="379"/>
      <c r="E212" s="120"/>
      <c r="F212" s="379">
        <v>69033.38</v>
      </c>
      <c r="G212" s="120">
        <v>1.1532058937585208E-4</v>
      </c>
      <c r="H212" s="379">
        <v>171680.92</v>
      </c>
      <c r="I212" s="120">
        <v>6.6017262684066173E-4</v>
      </c>
      <c r="J212" s="379"/>
      <c r="K212" s="120"/>
      <c r="L212" s="379">
        <v>115490.14</v>
      </c>
      <c r="M212" s="120">
        <v>5.1804216857063838E-4</v>
      </c>
      <c r="N212" s="379">
        <v>398312.45</v>
      </c>
      <c r="O212" s="120">
        <v>5.6124805084169021E-4</v>
      </c>
      <c r="P212" s="383">
        <f t="shared" si="50"/>
        <v>754516.89</v>
      </c>
      <c r="R212" s="379"/>
      <c r="S212" s="120"/>
      <c r="T212" s="380"/>
      <c r="U212" s="551">
        <v>682</v>
      </c>
      <c r="V212" s="550" t="s">
        <v>389</v>
      </c>
      <c r="W212" s="449" t="s">
        <v>21</v>
      </c>
      <c r="X212" s="562" t="s">
        <v>388</v>
      </c>
      <c r="Y212" s="379"/>
      <c r="Z212" s="379">
        <v>374555.85</v>
      </c>
      <c r="AA212" s="379">
        <v>172731.59999999998</v>
      </c>
      <c r="AB212" s="379"/>
      <c r="AC212" s="379">
        <v>0</v>
      </c>
      <c r="AD212" s="379">
        <v>547287.44999999995</v>
      </c>
      <c r="AE212" s="124"/>
      <c r="AF212" s="551">
        <v>682</v>
      </c>
      <c r="AG212" s="550" t="s">
        <v>389</v>
      </c>
      <c r="AH212" s="449" t="s">
        <v>21</v>
      </c>
      <c r="AI212" s="562" t="s">
        <v>388</v>
      </c>
      <c r="AJ212" s="383">
        <f t="shared" si="42"/>
        <v>0</v>
      </c>
      <c r="AK212" s="383">
        <f t="shared" si="43"/>
        <v>398312.45</v>
      </c>
      <c r="AL212" s="383">
        <f t="shared" si="44"/>
        <v>171680.92</v>
      </c>
      <c r="AM212" s="383">
        <f t="shared" si="45"/>
        <v>0</v>
      </c>
      <c r="AN212" s="383">
        <f t="shared" si="46"/>
        <v>0</v>
      </c>
      <c r="AO212" s="124">
        <f t="shared" si="51"/>
        <v>569993.37</v>
      </c>
      <c r="AR212" s="124">
        <f t="shared" si="47"/>
        <v>115490.14</v>
      </c>
      <c r="AS212" s="124">
        <f t="shared" si="48"/>
        <v>69033.38</v>
      </c>
      <c r="AV212" s="379">
        <f t="shared" si="52"/>
        <v>184523.52000000002</v>
      </c>
      <c r="AW212" s="124">
        <f t="shared" si="49"/>
        <v>0</v>
      </c>
      <c r="AZ212" s="379"/>
      <c r="BA212" s="379">
        <v>9709.16</v>
      </c>
      <c r="BB212" s="379">
        <v>4349.0200000000004</v>
      </c>
      <c r="BC212" s="379"/>
      <c r="BD212" s="379">
        <v>0</v>
      </c>
      <c r="BE212" s="379">
        <f t="shared" si="53"/>
        <v>14058.18</v>
      </c>
      <c r="BF212" s="379"/>
      <c r="BO212" s="477"/>
      <c r="BP212" s="477">
        <v>898067.60000000009</v>
      </c>
      <c r="BQ212" s="477">
        <v>417794.92</v>
      </c>
      <c r="BR212" s="477"/>
      <c r="BS212" s="477">
        <v>0</v>
      </c>
      <c r="BT212" s="477">
        <v>1315862.52</v>
      </c>
      <c r="BW212" s="126">
        <v>833</v>
      </c>
      <c r="BX212" s="125">
        <v>28149</v>
      </c>
      <c r="BY212" s="19" t="s">
        <v>21</v>
      </c>
      <c r="BZ212" t="s">
        <v>949</v>
      </c>
    </row>
    <row r="213" spans="1:78" x14ac:dyDescent="0.25">
      <c r="A213" s="443">
        <v>28144</v>
      </c>
      <c r="B213" s="19" t="s">
        <v>21</v>
      </c>
      <c r="C213" t="s">
        <v>276</v>
      </c>
      <c r="D213" s="379"/>
      <c r="E213" s="120"/>
      <c r="F213" s="379">
        <v>33699.35</v>
      </c>
      <c r="G213" s="120">
        <v>5.6294924333461876E-5</v>
      </c>
      <c r="H213" s="379">
        <v>82765.320000000007</v>
      </c>
      <c r="I213" s="120">
        <v>3.1826133454846328E-4</v>
      </c>
      <c r="J213" s="379"/>
      <c r="K213" s="120"/>
      <c r="L213" s="379">
        <v>72702.070000000007</v>
      </c>
      <c r="M213" s="120">
        <v>3.2611215123970195E-4</v>
      </c>
      <c r="N213" s="379">
        <v>211871</v>
      </c>
      <c r="O213" s="120">
        <v>2.9853996725404824E-4</v>
      </c>
      <c r="P213" s="383">
        <f t="shared" si="50"/>
        <v>401037.74</v>
      </c>
      <c r="R213" s="379"/>
      <c r="S213" s="120"/>
      <c r="T213" s="380"/>
      <c r="U213" s="551">
        <v>552</v>
      </c>
      <c r="V213" s="550" t="s">
        <v>277</v>
      </c>
      <c r="W213" s="449" t="s">
        <v>21</v>
      </c>
      <c r="X213" s="562" t="s">
        <v>276</v>
      </c>
      <c r="Y213" s="379"/>
      <c r="Z213" s="379">
        <v>214557.71</v>
      </c>
      <c r="AA213" s="379">
        <v>78411.350000000006</v>
      </c>
      <c r="AB213" s="379"/>
      <c r="AC213" s="379">
        <v>0</v>
      </c>
      <c r="AD213" s="379">
        <v>292969.06</v>
      </c>
      <c r="AE213" s="124"/>
      <c r="AF213" s="551">
        <v>552</v>
      </c>
      <c r="AG213" s="550" t="s">
        <v>277</v>
      </c>
      <c r="AH213" s="449" t="s">
        <v>21</v>
      </c>
      <c r="AI213" s="562" t="s">
        <v>276</v>
      </c>
      <c r="AJ213" s="383">
        <f t="shared" si="42"/>
        <v>0</v>
      </c>
      <c r="AK213" s="383">
        <f t="shared" si="43"/>
        <v>211871</v>
      </c>
      <c r="AL213" s="383">
        <f t="shared" si="44"/>
        <v>82765.320000000007</v>
      </c>
      <c r="AM213" s="383">
        <f t="shared" si="45"/>
        <v>0</v>
      </c>
      <c r="AN213" s="383">
        <f t="shared" si="46"/>
        <v>0</v>
      </c>
      <c r="AO213" s="124">
        <f t="shared" si="51"/>
        <v>294636.32</v>
      </c>
      <c r="AR213" s="124">
        <f t="shared" si="47"/>
        <v>72702.070000000007</v>
      </c>
      <c r="AS213" s="124">
        <f t="shared" si="48"/>
        <v>33699.35</v>
      </c>
      <c r="AV213" s="379">
        <f t="shared" si="52"/>
        <v>106401.42000000001</v>
      </c>
      <c r="AW213" s="124">
        <f t="shared" si="49"/>
        <v>0</v>
      </c>
      <c r="AZ213" s="379"/>
      <c r="BA213" s="379">
        <v>5120.08</v>
      </c>
      <c r="BB213" s="379">
        <v>2086.9899999999998</v>
      </c>
      <c r="BC213" s="379"/>
      <c r="BD213" s="379">
        <v>0</v>
      </c>
      <c r="BE213" s="379">
        <f t="shared" si="53"/>
        <v>7207.07</v>
      </c>
      <c r="BF213" s="379"/>
      <c r="BO213" s="477"/>
      <c r="BP213" s="477">
        <v>504250.86</v>
      </c>
      <c r="BQ213" s="477">
        <v>196963.01</v>
      </c>
      <c r="BR213" s="477"/>
      <c r="BS213" s="477">
        <v>0</v>
      </c>
      <c r="BT213" s="477">
        <v>701213.87</v>
      </c>
      <c r="BW213" s="126">
        <v>181</v>
      </c>
      <c r="BX213" s="125">
        <v>29011</v>
      </c>
      <c r="BY213" s="19" t="s">
        <v>21</v>
      </c>
      <c r="BZ213" t="s">
        <v>775</v>
      </c>
    </row>
    <row r="214" spans="1:78" x14ac:dyDescent="0.25">
      <c r="A214" s="443">
        <v>28149</v>
      </c>
      <c r="B214" s="19" t="s">
        <v>21</v>
      </c>
      <c r="C214" t="s">
        <v>474</v>
      </c>
      <c r="D214" s="379"/>
      <c r="E214" s="120"/>
      <c r="F214" s="379">
        <v>88845.28</v>
      </c>
      <c r="G214" s="120">
        <v>1.4841646248325957E-4</v>
      </c>
      <c r="H214" s="379">
        <v>216820.74</v>
      </c>
      <c r="I214" s="120">
        <v>8.3375087621464356E-4</v>
      </c>
      <c r="J214" s="379">
        <v>0</v>
      </c>
      <c r="K214" s="120">
        <v>0</v>
      </c>
      <c r="L214" s="379">
        <v>189681.81</v>
      </c>
      <c r="M214" s="120">
        <v>8.508360643670862E-4</v>
      </c>
      <c r="N214" s="379">
        <v>558901.44999999995</v>
      </c>
      <c r="O214" s="120">
        <v>7.8752835726097516E-4</v>
      </c>
      <c r="P214" s="383">
        <f t="shared" si="50"/>
        <v>1054249.28</v>
      </c>
      <c r="R214" s="379"/>
      <c r="S214" s="120"/>
      <c r="T214" s="380"/>
      <c r="U214" s="551">
        <v>833</v>
      </c>
      <c r="V214" s="550" t="s">
        <v>475</v>
      </c>
      <c r="W214" s="449" t="s">
        <v>21</v>
      </c>
      <c r="X214" s="562" t="s">
        <v>474</v>
      </c>
      <c r="Y214" s="379">
        <v>0</v>
      </c>
      <c r="Z214" s="379">
        <v>534186.27</v>
      </c>
      <c r="AA214" s="379">
        <v>196324.5</v>
      </c>
      <c r="AB214" s="379"/>
      <c r="AC214" s="379">
        <v>0</v>
      </c>
      <c r="AD214" s="379">
        <v>730510.77</v>
      </c>
      <c r="AE214" s="124"/>
      <c r="AF214" s="551">
        <v>833</v>
      </c>
      <c r="AG214" s="550" t="s">
        <v>475</v>
      </c>
      <c r="AH214" s="449" t="s">
        <v>21</v>
      </c>
      <c r="AI214" s="562" t="s">
        <v>474</v>
      </c>
      <c r="AJ214" s="383">
        <f t="shared" si="42"/>
        <v>0</v>
      </c>
      <c r="AK214" s="383">
        <f t="shared" si="43"/>
        <v>558901.44999999995</v>
      </c>
      <c r="AL214" s="383">
        <f t="shared" si="44"/>
        <v>216820.74</v>
      </c>
      <c r="AM214" s="383">
        <f t="shared" si="45"/>
        <v>0</v>
      </c>
      <c r="AN214" s="383">
        <f t="shared" si="46"/>
        <v>0</v>
      </c>
      <c r="AO214" s="124">
        <f t="shared" si="51"/>
        <v>775722.19</v>
      </c>
      <c r="AR214" s="124">
        <f t="shared" si="47"/>
        <v>189681.81</v>
      </c>
      <c r="AS214" s="124">
        <f t="shared" si="48"/>
        <v>88845.28</v>
      </c>
      <c r="AV214" s="379">
        <f t="shared" si="52"/>
        <v>278527.08999999997</v>
      </c>
      <c r="AW214" s="124">
        <f t="shared" si="49"/>
        <v>0</v>
      </c>
      <c r="AZ214" s="379">
        <v>0</v>
      </c>
      <c r="BA214" s="379">
        <v>13514.68</v>
      </c>
      <c r="BB214" s="379">
        <v>5493.5499999999993</v>
      </c>
      <c r="BC214" s="379"/>
      <c r="BD214" s="379">
        <v>0</v>
      </c>
      <c r="BE214" s="379">
        <f t="shared" si="53"/>
        <v>19008.23</v>
      </c>
      <c r="BF214" s="379"/>
      <c r="BO214" s="477">
        <v>0</v>
      </c>
      <c r="BP214" s="477">
        <v>1296284.21</v>
      </c>
      <c r="BQ214" s="477">
        <v>507484.07</v>
      </c>
      <c r="BR214" s="477"/>
      <c r="BS214" s="477">
        <v>0</v>
      </c>
      <c r="BT214" s="477">
        <v>1803768.28</v>
      </c>
      <c r="BW214" s="126">
        <v>94</v>
      </c>
      <c r="BX214" s="125">
        <v>29100</v>
      </c>
      <c r="BY214" s="19" t="s">
        <v>21</v>
      </c>
      <c r="BZ214" t="s">
        <v>751</v>
      </c>
    </row>
    <row r="215" spans="1:78" x14ac:dyDescent="0.25">
      <c r="A215" s="443">
        <v>29011</v>
      </c>
      <c r="B215" s="19" t="s">
        <v>21</v>
      </c>
      <c r="C215" t="s">
        <v>108</v>
      </c>
      <c r="D215" s="379"/>
      <c r="E215" s="120"/>
      <c r="F215" s="379">
        <v>78538.990000000005</v>
      </c>
      <c r="G215" s="120">
        <v>1.3119975605691266E-4</v>
      </c>
      <c r="H215" s="379">
        <v>195136.11</v>
      </c>
      <c r="I215" s="120">
        <v>7.5036595988749535E-4</v>
      </c>
      <c r="J215" s="379"/>
      <c r="K215" s="120"/>
      <c r="L215" s="379">
        <v>99336.39</v>
      </c>
      <c r="M215" s="120">
        <v>4.4558296399656864E-4</v>
      </c>
      <c r="N215" s="379">
        <v>326143.05</v>
      </c>
      <c r="O215" s="120">
        <v>4.5955669000068638E-4</v>
      </c>
      <c r="P215" s="383">
        <f t="shared" si="50"/>
        <v>699154.54</v>
      </c>
      <c r="R215" s="379"/>
      <c r="S215" s="120"/>
      <c r="T215" s="380"/>
      <c r="U215" s="551">
        <v>181</v>
      </c>
      <c r="V215" s="550" t="s">
        <v>109</v>
      </c>
      <c r="W215" s="449" t="s">
        <v>21</v>
      </c>
      <c r="X215" s="562" t="s">
        <v>108</v>
      </c>
      <c r="Y215" s="379"/>
      <c r="Z215" s="379">
        <v>325550.28000000003</v>
      </c>
      <c r="AA215" s="379">
        <v>211476.54</v>
      </c>
      <c r="AB215" s="379"/>
      <c r="AC215" s="379">
        <v>0</v>
      </c>
      <c r="AD215" s="379">
        <v>537026.82000000007</v>
      </c>
      <c r="AE215" s="124"/>
      <c r="AF215" s="551">
        <v>181</v>
      </c>
      <c r="AG215" s="550" t="s">
        <v>109</v>
      </c>
      <c r="AH215" s="449" t="s">
        <v>21</v>
      </c>
      <c r="AI215" s="562" t="s">
        <v>108</v>
      </c>
      <c r="AJ215" s="383">
        <f t="shared" si="42"/>
        <v>0</v>
      </c>
      <c r="AK215" s="383">
        <f t="shared" si="43"/>
        <v>326143.05</v>
      </c>
      <c r="AL215" s="383">
        <f t="shared" si="44"/>
        <v>195136.11</v>
      </c>
      <c r="AM215" s="383">
        <f t="shared" si="45"/>
        <v>0</v>
      </c>
      <c r="AN215" s="383">
        <f t="shared" si="46"/>
        <v>0</v>
      </c>
      <c r="AO215" s="124">
        <f t="shared" si="51"/>
        <v>521279.16</v>
      </c>
      <c r="AR215" s="124">
        <f t="shared" si="47"/>
        <v>99336.39</v>
      </c>
      <c r="AS215" s="124">
        <f t="shared" si="48"/>
        <v>78538.990000000005</v>
      </c>
      <c r="AV215" s="379">
        <f t="shared" si="52"/>
        <v>177875.38</v>
      </c>
      <c r="AW215" s="124">
        <f t="shared" si="49"/>
        <v>0</v>
      </c>
      <c r="AZ215" s="379"/>
      <c r="BA215" s="379">
        <v>7931.1100000000006</v>
      </c>
      <c r="BB215" s="379">
        <v>4941.54</v>
      </c>
      <c r="BC215" s="379"/>
      <c r="BD215" s="379">
        <v>0</v>
      </c>
      <c r="BE215" s="379">
        <f t="shared" si="53"/>
        <v>12872.650000000001</v>
      </c>
      <c r="BF215" s="379"/>
      <c r="BO215" s="477"/>
      <c r="BP215" s="477">
        <v>758960.83</v>
      </c>
      <c r="BQ215" s="477">
        <v>490093.18000000005</v>
      </c>
      <c r="BR215" s="477"/>
      <c r="BS215" s="477">
        <v>0</v>
      </c>
      <c r="BT215" s="477">
        <v>1249054.01</v>
      </c>
      <c r="BW215" s="126">
        <v>848</v>
      </c>
      <c r="BX215" s="125">
        <v>29101</v>
      </c>
      <c r="BY215" s="19" t="s">
        <v>21</v>
      </c>
      <c r="BZ215" t="s">
        <v>952</v>
      </c>
    </row>
    <row r="216" spans="1:78" x14ac:dyDescent="0.25">
      <c r="A216" s="443">
        <v>29100</v>
      </c>
      <c r="B216" s="19" t="s">
        <v>21</v>
      </c>
      <c r="C216" t="s">
        <v>60</v>
      </c>
      <c r="D216" s="379"/>
      <c r="E216" s="120"/>
      <c r="F216" s="379">
        <v>354217.8</v>
      </c>
      <c r="G216" s="120">
        <v>5.9172251834428062E-4</v>
      </c>
      <c r="H216" s="379">
        <v>877832.7</v>
      </c>
      <c r="I216" s="120">
        <v>3.3755709107664992E-3</v>
      </c>
      <c r="J216" s="379">
        <v>0</v>
      </c>
      <c r="K216" s="120">
        <v>0</v>
      </c>
      <c r="L216" s="379">
        <v>773584.91</v>
      </c>
      <c r="M216" s="120">
        <v>3.4699897701216927E-3</v>
      </c>
      <c r="N216" s="379">
        <v>2522375.79</v>
      </c>
      <c r="O216" s="120">
        <v>3.5541909263136725E-3</v>
      </c>
      <c r="P216" s="383">
        <f t="shared" si="50"/>
        <v>4528011.2</v>
      </c>
      <c r="R216" s="379"/>
      <c r="S216" s="120"/>
      <c r="T216" s="380"/>
      <c r="U216" s="551">
        <v>94</v>
      </c>
      <c r="V216" s="550" t="s">
        <v>61</v>
      </c>
      <c r="W216" s="449" t="s">
        <v>21</v>
      </c>
      <c r="X216" s="562" t="s">
        <v>60</v>
      </c>
      <c r="Y216" s="379">
        <v>0</v>
      </c>
      <c r="Z216" s="379">
        <v>2557598.42</v>
      </c>
      <c r="AA216" s="379">
        <v>874574.63</v>
      </c>
      <c r="AB216" s="379"/>
      <c r="AC216" s="379">
        <v>0</v>
      </c>
      <c r="AD216" s="379">
        <v>3432173.05</v>
      </c>
      <c r="AE216" s="124"/>
      <c r="AF216" s="551">
        <v>94</v>
      </c>
      <c r="AG216" s="550" t="s">
        <v>61</v>
      </c>
      <c r="AH216" s="449" t="s">
        <v>21</v>
      </c>
      <c r="AI216" s="562" t="s">
        <v>60</v>
      </c>
      <c r="AJ216" s="383">
        <f t="shared" si="42"/>
        <v>0</v>
      </c>
      <c r="AK216" s="383">
        <f t="shared" si="43"/>
        <v>2522375.79</v>
      </c>
      <c r="AL216" s="383">
        <f t="shared" si="44"/>
        <v>877832.7</v>
      </c>
      <c r="AM216" s="383">
        <f t="shared" si="45"/>
        <v>0</v>
      </c>
      <c r="AN216" s="383">
        <f t="shared" si="46"/>
        <v>0</v>
      </c>
      <c r="AO216" s="124">
        <f t="shared" si="51"/>
        <v>3400208.49</v>
      </c>
      <c r="AR216" s="124">
        <f t="shared" si="47"/>
        <v>773584.91</v>
      </c>
      <c r="AS216" s="124">
        <f t="shared" si="48"/>
        <v>354217.8</v>
      </c>
      <c r="AV216" s="379">
        <f t="shared" si="52"/>
        <v>1127802.71</v>
      </c>
      <c r="AW216" s="124">
        <f t="shared" si="49"/>
        <v>0</v>
      </c>
      <c r="AZ216" s="379">
        <v>0</v>
      </c>
      <c r="BA216" s="379">
        <v>61315.519999999997</v>
      </c>
      <c r="BB216" s="379">
        <v>22209.81</v>
      </c>
      <c r="BC216" s="379"/>
      <c r="BD216" s="379">
        <v>0</v>
      </c>
      <c r="BE216" s="379">
        <f t="shared" si="53"/>
        <v>83525.33</v>
      </c>
      <c r="BF216" s="379"/>
      <c r="BO216" s="477">
        <v>0</v>
      </c>
      <c r="BP216" s="477">
        <v>5914874.6399999997</v>
      </c>
      <c r="BQ216" s="477">
        <v>2128834.94</v>
      </c>
      <c r="BR216" s="477"/>
      <c r="BS216" s="477">
        <v>0</v>
      </c>
      <c r="BT216" s="477">
        <v>8043709.5800000001</v>
      </c>
      <c r="BW216" s="126">
        <v>20</v>
      </c>
      <c r="BX216" s="125">
        <v>29103</v>
      </c>
      <c r="BY216" s="19" t="s">
        <v>21</v>
      </c>
      <c r="BZ216" t="s">
        <v>734</v>
      </c>
    </row>
    <row r="217" spans="1:78" x14ac:dyDescent="0.25">
      <c r="A217" s="443">
        <v>29101</v>
      </c>
      <c r="B217" s="19" t="s">
        <v>21</v>
      </c>
      <c r="C217" t="s">
        <v>480</v>
      </c>
      <c r="D217" s="379">
        <v>4344.4799999999996</v>
      </c>
      <c r="E217" s="120">
        <v>7.2574744874378422E-6</v>
      </c>
      <c r="F217" s="379">
        <v>532332.49</v>
      </c>
      <c r="G217" s="120">
        <v>8.892639544915065E-4</v>
      </c>
      <c r="H217" s="379">
        <v>1324438.78</v>
      </c>
      <c r="I217" s="120">
        <v>5.0929260425808601E-3</v>
      </c>
      <c r="J217" s="379">
        <v>14902.86</v>
      </c>
      <c r="K217" s="120">
        <v>6.6848216759496726E-5</v>
      </c>
      <c r="L217" s="379">
        <v>860057.17</v>
      </c>
      <c r="M217" s="120">
        <v>3.8578694375253695E-3</v>
      </c>
      <c r="N217" s="379">
        <v>2933521.93</v>
      </c>
      <c r="O217" s="120">
        <v>4.1335224779287041E-3</v>
      </c>
      <c r="P217" s="383">
        <f t="shared" si="50"/>
        <v>5669597.7100000009</v>
      </c>
      <c r="R217" s="379"/>
      <c r="S217" s="120"/>
      <c r="T217" s="380"/>
      <c r="U217" s="551">
        <v>848</v>
      </c>
      <c r="V217" s="550" t="s">
        <v>481</v>
      </c>
      <c r="W217" s="449" t="s">
        <v>21</v>
      </c>
      <c r="X217" s="562" t="s">
        <v>480</v>
      </c>
      <c r="Y217" s="379">
        <v>8714.41</v>
      </c>
      <c r="Z217" s="379">
        <v>2871232.86</v>
      </c>
      <c r="AA217" s="379">
        <v>1279951.1200000001</v>
      </c>
      <c r="AB217" s="379">
        <v>2723.38</v>
      </c>
      <c r="AC217" s="379">
        <v>0</v>
      </c>
      <c r="AD217" s="379">
        <v>4162621.77</v>
      </c>
      <c r="AE217" s="124"/>
      <c r="AF217" s="551">
        <v>848</v>
      </c>
      <c r="AG217" s="550" t="s">
        <v>481</v>
      </c>
      <c r="AH217" s="449" t="s">
        <v>21</v>
      </c>
      <c r="AI217" s="562" t="s">
        <v>480</v>
      </c>
      <c r="AJ217" s="383">
        <f t="shared" si="42"/>
        <v>14902.86</v>
      </c>
      <c r="AK217" s="383">
        <f t="shared" si="43"/>
        <v>2933521.93</v>
      </c>
      <c r="AL217" s="383">
        <f t="shared" si="44"/>
        <v>1324438.78</v>
      </c>
      <c r="AM217" s="383">
        <f t="shared" si="45"/>
        <v>4344.4799999999996</v>
      </c>
      <c r="AN217" s="383">
        <f t="shared" si="46"/>
        <v>0</v>
      </c>
      <c r="AO217" s="124">
        <f t="shared" si="51"/>
        <v>4277208.0500000007</v>
      </c>
      <c r="AR217" s="124">
        <f t="shared" si="47"/>
        <v>860057.17</v>
      </c>
      <c r="AS217" s="124">
        <f t="shared" si="48"/>
        <v>532332.49</v>
      </c>
      <c r="AV217" s="379">
        <f t="shared" si="52"/>
        <v>1392389.6600000001</v>
      </c>
      <c r="AW217" s="124">
        <f t="shared" si="49"/>
        <v>0</v>
      </c>
      <c r="AZ217" s="379">
        <v>286.01</v>
      </c>
      <c r="BA217" s="379">
        <v>71469.31</v>
      </c>
      <c r="BB217" s="379">
        <v>33557.03</v>
      </c>
      <c r="BC217" s="379">
        <v>88.09</v>
      </c>
      <c r="BD217" s="379">
        <v>0</v>
      </c>
      <c r="BE217" s="379">
        <f t="shared" si="53"/>
        <v>105400.43999999999</v>
      </c>
      <c r="BF217" s="379"/>
      <c r="BO217" s="477">
        <v>23903.279999999999</v>
      </c>
      <c r="BP217" s="477">
        <v>6736281.2700000005</v>
      </c>
      <c r="BQ217" s="477">
        <v>3170279.42</v>
      </c>
      <c r="BR217" s="477">
        <v>7155.95</v>
      </c>
      <c r="BS217" s="477">
        <v>0</v>
      </c>
      <c r="BT217" s="477">
        <v>9937619.9199999999</v>
      </c>
      <c r="BW217" s="126">
        <v>508</v>
      </c>
      <c r="BX217" s="125">
        <v>29311</v>
      </c>
      <c r="BY217" s="19" t="s">
        <v>21</v>
      </c>
      <c r="BZ217" t="s">
        <v>847</v>
      </c>
    </row>
    <row r="218" spans="1:78" x14ac:dyDescent="0.25">
      <c r="A218" s="443">
        <v>29103</v>
      </c>
      <c r="B218" s="19" t="s">
        <v>21</v>
      </c>
      <c r="C218" t="s">
        <v>19</v>
      </c>
      <c r="D218" s="379"/>
      <c r="E218" s="120"/>
      <c r="F218" s="379">
        <v>245972.56</v>
      </c>
      <c r="G218" s="120">
        <v>4.1089833048138649E-4</v>
      </c>
      <c r="H218" s="379">
        <v>604322.38</v>
      </c>
      <c r="I218" s="120">
        <v>2.3238289558513581E-3</v>
      </c>
      <c r="J218" s="379">
        <v>0</v>
      </c>
      <c r="K218" s="120">
        <v>0</v>
      </c>
      <c r="L218" s="379">
        <v>505902.75</v>
      </c>
      <c r="M218" s="120">
        <v>2.2692756082540854E-3</v>
      </c>
      <c r="N218" s="379">
        <v>1731145.95</v>
      </c>
      <c r="O218" s="120">
        <v>2.4392968137450536E-3</v>
      </c>
      <c r="P218" s="383">
        <f t="shared" si="50"/>
        <v>3087343.6399999997</v>
      </c>
      <c r="R218" s="379"/>
      <c r="S218" s="120"/>
      <c r="T218" s="380"/>
      <c r="U218" s="551">
        <v>20</v>
      </c>
      <c r="V218" s="550" t="s">
        <v>20</v>
      </c>
      <c r="W218" s="449" t="s">
        <v>21</v>
      </c>
      <c r="X218" s="562" t="s">
        <v>19</v>
      </c>
      <c r="Y218" s="379">
        <v>0</v>
      </c>
      <c r="Z218" s="379">
        <v>1795901.2599999998</v>
      </c>
      <c r="AA218" s="379">
        <v>553526.08000000007</v>
      </c>
      <c r="AB218" s="379"/>
      <c r="AC218" s="379">
        <v>0</v>
      </c>
      <c r="AD218" s="379">
        <v>2349427.34</v>
      </c>
      <c r="AE218" s="124"/>
      <c r="AF218" s="551">
        <v>20</v>
      </c>
      <c r="AG218" s="550" t="s">
        <v>20</v>
      </c>
      <c r="AH218" s="449" t="s">
        <v>21</v>
      </c>
      <c r="AI218" s="562" t="s">
        <v>19</v>
      </c>
      <c r="AJ218" s="383">
        <f t="shared" si="42"/>
        <v>0</v>
      </c>
      <c r="AK218" s="383">
        <f t="shared" si="43"/>
        <v>1731145.95</v>
      </c>
      <c r="AL218" s="383">
        <f t="shared" si="44"/>
        <v>604322.38</v>
      </c>
      <c r="AM218" s="383">
        <f t="shared" si="45"/>
        <v>0</v>
      </c>
      <c r="AN218" s="383">
        <f t="shared" si="46"/>
        <v>0</v>
      </c>
      <c r="AO218" s="124">
        <f t="shared" si="51"/>
        <v>2335468.33</v>
      </c>
      <c r="AR218" s="124">
        <f t="shared" si="47"/>
        <v>505902.75</v>
      </c>
      <c r="AS218" s="124">
        <f t="shared" si="48"/>
        <v>245972.56</v>
      </c>
      <c r="AV218" s="379">
        <f t="shared" si="52"/>
        <v>751875.31</v>
      </c>
      <c r="AW218" s="124">
        <f t="shared" si="49"/>
        <v>0</v>
      </c>
      <c r="AZ218" s="379">
        <v>0</v>
      </c>
      <c r="BA218" s="379">
        <v>42182.9</v>
      </c>
      <c r="BB218" s="379">
        <v>15203.93</v>
      </c>
      <c r="BC218" s="379"/>
      <c r="BD218" s="379">
        <v>0</v>
      </c>
      <c r="BE218" s="379">
        <f t="shared" si="53"/>
        <v>57386.83</v>
      </c>
      <c r="BF218" s="379"/>
      <c r="BO218" s="477">
        <v>0</v>
      </c>
      <c r="BP218" s="477">
        <v>4075132.86</v>
      </c>
      <c r="BQ218" s="477">
        <v>1419024.9500000002</v>
      </c>
      <c r="BR218" s="477"/>
      <c r="BS218" s="477">
        <v>0</v>
      </c>
      <c r="BT218" s="477">
        <v>5494157.8100000005</v>
      </c>
      <c r="BW218" s="126">
        <v>189</v>
      </c>
      <c r="BX218" s="125">
        <v>29317</v>
      </c>
      <c r="BY218" s="19" t="s">
        <v>21</v>
      </c>
      <c r="BZ218" t="s">
        <v>776</v>
      </c>
    </row>
    <row r="219" spans="1:78" x14ac:dyDescent="0.25">
      <c r="A219" s="443">
        <v>29311</v>
      </c>
      <c r="B219" s="19" t="s">
        <v>21</v>
      </c>
      <c r="C219" t="s">
        <v>254</v>
      </c>
      <c r="D219" s="379">
        <v>974.37</v>
      </c>
      <c r="E219" s="120">
        <v>1.6276897157599554E-6</v>
      </c>
      <c r="F219" s="379">
        <v>74323.820000000007</v>
      </c>
      <c r="G219" s="120">
        <v>1.2415829453902942E-4</v>
      </c>
      <c r="H219" s="379">
        <v>177573.97</v>
      </c>
      <c r="I219" s="120">
        <v>6.8283344610120241E-4</v>
      </c>
      <c r="J219" s="379">
        <v>0</v>
      </c>
      <c r="K219" s="120">
        <v>0</v>
      </c>
      <c r="L219" s="379">
        <v>149639.82999999999</v>
      </c>
      <c r="M219" s="120">
        <v>6.7122389874790746E-4</v>
      </c>
      <c r="N219" s="379">
        <v>420153.88</v>
      </c>
      <c r="O219" s="120">
        <v>5.9202404093463157E-4</v>
      </c>
      <c r="P219" s="383">
        <f t="shared" si="50"/>
        <v>822665.87</v>
      </c>
      <c r="R219" s="379"/>
      <c r="S219" s="120"/>
      <c r="T219" s="380"/>
      <c r="U219" s="551">
        <v>508</v>
      </c>
      <c r="V219" s="550" t="s">
        <v>255</v>
      </c>
      <c r="W219" s="449" t="s">
        <v>21</v>
      </c>
      <c r="X219" s="562" t="s">
        <v>254</v>
      </c>
      <c r="Y219" s="379">
        <v>0</v>
      </c>
      <c r="Z219" s="379">
        <v>403481.20999999996</v>
      </c>
      <c r="AA219" s="379">
        <v>160999</v>
      </c>
      <c r="AB219" s="379">
        <v>587.41</v>
      </c>
      <c r="AC219" s="379">
        <v>0</v>
      </c>
      <c r="AD219" s="379">
        <v>565067.62</v>
      </c>
      <c r="AE219" s="124"/>
      <c r="AF219" s="551">
        <v>508</v>
      </c>
      <c r="AG219" s="550" t="s">
        <v>255</v>
      </c>
      <c r="AH219" s="449" t="s">
        <v>21</v>
      </c>
      <c r="AI219" s="562" t="s">
        <v>254</v>
      </c>
      <c r="AJ219" s="383">
        <f t="shared" si="42"/>
        <v>0</v>
      </c>
      <c r="AK219" s="383">
        <f t="shared" si="43"/>
        <v>420153.88</v>
      </c>
      <c r="AL219" s="383">
        <f t="shared" si="44"/>
        <v>177573.97</v>
      </c>
      <c r="AM219" s="383">
        <f t="shared" si="45"/>
        <v>974.37</v>
      </c>
      <c r="AN219" s="383">
        <f t="shared" si="46"/>
        <v>0</v>
      </c>
      <c r="AO219" s="124">
        <f t="shared" si="51"/>
        <v>598702.22</v>
      </c>
      <c r="AR219" s="124">
        <f t="shared" si="47"/>
        <v>149639.82999999999</v>
      </c>
      <c r="AS219" s="124">
        <f t="shared" si="48"/>
        <v>74323.820000000007</v>
      </c>
      <c r="AV219" s="379">
        <f t="shared" si="52"/>
        <v>223963.65</v>
      </c>
      <c r="AW219" s="124">
        <f t="shared" si="49"/>
        <v>0</v>
      </c>
      <c r="AZ219" s="379">
        <v>0</v>
      </c>
      <c r="BA219" s="379">
        <v>10132.209999999999</v>
      </c>
      <c r="BB219" s="379">
        <v>4431.96</v>
      </c>
      <c r="BC219" s="379">
        <v>17.600000000000001</v>
      </c>
      <c r="BD219" s="379">
        <v>0</v>
      </c>
      <c r="BE219" s="379">
        <f t="shared" si="53"/>
        <v>14581.769999999999</v>
      </c>
      <c r="BF219" s="379"/>
      <c r="BO219" s="477">
        <v>0</v>
      </c>
      <c r="BP219" s="477">
        <v>983407.13</v>
      </c>
      <c r="BQ219" s="477">
        <v>417328.75</v>
      </c>
      <c r="BR219" s="477">
        <v>1579.38</v>
      </c>
      <c r="BS219" s="477">
        <v>0</v>
      </c>
      <c r="BT219" s="477">
        <v>1402315.2599999998</v>
      </c>
      <c r="BW219" s="126">
        <v>618</v>
      </c>
      <c r="BX219" s="125">
        <v>29320</v>
      </c>
      <c r="BY219" s="19" t="s">
        <v>21</v>
      </c>
      <c r="BZ219" t="s">
        <v>881</v>
      </c>
    </row>
    <row r="220" spans="1:78" x14ac:dyDescent="0.25">
      <c r="A220" s="443">
        <v>29317</v>
      </c>
      <c r="B220" s="19" t="s">
        <v>21</v>
      </c>
      <c r="C220" t="s">
        <v>110</v>
      </c>
      <c r="D220" s="379"/>
      <c r="E220" s="120"/>
      <c r="F220" s="379">
        <v>32613.15</v>
      </c>
      <c r="G220" s="120">
        <v>5.4480422071222211E-5</v>
      </c>
      <c r="H220" s="379">
        <v>80570.929999999993</v>
      </c>
      <c r="I220" s="120">
        <v>3.0982314461674054E-4</v>
      </c>
      <c r="J220" s="379"/>
      <c r="K220" s="120"/>
      <c r="L220" s="379">
        <v>77956.13</v>
      </c>
      <c r="M220" s="120">
        <v>3.4967974442298363E-4</v>
      </c>
      <c r="N220" s="379">
        <v>264652.83</v>
      </c>
      <c r="O220" s="120">
        <v>3.7291298574081025E-4</v>
      </c>
      <c r="P220" s="383">
        <f t="shared" si="50"/>
        <v>455793.04000000004</v>
      </c>
      <c r="R220" s="379"/>
      <c r="S220" s="120"/>
      <c r="T220" s="380"/>
      <c r="U220" s="551">
        <v>189</v>
      </c>
      <c r="V220" s="550" t="s">
        <v>111</v>
      </c>
      <c r="W220" s="449" t="s">
        <v>21</v>
      </c>
      <c r="X220" s="562" t="s">
        <v>110</v>
      </c>
      <c r="Y220" s="379"/>
      <c r="Z220" s="379">
        <v>254751.74000000002</v>
      </c>
      <c r="AA220" s="379">
        <v>84587.89</v>
      </c>
      <c r="AB220" s="379"/>
      <c r="AC220" s="379">
        <v>0</v>
      </c>
      <c r="AD220" s="379">
        <v>339339.63</v>
      </c>
      <c r="AE220" s="124"/>
      <c r="AF220" s="551">
        <v>189</v>
      </c>
      <c r="AG220" s="550" t="s">
        <v>111</v>
      </c>
      <c r="AH220" s="449" t="s">
        <v>21</v>
      </c>
      <c r="AI220" s="562" t="s">
        <v>110</v>
      </c>
      <c r="AJ220" s="383">
        <f t="shared" si="42"/>
        <v>0</v>
      </c>
      <c r="AK220" s="383">
        <f t="shared" si="43"/>
        <v>264652.83</v>
      </c>
      <c r="AL220" s="383">
        <f t="shared" si="44"/>
        <v>80570.929999999993</v>
      </c>
      <c r="AM220" s="383">
        <f t="shared" si="45"/>
        <v>0</v>
      </c>
      <c r="AN220" s="383">
        <f t="shared" si="46"/>
        <v>0</v>
      </c>
      <c r="AO220" s="124">
        <f t="shared" si="51"/>
        <v>345223.76</v>
      </c>
      <c r="AR220" s="124">
        <f t="shared" si="47"/>
        <v>77956.13</v>
      </c>
      <c r="AS220" s="124">
        <f t="shared" si="48"/>
        <v>32613.15</v>
      </c>
      <c r="AV220" s="379">
        <f t="shared" si="52"/>
        <v>110569.28</v>
      </c>
      <c r="AW220" s="124">
        <f t="shared" si="49"/>
        <v>0</v>
      </c>
      <c r="AZ220" s="379"/>
      <c r="BA220" s="379">
        <v>6446.25</v>
      </c>
      <c r="BB220" s="379">
        <v>2036.0700000000002</v>
      </c>
      <c r="BC220" s="379"/>
      <c r="BD220" s="379">
        <v>0</v>
      </c>
      <c r="BE220" s="379">
        <f t="shared" si="53"/>
        <v>8482.32</v>
      </c>
      <c r="BF220" s="379"/>
      <c r="BO220" s="477"/>
      <c r="BP220" s="477">
        <v>603806.95000000007</v>
      </c>
      <c r="BQ220" s="477">
        <v>199808.04</v>
      </c>
      <c r="BR220" s="477"/>
      <c r="BS220" s="477">
        <v>0</v>
      </c>
      <c r="BT220" s="477">
        <v>803614.99000000011</v>
      </c>
      <c r="BW220" s="126">
        <v>267</v>
      </c>
      <c r="BX220" s="125">
        <v>29801</v>
      </c>
      <c r="BY220" s="19" t="s">
        <v>21</v>
      </c>
      <c r="BZ220" t="s">
        <v>1124</v>
      </c>
    </row>
    <row r="221" spans="1:78" x14ac:dyDescent="0.25">
      <c r="A221" s="443">
        <v>29320</v>
      </c>
      <c r="B221" s="19" t="s">
        <v>21</v>
      </c>
      <c r="C221" t="s">
        <v>324</v>
      </c>
      <c r="D221" s="379">
        <v>17006.91</v>
      </c>
      <c r="E221" s="120">
        <v>2.8410123981501014E-5</v>
      </c>
      <c r="F221" s="379">
        <v>714217.21</v>
      </c>
      <c r="G221" s="120">
        <v>1.1931032436710576E-3</v>
      </c>
      <c r="H221" s="379">
        <v>1730089.84</v>
      </c>
      <c r="I221" s="120">
        <v>6.6527949311032354E-3</v>
      </c>
      <c r="J221" s="379">
        <v>0</v>
      </c>
      <c r="K221" s="120">
        <v>0</v>
      </c>
      <c r="L221" s="379">
        <v>1645702.37</v>
      </c>
      <c r="M221" s="120">
        <v>7.3819568023438115E-3</v>
      </c>
      <c r="N221" s="379">
        <v>4636051.07</v>
      </c>
      <c r="O221" s="120">
        <v>6.5324963521477481E-3</v>
      </c>
      <c r="P221" s="383">
        <f t="shared" si="50"/>
        <v>8743067.4000000004</v>
      </c>
      <c r="R221" s="379"/>
      <c r="S221" s="120"/>
      <c r="T221" s="380"/>
      <c r="U221" s="551">
        <v>618</v>
      </c>
      <c r="V221" s="550" t="s">
        <v>325</v>
      </c>
      <c r="W221" s="449" t="s">
        <v>21</v>
      </c>
      <c r="X221" s="562" t="s">
        <v>324</v>
      </c>
      <c r="Y221" s="379">
        <v>0</v>
      </c>
      <c r="Z221" s="379">
        <v>4767482.28</v>
      </c>
      <c r="AA221" s="379">
        <v>1655502.01</v>
      </c>
      <c r="AB221" s="379">
        <v>10713.87</v>
      </c>
      <c r="AC221" s="379">
        <v>0</v>
      </c>
      <c r="AD221" s="379">
        <v>6433698.1600000001</v>
      </c>
      <c r="AE221" s="124"/>
      <c r="AF221" s="551">
        <v>618</v>
      </c>
      <c r="AG221" s="550" t="s">
        <v>325</v>
      </c>
      <c r="AH221" s="449" t="s">
        <v>21</v>
      </c>
      <c r="AI221" s="562" t="s">
        <v>324</v>
      </c>
      <c r="AJ221" s="383">
        <f t="shared" si="42"/>
        <v>0</v>
      </c>
      <c r="AK221" s="383">
        <f t="shared" si="43"/>
        <v>4636051.07</v>
      </c>
      <c r="AL221" s="383">
        <f t="shared" si="44"/>
        <v>1730089.84</v>
      </c>
      <c r="AM221" s="383">
        <f t="shared" si="45"/>
        <v>17006.91</v>
      </c>
      <c r="AN221" s="383">
        <f t="shared" si="46"/>
        <v>0</v>
      </c>
      <c r="AO221" s="124">
        <f t="shared" si="51"/>
        <v>6383147.8200000003</v>
      </c>
      <c r="AR221" s="124">
        <f t="shared" si="47"/>
        <v>1645702.37</v>
      </c>
      <c r="AS221" s="124">
        <f t="shared" si="48"/>
        <v>714217.21</v>
      </c>
      <c r="AV221" s="379">
        <f t="shared" si="52"/>
        <v>2359919.58</v>
      </c>
      <c r="AW221" s="124">
        <f t="shared" si="49"/>
        <v>0</v>
      </c>
      <c r="AZ221" s="379">
        <v>0</v>
      </c>
      <c r="BA221" s="379">
        <v>111823.22</v>
      </c>
      <c r="BB221" s="379">
        <v>43406.5</v>
      </c>
      <c r="BC221" s="379">
        <v>346.55</v>
      </c>
      <c r="BD221" s="379">
        <v>0</v>
      </c>
      <c r="BE221" s="379">
        <f t="shared" si="53"/>
        <v>155576.26999999999</v>
      </c>
      <c r="BF221" s="379"/>
      <c r="BO221" s="477">
        <v>0</v>
      </c>
      <c r="BP221" s="477">
        <v>11161058.939999999</v>
      </c>
      <c r="BQ221" s="477">
        <v>4143215.56</v>
      </c>
      <c r="BR221" s="477">
        <v>28067.33</v>
      </c>
      <c r="BS221" s="477">
        <v>0</v>
      </c>
      <c r="BT221" s="477">
        <v>15332341.83</v>
      </c>
      <c r="BW221" s="126">
        <v>877</v>
      </c>
      <c r="BX221" s="125">
        <v>30002</v>
      </c>
      <c r="BY221" s="19" t="s">
        <v>34</v>
      </c>
      <c r="BZ221" t="s">
        <v>959</v>
      </c>
    </row>
    <row r="222" spans="1:78" x14ac:dyDescent="0.25">
      <c r="A222" s="443">
        <v>29801</v>
      </c>
      <c r="B222" s="19" t="s">
        <v>21</v>
      </c>
      <c r="C222" t="s">
        <v>362</v>
      </c>
      <c r="D222" s="379"/>
      <c r="E222" s="120"/>
      <c r="F222" s="379">
        <v>471438.65</v>
      </c>
      <c r="G222" s="120">
        <v>7.8754050536937415E-4</v>
      </c>
      <c r="H222" s="379">
        <v>1181691.3899999999</v>
      </c>
      <c r="I222" s="120">
        <v>4.5440128643957217E-3</v>
      </c>
      <c r="J222" s="379"/>
      <c r="K222" s="120"/>
      <c r="L222" s="379">
        <v>80909.78</v>
      </c>
      <c r="M222" s="120">
        <v>3.6292862654572296E-4</v>
      </c>
      <c r="N222" s="379">
        <v>290489.62</v>
      </c>
      <c r="O222" s="120">
        <v>4.0931869695447193E-4</v>
      </c>
      <c r="P222" s="383">
        <f t="shared" si="50"/>
        <v>2024529.44</v>
      </c>
      <c r="R222" s="379"/>
      <c r="S222" s="120"/>
      <c r="T222" s="380"/>
      <c r="U222" s="551">
        <v>267</v>
      </c>
      <c r="V222" s="550" t="s">
        <v>363</v>
      </c>
      <c r="W222" s="449" t="s">
        <v>21</v>
      </c>
      <c r="X222" s="562" t="s">
        <v>362</v>
      </c>
      <c r="Y222" s="379"/>
      <c r="Z222" s="379">
        <v>308474.64</v>
      </c>
      <c r="AA222" s="379">
        <v>1113818.55</v>
      </c>
      <c r="AB222" s="379"/>
      <c r="AC222" s="379">
        <v>0</v>
      </c>
      <c r="AD222" s="379">
        <v>1422293.19</v>
      </c>
      <c r="AE222" s="124"/>
      <c r="AF222" s="551">
        <v>267</v>
      </c>
      <c r="AG222" s="550" t="s">
        <v>363</v>
      </c>
      <c r="AH222" s="449" t="s">
        <v>21</v>
      </c>
      <c r="AI222" s="562" t="s">
        <v>362</v>
      </c>
      <c r="AJ222" s="383">
        <f t="shared" si="42"/>
        <v>0</v>
      </c>
      <c r="AK222" s="383">
        <f t="shared" si="43"/>
        <v>290489.62</v>
      </c>
      <c r="AL222" s="383">
        <f t="shared" si="44"/>
        <v>1181691.3899999999</v>
      </c>
      <c r="AM222" s="383">
        <f t="shared" si="45"/>
        <v>0</v>
      </c>
      <c r="AN222" s="383">
        <f t="shared" si="46"/>
        <v>0</v>
      </c>
      <c r="AO222" s="124">
        <f t="shared" si="51"/>
        <v>1472181.0099999998</v>
      </c>
      <c r="AR222" s="124">
        <f t="shared" si="47"/>
        <v>80909.78</v>
      </c>
      <c r="AS222" s="124">
        <f t="shared" si="48"/>
        <v>471438.65</v>
      </c>
      <c r="AV222" s="379">
        <f t="shared" si="52"/>
        <v>552348.43000000005</v>
      </c>
      <c r="AW222" s="124">
        <f t="shared" si="49"/>
        <v>0</v>
      </c>
      <c r="AZ222" s="379"/>
      <c r="BA222" s="379">
        <v>7093.93</v>
      </c>
      <c r="BB222" s="379">
        <v>30020.18</v>
      </c>
      <c r="BC222" s="379"/>
      <c r="BD222" s="379">
        <v>0</v>
      </c>
      <c r="BE222" s="379">
        <f t="shared" si="53"/>
        <v>37114.11</v>
      </c>
      <c r="BF222" s="379"/>
      <c r="BO222" s="477"/>
      <c r="BP222" s="477">
        <v>686967.97</v>
      </c>
      <c r="BQ222" s="477">
        <v>2796968.77</v>
      </c>
      <c r="BR222" s="477"/>
      <c r="BS222" s="477">
        <v>0</v>
      </c>
      <c r="BT222" s="477">
        <v>3483936.74</v>
      </c>
      <c r="BW222" s="126">
        <v>616</v>
      </c>
      <c r="BX222" s="125">
        <v>30029</v>
      </c>
      <c r="BY222" s="19" t="s">
        <v>34</v>
      </c>
      <c r="BZ222" t="s">
        <v>880</v>
      </c>
    </row>
    <row r="223" spans="1:78" x14ac:dyDescent="0.25">
      <c r="A223" s="443">
        <v>30002</v>
      </c>
      <c r="B223" s="19" t="s">
        <v>34</v>
      </c>
      <c r="C223" t="s">
        <v>494</v>
      </c>
      <c r="D223" s="379"/>
      <c r="E223" s="120"/>
      <c r="F223" s="379">
        <v>7964.59</v>
      </c>
      <c r="G223" s="120">
        <v>1.33048854472578E-5</v>
      </c>
      <c r="H223" s="379">
        <v>19751.490000000002</v>
      </c>
      <c r="I223" s="120">
        <v>7.5951323171596829E-5</v>
      </c>
      <c r="J223" s="379"/>
      <c r="K223" s="120"/>
      <c r="L223" s="379">
        <v>11761.25</v>
      </c>
      <c r="M223" s="120">
        <v>5.27562219173119E-5</v>
      </c>
      <c r="N223" s="379">
        <v>41222.1</v>
      </c>
      <c r="O223" s="120">
        <v>5.8084609900095347E-5</v>
      </c>
      <c r="P223" s="383">
        <f t="shared" si="50"/>
        <v>80699.429999999993</v>
      </c>
      <c r="R223" s="379"/>
      <c r="S223" s="120"/>
      <c r="T223" s="380"/>
      <c r="U223" s="551">
        <v>877</v>
      </c>
      <c r="V223" s="550" t="s">
        <v>495</v>
      </c>
      <c r="W223" s="449" t="s">
        <v>34</v>
      </c>
      <c r="X223" s="562" t="s">
        <v>494</v>
      </c>
      <c r="Y223" s="379"/>
      <c r="Z223" s="379">
        <v>45820.25</v>
      </c>
      <c r="AA223" s="379">
        <v>15236.07</v>
      </c>
      <c r="AB223" s="379"/>
      <c r="AC223" s="379">
        <v>0</v>
      </c>
      <c r="AD223" s="379">
        <v>61056.32</v>
      </c>
      <c r="AE223" s="124"/>
      <c r="AF223" s="551">
        <v>877</v>
      </c>
      <c r="AG223" s="550" t="s">
        <v>495</v>
      </c>
      <c r="AH223" s="449" t="s">
        <v>34</v>
      </c>
      <c r="AI223" s="562" t="s">
        <v>494</v>
      </c>
      <c r="AJ223" s="383">
        <f t="shared" si="42"/>
        <v>0</v>
      </c>
      <c r="AK223" s="383">
        <f t="shared" si="43"/>
        <v>41222.1</v>
      </c>
      <c r="AL223" s="383">
        <f t="shared" si="44"/>
        <v>19751.490000000002</v>
      </c>
      <c r="AM223" s="383">
        <f t="shared" si="45"/>
        <v>0</v>
      </c>
      <c r="AN223" s="383">
        <f t="shared" si="46"/>
        <v>0</v>
      </c>
      <c r="AO223" s="124">
        <f t="shared" si="51"/>
        <v>60973.59</v>
      </c>
      <c r="AR223" s="124">
        <f t="shared" si="47"/>
        <v>11761.25</v>
      </c>
      <c r="AS223" s="124">
        <f t="shared" si="48"/>
        <v>7964.59</v>
      </c>
      <c r="AV223" s="379">
        <f t="shared" si="52"/>
        <v>19725.84</v>
      </c>
      <c r="AW223" s="124">
        <f t="shared" si="49"/>
        <v>0</v>
      </c>
      <c r="AZ223" s="379"/>
      <c r="BA223" s="379">
        <v>1005.47</v>
      </c>
      <c r="BB223" s="379">
        <v>499.73</v>
      </c>
      <c r="BC223" s="379"/>
      <c r="BD223" s="379">
        <v>0</v>
      </c>
      <c r="BE223" s="379">
        <f t="shared" si="53"/>
        <v>1505.2</v>
      </c>
      <c r="BF223" s="379"/>
      <c r="BO223" s="477"/>
      <c r="BP223" s="477">
        <v>99809.07</v>
      </c>
      <c r="BQ223" s="477">
        <v>43451.880000000005</v>
      </c>
      <c r="BR223" s="477"/>
      <c r="BS223" s="477">
        <v>0</v>
      </c>
      <c r="BT223" s="477">
        <v>143260.95000000001</v>
      </c>
      <c r="BW223" s="126">
        <v>595</v>
      </c>
      <c r="BX223" s="125">
        <v>30031</v>
      </c>
      <c r="BY223" s="19" t="s">
        <v>34</v>
      </c>
      <c r="BZ223" t="s">
        <v>872</v>
      </c>
    </row>
    <row r="224" spans="1:78" x14ac:dyDescent="0.25">
      <c r="A224" s="443">
        <v>30029</v>
      </c>
      <c r="B224" s="19" t="s">
        <v>34</v>
      </c>
      <c r="C224" t="s">
        <v>322</v>
      </c>
      <c r="D224" s="379"/>
      <c r="E224" s="120"/>
      <c r="F224" s="379">
        <v>3426.44</v>
      </c>
      <c r="G224" s="120">
        <v>5.7238843043900589E-6</v>
      </c>
      <c r="H224" s="379">
        <v>8598.19</v>
      </c>
      <c r="I224" s="120">
        <v>3.3063019923094009E-5</v>
      </c>
      <c r="J224" s="379"/>
      <c r="K224" s="120"/>
      <c r="L224" s="379">
        <v>12005.06</v>
      </c>
      <c r="M224" s="120">
        <v>5.3849855201670262E-5</v>
      </c>
      <c r="N224" s="379">
        <v>40323.81</v>
      </c>
      <c r="O224" s="120">
        <v>5.6818861085086979E-5</v>
      </c>
      <c r="P224" s="383">
        <f t="shared" si="50"/>
        <v>64353.5</v>
      </c>
      <c r="R224" s="379"/>
      <c r="S224" s="120"/>
      <c r="T224" s="380"/>
      <c r="U224" s="551">
        <v>616</v>
      </c>
      <c r="V224" s="550" t="s">
        <v>323</v>
      </c>
      <c r="W224" s="449" t="s">
        <v>34</v>
      </c>
      <c r="X224" s="562" t="s">
        <v>322</v>
      </c>
      <c r="Y224" s="379"/>
      <c r="Z224" s="379">
        <v>33586.15</v>
      </c>
      <c r="AA224" s="379">
        <v>11651.800000000001</v>
      </c>
      <c r="AB224" s="379"/>
      <c r="AC224" s="379">
        <v>0</v>
      </c>
      <c r="AD224" s="379">
        <v>45237.950000000004</v>
      </c>
      <c r="AE224" s="124"/>
      <c r="AF224" s="551">
        <v>616</v>
      </c>
      <c r="AG224" s="550" t="s">
        <v>323</v>
      </c>
      <c r="AH224" s="449" t="s">
        <v>34</v>
      </c>
      <c r="AI224" s="562" t="s">
        <v>322</v>
      </c>
      <c r="AJ224" s="383">
        <f t="shared" si="42"/>
        <v>0</v>
      </c>
      <c r="AK224" s="383">
        <f t="shared" si="43"/>
        <v>40323.81</v>
      </c>
      <c r="AL224" s="383">
        <f t="shared" si="44"/>
        <v>8598.19</v>
      </c>
      <c r="AM224" s="383">
        <f t="shared" si="45"/>
        <v>0</v>
      </c>
      <c r="AN224" s="383">
        <f t="shared" si="46"/>
        <v>0</v>
      </c>
      <c r="AO224" s="124">
        <f t="shared" si="51"/>
        <v>48922</v>
      </c>
      <c r="AR224" s="124">
        <f t="shared" si="47"/>
        <v>12005.06</v>
      </c>
      <c r="AS224" s="124">
        <f t="shared" si="48"/>
        <v>3426.44</v>
      </c>
      <c r="AV224" s="379">
        <f t="shared" si="52"/>
        <v>15431.5</v>
      </c>
      <c r="AW224" s="124">
        <f t="shared" si="49"/>
        <v>0</v>
      </c>
      <c r="AZ224" s="379"/>
      <c r="BA224" s="379">
        <v>981.58999999999992</v>
      </c>
      <c r="BB224" s="379">
        <v>218.41</v>
      </c>
      <c r="BC224" s="379"/>
      <c r="BD224" s="379">
        <v>0</v>
      </c>
      <c r="BE224" s="379">
        <f t="shared" si="53"/>
        <v>1200</v>
      </c>
      <c r="BF224" s="379"/>
      <c r="BO224" s="477"/>
      <c r="BP224" s="477">
        <v>86896.61</v>
      </c>
      <c r="BQ224" s="477">
        <v>23894.84</v>
      </c>
      <c r="BR224" s="477"/>
      <c r="BS224" s="477">
        <v>0</v>
      </c>
      <c r="BT224" s="477">
        <v>110791.45</v>
      </c>
      <c r="BW224" s="126">
        <v>949</v>
      </c>
      <c r="BX224" s="125">
        <v>30303</v>
      </c>
      <c r="BY224" s="19" t="s">
        <v>34</v>
      </c>
      <c r="BZ224" t="s">
        <v>975</v>
      </c>
    </row>
    <row r="225" spans="1:78" x14ac:dyDescent="0.25">
      <c r="A225" s="443">
        <v>30031</v>
      </c>
      <c r="B225" s="19" t="s">
        <v>34</v>
      </c>
      <c r="C225" t="s">
        <v>306</v>
      </c>
      <c r="D225" s="379"/>
      <c r="E225" s="120"/>
      <c r="F225" s="379">
        <v>13195.48</v>
      </c>
      <c r="G225" s="120">
        <v>2.204311205241969E-5</v>
      </c>
      <c r="H225" s="379">
        <v>31550.3</v>
      </c>
      <c r="I225" s="120">
        <v>1.2132183604684159E-4</v>
      </c>
      <c r="J225" s="379"/>
      <c r="K225" s="120"/>
      <c r="L225" s="379">
        <v>29264.42</v>
      </c>
      <c r="M225" s="120">
        <v>1.3126838012978388E-4</v>
      </c>
      <c r="N225" s="379">
        <v>85084.35</v>
      </c>
      <c r="O225" s="120">
        <v>1.1988936221961468E-4</v>
      </c>
      <c r="P225" s="383">
        <f t="shared" si="50"/>
        <v>159094.54999999999</v>
      </c>
      <c r="R225" s="379"/>
      <c r="S225" s="120"/>
      <c r="T225" s="380"/>
      <c r="U225" s="551">
        <v>595</v>
      </c>
      <c r="V225" s="550" t="s">
        <v>307</v>
      </c>
      <c r="W225" s="449" t="s">
        <v>34</v>
      </c>
      <c r="X225" s="562" t="s">
        <v>306</v>
      </c>
      <c r="Y225" s="379"/>
      <c r="Z225" s="379">
        <v>72047.37</v>
      </c>
      <c r="AA225" s="379">
        <v>29788.78</v>
      </c>
      <c r="AB225" s="379"/>
      <c r="AC225" s="379">
        <v>0</v>
      </c>
      <c r="AD225" s="379">
        <v>101836.15</v>
      </c>
      <c r="AE225" s="124"/>
      <c r="AF225" s="551">
        <v>595</v>
      </c>
      <c r="AG225" s="550" t="s">
        <v>307</v>
      </c>
      <c r="AH225" s="449" t="s">
        <v>34</v>
      </c>
      <c r="AI225" s="562" t="s">
        <v>306</v>
      </c>
      <c r="AJ225" s="383">
        <f t="shared" si="42"/>
        <v>0</v>
      </c>
      <c r="AK225" s="383">
        <f t="shared" si="43"/>
        <v>85084.35</v>
      </c>
      <c r="AL225" s="383">
        <f t="shared" si="44"/>
        <v>31550.3</v>
      </c>
      <c r="AM225" s="383">
        <f t="shared" si="45"/>
        <v>0</v>
      </c>
      <c r="AN225" s="383">
        <f t="shared" si="46"/>
        <v>0</v>
      </c>
      <c r="AO225" s="124">
        <f t="shared" si="51"/>
        <v>116634.65000000001</v>
      </c>
      <c r="AR225" s="124">
        <f t="shared" si="47"/>
        <v>29264.42</v>
      </c>
      <c r="AS225" s="124">
        <f t="shared" si="48"/>
        <v>13195.48</v>
      </c>
      <c r="AV225" s="379">
        <f t="shared" si="52"/>
        <v>42459.899999999994</v>
      </c>
      <c r="AW225" s="124">
        <f t="shared" si="49"/>
        <v>0</v>
      </c>
      <c r="AZ225" s="379"/>
      <c r="BA225" s="379">
        <v>2055.8200000000002</v>
      </c>
      <c r="BB225" s="379">
        <v>791.44</v>
      </c>
      <c r="BC225" s="379"/>
      <c r="BD225" s="379">
        <v>0</v>
      </c>
      <c r="BE225" s="379">
        <f t="shared" si="53"/>
        <v>2847.26</v>
      </c>
      <c r="BF225" s="379"/>
      <c r="BO225" s="477"/>
      <c r="BP225" s="477">
        <v>188451.96</v>
      </c>
      <c r="BQ225" s="477">
        <v>75326</v>
      </c>
      <c r="BR225" s="477"/>
      <c r="BS225" s="477">
        <v>0</v>
      </c>
      <c r="BT225" s="477">
        <v>263777.95999999996</v>
      </c>
      <c r="BW225" s="126">
        <v>290</v>
      </c>
      <c r="BX225" s="125">
        <v>31002</v>
      </c>
      <c r="BY225" s="19" t="s">
        <v>21</v>
      </c>
      <c r="BZ225" t="s">
        <v>808</v>
      </c>
    </row>
    <row r="226" spans="1:78" x14ac:dyDescent="0.25">
      <c r="A226" s="443">
        <v>30303</v>
      </c>
      <c r="B226" s="19" t="s">
        <v>34</v>
      </c>
      <c r="C226" t="s">
        <v>528</v>
      </c>
      <c r="D226" s="379"/>
      <c r="E226" s="120"/>
      <c r="F226" s="379">
        <v>75198.039999999994</v>
      </c>
      <c r="G226" s="120">
        <v>1.2561868320381964E-4</v>
      </c>
      <c r="H226" s="379">
        <v>187873.6</v>
      </c>
      <c r="I226" s="120">
        <v>7.2243909239309606E-4</v>
      </c>
      <c r="J226" s="379"/>
      <c r="K226" s="120"/>
      <c r="L226" s="379">
        <v>122733.92</v>
      </c>
      <c r="M226" s="120">
        <v>5.505348428357195E-4</v>
      </c>
      <c r="N226" s="379">
        <v>440220.09</v>
      </c>
      <c r="O226" s="120">
        <v>6.2029863102158473E-4</v>
      </c>
      <c r="P226" s="383">
        <f t="shared" si="50"/>
        <v>826025.65</v>
      </c>
      <c r="R226" s="379"/>
      <c r="S226" s="120"/>
      <c r="T226" s="380"/>
      <c r="U226" s="551">
        <v>949</v>
      </c>
      <c r="V226" s="550" t="s">
        <v>529</v>
      </c>
      <c r="W226" s="449" t="s">
        <v>34</v>
      </c>
      <c r="X226" s="562" t="s">
        <v>528</v>
      </c>
      <c r="Y226" s="379"/>
      <c r="Z226" s="379">
        <v>455742.69</v>
      </c>
      <c r="AA226" s="379">
        <v>178162.72</v>
      </c>
      <c r="AB226" s="379"/>
      <c r="AC226" s="379">
        <v>0</v>
      </c>
      <c r="AD226" s="379">
        <v>633905.41</v>
      </c>
      <c r="AE226" s="124"/>
      <c r="AF226" s="551">
        <v>949</v>
      </c>
      <c r="AG226" s="550" t="s">
        <v>529</v>
      </c>
      <c r="AH226" s="449" t="s">
        <v>34</v>
      </c>
      <c r="AI226" s="562" t="s">
        <v>528</v>
      </c>
      <c r="AJ226" s="383">
        <f t="shared" si="42"/>
        <v>0</v>
      </c>
      <c r="AK226" s="383">
        <f t="shared" si="43"/>
        <v>440220.09</v>
      </c>
      <c r="AL226" s="383">
        <f t="shared" si="44"/>
        <v>187873.6</v>
      </c>
      <c r="AM226" s="383">
        <f t="shared" si="45"/>
        <v>0</v>
      </c>
      <c r="AN226" s="383">
        <f t="shared" si="46"/>
        <v>0</v>
      </c>
      <c r="AO226" s="124">
        <f t="shared" si="51"/>
        <v>628093.69000000006</v>
      </c>
      <c r="AR226" s="124">
        <f t="shared" si="47"/>
        <v>122733.92</v>
      </c>
      <c r="AS226" s="124">
        <f t="shared" si="48"/>
        <v>75198.039999999994</v>
      </c>
      <c r="AV226" s="379">
        <f t="shared" si="52"/>
        <v>197931.96</v>
      </c>
      <c r="AW226" s="124">
        <f t="shared" si="49"/>
        <v>0</v>
      </c>
      <c r="AZ226" s="379"/>
      <c r="BA226" s="379">
        <v>10750.060000000001</v>
      </c>
      <c r="BB226" s="379">
        <v>4767.0600000000004</v>
      </c>
      <c r="BC226" s="379"/>
      <c r="BD226" s="379">
        <v>0</v>
      </c>
      <c r="BE226" s="379">
        <f t="shared" si="53"/>
        <v>15517.120000000003</v>
      </c>
      <c r="BF226" s="379"/>
      <c r="BO226" s="477"/>
      <c r="BP226" s="477">
        <v>1029446.76</v>
      </c>
      <c r="BQ226" s="477">
        <v>446001.42</v>
      </c>
      <c r="BR226" s="477"/>
      <c r="BS226" s="477">
        <v>0</v>
      </c>
      <c r="BT226" s="477">
        <v>1475448.18</v>
      </c>
      <c r="BW226" s="126">
        <v>517</v>
      </c>
      <c r="BX226" s="125">
        <v>31004</v>
      </c>
      <c r="BY226" s="19" t="s">
        <v>21</v>
      </c>
      <c r="BZ226" t="s">
        <v>849</v>
      </c>
    </row>
    <row r="227" spans="1:78" x14ac:dyDescent="0.25">
      <c r="A227" s="443">
        <v>31002</v>
      </c>
      <c r="B227" s="19" t="s">
        <v>21</v>
      </c>
      <c r="C227" t="s">
        <v>174</v>
      </c>
      <c r="D227" s="379">
        <v>6779.95</v>
      </c>
      <c r="E227" s="120">
        <v>1.1325938697175312E-5</v>
      </c>
      <c r="F227" s="379">
        <v>1769333.52</v>
      </c>
      <c r="G227" s="120">
        <v>2.9556800540383645E-3</v>
      </c>
      <c r="H227" s="379">
        <v>4398811.6500000004</v>
      </c>
      <c r="I227" s="120">
        <v>1.6914955033778975E-2</v>
      </c>
      <c r="J227" s="379">
        <v>21457.39</v>
      </c>
      <c r="K227" s="120">
        <v>9.6249193632165728E-5</v>
      </c>
      <c r="L227" s="379">
        <v>4200642.68</v>
      </c>
      <c r="M227" s="120">
        <v>1.8842388132333875E-2</v>
      </c>
      <c r="N227" s="379">
        <v>14454257.390000001</v>
      </c>
      <c r="O227" s="120">
        <v>2.0366985231070722E-2</v>
      </c>
      <c r="P227" s="383">
        <f t="shared" si="50"/>
        <v>24851282.579999998</v>
      </c>
      <c r="R227" s="379"/>
      <c r="S227" s="120"/>
      <c r="T227" s="380"/>
      <c r="U227" s="551">
        <v>290</v>
      </c>
      <c r="V227" s="550" t="s">
        <v>175</v>
      </c>
      <c r="W227" s="449" t="s">
        <v>21</v>
      </c>
      <c r="X227" s="562" t="s">
        <v>174</v>
      </c>
      <c r="Y227" s="379">
        <v>12117.12</v>
      </c>
      <c r="Z227" s="379">
        <v>14466366.17</v>
      </c>
      <c r="AA227" s="379">
        <v>4197815.3499999996</v>
      </c>
      <c r="AB227" s="379">
        <v>4309.58</v>
      </c>
      <c r="AC227" s="379">
        <v>0</v>
      </c>
      <c r="AD227" s="379">
        <v>18680608.219999999</v>
      </c>
      <c r="AE227" s="124"/>
      <c r="AF227" s="551">
        <v>290</v>
      </c>
      <c r="AG227" s="550" t="s">
        <v>175</v>
      </c>
      <c r="AH227" s="449" t="s">
        <v>21</v>
      </c>
      <c r="AI227" s="562" t="s">
        <v>174</v>
      </c>
      <c r="AJ227" s="383">
        <f t="shared" si="42"/>
        <v>21457.39</v>
      </c>
      <c r="AK227" s="383">
        <f t="shared" si="43"/>
        <v>14454257.390000001</v>
      </c>
      <c r="AL227" s="383">
        <f t="shared" si="44"/>
        <v>4398811.6500000004</v>
      </c>
      <c r="AM227" s="383">
        <f t="shared" si="45"/>
        <v>6779.95</v>
      </c>
      <c r="AN227" s="383">
        <f t="shared" si="46"/>
        <v>0</v>
      </c>
      <c r="AO227" s="124">
        <f t="shared" si="51"/>
        <v>18881306.379999999</v>
      </c>
      <c r="AR227" s="124">
        <f t="shared" si="47"/>
        <v>4200642.68</v>
      </c>
      <c r="AS227" s="124">
        <f t="shared" si="48"/>
        <v>1769333.52</v>
      </c>
      <c r="AV227" s="379">
        <f t="shared" si="52"/>
        <v>5969976.1999999993</v>
      </c>
      <c r="AW227" s="124">
        <f t="shared" si="49"/>
        <v>0</v>
      </c>
      <c r="AZ227" s="379">
        <v>394.82</v>
      </c>
      <c r="BA227" s="379">
        <v>352305.5</v>
      </c>
      <c r="BB227" s="379">
        <v>111432.08</v>
      </c>
      <c r="BC227" s="379">
        <v>140.22</v>
      </c>
      <c r="BD227" s="379">
        <v>0</v>
      </c>
      <c r="BE227" s="379">
        <f t="shared" si="53"/>
        <v>464272.62</v>
      </c>
      <c r="BF227" s="379"/>
      <c r="BO227" s="477">
        <v>33969.33</v>
      </c>
      <c r="BP227" s="477">
        <v>33473571.740000002</v>
      </c>
      <c r="BQ227" s="477">
        <v>10477392.600000001</v>
      </c>
      <c r="BR227" s="477">
        <v>11229.75</v>
      </c>
      <c r="BS227" s="477">
        <v>0</v>
      </c>
      <c r="BT227" s="477">
        <v>43996163.420000002</v>
      </c>
      <c r="BW227" s="126">
        <v>623</v>
      </c>
      <c r="BX227" s="125">
        <v>31006</v>
      </c>
      <c r="BY227" s="19" t="s">
        <v>21</v>
      </c>
      <c r="BZ227" t="s">
        <v>883</v>
      </c>
    </row>
    <row r="228" spans="1:78" x14ac:dyDescent="0.25">
      <c r="A228" s="443">
        <v>31004</v>
      </c>
      <c r="B228" s="19" t="s">
        <v>21</v>
      </c>
      <c r="C228" t="s">
        <v>260</v>
      </c>
      <c r="D228" s="379">
        <v>4797.8100000000004</v>
      </c>
      <c r="E228" s="120">
        <v>8.0147644069196217E-6</v>
      </c>
      <c r="F228" s="379">
        <v>848263.11</v>
      </c>
      <c r="G228" s="120">
        <v>1.41702755668335E-3</v>
      </c>
      <c r="H228" s="379">
        <v>2115565.9300000002</v>
      </c>
      <c r="I228" s="120">
        <v>8.1350840691132558E-3</v>
      </c>
      <c r="J228" s="379">
        <v>15201.66</v>
      </c>
      <c r="K228" s="120">
        <v>6.818851299577202E-5</v>
      </c>
      <c r="L228" s="379">
        <v>1737462.97</v>
      </c>
      <c r="M228" s="120">
        <v>7.7935578291790271E-3</v>
      </c>
      <c r="N228" s="379">
        <v>6060532.6100000003</v>
      </c>
      <c r="O228" s="120">
        <v>8.539683141777268E-3</v>
      </c>
      <c r="P228" s="383">
        <f t="shared" si="50"/>
        <v>10781824.09</v>
      </c>
      <c r="R228" s="379"/>
      <c r="S228" s="120"/>
      <c r="T228" s="380"/>
      <c r="U228" s="551">
        <v>517</v>
      </c>
      <c r="V228" s="550" t="s">
        <v>261</v>
      </c>
      <c r="W228" s="449" t="s">
        <v>21</v>
      </c>
      <c r="X228" s="562" t="s">
        <v>260</v>
      </c>
      <c r="Y228" s="379">
        <v>8795.36</v>
      </c>
      <c r="Z228" s="379">
        <v>6156341.1799999997</v>
      </c>
      <c r="AA228" s="379">
        <v>2040442.8900000001</v>
      </c>
      <c r="AB228" s="379">
        <v>3044.94</v>
      </c>
      <c r="AC228" s="379">
        <v>0</v>
      </c>
      <c r="AD228" s="379">
        <v>8208624.3700000001</v>
      </c>
      <c r="AE228" s="124"/>
      <c r="AF228" s="551">
        <v>517</v>
      </c>
      <c r="AG228" s="550" t="s">
        <v>261</v>
      </c>
      <c r="AH228" s="449" t="s">
        <v>21</v>
      </c>
      <c r="AI228" s="562" t="s">
        <v>260</v>
      </c>
      <c r="AJ228" s="383">
        <f t="shared" si="42"/>
        <v>15201.66</v>
      </c>
      <c r="AK228" s="383">
        <f t="shared" si="43"/>
        <v>6060532.6100000003</v>
      </c>
      <c r="AL228" s="383">
        <f t="shared" si="44"/>
        <v>2115565.9300000002</v>
      </c>
      <c r="AM228" s="383">
        <f t="shared" si="45"/>
        <v>4797.8100000000004</v>
      </c>
      <c r="AN228" s="383">
        <f t="shared" si="46"/>
        <v>0</v>
      </c>
      <c r="AO228" s="124">
        <f t="shared" si="51"/>
        <v>8196098.0100000007</v>
      </c>
      <c r="AR228" s="124">
        <f t="shared" si="47"/>
        <v>1737462.97</v>
      </c>
      <c r="AS228" s="124">
        <f t="shared" si="48"/>
        <v>848263.11</v>
      </c>
      <c r="AV228" s="379">
        <f t="shared" si="52"/>
        <v>2585726.08</v>
      </c>
      <c r="AW228" s="124">
        <f t="shared" si="49"/>
        <v>0</v>
      </c>
      <c r="AZ228" s="379">
        <v>288.02999999999997</v>
      </c>
      <c r="BA228" s="379">
        <v>147793.56</v>
      </c>
      <c r="BB228" s="379">
        <v>53644.06</v>
      </c>
      <c r="BC228" s="379">
        <v>99.94</v>
      </c>
      <c r="BD228" s="379">
        <v>0</v>
      </c>
      <c r="BE228" s="379">
        <f t="shared" si="53"/>
        <v>201825.59</v>
      </c>
      <c r="BF228" s="379"/>
      <c r="BO228" s="477">
        <v>24285.05</v>
      </c>
      <c r="BP228" s="477">
        <v>14102130.32</v>
      </c>
      <c r="BQ228" s="477">
        <v>5057915.99</v>
      </c>
      <c r="BR228" s="477">
        <v>7942.69</v>
      </c>
      <c r="BS228" s="477">
        <v>0</v>
      </c>
      <c r="BT228" s="477">
        <v>19192274.050000001</v>
      </c>
      <c r="BW228" s="126">
        <v>258</v>
      </c>
      <c r="BX228" s="125">
        <v>31015</v>
      </c>
      <c r="BY228" s="19" t="s">
        <v>21</v>
      </c>
      <c r="BZ228" t="s">
        <v>795</v>
      </c>
    </row>
    <row r="229" spans="1:78" x14ac:dyDescent="0.25">
      <c r="A229" s="443">
        <v>31006</v>
      </c>
      <c r="B229" s="19" t="s">
        <v>21</v>
      </c>
      <c r="C229" t="s">
        <v>326</v>
      </c>
      <c r="D229" s="379">
        <v>12993.14</v>
      </c>
      <c r="E229" s="120">
        <v>2.1705102120785023E-5</v>
      </c>
      <c r="F229" s="379">
        <v>1401804.25</v>
      </c>
      <c r="G229" s="120">
        <v>2.3417206617954139E-3</v>
      </c>
      <c r="H229" s="379">
        <v>3491944.19</v>
      </c>
      <c r="I229" s="120">
        <v>1.3427735409929574E-2</v>
      </c>
      <c r="J229" s="379">
        <v>19528.03</v>
      </c>
      <c r="K229" s="120">
        <v>8.7594863155525504E-5</v>
      </c>
      <c r="L229" s="379">
        <v>3532492.03</v>
      </c>
      <c r="M229" s="120">
        <v>1.5845333910580559E-2</v>
      </c>
      <c r="N229" s="379">
        <v>11973224.42</v>
      </c>
      <c r="O229" s="120">
        <v>1.6871049016959239E-2</v>
      </c>
      <c r="P229" s="383">
        <f t="shared" si="50"/>
        <v>20431986.060000002</v>
      </c>
      <c r="R229" s="379"/>
      <c r="S229" s="120"/>
      <c r="T229" s="380"/>
      <c r="U229" s="551">
        <v>623</v>
      </c>
      <c r="V229" s="550" t="s">
        <v>327</v>
      </c>
      <c r="W229" s="449" t="s">
        <v>21</v>
      </c>
      <c r="X229" s="562" t="s">
        <v>326</v>
      </c>
      <c r="Y229" s="379">
        <v>10556.41</v>
      </c>
      <c r="Z229" s="379">
        <v>12254450.220000001</v>
      </c>
      <c r="AA229" s="379">
        <v>3350458.47</v>
      </c>
      <c r="AB229" s="379">
        <v>8229.08</v>
      </c>
      <c r="AC229" s="379">
        <v>0</v>
      </c>
      <c r="AD229" s="379">
        <v>15623694.180000002</v>
      </c>
      <c r="AE229" s="124"/>
      <c r="AF229" s="551">
        <v>623</v>
      </c>
      <c r="AG229" s="550" t="s">
        <v>327</v>
      </c>
      <c r="AH229" s="449" t="s">
        <v>21</v>
      </c>
      <c r="AI229" s="562" t="s">
        <v>326</v>
      </c>
      <c r="AJ229" s="383">
        <f t="shared" si="42"/>
        <v>19528.03</v>
      </c>
      <c r="AK229" s="383">
        <f t="shared" si="43"/>
        <v>11973224.42</v>
      </c>
      <c r="AL229" s="383">
        <f t="shared" si="44"/>
        <v>3491944.19</v>
      </c>
      <c r="AM229" s="383">
        <f t="shared" si="45"/>
        <v>12993.14</v>
      </c>
      <c r="AN229" s="383">
        <f t="shared" si="46"/>
        <v>0</v>
      </c>
      <c r="AO229" s="124">
        <f t="shared" si="51"/>
        <v>15497689.779999999</v>
      </c>
      <c r="AR229" s="124">
        <f t="shared" si="47"/>
        <v>3532492.03</v>
      </c>
      <c r="AS229" s="124">
        <f t="shared" si="48"/>
        <v>1401804.25</v>
      </c>
      <c r="AV229" s="379">
        <f t="shared" si="52"/>
        <v>4934296.2799999993</v>
      </c>
      <c r="AW229" s="124">
        <f t="shared" si="49"/>
        <v>0</v>
      </c>
      <c r="AZ229" s="379">
        <v>340.58</v>
      </c>
      <c r="BA229" s="379">
        <v>291622.20999999996</v>
      </c>
      <c r="BB229" s="379">
        <v>88513.760000000009</v>
      </c>
      <c r="BC229" s="379">
        <v>269.25</v>
      </c>
      <c r="BD229" s="379">
        <v>0</v>
      </c>
      <c r="BE229" s="379">
        <f t="shared" si="53"/>
        <v>380745.8</v>
      </c>
      <c r="BF229" s="379"/>
      <c r="BO229" s="477">
        <v>30425.02</v>
      </c>
      <c r="BP229" s="477">
        <v>28051788.880000003</v>
      </c>
      <c r="BQ229" s="477">
        <v>8332720.6699999999</v>
      </c>
      <c r="BR229" s="477">
        <v>21491.47</v>
      </c>
      <c r="BS229" s="477">
        <v>0</v>
      </c>
      <c r="BT229" s="477">
        <v>36436426.039999999</v>
      </c>
      <c r="BW229" s="126">
        <v>26</v>
      </c>
      <c r="BX229" s="125">
        <v>31016</v>
      </c>
      <c r="BY229" s="19" t="s">
        <v>21</v>
      </c>
      <c r="BZ229" t="s">
        <v>735</v>
      </c>
    </row>
    <row r="230" spans="1:78" x14ac:dyDescent="0.25">
      <c r="A230" s="443">
        <v>31015</v>
      </c>
      <c r="B230" s="19" t="s">
        <v>21</v>
      </c>
      <c r="C230" t="s">
        <v>150</v>
      </c>
      <c r="D230" s="379">
        <v>1166.74</v>
      </c>
      <c r="E230" s="120">
        <v>1.9490447150115154E-6</v>
      </c>
      <c r="F230" s="379">
        <v>1915715.58</v>
      </c>
      <c r="G230" s="120">
        <v>3.2002119809590997E-3</v>
      </c>
      <c r="H230" s="379">
        <v>4776736.33</v>
      </c>
      <c r="I230" s="120">
        <v>1.8368206383687375E-2</v>
      </c>
      <c r="J230" s="379">
        <v>19771.63</v>
      </c>
      <c r="K230" s="120">
        <v>8.8687554464617421E-5</v>
      </c>
      <c r="L230" s="379">
        <v>4190901.4</v>
      </c>
      <c r="M230" s="120">
        <v>1.8798692680792699E-2</v>
      </c>
      <c r="N230" s="379">
        <v>14786599.890000001</v>
      </c>
      <c r="O230" s="120">
        <v>2.0835277347816896E-2</v>
      </c>
      <c r="P230" s="383">
        <f t="shared" si="50"/>
        <v>25690891.57</v>
      </c>
      <c r="R230" s="379"/>
      <c r="S230" s="120"/>
      <c r="T230" s="380"/>
      <c r="U230" s="551">
        <v>258</v>
      </c>
      <c r="V230" s="550" t="s">
        <v>151</v>
      </c>
      <c r="W230" s="449" t="s">
        <v>21</v>
      </c>
      <c r="X230" s="562" t="s">
        <v>150</v>
      </c>
      <c r="Y230" s="379">
        <v>10747.69</v>
      </c>
      <c r="Z230" s="379">
        <v>13841555.560000001</v>
      </c>
      <c r="AA230" s="379">
        <v>4339301.68</v>
      </c>
      <c r="AB230" s="379">
        <v>685.65</v>
      </c>
      <c r="AC230" s="379">
        <v>0</v>
      </c>
      <c r="AD230" s="379">
        <v>18192290.579999998</v>
      </c>
      <c r="AE230" s="124"/>
      <c r="AF230" s="551">
        <v>258</v>
      </c>
      <c r="AG230" s="550" t="s">
        <v>151</v>
      </c>
      <c r="AH230" s="449" t="s">
        <v>21</v>
      </c>
      <c r="AI230" s="562" t="s">
        <v>150</v>
      </c>
      <c r="AJ230" s="383">
        <f t="shared" si="42"/>
        <v>19771.63</v>
      </c>
      <c r="AK230" s="383">
        <f t="shared" si="43"/>
        <v>14786599.890000001</v>
      </c>
      <c r="AL230" s="383">
        <f t="shared" si="44"/>
        <v>4776736.33</v>
      </c>
      <c r="AM230" s="383">
        <f t="shared" si="45"/>
        <v>1166.74</v>
      </c>
      <c r="AN230" s="383">
        <f t="shared" si="46"/>
        <v>0</v>
      </c>
      <c r="AO230" s="124">
        <f t="shared" si="51"/>
        <v>19584274.59</v>
      </c>
      <c r="AR230" s="124">
        <f t="shared" si="47"/>
        <v>4190901.4</v>
      </c>
      <c r="AS230" s="124">
        <f t="shared" si="48"/>
        <v>1915715.58</v>
      </c>
      <c r="AV230" s="379">
        <f t="shared" si="52"/>
        <v>6106616.9800000004</v>
      </c>
      <c r="AW230" s="124">
        <f t="shared" si="49"/>
        <v>0</v>
      </c>
      <c r="AZ230" s="379">
        <v>347.21</v>
      </c>
      <c r="BA230" s="379">
        <v>360847.68</v>
      </c>
      <c r="BB230" s="379">
        <v>121122.84</v>
      </c>
      <c r="BC230" s="379">
        <v>20.56</v>
      </c>
      <c r="BD230" s="379">
        <v>0</v>
      </c>
      <c r="BE230" s="379">
        <f t="shared" si="53"/>
        <v>482338.29</v>
      </c>
      <c r="BF230" s="379"/>
      <c r="BO230" s="477">
        <v>30866.53</v>
      </c>
      <c r="BP230" s="477">
        <v>33179904.530000001</v>
      </c>
      <c r="BQ230" s="477">
        <v>11152876.43</v>
      </c>
      <c r="BR230" s="477">
        <v>1872.95</v>
      </c>
      <c r="BS230" s="477">
        <v>0</v>
      </c>
      <c r="BT230" s="477">
        <v>44365520.440000005</v>
      </c>
      <c r="BW230" s="126">
        <v>570</v>
      </c>
      <c r="BX230" s="125">
        <v>31025</v>
      </c>
      <c r="BY230" s="19" t="s">
        <v>21</v>
      </c>
      <c r="BZ230" t="s">
        <v>865</v>
      </c>
    </row>
    <row r="231" spans="1:78" x14ac:dyDescent="0.25">
      <c r="A231" s="443">
        <v>31016</v>
      </c>
      <c r="B231" s="19" t="s">
        <v>21</v>
      </c>
      <c r="C231" t="s">
        <v>22</v>
      </c>
      <c r="D231" s="379">
        <v>4557.6400000000003</v>
      </c>
      <c r="E231" s="120">
        <v>7.6135592804952974E-6</v>
      </c>
      <c r="F231" s="379">
        <v>471285.46</v>
      </c>
      <c r="G231" s="120">
        <v>7.8728460074632819E-4</v>
      </c>
      <c r="H231" s="379">
        <v>1171839.43</v>
      </c>
      <c r="I231" s="120">
        <v>4.5061286643767028E-3</v>
      </c>
      <c r="J231" s="379">
        <v>0</v>
      </c>
      <c r="K231" s="120">
        <v>0</v>
      </c>
      <c r="L231" s="379">
        <v>989061.64</v>
      </c>
      <c r="M231" s="120">
        <v>4.4365314375377158E-3</v>
      </c>
      <c r="N231" s="379">
        <v>3559243.75</v>
      </c>
      <c r="O231" s="120">
        <v>5.0152050661684509E-3</v>
      </c>
      <c r="P231" s="383">
        <f t="shared" si="50"/>
        <v>6195987.9199999999</v>
      </c>
      <c r="R231" s="379"/>
      <c r="S231" s="120"/>
      <c r="T231" s="380"/>
      <c r="U231" s="551">
        <v>26</v>
      </c>
      <c r="V231" s="550" t="s">
        <v>23</v>
      </c>
      <c r="W231" s="449" t="s">
        <v>21</v>
      </c>
      <c r="X231" s="562" t="s">
        <v>22</v>
      </c>
      <c r="Y231" s="379">
        <v>0</v>
      </c>
      <c r="Z231" s="379">
        <v>3446872.55</v>
      </c>
      <c r="AA231" s="379">
        <v>1107151.18</v>
      </c>
      <c r="AB231" s="379">
        <v>2889.83</v>
      </c>
      <c r="AC231" s="379">
        <v>0</v>
      </c>
      <c r="AD231" s="379">
        <v>4556913.5599999996</v>
      </c>
      <c r="AE231" s="124"/>
      <c r="AF231" s="551">
        <v>26</v>
      </c>
      <c r="AG231" s="550" t="s">
        <v>23</v>
      </c>
      <c r="AH231" s="449" t="s">
        <v>21</v>
      </c>
      <c r="AI231" s="562" t="s">
        <v>22</v>
      </c>
      <c r="AJ231" s="383">
        <f t="shared" si="42"/>
        <v>0</v>
      </c>
      <c r="AK231" s="383">
        <f t="shared" si="43"/>
        <v>3559243.75</v>
      </c>
      <c r="AL231" s="383">
        <f t="shared" si="44"/>
        <v>1171839.43</v>
      </c>
      <c r="AM231" s="383">
        <f t="shared" si="45"/>
        <v>4557.6400000000003</v>
      </c>
      <c r="AN231" s="383">
        <f t="shared" si="46"/>
        <v>0</v>
      </c>
      <c r="AO231" s="124">
        <f t="shared" si="51"/>
        <v>4735640.8199999994</v>
      </c>
      <c r="AR231" s="124">
        <f t="shared" si="47"/>
        <v>989061.64</v>
      </c>
      <c r="AS231" s="124">
        <f t="shared" si="48"/>
        <v>471285.46</v>
      </c>
      <c r="AV231" s="379">
        <f t="shared" si="52"/>
        <v>1460347.1</v>
      </c>
      <c r="AW231" s="124">
        <f t="shared" si="49"/>
        <v>0</v>
      </c>
      <c r="AZ231" s="379">
        <v>0</v>
      </c>
      <c r="BA231" s="379">
        <v>86929.53</v>
      </c>
      <c r="BB231" s="379">
        <v>29684.62</v>
      </c>
      <c r="BC231" s="379">
        <v>94.75</v>
      </c>
      <c r="BD231" s="379">
        <v>0</v>
      </c>
      <c r="BE231" s="379">
        <f t="shared" si="53"/>
        <v>116708.9</v>
      </c>
      <c r="BF231" s="379"/>
      <c r="BO231" s="477">
        <v>0</v>
      </c>
      <c r="BP231" s="477">
        <v>8082107.4699999997</v>
      </c>
      <c r="BQ231" s="477">
        <v>2779960.69</v>
      </c>
      <c r="BR231" s="477">
        <v>7542.22</v>
      </c>
      <c r="BS231" s="477">
        <v>0</v>
      </c>
      <c r="BT231" s="477">
        <v>10869610.380000001</v>
      </c>
      <c r="BW231" s="126">
        <v>397</v>
      </c>
      <c r="BX231" s="125">
        <v>31063</v>
      </c>
      <c r="BY231" s="19" t="s">
        <v>21</v>
      </c>
      <c r="BZ231" t="s">
        <v>834</v>
      </c>
    </row>
    <row r="232" spans="1:78" x14ac:dyDescent="0.25">
      <c r="A232" s="443">
        <v>31025</v>
      </c>
      <c r="B232" s="19" t="s">
        <v>21</v>
      </c>
      <c r="C232" t="s">
        <v>292</v>
      </c>
      <c r="D232" s="379">
        <v>3823.45</v>
      </c>
      <c r="E232" s="120">
        <v>6.387091396207191E-6</v>
      </c>
      <c r="F232" s="379">
        <v>1007528.73</v>
      </c>
      <c r="G232" s="120">
        <v>1.6830815318140838E-3</v>
      </c>
      <c r="H232" s="379">
        <v>2501149.37</v>
      </c>
      <c r="I232" s="120">
        <v>9.6177860050713042E-3</v>
      </c>
      <c r="J232" s="379">
        <v>7553.53</v>
      </c>
      <c r="K232" s="120">
        <v>3.3882087783107489E-5</v>
      </c>
      <c r="L232" s="379">
        <v>1933483.7</v>
      </c>
      <c r="M232" s="120">
        <v>8.6728277309559201E-3</v>
      </c>
      <c r="N232" s="379">
        <v>6758744.2800000003</v>
      </c>
      <c r="O232" s="120">
        <v>9.5235086256716863E-3</v>
      </c>
      <c r="P232" s="383">
        <f t="shared" si="50"/>
        <v>12212283.059999999</v>
      </c>
      <c r="R232" s="379"/>
      <c r="S232" s="120"/>
      <c r="T232" s="380"/>
      <c r="U232" s="551">
        <v>570</v>
      </c>
      <c r="V232" s="550" t="s">
        <v>293</v>
      </c>
      <c r="W232" s="449" t="s">
        <v>21</v>
      </c>
      <c r="X232" s="562" t="s">
        <v>292</v>
      </c>
      <c r="Y232" s="379">
        <v>4143.1400000000003</v>
      </c>
      <c r="Z232" s="379">
        <v>6852693.9699999997</v>
      </c>
      <c r="AA232" s="379">
        <v>2360642.3200000003</v>
      </c>
      <c r="AB232" s="379">
        <v>2410.1</v>
      </c>
      <c r="AC232" s="379">
        <v>0</v>
      </c>
      <c r="AD232" s="379">
        <v>9219889.5299999993</v>
      </c>
      <c r="AE232" s="124"/>
      <c r="AF232" s="551">
        <v>570</v>
      </c>
      <c r="AG232" s="550" t="s">
        <v>293</v>
      </c>
      <c r="AH232" s="449" t="s">
        <v>21</v>
      </c>
      <c r="AI232" s="562" t="s">
        <v>292</v>
      </c>
      <c r="AJ232" s="383">
        <f t="shared" si="42"/>
        <v>7553.53</v>
      </c>
      <c r="AK232" s="383">
        <f t="shared" si="43"/>
        <v>6758744.2800000003</v>
      </c>
      <c r="AL232" s="383">
        <f t="shared" si="44"/>
        <v>2501149.37</v>
      </c>
      <c r="AM232" s="383">
        <f t="shared" si="45"/>
        <v>3823.45</v>
      </c>
      <c r="AN232" s="383">
        <f t="shared" si="46"/>
        <v>0</v>
      </c>
      <c r="AO232" s="124">
        <f t="shared" si="51"/>
        <v>9271270.629999999</v>
      </c>
      <c r="AR232" s="124">
        <f t="shared" si="47"/>
        <v>1933483.7</v>
      </c>
      <c r="AS232" s="124">
        <f t="shared" si="48"/>
        <v>1007528.73</v>
      </c>
      <c r="AV232" s="379">
        <f t="shared" si="52"/>
        <v>2941012.4299999997</v>
      </c>
      <c r="AW232" s="124">
        <f t="shared" si="49"/>
        <v>0</v>
      </c>
      <c r="AZ232" s="379">
        <v>134.1</v>
      </c>
      <c r="BA232" s="379">
        <v>164860.96</v>
      </c>
      <c r="BB232" s="379">
        <v>63340.58</v>
      </c>
      <c r="BC232" s="379">
        <v>78.41</v>
      </c>
      <c r="BD232" s="379">
        <v>0</v>
      </c>
      <c r="BE232" s="379">
        <f t="shared" si="53"/>
        <v>228414.05000000002</v>
      </c>
      <c r="BF232" s="379"/>
      <c r="BO232" s="477">
        <v>11830.77</v>
      </c>
      <c r="BP232" s="477">
        <v>15709782.91</v>
      </c>
      <c r="BQ232" s="477">
        <v>5932661</v>
      </c>
      <c r="BR232" s="477">
        <v>6311.96</v>
      </c>
      <c r="BS232" s="477">
        <v>0</v>
      </c>
      <c r="BT232" s="477">
        <v>21660586.640000001</v>
      </c>
      <c r="BW232" s="126">
        <v>604</v>
      </c>
      <c r="BX232" s="125">
        <v>31103</v>
      </c>
      <c r="BY232" s="19" t="s">
        <v>21</v>
      </c>
      <c r="BZ232" t="s">
        <v>873</v>
      </c>
    </row>
    <row r="233" spans="1:78" x14ac:dyDescent="0.25">
      <c r="A233" s="443">
        <v>31063</v>
      </c>
      <c r="B233" s="19" t="s">
        <v>21</v>
      </c>
      <c r="C233" t="s">
        <v>228</v>
      </c>
      <c r="D233" s="379"/>
      <c r="E233" s="120"/>
      <c r="F233" s="379">
        <v>8419.4699999999993</v>
      </c>
      <c r="G233" s="120">
        <v>1.4064764649106058E-5</v>
      </c>
      <c r="H233" s="379">
        <v>20235.14</v>
      </c>
      <c r="I233" s="120">
        <v>7.7811125011961413E-5</v>
      </c>
      <c r="J233" s="379">
        <v>0</v>
      </c>
      <c r="K233" s="120">
        <v>0</v>
      </c>
      <c r="L233" s="379">
        <v>6771.6</v>
      </c>
      <c r="M233" s="120">
        <v>3.0374665306431655E-5</v>
      </c>
      <c r="N233" s="379">
        <v>19891.62</v>
      </c>
      <c r="O233" s="120">
        <v>2.8028581464334293E-5</v>
      </c>
      <c r="P233" s="383">
        <f t="shared" si="50"/>
        <v>55317.83</v>
      </c>
      <c r="R233" s="379"/>
      <c r="S233" s="120"/>
      <c r="T233" s="380"/>
      <c r="U233" s="551">
        <v>397</v>
      </c>
      <c r="V233" s="550" t="s">
        <v>229</v>
      </c>
      <c r="W233" s="449" t="s">
        <v>21</v>
      </c>
      <c r="X233" s="562" t="s">
        <v>228</v>
      </c>
      <c r="Y233" s="379">
        <v>0</v>
      </c>
      <c r="Z233" s="379">
        <v>17863.86</v>
      </c>
      <c r="AA233" s="379">
        <v>20234.990000000002</v>
      </c>
      <c r="AB233" s="379"/>
      <c r="AC233" s="379">
        <v>0</v>
      </c>
      <c r="AD233" s="379">
        <v>38098.850000000006</v>
      </c>
      <c r="AE233" s="124"/>
      <c r="AF233" s="551">
        <v>397</v>
      </c>
      <c r="AG233" s="550" t="s">
        <v>229</v>
      </c>
      <c r="AH233" s="449" t="s">
        <v>21</v>
      </c>
      <c r="AI233" s="562" t="s">
        <v>228</v>
      </c>
      <c r="AJ233" s="383">
        <f t="shared" si="42"/>
        <v>0</v>
      </c>
      <c r="AK233" s="383">
        <f t="shared" si="43"/>
        <v>19891.62</v>
      </c>
      <c r="AL233" s="383">
        <f t="shared" si="44"/>
        <v>20235.14</v>
      </c>
      <c r="AM233" s="383">
        <f t="shared" si="45"/>
        <v>0</v>
      </c>
      <c r="AN233" s="383">
        <f t="shared" si="46"/>
        <v>0</v>
      </c>
      <c r="AO233" s="124">
        <f t="shared" si="51"/>
        <v>40126.759999999995</v>
      </c>
      <c r="AR233" s="124">
        <f t="shared" si="47"/>
        <v>6771.6</v>
      </c>
      <c r="AS233" s="124">
        <f t="shared" si="48"/>
        <v>8419.4699999999993</v>
      </c>
      <c r="AV233" s="379">
        <f t="shared" si="52"/>
        <v>15191.07</v>
      </c>
      <c r="AW233" s="124">
        <f t="shared" si="49"/>
        <v>0</v>
      </c>
      <c r="AZ233" s="379">
        <v>0</v>
      </c>
      <c r="BA233" s="379">
        <v>480.78999999999996</v>
      </c>
      <c r="BB233" s="379">
        <v>506.11</v>
      </c>
      <c r="BC233" s="379"/>
      <c r="BD233" s="379">
        <v>0</v>
      </c>
      <c r="BE233" s="379">
        <f t="shared" si="53"/>
        <v>986.9</v>
      </c>
      <c r="BF233" s="379"/>
      <c r="BO233" s="477">
        <v>0</v>
      </c>
      <c r="BP233" s="477">
        <v>45007.87</v>
      </c>
      <c r="BQ233" s="477">
        <v>49395.71</v>
      </c>
      <c r="BR233" s="477"/>
      <c r="BS233" s="477">
        <v>0</v>
      </c>
      <c r="BT233" s="477">
        <v>94403.58</v>
      </c>
      <c r="BW233" s="126">
        <v>898</v>
      </c>
      <c r="BX233" s="125">
        <v>31201</v>
      </c>
      <c r="BY233" s="19" t="s">
        <v>21</v>
      </c>
      <c r="BZ233" t="s">
        <v>961</v>
      </c>
    </row>
    <row r="234" spans="1:78" x14ac:dyDescent="0.25">
      <c r="A234" s="443">
        <v>31103</v>
      </c>
      <c r="B234" s="19" t="s">
        <v>21</v>
      </c>
      <c r="C234" t="s">
        <v>308</v>
      </c>
      <c r="D234" s="379"/>
      <c r="E234" s="120"/>
      <c r="F234" s="379">
        <v>517349.08</v>
      </c>
      <c r="G234" s="120">
        <v>8.6423409687682749E-4</v>
      </c>
      <c r="H234" s="379">
        <v>1263520.76</v>
      </c>
      <c r="I234" s="120">
        <v>4.8586751468765966E-3</v>
      </c>
      <c r="J234" s="379">
        <v>0</v>
      </c>
      <c r="K234" s="120">
        <v>0</v>
      </c>
      <c r="L234" s="379">
        <v>1183316.53</v>
      </c>
      <c r="M234" s="120">
        <v>5.3078804935787838E-3</v>
      </c>
      <c r="N234" s="379">
        <v>3566129.1</v>
      </c>
      <c r="O234" s="120">
        <v>5.0249069704570637E-3</v>
      </c>
      <c r="P234" s="383">
        <f t="shared" si="50"/>
        <v>6530315.4700000007</v>
      </c>
      <c r="R234" s="379"/>
      <c r="S234" s="120"/>
      <c r="T234" s="380"/>
      <c r="U234" s="551">
        <v>604</v>
      </c>
      <c r="V234" s="550" t="s">
        <v>309</v>
      </c>
      <c r="W234" s="449" t="s">
        <v>21</v>
      </c>
      <c r="X234" s="562" t="s">
        <v>308</v>
      </c>
      <c r="Y234" s="379">
        <v>0</v>
      </c>
      <c r="Z234" s="379">
        <v>3676986.48</v>
      </c>
      <c r="AA234" s="379">
        <v>1216742.6400000001</v>
      </c>
      <c r="AB234" s="379"/>
      <c r="AC234" s="379">
        <v>0</v>
      </c>
      <c r="AD234" s="379">
        <v>4893729.12</v>
      </c>
      <c r="AE234" s="124"/>
      <c r="AF234" s="551">
        <v>604</v>
      </c>
      <c r="AG234" s="550" t="s">
        <v>309</v>
      </c>
      <c r="AH234" s="449" t="s">
        <v>21</v>
      </c>
      <c r="AI234" s="562" t="s">
        <v>308</v>
      </c>
      <c r="AJ234" s="383">
        <f t="shared" si="42"/>
        <v>0</v>
      </c>
      <c r="AK234" s="383">
        <f t="shared" si="43"/>
        <v>3566129.1</v>
      </c>
      <c r="AL234" s="383">
        <f t="shared" si="44"/>
        <v>1263520.76</v>
      </c>
      <c r="AM234" s="383">
        <f t="shared" si="45"/>
        <v>0</v>
      </c>
      <c r="AN234" s="383">
        <f t="shared" si="46"/>
        <v>0</v>
      </c>
      <c r="AO234" s="124">
        <f t="shared" si="51"/>
        <v>4829649.8600000003</v>
      </c>
      <c r="AR234" s="124">
        <f t="shared" si="47"/>
        <v>1183316.53</v>
      </c>
      <c r="AS234" s="124">
        <f t="shared" si="48"/>
        <v>517349.08</v>
      </c>
      <c r="AV234" s="379">
        <f t="shared" si="52"/>
        <v>1700665.61</v>
      </c>
      <c r="AW234" s="124">
        <f t="shared" si="49"/>
        <v>0</v>
      </c>
      <c r="AZ234" s="379">
        <v>0</v>
      </c>
      <c r="BA234" s="379">
        <v>86340.81</v>
      </c>
      <c r="BB234" s="379">
        <v>31797.480000000003</v>
      </c>
      <c r="BC234" s="379"/>
      <c r="BD234" s="379">
        <v>0</v>
      </c>
      <c r="BE234" s="379">
        <f t="shared" si="53"/>
        <v>118138.29000000001</v>
      </c>
      <c r="BF234" s="379"/>
      <c r="BO234" s="477">
        <v>0</v>
      </c>
      <c r="BP234" s="477">
        <v>8512772.9199999999</v>
      </c>
      <c r="BQ234" s="477">
        <v>3029409.96</v>
      </c>
      <c r="BR234" s="477"/>
      <c r="BS234" s="477">
        <v>0</v>
      </c>
      <c r="BT234" s="477">
        <v>11542182.879999999</v>
      </c>
      <c r="BW234" s="126">
        <v>521</v>
      </c>
      <c r="BX234" s="125">
        <v>31306</v>
      </c>
      <c r="BY234" s="19" t="s">
        <v>21</v>
      </c>
      <c r="BZ234" t="s">
        <v>851</v>
      </c>
    </row>
    <row r="235" spans="1:78" x14ac:dyDescent="0.25">
      <c r="A235" s="443">
        <v>31201</v>
      </c>
      <c r="B235" s="19" t="s">
        <v>21</v>
      </c>
      <c r="C235" t="s">
        <v>498</v>
      </c>
      <c r="D235" s="379">
        <v>10401.719999999999</v>
      </c>
      <c r="E235" s="120">
        <v>1.737612269488453E-5</v>
      </c>
      <c r="F235" s="379">
        <v>744650.96</v>
      </c>
      <c r="G235" s="120">
        <v>1.2439429676845324E-3</v>
      </c>
      <c r="H235" s="379">
        <v>1858488.05</v>
      </c>
      <c r="I235" s="120">
        <v>7.1465305400301854E-3</v>
      </c>
      <c r="J235" s="379">
        <v>12811.29</v>
      </c>
      <c r="K235" s="120">
        <v>5.7466277673464884E-5</v>
      </c>
      <c r="L235" s="379">
        <v>1813477.63</v>
      </c>
      <c r="M235" s="120">
        <v>8.1345289225516707E-3</v>
      </c>
      <c r="N235" s="379">
        <v>6367098.5800000001</v>
      </c>
      <c r="O235" s="120">
        <v>8.9716544575543476E-3</v>
      </c>
      <c r="P235" s="383">
        <f t="shared" si="50"/>
        <v>10806928.23</v>
      </c>
      <c r="R235" s="379"/>
      <c r="S235" s="120"/>
      <c r="T235" s="380"/>
      <c r="U235" s="551">
        <v>898</v>
      </c>
      <c r="V235" s="550" t="s">
        <v>499</v>
      </c>
      <c r="W235" s="449" t="s">
        <v>21</v>
      </c>
      <c r="X235" s="562" t="s">
        <v>498</v>
      </c>
      <c r="Y235" s="379">
        <v>7422.86</v>
      </c>
      <c r="Z235" s="379">
        <v>6486836.0800000001</v>
      </c>
      <c r="AA235" s="379">
        <v>1764480.3399999999</v>
      </c>
      <c r="AB235" s="379">
        <v>6578.12</v>
      </c>
      <c r="AC235" s="379">
        <v>0</v>
      </c>
      <c r="AD235" s="379">
        <v>8265317.4000000004</v>
      </c>
      <c r="AE235" s="124"/>
      <c r="AF235" s="551">
        <v>898</v>
      </c>
      <c r="AG235" s="550" t="s">
        <v>499</v>
      </c>
      <c r="AH235" s="449" t="s">
        <v>21</v>
      </c>
      <c r="AI235" s="562" t="s">
        <v>498</v>
      </c>
      <c r="AJ235" s="383">
        <f t="shared" si="42"/>
        <v>12811.29</v>
      </c>
      <c r="AK235" s="383">
        <f t="shared" si="43"/>
        <v>6367098.5800000001</v>
      </c>
      <c r="AL235" s="383">
        <f t="shared" si="44"/>
        <v>1858488.05</v>
      </c>
      <c r="AM235" s="383">
        <f t="shared" si="45"/>
        <v>10401.719999999999</v>
      </c>
      <c r="AN235" s="383">
        <f t="shared" si="46"/>
        <v>0</v>
      </c>
      <c r="AO235" s="124">
        <f t="shared" si="51"/>
        <v>8248799.6399999997</v>
      </c>
      <c r="AR235" s="124">
        <f t="shared" si="47"/>
        <v>1813477.63</v>
      </c>
      <c r="AS235" s="124">
        <f t="shared" si="48"/>
        <v>744650.96</v>
      </c>
      <c r="AV235" s="379">
        <f t="shared" si="52"/>
        <v>2558128.59</v>
      </c>
      <c r="AW235" s="124">
        <f t="shared" si="49"/>
        <v>0</v>
      </c>
      <c r="AZ235" s="379">
        <v>243.16</v>
      </c>
      <c r="BA235" s="379">
        <v>155333.70000000001</v>
      </c>
      <c r="BB235" s="379">
        <v>47141.120000000003</v>
      </c>
      <c r="BC235" s="379">
        <v>214.82</v>
      </c>
      <c r="BD235" s="379">
        <v>0</v>
      </c>
      <c r="BE235" s="379">
        <f t="shared" si="53"/>
        <v>202932.80000000002</v>
      </c>
      <c r="BF235" s="379"/>
      <c r="BO235" s="477">
        <v>20477.310000000001</v>
      </c>
      <c r="BP235" s="477">
        <v>14822745.99</v>
      </c>
      <c r="BQ235" s="477">
        <v>4414760.4700000007</v>
      </c>
      <c r="BR235" s="477">
        <v>17194.66</v>
      </c>
      <c r="BS235" s="477">
        <v>0</v>
      </c>
      <c r="BT235" s="477">
        <v>19275178.430000003</v>
      </c>
      <c r="BW235" s="126">
        <v>950</v>
      </c>
      <c r="BX235" s="125">
        <v>31311</v>
      </c>
      <c r="BY235" s="19" t="s">
        <v>21</v>
      </c>
      <c r="BZ235" t="s">
        <v>976</v>
      </c>
    </row>
    <row r="236" spans="1:78" x14ac:dyDescent="0.25">
      <c r="A236" s="443">
        <v>31306</v>
      </c>
      <c r="B236" s="19" t="s">
        <v>21</v>
      </c>
      <c r="C236" t="s">
        <v>264</v>
      </c>
      <c r="D236" s="379"/>
      <c r="E236" s="120"/>
      <c r="F236" s="379">
        <v>261946.65</v>
      </c>
      <c r="G236" s="120">
        <v>4.3758312374433993E-4</v>
      </c>
      <c r="H236" s="379">
        <v>654834.94999999995</v>
      </c>
      <c r="I236" s="120">
        <v>2.5180672906958638E-3</v>
      </c>
      <c r="J236" s="379"/>
      <c r="K236" s="120"/>
      <c r="L236" s="379">
        <v>459026.74</v>
      </c>
      <c r="M236" s="120">
        <v>2.0590087415385465E-3</v>
      </c>
      <c r="N236" s="379">
        <v>1653664.28</v>
      </c>
      <c r="O236" s="120">
        <v>2.330120120263695E-3</v>
      </c>
      <c r="P236" s="383">
        <f t="shared" si="50"/>
        <v>3029472.62</v>
      </c>
      <c r="R236" s="379"/>
      <c r="S236" s="120"/>
      <c r="T236" s="380"/>
      <c r="U236" s="551">
        <v>521</v>
      </c>
      <c r="V236" s="550" t="s">
        <v>265</v>
      </c>
      <c r="W236" s="449" t="s">
        <v>21</v>
      </c>
      <c r="X236" s="562" t="s">
        <v>264</v>
      </c>
      <c r="Y236" s="379"/>
      <c r="Z236" s="379">
        <v>1751972.13</v>
      </c>
      <c r="AA236" s="379">
        <v>646609.33000000007</v>
      </c>
      <c r="AB236" s="379"/>
      <c r="AC236" s="379">
        <v>0</v>
      </c>
      <c r="AD236" s="379">
        <v>2398581.46</v>
      </c>
      <c r="AE236" s="124"/>
      <c r="AF236" s="551">
        <v>521</v>
      </c>
      <c r="AG236" s="550" t="s">
        <v>265</v>
      </c>
      <c r="AH236" s="449" t="s">
        <v>21</v>
      </c>
      <c r="AI236" s="562" t="s">
        <v>264</v>
      </c>
      <c r="AJ236" s="383">
        <f t="shared" si="42"/>
        <v>0</v>
      </c>
      <c r="AK236" s="383">
        <f t="shared" si="43"/>
        <v>1653664.28</v>
      </c>
      <c r="AL236" s="383">
        <f t="shared" si="44"/>
        <v>654834.94999999995</v>
      </c>
      <c r="AM236" s="383">
        <f t="shared" si="45"/>
        <v>0</v>
      </c>
      <c r="AN236" s="383">
        <f t="shared" si="46"/>
        <v>0</v>
      </c>
      <c r="AO236" s="124">
        <f t="shared" si="51"/>
        <v>2308499.23</v>
      </c>
      <c r="AR236" s="124">
        <f t="shared" si="47"/>
        <v>459026.74</v>
      </c>
      <c r="AS236" s="124">
        <f t="shared" si="48"/>
        <v>261946.65</v>
      </c>
      <c r="AV236" s="379">
        <f t="shared" si="52"/>
        <v>720973.39</v>
      </c>
      <c r="AW236" s="124">
        <f t="shared" si="49"/>
        <v>0</v>
      </c>
      <c r="AZ236" s="379"/>
      <c r="BA236" s="379">
        <v>40390.28</v>
      </c>
      <c r="BB236" s="379">
        <v>16619.760000000002</v>
      </c>
      <c r="BC236" s="379"/>
      <c r="BD236" s="379">
        <v>0</v>
      </c>
      <c r="BE236" s="379">
        <f t="shared" si="53"/>
        <v>57010.04</v>
      </c>
      <c r="BF236" s="379"/>
      <c r="BO236" s="477"/>
      <c r="BP236" s="477">
        <v>3905053.4299999997</v>
      </c>
      <c r="BQ236" s="477">
        <v>1580010.69</v>
      </c>
      <c r="BR236" s="477"/>
      <c r="BS236" s="477">
        <v>0</v>
      </c>
      <c r="BT236" s="477">
        <v>5485064.1199999992</v>
      </c>
      <c r="BW236" s="126">
        <v>219</v>
      </c>
      <c r="BX236" s="125">
        <v>31330</v>
      </c>
      <c r="BY236" s="19" t="s">
        <v>21</v>
      </c>
      <c r="BZ236" t="s">
        <v>785</v>
      </c>
    </row>
    <row r="237" spans="1:78" x14ac:dyDescent="0.25">
      <c r="A237" s="443">
        <v>31311</v>
      </c>
      <c r="B237" s="19" t="s">
        <v>21</v>
      </c>
      <c r="C237" t="s">
        <v>530</v>
      </c>
      <c r="D237" s="379"/>
      <c r="E237" s="120"/>
      <c r="F237" s="379">
        <v>172631.79</v>
      </c>
      <c r="G237" s="120">
        <v>2.8838222563936934E-4</v>
      </c>
      <c r="H237" s="379">
        <v>428674.3</v>
      </c>
      <c r="I237" s="120">
        <v>1.6484012241434975E-3</v>
      </c>
      <c r="J237" s="379">
        <v>0</v>
      </c>
      <c r="K237" s="120">
        <v>0</v>
      </c>
      <c r="L237" s="379">
        <v>345861.76</v>
      </c>
      <c r="M237" s="120">
        <v>1.5513963025419976E-3</v>
      </c>
      <c r="N237" s="379">
        <v>1190331.3700000001</v>
      </c>
      <c r="O237" s="120">
        <v>1.6772540282590182E-3</v>
      </c>
      <c r="P237" s="383">
        <f t="shared" si="50"/>
        <v>2137499.2200000002</v>
      </c>
      <c r="R237" s="379"/>
      <c r="S237" s="120"/>
      <c r="T237" s="380"/>
      <c r="U237" s="551">
        <v>950</v>
      </c>
      <c r="V237" s="550" t="s">
        <v>531</v>
      </c>
      <c r="W237" s="449" t="s">
        <v>21</v>
      </c>
      <c r="X237" s="562" t="s">
        <v>530</v>
      </c>
      <c r="Y237" s="379">
        <v>0</v>
      </c>
      <c r="Z237" s="379">
        <v>1186503.8600000001</v>
      </c>
      <c r="AA237" s="379">
        <v>402740.57</v>
      </c>
      <c r="AB237" s="379"/>
      <c r="AC237" s="379">
        <v>0</v>
      </c>
      <c r="AD237" s="379">
        <v>1589244.4300000002</v>
      </c>
      <c r="AE237" s="124"/>
      <c r="AF237" s="551">
        <v>950</v>
      </c>
      <c r="AG237" s="550" t="s">
        <v>531</v>
      </c>
      <c r="AH237" s="449" t="s">
        <v>21</v>
      </c>
      <c r="AI237" s="562" t="s">
        <v>530</v>
      </c>
      <c r="AJ237" s="383">
        <f t="shared" si="42"/>
        <v>0</v>
      </c>
      <c r="AK237" s="383">
        <f t="shared" si="43"/>
        <v>1190331.3700000001</v>
      </c>
      <c r="AL237" s="383">
        <f t="shared" si="44"/>
        <v>428674.3</v>
      </c>
      <c r="AM237" s="383">
        <f t="shared" si="45"/>
        <v>0</v>
      </c>
      <c r="AN237" s="383">
        <f t="shared" si="46"/>
        <v>0</v>
      </c>
      <c r="AO237" s="124">
        <f t="shared" si="51"/>
        <v>1619005.6700000002</v>
      </c>
      <c r="AR237" s="124">
        <f t="shared" si="47"/>
        <v>345861.76</v>
      </c>
      <c r="AS237" s="124">
        <f t="shared" si="48"/>
        <v>172631.79</v>
      </c>
      <c r="AV237" s="379">
        <f t="shared" si="52"/>
        <v>518493.55000000005</v>
      </c>
      <c r="AW237" s="124">
        <f t="shared" si="49"/>
        <v>0</v>
      </c>
      <c r="AZ237" s="379">
        <v>0</v>
      </c>
      <c r="BA237" s="379">
        <v>29012.74</v>
      </c>
      <c r="BB237" s="379">
        <v>10853.52</v>
      </c>
      <c r="BC237" s="379"/>
      <c r="BD237" s="379">
        <v>0</v>
      </c>
      <c r="BE237" s="379">
        <f t="shared" si="53"/>
        <v>39866.26</v>
      </c>
      <c r="BF237" s="379"/>
      <c r="BO237" s="477">
        <v>0</v>
      </c>
      <c r="BP237" s="477">
        <v>2751709.73</v>
      </c>
      <c r="BQ237" s="477">
        <v>1014900.1799999999</v>
      </c>
      <c r="BR237" s="477"/>
      <c r="BS237" s="477">
        <v>0</v>
      </c>
      <c r="BT237" s="477">
        <v>3766609.91</v>
      </c>
      <c r="BW237" s="126">
        <v>344</v>
      </c>
      <c r="BX237" s="125">
        <v>31332</v>
      </c>
      <c r="BY237" s="19" t="s">
        <v>21</v>
      </c>
      <c r="BZ237" t="s">
        <v>822</v>
      </c>
    </row>
    <row r="238" spans="1:78" x14ac:dyDescent="0.25">
      <c r="A238" s="443">
        <v>31330</v>
      </c>
      <c r="B238" s="19" t="s">
        <v>21</v>
      </c>
      <c r="C238" t="s">
        <v>128</v>
      </c>
      <c r="D238" s="379"/>
      <c r="E238" s="120"/>
      <c r="F238" s="379">
        <v>61365.53</v>
      </c>
      <c r="G238" s="120">
        <v>1.0251140950887139E-4</v>
      </c>
      <c r="H238" s="379">
        <v>151172.37</v>
      </c>
      <c r="I238" s="120">
        <v>5.8131014563894711E-4</v>
      </c>
      <c r="J238" s="379">
        <v>0</v>
      </c>
      <c r="K238" s="120">
        <v>0</v>
      </c>
      <c r="L238" s="379">
        <v>74262.240000000005</v>
      </c>
      <c r="M238" s="120">
        <v>3.3311044434194297E-4</v>
      </c>
      <c r="N238" s="379">
        <v>263054.53999999998</v>
      </c>
      <c r="O238" s="120">
        <v>3.7066089156906194E-4</v>
      </c>
      <c r="P238" s="383">
        <f t="shared" si="50"/>
        <v>549854.67999999993</v>
      </c>
      <c r="R238" s="379"/>
      <c r="S238" s="120"/>
      <c r="T238" s="380"/>
      <c r="U238" s="551">
        <v>219</v>
      </c>
      <c r="V238" s="550" t="s">
        <v>129</v>
      </c>
      <c r="W238" s="449" t="s">
        <v>21</v>
      </c>
      <c r="X238" s="562" t="s">
        <v>128</v>
      </c>
      <c r="Y238" s="379">
        <v>0</v>
      </c>
      <c r="Z238" s="379">
        <v>251052.09000000003</v>
      </c>
      <c r="AA238" s="379">
        <v>146215.16</v>
      </c>
      <c r="AB238" s="379"/>
      <c r="AC238" s="379">
        <v>0</v>
      </c>
      <c r="AD238" s="379">
        <v>397267.25</v>
      </c>
      <c r="AE238" s="124"/>
      <c r="AF238" s="551">
        <v>219</v>
      </c>
      <c r="AG238" s="550" t="s">
        <v>129</v>
      </c>
      <c r="AH238" s="449" t="s">
        <v>21</v>
      </c>
      <c r="AI238" s="562" t="s">
        <v>128</v>
      </c>
      <c r="AJ238" s="383">
        <f t="shared" si="42"/>
        <v>0</v>
      </c>
      <c r="AK238" s="383">
        <f t="shared" si="43"/>
        <v>263054.53999999998</v>
      </c>
      <c r="AL238" s="383">
        <f t="shared" si="44"/>
        <v>151172.37</v>
      </c>
      <c r="AM238" s="383">
        <f t="shared" si="45"/>
        <v>0</v>
      </c>
      <c r="AN238" s="383">
        <f t="shared" si="46"/>
        <v>0</v>
      </c>
      <c r="AO238" s="124">
        <f t="shared" si="51"/>
        <v>414226.91</v>
      </c>
      <c r="AR238" s="124">
        <f t="shared" si="47"/>
        <v>74262.240000000005</v>
      </c>
      <c r="AS238" s="124">
        <f t="shared" si="48"/>
        <v>61365.53</v>
      </c>
      <c r="AV238" s="379">
        <f t="shared" si="52"/>
        <v>135627.77000000002</v>
      </c>
      <c r="AW238" s="124">
        <f t="shared" si="49"/>
        <v>0</v>
      </c>
      <c r="AZ238" s="379">
        <v>0</v>
      </c>
      <c r="BA238" s="379">
        <v>6420.04</v>
      </c>
      <c r="BB238" s="379">
        <v>3814.18</v>
      </c>
      <c r="BC238" s="379"/>
      <c r="BD238" s="379">
        <v>0</v>
      </c>
      <c r="BE238" s="379">
        <f t="shared" si="53"/>
        <v>10234.219999999999</v>
      </c>
      <c r="BF238" s="379"/>
      <c r="BO238" s="477">
        <v>0</v>
      </c>
      <c r="BP238" s="477">
        <v>594788.91</v>
      </c>
      <c r="BQ238" s="477">
        <v>362567.24</v>
      </c>
      <c r="BR238" s="477"/>
      <c r="BS238" s="477">
        <v>0</v>
      </c>
      <c r="BT238" s="477">
        <v>957356.15</v>
      </c>
      <c r="BW238" s="126">
        <v>931</v>
      </c>
      <c r="BX238" s="125">
        <v>31401</v>
      </c>
      <c r="BY238" s="19" t="s">
        <v>21</v>
      </c>
      <c r="BZ238" t="s">
        <v>1058</v>
      </c>
    </row>
    <row r="239" spans="1:78" x14ac:dyDescent="0.25">
      <c r="A239" s="443">
        <v>31332</v>
      </c>
      <c r="B239" s="19" t="s">
        <v>21</v>
      </c>
      <c r="C239" t="s">
        <v>204</v>
      </c>
      <c r="D239" s="379"/>
      <c r="E239" s="120"/>
      <c r="F239" s="379">
        <v>189678.58</v>
      </c>
      <c r="G239" s="120">
        <v>3.1685896935040273E-4</v>
      </c>
      <c r="H239" s="379">
        <v>471343.55</v>
      </c>
      <c r="I239" s="120">
        <v>1.8124792757861663E-3</v>
      </c>
      <c r="J239" s="379">
        <v>0</v>
      </c>
      <c r="K239" s="120">
        <v>0</v>
      </c>
      <c r="L239" s="379">
        <v>385740.88</v>
      </c>
      <c r="M239" s="120">
        <v>1.7302779439140551E-3</v>
      </c>
      <c r="N239" s="379">
        <v>1345653.76</v>
      </c>
      <c r="O239" s="120">
        <v>1.8961133399365035E-3</v>
      </c>
      <c r="P239" s="383">
        <f t="shared" si="50"/>
        <v>2392416.77</v>
      </c>
      <c r="R239" s="379"/>
      <c r="S239" s="120"/>
      <c r="T239" s="380"/>
      <c r="U239" s="551">
        <v>344</v>
      </c>
      <c r="V239" s="550" t="s">
        <v>205</v>
      </c>
      <c r="W239" s="449" t="s">
        <v>21</v>
      </c>
      <c r="X239" s="562" t="s">
        <v>204</v>
      </c>
      <c r="Y239" s="379">
        <v>0</v>
      </c>
      <c r="Z239" s="379">
        <v>1287105.3700000001</v>
      </c>
      <c r="AA239" s="379">
        <v>469116.98</v>
      </c>
      <c r="AB239" s="379"/>
      <c r="AC239" s="379">
        <v>0</v>
      </c>
      <c r="AD239" s="379">
        <v>1756222.35</v>
      </c>
      <c r="AE239" s="124"/>
      <c r="AF239" s="551">
        <v>344</v>
      </c>
      <c r="AG239" s="550" t="s">
        <v>205</v>
      </c>
      <c r="AH239" s="449" t="s">
        <v>21</v>
      </c>
      <c r="AI239" s="562" t="s">
        <v>204</v>
      </c>
      <c r="AJ239" s="383">
        <f t="shared" si="42"/>
        <v>0</v>
      </c>
      <c r="AK239" s="383">
        <f t="shared" si="43"/>
        <v>1345653.76</v>
      </c>
      <c r="AL239" s="383">
        <f t="shared" si="44"/>
        <v>471343.55</v>
      </c>
      <c r="AM239" s="383">
        <f t="shared" si="45"/>
        <v>0</v>
      </c>
      <c r="AN239" s="383">
        <f t="shared" si="46"/>
        <v>0</v>
      </c>
      <c r="AO239" s="124">
        <f t="shared" si="51"/>
        <v>1816997.31</v>
      </c>
      <c r="AR239" s="124">
        <f t="shared" si="47"/>
        <v>385740.88</v>
      </c>
      <c r="AS239" s="124">
        <f t="shared" si="48"/>
        <v>189678.58</v>
      </c>
      <c r="AV239" s="379">
        <f t="shared" si="52"/>
        <v>575419.46</v>
      </c>
      <c r="AW239" s="124">
        <f t="shared" si="49"/>
        <v>0</v>
      </c>
      <c r="AZ239" s="379">
        <v>0</v>
      </c>
      <c r="BA239" s="379">
        <v>32819.159999999996</v>
      </c>
      <c r="BB239" s="379">
        <v>11936.96</v>
      </c>
      <c r="BC239" s="379"/>
      <c r="BD239" s="379">
        <v>0</v>
      </c>
      <c r="BE239" s="379">
        <f t="shared" si="53"/>
        <v>44756.119999999995</v>
      </c>
      <c r="BF239" s="379"/>
      <c r="BO239" s="477">
        <v>0</v>
      </c>
      <c r="BP239" s="477">
        <v>3051319.17</v>
      </c>
      <c r="BQ239" s="477">
        <v>1142076.07</v>
      </c>
      <c r="BR239" s="477"/>
      <c r="BS239" s="477">
        <v>0</v>
      </c>
      <c r="BT239" s="477">
        <v>4193395.24</v>
      </c>
      <c r="BW239" s="126">
        <v>1597</v>
      </c>
      <c r="BX239" s="125">
        <v>31801</v>
      </c>
      <c r="BY239" s="19" t="s">
        <v>1039</v>
      </c>
      <c r="BZ239" s="382" t="s">
        <v>1172</v>
      </c>
    </row>
    <row r="240" spans="1:78" x14ac:dyDescent="0.25">
      <c r="A240" s="443">
        <v>31401</v>
      </c>
      <c r="B240" s="19" t="s">
        <v>21</v>
      </c>
      <c r="C240" t="s">
        <v>516</v>
      </c>
      <c r="D240" s="379"/>
      <c r="E240" s="120"/>
      <c r="F240" s="379">
        <v>500108.17</v>
      </c>
      <c r="G240" s="120">
        <v>8.3543307478322541E-4</v>
      </c>
      <c r="H240" s="379">
        <v>1219958.83</v>
      </c>
      <c r="I240" s="120">
        <v>4.6911644313098987E-3</v>
      </c>
      <c r="J240" s="379">
        <v>0</v>
      </c>
      <c r="K240" s="120">
        <v>0</v>
      </c>
      <c r="L240" s="379">
        <v>1035391.6</v>
      </c>
      <c r="M240" s="120">
        <v>4.6443489442806367E-3</v>
      </c>
      <c r="N240" s="379">
        <v>3077977.26</v>
      </c>
      <c r="O240" s="120">
        <v>4.3370693979313127E-3</v>
      </c>
      <c r="P240" s="383">
        <f t="shared" si="50"/>
        <v>5833435.8599999994</v>
      </c>
      <c r="R240" s="379"/>
      <c r="S240" s="120"/>
      <c r="T240" s="380"/>
      <c r="U240" s="551">
        <v>931</v>
      </c>
      <c r="V240" s="550" t="s">
        <v>517</v>
      </c>
      <c r="W240" s="449" t="s">
        <v>21</v>
      </c>
      <c r="X240" s="562" t="s">
        <v>516</v>
      </c>
      <c r="Y240" s="379">
        <v>0</v>
      </c>
      <c r="Z240" s="379">
        <v>3101117.18</v>
      </c>
      <c r="AA240" s="379">
        <v>1164295.28</v>
      </c>
      <c r="AB240" s="379"/>
      <c r="AC240" s="379">
        <v>0</v>
      </c>
      <c r="AD240" s="379">
        <v>4265412.46</v>
      </c>
      <c r="AE240" s="124"/>
      <c r="AF240" s="551">
        <v>931</v>
      </c>
      <c r="AG240" s="550" t="s">
        <v>517</v>
      </c>
      <c r="AH240" s="449" t="s">
        <v>21</v>
      </c>
      <c r="AI240" s="562" t="s">
        <v>516</v>
      </c>
      <c r="AJ240" s="383">
        <f t="shared" si="42"/>
        <v>0</v>
      </c>
      <c r="AK240" s="383">
        <f t="shared" si="43"/>
        <v>3077977.26</v>
      </c>
      <c r="AL240" s="383">
        <f t="shared" si="44"/>
        <v>1219958.83</v>
      </c>
      <c r="AM240" s="383">
        <f t="shared" si="45"/>
        <v>0</v>
      </c>
      <c r="AN240" s="383">
        <f t="shared" si="46"/>
        <v>0</v>
      </c>
      <c r="AO240" s="124">
        <f t="shared" si="51"/>
        <v>4297936.09</v>
      </c>
      <c r="AR240" s="124">
        <f t="shared" si="47"/>
        <v>1035391.6</v>
      </c>
      <c r="AS240" s="124">
        <f t="shared" si="48"/>
        <v>500108.17</v>
      </c>
      <c r="AV240" s="379">
        <f t="shared" si="52"/>
        <v>1535499.77</v>
      </c>
      <c r="AW240" s="124">
        <f t="shared" si="49"/>
        <v>0</v>
      </c>
      <c r="AZ240" s="379">
        <v>0</v>
      </c>
      <c r="BA240" s="379">
        <v>74466.28</v>
      </c>
      <c r="BB240" s="379">
        <v>30687.86</v>
      </c>
      <c r="BC240" s="379"/>
      <c r="BD240" s="379">
        <v>0</v>
      </c>
      <c r="BE240" s="379">
        <f t="shared" si="53"/>
        <v>105154.14</v>
      </c>
      <c r="BF240" s="379"/>
      <c r="BO240" s="477">
        <v>0</v>
      </c>
      <c r="BP240" s="477">
        <v>7288952.3200000003</v>
      </c>
      <c r="BQ240" s="477">
        <v>2915050.1399999997</v>
      </c>
      <c r="BR240" s="477"/>
      <c r="BS240" s="477">
        <v>0</v>
      </c>
      <c r="BT240" s="477">
        <v>10204002.460000001</v>
      </c>
      <c r="BW240" s="126">
        <v>926</v>
      </c>
      <c r="BX240" s="125">
        <v>32081</v>
      </c>
      <c r="BY240" s="19" t="s">
        <v>18</v>
      </c>
      <c r="BZ240" t="s">
        <v>1103</v>
      </c>
    </row>
    <row r="241" spans="1:78" x14ac:dyDescent="0.25">
      <c r="A241" s="443">
        <v>31801</v>
      </c>
      <c r="B241" s="19" t="s">
        <v>1039</v>
      </c>
      <c r="C241" t="s">
        <v>1036</v>
      </c>
      <c r="D241" s="379"/>
      <c r="E241" s="120"/>
      <c r="F241" s="379">
        <v>265852.28999999998</v>
      </c>
      <c r="G241" s="120">
        <v>4.441075139261607E-4</v>
      </c>
      <c r="H241" s="379"/>
      <c r="I241" s="120"/>
      <c r="J241" s="379"/>
      <c r="K241" s="120"/>
      <c r="L241" s="379"/>
      <c r="M241" s="120"/>
      <c r="N241" s="379"/>
      <c r="O241" s="120"/>
      <c r="P241" s="383">
        <f t="shared" si="50"/>
        <v>838623.42999999993</v>
      </c>
      <c r="R241" s="379">
        <v>572771.14</v>
      </c>
      <c r="S241" s="120">
        <v>5.8191648311327348E-4</v>
      </c>
      <c r="T241" s="380"/>
      <c r="U241" s="551">
        <v>1597</v>
      </c>
      <c r="V241" s="550" t="s">
        <v>1117</v>
      </c>
      <c r="W241" s="449" t="s">
        <v>1039</v>
      </c>
      <c r="X241" s="562" t="s">
        <v>1036</v>
      </c>
      <c r="Y241" s="379"/>
      <c r="Z241" s="379">
        <v>0</v>
      </c>
      <c r="AA241" s="379">
        <v>0</v>
      </c>
      <c r="AB241" s="379"/>
      <c r="AC241" s="379">
        <v>620827.42999999993</v>
      </c>
      <c r="AD241" s="379">
        <v>620827.42999999993</v>
      </c>
      <c r="AE241" s="124"/>
      <c r="AF241" s="551">
        <v>1597</v>
      </c>
      <c r="AG241" s="550" t="s">
        <v>1117</v>
      </c>
      <c r="AH241" s="449" t="s">
        <v>1039</v>
      </c>
      <c r="AI241" s="562" t="s">
        <v>1036</v>
      </c>
      <c r="AJ241" s="383">
        <f t="shared" si="42"/>
        <v>0</v>
      </c>
      <c r="AK241" s="383">
        <f t="shared" si="43"/>
        <v>0</v>
      </c>
      <c r="AL241" s="383">
        <f t="shared" si="44"/>
        <v>0</v>
      </c>
      <c r="AM241" s="383">
        <f t="shared" si="45"/>
        <v>0</v>
      </c>
      <c r="AN241" s="383">
        <f t="shared" si="46"/>
        <v>572771.14</v>
      </c>
      <c r="AO241" s="124">
        <f t="shared" si="51"/>
        <v>572771.14</v>
      </c>
      <c r="AR241" s="124">
        <f t="shared" si="47"/>
        <v>0</v>
      </c>
      <c r="AS241" s="379">
        <v>0</v>
      </c>
      <c r="AU241" s="124">
        <f>+F241</f>
        <v>265852.28999999998</v>
      </c>
      <c r="AV241" s="379">
        <f t="shared" si="52"/>
        <v>265852.28999999998</v>
      </c>
      <c r="AW241" s="124">
        <f t="shared" si="49"/>
        <v>0</v>
      </c>
      <c r="AZ241" s="379"/>
      <c r="BA241" s="379">
        <v>0</v>
      </c>
      <c r="BB241" s="379">
        <v>0</v>
      </c>
      <c r="BC241" s="379"/>
      <c r="BD241" s="379">
        <v>17702.489999999998</v>
      </c>
      <c r="BE241" s="379">
        <f t="shared" si="53"/>
        <v>17702.489999999998</v>
      </c>
      <c r="BF241" s="379"/>
      <c r="BO241" s="477"/>
      <c r="BP241" s="477">
        <v>0</v>
      </c>
      <c r="BQ241" s="477">
        <v>0</v>
      </c>
      <c r="BR241" s="477"/>
      <c r="BS241" s="477">
        <v>1477153.35</v>
      </c>
      <c r="BT241" s="477">
        <v>1477153.35</v>
      </c>
      <c r="BW241" s="126">
        <v>684</v>
      </c>
      <c r="BX241" s="125">
        <v>32123</v>
      </c>
      <c r="BY241" s="19" t="s">
        <v>18</v>
      </c>
      <c r="BZ241" t="s">
        <v>909</v>
      </c>
    </row>
    <row r="242" spans="1:78" x14ac:dyDescent="0.25">
      <c r="A242" s="443">
        <v>32081</v>
      </c>
      <c r="B242" s="19" t="s">
        <v>18</v>
      </c>
      <c r="C242" t="s">
        <v>512</v>
      </c>
      <c r="D242" s="379">
        <v>14413.6</v>
      </c>
      <c r="E242" s="120">
        <v>2.4077987301618166E-5</v>
      </c>
      <c r="F242" s="379">
        <v>2437049.96</v>
      </c>
      <c r="G242" s="120">
        <v>4.0711035404263378E-3</v>
      </c>
      <c r="H242" s="379">
        <v>6068734.1100000003</v>
      </c>
      <c r="I242" s="120">
        <v>2.3336385540083458E-2</v>
      </c>
      <c r="J242" s="379">
        <v>55982.63</v>
      </c>
      <c r="K242" s="120">
        <v>2.5111548957761824E-4</v>
      </c>
      <c r="L242" s="379">
        <v>5906284.5300000003</v>
      </c>
      <c r="M242" s="120">
        <v>2.6493209256793816E-2</v>
      </c>
      <c r="N242" s="379">
        <v>20878015.760000002</v>
      </c>
      <c r="O242" s="120">
        <v>2.941847700402558E-2</v>
      </c>
      <c r="P242" s="383">
        <f t="shared" si="50"/>
        <v>35360480.590000004</v>
      </c>
      <c r="R242" s="379"/>
      <c r="S242" s="120"/>
      <c r="T242" s="380"/>
      <c r="U242" s="551">
        <v>926</v>
      </c>
      <c r="V242" s="550" t="s">
        <v>513</v>
      </c>
      <c r="W242" s="449" t="s">
        <v>18</v>
      </c>
      <c r="X242" s="562" t="s">
        <v>512</v>
      </c>
      <c r="Y242" s="379">
        <v>32253.16</v>
      </c>
      <c r="Z242" s="379">
        <v>19934405.149999999</v>
      </c>
      <c r="AA242" s="379">
        <v>5557797.5500000007</v>
      </c>
      <c r="AB242" s="379">
        <v>9210.68</v>
      </c>
      <c r="AC242" s="379">
        <v>0</v>
      </c>
      <c r="AD242" s="379">
        <v>25533666.539999999</v>
      </c>
      <c r="AE242" s="124"/>
      <c r="AF242" s="551">
        <v>926</v>
      </c>
      <c r="AG242" s="550" t="s">
        <v>513</v>
      </c>
      <c r="AH242" s="449" t="s">
        <v>18</v>
      </c>
      <c r="AI242" s="562" t="s">
        <v>512</v>
      </c>
      <c r="AJ242" s="383">
        <f t="shared" si="42"/>
        <v>55982.63</v>
      </c>
      <c r="AK242" s="383">
        <f t="shared" si="43"/>
        <v>20878015.760000002</v>
      </c>
      <c r="AL242" s="383">
        <f t="shared" si="44"/>
        <v>6068734.1100000003</v>
      </c>
      <c r="AM242" s="383">
        <f t="shared" si="45"/>
        <v>14413.6</v>
      </c>
      <c r="AN242" s="383">
        <f t="shared" si="46"/>
        <v>0</v>
      </c>
      <c r="AO242" s="124">
        <f t="shared" si="51"/>
        <v>27017146.100000001</v>
      </c>
      <c r="AR242" s="124">
        <f t="shared" si="47"/>
        <v>5906284.5300000003</v>
      </c>
      <c r="AS242" s="124">
        <f t="shared" ref="AS242:AS273" si="54">+F242</f>
        <v>2437049.96</v>
      </c>
      <c r="AV242" s="379">
        <f t="shared" si="52"/>
        <v>8343334.4900000002</v>
      </c>
      <c r="AW242" s="124">
        <f t="shared" si="49"/>
        <v>0</v>
      </c>
      <c r="AZ242" s="379">
        <v>1055.42</v>
      </c>
      <c r="BA242" s="379">
        <v>509511.04</v>
      </c>
      <c r="BB242" s="379">
        <v>153814.49</v>
      </c>
      <c r="BC242" s="379">
        <v>301.79000000000002</v>
      </c>
      <c r="BD242" s="379">
        <v>0</v>
      </c>
      <c r="BE242" s="379">
        <f t="shared" si="53"/>
        <v>664682.74</v>
      </c>
      <c r="BF242" s="379"/>
      <c r="BO242" s="477">
        <v>89291.21</v>
      </c>
      <c r="BP242" s="477">
        <v>47228216.480000004</v>
      </c>
      <c r="BQ242" s="477">
        <v>14217396.109999999</v>
      </c>
      <c r="BR242" s="477">
        <v>23926.07</v>
      </c>
      <c r="BS242" s="477">
        <v>0</v>
      </c>
      <c r="BT242" s="477">
        <v>61558829.870000005</v>
      </c>
      <c r="BW242" s="126">
        <v>363</v>
      </c>
      <c r="BX242" s="125">
        <v>32312</v>
      </c>
      <c r="BY242" s="19" t="s">
        <v>18</v>
      </c>
      <c r="BZ242" t="s">
        <v>824</v>
      </c>
    </row>
    <row r="243" spans="1:78" x14ac:dyDescent="0.25">
      <c r="A243" s="443">
        <v>32123</v>
      </c>
      <c r="B243" s="19" t="s">
        <v>18</v>
      </c>
      <c r="C243" t="s">
        <v>390</v>
      </c>
      <c r="D243" s="379">
        <v>1996.3</v>
      </c>
      <c r="E243" s="120">
        <v>3.3348286375520578E-6</v>
      </c>
      <c r="F243" s="379">
        <v>2926.05</v>
      </c>
      <c r="G243" s="120">
        <v>4.887980431252417E-6</v>
      </c>
      <c r="H243" s="379">
        <v>7196.68</v>
      </c>
      <c r="I243" s="120">
        <v>2.7673728333536732E-5</v>
      </c>
      <c r="J243" s="379"/>
      <c r="K243" s="120"/>
      <c r="L243" s="379">
        <v>15455.46</v>
      </c>
      <c r="M243" s="120">
        <v>6.9326957389234764E-5</v>
      </c>
      <c r="N243" s="379">
        <v>47678.75</v>
      </c>
      <c r="O243" s="120">
        <v>6.718244811094464E-5</v>
      </c>
      <c r="P243" s="383">
        <f t="shared" si="50"/>
        <v>75253.239999999991</v>
      </c>
      <c r="R243" s="379"/>
      <c r="S243" s="120"/>
      <c r="T243" s="380"/>
      <c r="U243" s="551">
        <v>684</v>
      </c>
      <c r="V243" s="550" t="s">
        <v>391</v>
      </c>
      <c r="W243" s="449" t="s">
        <v>18</v>
      </c>
      <c r="X243" s="562" t="s">
        <v>390</v>
      </c>
      <c r="Y243" s="379"/>
      <c r="Z243" s="379">
        <v>44297.84</v>
      </c>
      <c r="AA243" s="379">
        <v>7380.18</v>
      </c>
      <c r="AB243" s="379">
        <v>1258.29</v>
      </c>
      <c r="AC243" s="379">
        <v>0</v>
      </c>
      <c r="AD243" s="379">
        <v>52936.31</v>
      </c>
      <c r="AE243" s="124"/>
      <c r="AF243" s="551">
        <v>684</v>
      </c>
      <c r="AG243" s="550" t="s">
        <v>391</v>
      </c>
      <c r="AH243" s="449" t="s">
        <v>18</v>
      </c>
      <c r="AI243" s="562" t="s">
        <v>390</v>
      </c>
      <c r="AJ243" s="383">
        <f t="shared" si="42"/>
        <v>0</v>
      </c>
      <c r="AK243" s="383">
        <f t="shared" si="43"/>
        <v>47678.75</v>
      </c>
      <c r="AL243" s="383">
        <f t="shared" si="44"/>
        <v>7196.68</v>
      </c>
      <c r="AM243" s="383">
        <f t="shared" si="45"/>
        <v>1996.3</v>
      </c>
      <c r="AN243" s="383">
        <f t="shared" si="46"/>
        <v>0</v>
      </c>
      <c r="AO243" s="124">
        <f t="shared" si="51"/>
        <v>56871.73</v>
      </c>
      <c r="AR243" s="124">
        <f t="shared" si="47"/>
        <v>15455.46</v>
      </c>
      <c r="AS243" s="124">
        <f t="shared" si="54"/>
        <v>2926.05</v>
      </c>
      <c r="AV243" s="379">
        <f t="shared" si="52"/>
        <v>18381.509999999998</v>
      </c>
      <c r="AW243" s="124">
        <f t="shared" si="49"/>
        <v>0</v>
      </c>
      <c r="AZ243" s="379"/>
      <c r="BA243" s="379">
        <v>1155.6200000000001</v>
      </c>
      <c r="BB243" s="379">
        <v>181.48</v>
      </c>
      <c r="BC243" s="379">
        <v>40.79</v>
      </c>
      <c r="BD243" s="379">
        <v>0</v>
      </c>
      <c r="BE243" s="379">
        <f t="shared" si="53"/>
        <v>1377.89</v>
      </c>
      <c r="BF243" s="379"/>
      <c r="BO243" s="477"/>
      <c r="BP243" s="477">
        <v>108587.67000000001</v>
      </c>
      <c r="BQ243" s="477">
        <v>17684.39</v>
      </c>
      <c r="BR243" s="477">
        <v>3295.38</v>
      </c>
      <c r="BS243" s="477">
        <v>0</v>
      </c>
      <c r="BT243" s="477">
        <v>129567.44000000002</v>
      </c>
      <c r="BW243" s="126">
        <v>640</v>
      </c>
      <c r="BX243" s="125">
        <v>32325</v>
      </c>
      <c r="BY243" s="19" t="s">
        <v>18</v>
      </c>
      <c r="BZ243" t="s">
        <v>888</v>
      </c>
    </row>
    <row r="244" spans="1:78" x14ac:dyDescent="0.25">
      <c r="A244" s="443">
        <v>32312</v>
      </c>
      <c r="B244" s="19" t="s">
        <v>18</v>
      </c>
      <c r="C244" t="s">
        <v>208</v>
      </c>
      <c r="D244" s="379"/>
      <c r="E244" s="120"/>
      <c r="F244" s="379">
        <v>3861.43</v>
      </c>
      <c r="G244" s="120">
        <v>6.4505371667097347E-6</v>
      </c>
      <c r="H244" s="379">
        <v>9416.64</v>
      </c>
      <c r="I244" s="120">
        <v>3.6210243775562528E-5</v>
      </c>
      <c r="J244" s="379">
        <v>0</v>
      </c>
      <c r="K244" s="120">
        <v>0</v>
      </c>
      <c r="L244" s="379">
        <v>7247.19</v>
      </c>
      <c r="M244" s="120">
        <v>3.2507970149169826E-5</v>
      </c>
      <c r="N244" s="379">
        <v>21065.62</v>
      </c>
      <c r="O244" s="120">
        <v>2.9682823534066595E-5</v>
      </c>
      <c r="P244" s="383">
        <f t="shared" si="50"/>
        <v>41590.879999999997</v>
      </c>
      <c r="R244" s="379"/>
      <c r="S244" s="120"/>
      <c r="T244" s="380"/>
      <c r="U244" s="551">
        <v>363</v>
      </c>
      <c r="V244" s="550" t="s">
        <v>209</v>
      </c>
      <c r="W244" s="449" t="s">
        <v>18</v>
      </c>
      <c r="X244" s="562" t="s">
        <v>208</v>
      </c>
      <c r="Y244" s="379">
        <v>0</v>
      </c>
      <c r="Z244" s="379">
        <v>19488.7</v>
      </c>
      <c r="AA244" s="379">
        <v>9416.56</v>
      </c>
      <c r="AB244" s="379"/>
      <c r="AC244" s="379">
        <v>0</v>
      </c>
      <c r="AD244" s="379">
        <v>28905.260000000002</v>
      </c>
      <c r="AE244" s="124"/>
      <c r="AF244" s="551">
        <v>363</v>
      </c>
      <c r="AG244" s="550" t="s">
        <v>209</v>
      </c>
      <c r="AH244" s="449" t="s">
        <v>18</v>
      </c>
      <c r="AI244" s="562" t="s">
        <v>208</v>
      </c>
      <c r="AJ244" s="383">
        <f t="shared" si="42"/>
        <v>0</v>
      </c>
      <c r="AK244" s="383">
        <f t="shared" si="43"/>
        <v>21065.62</v>
      </c>
      <c r="AL244" s="383">
        <f t="shared" si="44"/>
        <v>9416.64</v>
      </c>
      <c r="AM244" s="383">
        <f t="shared" si="45"/>
        <v>0</v>
      </c>
      <c r="AN244" s="383">
        <f t="shared" si="46"/>
        <v>0</v>
      </c>
      <c r="AO244" s="124">
        <f t="shared" si="51"/>
        <v>30482.26</v>
      </c>
      <c r="AR244" s="124">
        <f t="shared" si="47"/>
        <v>7247.19</v>
      </c>
      <c r="AS244" s="124">
        <f t="shared" si="54"/>
        <v>3861.43</v>
      </c>
      <c r="AV244" s="379">
        <f t="shared" si="52"/>
        <v>11108.619999999999</v>
      </c>
      <c r="AW244" s="124">
        <f t="shared" si="49"/>
        <v>0</v>
      </c>
      <c r="AZ244" s="379">
        <v>0</v>
      </c>
      <c r="BA244" s="379">
        <v>508.92</v>
      </c>
      <c r="BB244" s="379">
        <v>236.79</v>
      </c>
      <c r="BC244" s="379"/>
      <c r="BD244" s="379">
        <v>0</v>
      </c>
      <c r="BE244" s="379">
        <f t="shared" si="53"/>
        <v>745.71</v>
      </c>
      <c r="BF244" s="379"/>
      <c r="BO244" s="477">
        <v>0</v>
      </c>
      <c r="BP244" s="477">
        <v>48310.43</v>
      </c>
      <c r="BQ244" s="477">
        <v>22931.42</v>
      </c>
      <c r="BR244" s="477"/>
      <c r="BS244" s="477">
        <v>0</v>
      </c>
      <c r="BT244" s="477">
        <v>71241.850000000006</v>
      </c>
      <c r="BW244" s="126">
        <v>582</v>
      </c>
      <c r="BX244" s="125">
        <v>32326</v>
      </c>
      <c r="BY244" s="19" t="s">
        <v>18</v>
      </c>
      <c r="BZ244" t="s">
        <v>868</v>
      </c>
    </row>
    <row r="245" spans="1:78" x14ac:dyDescent="0.25">
      <c r="A245" s="443">
        <v>32325</v>
      </c>
      <c r="B245" s="19" t="s">
        <v>18</v>
      </c>
      <c r="C245" t="s">
        <v>338</v>
      </c>
      <c r="D245" s="379"/>
      <c r="E245" s="120"/>
      <c r="F245" s="379">
        <v>78871.75</v>
      </c>
      <c r="G245" s="120">
        <v>1.3175563321837726E-4</v>
      </c>
      <c r="H245" s="379">
        <v>195987.53</v>
      </c>
      <c r="I245" s="120">
        <v>7.5363996481445333E-4</v>
      </c>
      <c r="J245" s="379"/>
      <c r="K245" s="120"/>
      <c r="L245" s="379">
        <v>236976.62</v>
      </c>
      <c r="M245" s="120">
        <v>1.0629814988997338E-3</v>
      </c>
      <c r="N245" s="379">
        <v>812250.22</v>
      </c>
      <c r="O245" s="120">
        <v>1.1445131900113441E-3</v>
      </c>
      <c r="P245" s="383">
        <f t="shared" si="50"/>
        <v>1324086.1200000001</v>
      </c>
      <c r="R245" s="379"/>
      <c r="S245" s="120"/>
      <c r="T245" s="380"/>
      <c r="U245" s="551">
        <v>640</v>
      </c>
      <c r="V245" s="550" t="s">
        <v>339</v>
      </c>
      <c r="W245" s="449" t="s">
        <v>18</v>
      </c>
      <c r="X245" s="562" t="s">
        <v>338</v>
      </c>
      <c r="Y245" s="379"/>
      <c r="Z245" s="379">
        <v>846213.30999999994</v>
      </c>
      <c r="AA245" s="379">
        <v>187717.33000000002</v>
      </c>
      <c r="AB245" s="379"/>
      <c r="AC245" s="379">
        <v>0</v>
      </c>
      <c r="AD245" s="379">
        <v>1033930.6399999999</v>
      </c>
      <c r="AE245" s="124"/>
      <c r="AF245" s="551">
        <v>640</v>
      </c>
      <c r="AG245" s="550" t="s">
        <v>339</v>
      </c>
      <c r="AH245" s="449" t="s">
        <v>18</v>
      </c>
      <c r="AI245" s="562" t="s">
        <v>338</v>
      </c>
      <c r="AJ245" s="383">
        <f t="shared" si="42"/>
        <v>0</v>
      </c>
      <c r="AK245" s="383">
        <f t="shared" si="43"/>
        <v>812250.22</v>
      </c>
      <c r="AL245" s="383">
        <f t="shared" si="44"/>
        <v>195987.53</v>
      </c>
      <c r="AM245" s="383">
        <f t="shared" si="45"/>
        <v>0</v>
      </c>
      <c r="AN245" s="383">
        <f t="shared" si="46"/>
        <v>0</v>
      </c>
      <c r="AO245" s="124">
        <f t="shared" si="51"/>
        <v>1008237.75</v>
      </c>
      <c r="AR245" s="124">
        <f t="shared" si="47"/>
        <v>236976.62</v>
      </c>
      <c r="AS245" s="124">
        <f t="shared" si="54"/>
        <v>78871.75</v>
      </c>
      <c r="AV245" s="379">
        <f t="shared" si="52"/>
        <v>315848.37</v>
      </c>
      <c r="AW245" s="124">
        <f t="shared" si="49"/>
        <v>0</v>
      </c>
      <c r="AZ245" s="379"/>
      <c r="BA245" s="379">
        <v>19793.77</v>
      </c>
      <c r="BB245" s="379">
        <v>4963.3</v>
      </c>
      <c r="BC245" s="379"/>
      <c r="BD245" s="379">
        <v>0</v>
      </c>
      <c r="BE245" s="379">
        <f t="shared" si="53"/>
        <v>24757.07</v>
      </c>
      <c r="BF245" s="379"/>
      <c r="BO245" s="477"/>
      <c r="BP245" s="477">
        <v>1915233.92</v>
      </c>
      <c r="BQ245" s="477">
        <v>467539.91000000003</v>
      </c>
      <c r="BR245" s="477"/>
      <c r="BS245" s="477">
        <v>0</v>
      </c>
      <c r="BT245" s="477">
        <v>2382773.83</v>
      </c>
      <c r="BW245" s="126">
        <v>580</v>
      </c>
      <c r="BX245" s="125">
        <v>32354</v>
      </c>
      <c r="BY245" s="19" t="s">
        <v>18</v>
      </c>
      <c r="BZ245" t="s">
        <v>867</v>
      </c>
    </row>
    <row r="246" spans="1:78" x14ac:dyDescent="0.25">
      <c r="A246" s="443">
        <v>32326</v>
      </c>
      <c r="B246" s="19" t="s">
        <v>18</v>
      </c>
      <c r="C246" t="s">
        <v>298</v>
      </c>
      <c r="D246" s="379">
        <v>2888.9</v>
      </c>
      <c r="E246" s="120">
        <v>4.8259211796945049E-6</v>
      </c>
      <c r="F246" s="379">
        <v>161228.93</v>
      </c>
      <c r="G246" s="120">
        <v>2.6933369381649858E-4</v>
      </c>
      <c r="H246" s="379">
        <v>391924.53</v>
      </c>
      <c r="I246" s="120">
        <v>1.5070856242696727E-3</v>
      </c>
      <c r="J246" s="379">
        <v>0</v>
      </c>
      <c r="K246" s="120">
        <v>0</v>
      </c>
      <c r="L246" s="379">
        <v>360587.66</v>
      </c>
      <c r="M246" s="120">
        <v>1.6174507481436251E-3</v>
      </c>
      <c r="N246" s="379">
        <v>1086253.76</v>
      </c>
      <c r="O246" s="120">
        <v>1.530601932024613E-3</v>
      </c>
      <c r="P246" s="383">
        <f t="shared" si="50"/>
        <v>2002883.78</v>
      </c>
      <c r="R246" s="379"/>
      <c r="S246" s="120"/>
      <c r="T246" s="380"/>
      <c r="U246" s="551">
        <v>582</v>
      </c>
      <c r="V246" s="550" t="s">
        <v>299</v>
      </c>
      <c r="W246" s="449" t="s">
        <v>18</v>
      </c>
      <c r="X246" s="562" t="s">
        <v>298</v>
      </c>
      <c r="Y246" s="379">
        <v>0</v>
      </c>
      <c r="Z246" s="379">
        <v>1047310.9299999999</v>
      </c>
      <c r="AA246" s="379">
        <v>384923.98</v>
      </c>
      <c r="AB246" s="379">
        <v>1828.33</v>
      </c>
      <c r="AC246" s="379">
        <v>0</v>
      </c>
      <c r="AD246" s="379">
        <v>1434063.24</v>
      </c>
      <c r="AE246" s="124"/>
      <c r="AF246" s="551">
        <v>582</v>
      </c>
      <c r="AG246" s="550" t="s">
        <v>299</v>
      </c>
      <c r="AH246" s="449" t="s">
        <v>18</v>
      </c>
      <c r="AI246" s="562" t="s">
        <v>298</v>
      </c>
      <c r="AJ246" s="383">
        <f t="shared" si="42"/>
        <v>0</v>
      </c>
      <c r="AK246" s="383">
        <f t="shared" si="43"/>
        <v>1086253.76</v>
      </c>
      <c r="AL246" s="383">
        <f t="shared" si="44"/>
        <v>391924.53</v>
      </c>
      <c r="AM246" s="383">
        <f t="shared" si="45"/>
        <v>2888.9</v>
      </c>
      <c r="AN246" s="383">
        <f t="shared" si="46"/>
        <v>0</v>
      </c>
      <c r="AO246" s="124">
        <f t="shared" si="51"/>
        <v>1481067.19</v>
      </c>
      <c r="AR246" s="124">
        <f t="shared" si="47"/>
        <v>360587.66</v>
      </c>
      <c r="AS246" s="124">
        <f t="shared" si="54"/>
        <v>161228.93</v>
      </c>
      <c r="AV246" s="379">
        <f t="shared" si="52"/>
        <v>521816.58999999997</v>
      </c>
      <c r="AW246" s="124">
        <f t="shared" si="49"/>
        <v>0</v>
      </c>
      <c r="AZ246" s="379">
        <v>0</v>
      </c>
      <c r="BA246" s="379">
        <v>26298.82</v>
      </c>
      <c r="BB246" s="379">
        <v>9845.869999999999</v>
      </c>
      <c r="BC246" s="379">
        <v>59.68</v>
      </c>
      <c r="BD246" s="379">
        <v>0</v>
      </c>
      <c r="BE246" s="379">
        <f t="shared" si="53"/>
        <v>36204.370000000003</v>
      </c>
      <c r="BF246" s="379"/>
      <c r="BO246" s="477">
        <v>0</v>
      </c>
      <c r="BP246" s="477">
        <v>2520451.17</v>
      </c>
      <c r="BQ246" s="477">
        <v>947923.30999999994</v>
      </c>
      <c r="BR246" s="477">
        <v>4776.91</v>
      </c>
      <c r="BS246" s="477">
        <v>0</v>
      </c>
      <c r="BT246" s="477">
        <v>3473151.39</v>
      </c>
      <c r="BW246" s="126">
        <v>115</v>
      </c>
      <c r="BX246" s="125">
        <v>32356</v>
      </c>
      <c r="BY246" s="19" t="s">
        <v>18</v>
      </c>
      <c r="BZ246" t="s">
        <v>760</v>
      </c>
    </row>
    <row r="247" spans="1:78" x14ac:dyDescent="0.25">
      <c r="A247" s="443">
        <v>32354</v>
      </c>
      <c r="B247" s="19" t="s">
        <v>18</v>
      </c>
      <c r="C247" t="s">
        <v>296</v>
      </c>
      <c r="D247" s="379"/>
      <c r="E247" s="120"/>
      <c r="F247" s="379">
        <v>713911.58</v>
      </c>
      <c r="G247" s="120">
        <v>1.19259268730353E-3</v>
      </c>
      <c r="H247" s="379">
        <v>1740487.01</v>
      </c>
      <c r="I247" s="120">
        <v>6.6927756524938764E-3</v>
      </c>
      <c r="J247" s="379">
        <v>0</v>
      </c>
      <c r="K247" s="120">
        <v>0</v>
      </c>
      <c r="L247" s="379">
        <v>1955862.85</v>
      </c>
      <c r="M247" s="120">
        <v>8.7732115680243285E-3</v>
      </c>
      <c r="N247" s="379">
        <v>5873755.0499999998</v>
      </c>
      <c r="O247" s="120">
        <v>8.2765014574212627E-3</v>
      </c>
      <c r="P247" s="383">
        <f t="shared" si="50"/>
        <v>10284016.489999998</v>
      </c>
      <c r="R247" s="379"/>
      <c r="S247" s="120"/>
      <c r="T247" s="380"/>
      <c r="U247" s="551">
        <v>580</v>
      </c>
      <c r="V247" s="550" t="s">
        <v>297</v>
      </c>
      <c r="W247" s="449" t="s">
        <v>18</v>
      </c>
      <c r="X247" s="562" t="s">
        <v>296</v>
      </c>
      <c r="Y247" s="379">
        <v>0</v>
      </c>
      <c r="Z247" s="379">
        <v>5685516.9399999995</v>
      </c>
      <c r="AA247" s="379">
        <v>1605592.76</v>
      </c>
      <c r="AB247" s="379"/>
      <c r="AC247" s="379">
        <v>0</v>
      </c>
      <c r="AD247" s="379">
        <v>7291109.6999999993</v>
      </c>
      <c r="AE247" s="124"/>
      <c r="AF247" s="551">
        <v>580</v>
      </c>
      <c r="AG247" s="550" t="s">
        <v>297</v>
      </c>
      <c r="AH247" s="449" t="s">
        <v>18</v>
      </c>
      <c r="AI247" s="562" t="s">
        <v>296</v>
      </c>
      <c r="AJ247" s="383">
        <f t="shared" si="42"/>
        <v>0</v>
      </c>
      <c r="AK247" s="383">
        <f t="shared" si="43"/>
        <v>5873755.0499999998</v>
      </c>
      <c r="AL247" s="383">
        <f t="shared" si="44"/>
        <v>1740487.01</v>
      </c>
      <c r="AM247" s="383">
        <f t="shared" si="45"/>
        <v>0</v>
      </c>
      <c r="AN247" s="383">
        <f t="shared" si="46"/>
        <v>0</v>
      </c>
      <c r="AO247" s="124">
        <f t="shared" si="51"/>
        <v>7614242.0599999996</v>
      </c>
      <c r="AR247" s="124">
        <f t="shared" si="47"/>
        <v>1955862.85</v>
      </c>
      <c r="AS247" s="124">
        <f t="shared" si="54"/>
        <v>713911.58</v>
      </c>
      <c r="AV247" s="379">
        <f t="shared" si="52"/>
        <v>2669774.4300000002</v>
      </c>
      <c r="AW247" s="124">
        <f t="shared" si="49"/>
        <v>0</v>
      </c>
      <c r="AZ247" s="379">
        <v>0</v>
      </c>
      <c r="BA247" s="379">
        <v>142175.46</v>
      </c>
      <c r="BB247" s="379">
        <v>43775.3</v>
      </c>
      <c r="BC247" s="379"/>
      <c r="BD247" s="379">
        <v>0</v>
      </c>
      <c r="BE247" s="379">
        <f t="shared" si="53"/>
        <v>185950.76</v>
      </c>
      <c r="BF247" s="379"/>
      <c r="BO247" s="477">
        <v>0</v>
      </c>
      <c r="BP247" s="477">
        <v>13657310.299999999</v>
      </c>
      <c r="BQ247" s="477">
        <v>4103766.6500000004</v>
      </c>
      <c r="BR247" s="477"/>
      <c r="BS247" s="477">
        <v>0</v>
      </c>
      <c r="BT247" s="477">
        <v>17761076.949999999</v>
      </c>
      <c r="BW247" s="126">
        <v>320</v>
      </c>
      <c r="BX247" s="125">
        <v>32358</v>
      </c>
      <c r="BY247" s="19" t="s">
        <v>18</v>
      </c>
      <c r="BZ247" t="s">
        <v>815</v>
      </c>
    </row>
    <row r="248" spans="1:78" x14ac:dyDescent="0.25">
      <c r="A248" s="443">
        <v>32356</v>
      </c>
      <c r="B248" s="19" t="s">
        <v>18</v>
      </c>
      <c r="C248" t="s">
        <v>78</v>
      </c>
      <c r="D248" s="379">
        <v>2486.85</v>
      </c>
      <c r="E248" s="120">
        <v>4.1542947439244275E-6</v>
      </c>
      <c r="F248" s="379">
        <v>976411.03</v>
      </c>
      <c r="G248" s="120">
        <v>1.6310992660750897E-3</v>
      </c>
      <c r="H248" s="379">
        <v>2443409.65</v>
      </c>
      <c r="I248" s="120">
        <v>9.3957567741850493E-3</v>
      </c>
      <c r="J248" s="379">
        <v>2654.61</v>
      </c>
      <c r="K248" s="120">
        <v>1.19075093433024E-5</v>
      </c>
      <c r="L248" s="379">
        <v>2477597.2200000002</v>
      </c>
      <c r="M248" s="120">
        <v>1.1113501435649702E-2</v>
      </c>
      <c r="N248" s="379">
        <v>8888261.1999999993</v>
      </c>
      <c r="O248" s="120">
        <v>1.2524135948730253E-2</v>
      </c>
      <c r="P248" s="383">
        <f t="shared" si="50"/>
        <v>14790820.559999999</v>
      </c>
      <c r="R248" s="379"/>
      <c r="S248" s="120"/>
      <c r="T248" s="380"/>
      <c r="U248" s="551">
        <v>115</v>
      </c>
      <c r="V248" s="550" t="s">
        <v>79</v>
      </c>
      <c r="W248" s="449" t="s">
        <v>18</v>
      </c>
      <c r="X248" s="562" t="s">
        <v>78</v>
      </c>
      <c r="Y248" s="379">
        <v>1097.7</v>
      </c>
      <c r="Z248" s="379">
        <v>8627745.4100000001</v>
      </c>
      <c r="AA248" s="379">
        <v>2307284.65</v>
      </c>
      <c r="AB248" s="379">
        <v>1575.49</v>
      </c>
      <c r="AC248" s="379">
        <v>0</v>
      </c>
      <c r="AD248" s="379">
        <v>10937703.25</v>
      </c>
      <c r="AE248" s="124"/>
      <c r="AF248" s="551">
        <v>115</v>
      </c>
      <c r="AG248" s="550" t="s">
        <v>79</v>
      </c>
      <c r="AH248" s="449" t="s">
        <v>18</v>
      </c>
      <c r="AI248" s="562" t="s">
        <v>78</v>
      </c>
      <c r="AJ248" s="383">
        <f t="shared" si="42"/>
        <v>2654.61</v>
      </c>
      <c r="AK248" s="383">
        <f t="shared" si="43"/>
        <v>8888261.1999999993</v>
      </c>
      <c r="AL248" s="383">
        <f t="shared" si="44"/>
        <v>2443409.65</v>
      </c>
      <c r="AM248" s="383">
        <f t="shared" si="45"/>
        <v>2486.85</v>
      </c>
      <c r="AN248" s="383">
        <f t="shared" si="46"/>
        <v>0</v>
      </c>
      <c r="AO248" s="124">
        <f t="shared" si="51"/>
        <v>11336812.309999999</v>
      </c>
      <c r="AR248" s="124">
        <f t="shared" si="47"/>
        <v>2477597.2200000002</v>
      </c>
      <c r="AS248" s="124">
        <f t="shared" si="54"/>
        <v>976411.03</v>
      </c>
      <c r="AV248" s="379">
        <f t="shared" si="52"/>
        <v>3454008.25</v>
      </c>
      <c r="AW248" s="124">
        <f t="shared" si="49"/>
        <v>0</v>
      </c>
      <c r="AZ248" s="379">
        <v>32.93</v>
      </c>
      <c r="BA248" s="379">
        <v>217053.56</v>
      </c>
      <c r="BB248" s="379">
        <v>62036.960000000006</v>
      </c>
      <c r="BC248" s="379">
        <v>51.61</v>
      </c>
      <c r="BD248" s="379">
        <v>0</v>
      </c>
      <c r="BE248" s="379">
        <f t="shared" si="53"/>
        <v>279175.06</v>
      </c>
      <c r="BF248" s="379"/>
      <c r="BO248" s="477">
        <v>3785.24</v>
      </c>
      <c r="BP248" s="477">
        <v>20210657.390000001</v>
      </c>
      <c r="BQ248" s="477">
        <v>5789142.29</v>
      </c>
      <c r="BR248" s="477">
        <v>4113.95</v>
      </c>
      <c r="BS248" s="477">
        <v>0</v>
      </c>
      <c r="BT248" s="477">
        <v>26007698.869999997</v>
      </c>
      <c r="BW248" s="126">
        <v>133</v>
      </c>
      <c r="BX248" s="125">
        <v>32360</v>
      </c>
      <c r="BY248" s="19" t="s">
        <v>18</v>
      </c>
      <c r="BZ248" t="s">
        <v>763</v>
      </c>
    </row>
    <row r="249" spans="1:78" x14ac:dyDescent="0.25">
      <c r="A249" s="443">
        <v>32358</v>
      </c>
      <c r="B249" s="19" t="s">
        <v>18</v>
      </c>
      <c r="C249" t="s">
        <v>190</v>
      </c>
      <c r="D249" s="379"/>
      <c r="E249" s="120"/>
      <c r="F249" s="379">
        <v>67557.11</v>
      </c>
      <c r="G249" s="120">
        <v>1.1285447332477809E-4</v>
      </c>
      <c r="H249" s="379">
        <v>163906.01999999999</v>
      </c>
      <c r="I249" s="120">
        <v>6.3027544224715255E-4</v>
      </c>
      <c r="J249" s="379"/>
      <c r="K249" s="120"/>
      <c r="L249" s="379">
        <v>159513.20000000001</v>
      </c>
      <c r="M249" s="120">
        <v>7.1551185273168729E-4</v>
      </c>
      <c r="N249" s="379">
        <v>476601.82</v>
      </c>
      <c r="O249" s="120">
        <v>6.7156284595824725E-4</v>
      </c>
      <c r="P249" s="383">
        <f t="shared" si="50"/>
        <v>867578.15</v>
      </c>
      <c r="R249" s="379"/>
      <c r="S249" s="120"/>
      <c r="T249" s="380"/>
      <c r="U249" s="551">
        <v>320</v>
      </c>
      <c r="V249" s="550" t="s">
        <v>191</v>
      </c>
      <c r="W249" s="449" t="s">
        <v>18</v>
      </c>
      <c r="X249" s="562" t="s">
        <v>190</v>
      </c>
      <c r="Y249" s="379"/>
      <c r="Z249" s="379">
        <v>447564.22</v>
      </c>
      <c r="AA249" s="379">
        <v>165774.94</v>
      </c>
      <c r="AB249" s="379"/>
      <c r="AC249" s="379">
        <v>0</v>
      </c>
      <c r="AD249" s="379">
        <v>613339.15999999992</v>
      </c>
      <c r="AE249" s="124"/>
      <c r="AF249" s="551">
        <v>320</v>
      </c>
      <c r="AG249" s="550" t="s">
        <v>191</v>
      </c>
      <c r="AH249" s="449" t="s">
        <v>18</v>
      </c>
      <c r="AI249" s="562" t="s">
        <v>190</v>
      </c>
      <c r="AJ249" s="383">
        <f t="shared" si="42"/>
        <v>0</v>
      </c>
      <c r="AK249" s="383">
        <f t="shared" si="43"/>
        <v>476601.82</v>
      </c>
      <c r="AL249" s="383">
        <f t="shared" si="44"/>
        <v>163906.01999999999</v>
      </c>
      <c r="AM249" s="383">
        <f t="shared" si="45"/>
        <v>0</v>
      </c>
      <c r="AN249" s="383">
        <f t="shared" si="46"/>
        <v>0</v>
      </c>
      <c r="AO249" s="124">
        <f t="shared" si="51"/>
        <v>640507.84</v>
      </c>
      <c r="AR249" s="124">
        <f t="shared" si="47"/>
        <v>159513.20000000001</v>
      </c>
      <c r="AS249" s="124">
        <f t="shared" si="54"/>
        <v>67557.11</v>
      </c>
      <c r="AV249" s="379">
        <f t="shared" si="52"/>
        <v>227070.31</v>
      </c>
      <c r="AW249" s="124">
        <f t="shared" si="49"/>
        <v>0</v>
      </c>
      <c r="AZ249" s="379"/>
      <c r="BA249" s="379">
        <v>11533.7</v>
      </c>
      <c r="BB249" s="379">
        <v>4114.57</v>
      </c>
      <c r="BC249" s="379"/>
      <c r="BD249" s="379">
        <v>0</v>
      </c>
      <c r="BE249" s="379">
        <f t="shared" si="53"/>
        <v>15648.27</v>
      </c>
      <c r="BF249" s="379"/>
      <c r="BO249" s="477"/>
      <c r="BP249" s="477">
        <v>1095212.94</v>
      </c>
      <c r="BQ249" s="477">
        <v>401352.64</v>
      </c>
      <c r="BR249" s="477"/>
      <c r="BS249" s="477">
        <v>0</v>
      </c>
      <c r="BT249" s="477">
        <v>1496565.58</v>
      </c>
      <c r="BW249" s="126">
        <v>243</v>
      </c>
      <c r="BX249" s="125">
        <v>32361</v>
      </c>
      <c r="BY249" s="19" t="s">
        <v>18</v>
      </c>
      <c r="BZ249" t="s">
        <v>791</v>
      </c>
    </row>
    <row r="250" spans="1:78" x14ac:dyDescent="0.25">
      <c r="A250" s="443">
        <v>32360</v>
      </c>
      <c r="B250" s="19" t="s">
        <v>18</v>
      </c>
      <c r="C250" t="s">
        <v>84</v>
      </c>
      <c r="D250" s="379">
        <v>2885.5</v>
      </c>
      <c r="E250" s="120">
        <v>4.8202414635357731E-6</v>
      </c>
      <c r="F250" s="379">
        <v>391703.07</v>
      </c>
      <c r="G250" s="120">
        <v>6.543418400305858E-4</v>
      </c>
      <c r="H250" s="379">
        <v>975938.82</v>
      </c>
      <c r="I250" s="120">
        <v>3.7528229370810432E-3</v>
      </c>
      <c r="J250" s="379">
        <v>0</v>
      </c>
      <c r="K250" s="120">
        <v>0</v>
      </c>
      <c r="L250" s="379">
        <v>865370.35</v>
      </c>
      <c r="M250" s="120">
        <v>3.8817022191741414E-3</v>
      </c>
      <c r="N250" s="379">
        <v>2901855.48</v>
      </c>
      <c r="O250" s="120">
        <v>4.0889023980402251E-3</v>
      </c>
      <c r="P250" s="383">
        <f t="shared" si="50"/>
        <v>5137753.22</v>
      </c>
      <c r="R250" s="379"/>
      <c r="S250" s="120"/>
      <c r="T250" s="380"/>
      <c r="U250" s="551">
        <v>133</v>
      </c>
      <c r="V250" s="550" t="s">
        <v>85</v>
      </c>
      <c r="W250" s="449" t="s">
        <v>18</v>
      </c>
      <c r="X250" s="562" t="s">
        <v>84</v>
      </c>
      <c r="Y250" s="379">
        <v>0</v>
      </c>
      <c r="Z250" s="379">
        <v>2834434.41</v>
      </c>
      <c r="AA250" s="379">
        <v>912955.14999999991</v>
      </c>
      <c r="AB250" s="379">
        <v>1828.93</v>
      </c>
      <c r="AC250" s="379">
        <v>0</v>
      </c>
      <c r="AD250" s="379">
        <v>3749218.49</v>
      </c>
      <c r="AE250" s="124"/>
      <c r="AF250" s="551">
        <v>133</v>
      </c>
      <c r="AG250" s="550" t="s">
        <v>85</v>
      </c>
      <c r="AH250" s="449" t="s">
        <v>18</v>
      </c>
      <c r="AI250" s="562" t="s">
        <v>84</v>
      </c>
      <c r="AJ250" s="383">
        <f t="shared" si="42"/>
        <v>0</v>
      </c>
      <c r="AK250" s="383">
        <f t="shared" si="43"/>
        <v>2901855.48</v>
      </c>
      <c r="AL250" s="383">
        <f t="shared" si="44"/>
        <v>975938.82</v>
      </c>
      <c r="AM250" s="383">
        <f t="shared" si="45"/>
        <v>2885.5</v>
      </c>
      <c r="AN250" s="383">
        <f t="shared" si="46"/>
        <v>0</v>
      </c>
      <c r="AO250" s="124">
        <f t="shared" si="51"/>
        <v>3880679.8</v>
      </c>
      <c r="AR250" s="124">
        <f t="shared" si="47"/>
        <v>865370.35</v>
      </c>
      <c r="AS250" s="124">
        <f t="shared" si="54"/>
        <v>391703.07</v>
      </c>
      <c r="AV250" s="379">
        <f t="shared" si="52"/>
        <v>1257073.42</v>
      </c>
      <c r="AW250" s="124">
        <f t="shared" si="49"/>
        <v>0</v>
      </c>
      <c r="AZ250" s="379">
        <v>0</v>
      </c>
      <c r="BA250" s="379">
        <v>70640.639999999999</v>
      </c>
      <c r="BB250" s="379">
        <v>24739.66</v>
      </c>
      <c r="BC250" s="379">
        <v>59.79</v>
      </c>
      <c r="BD250" s="379">
        <v>0</v>
      </c>
      <c r="BE250" s="379">
        <f t="shared" si="53"/>
        <v>95440.09</v>
      </c>
      <c r="BF250" s="379"/>
      <c r="BO250" s="477">
        <v>0</v>
      </c>
      <c r="BP250" s="477">
        <v>6672300.8800000008</v>
      </c>
      <c r="BQ250" s="477">
        <v>2305336.7000000002</v>
      </c>
      <c r="BR250" s="477">
        <v>4774.22</v>
      </c>
      <c r="BS250" s="477">
        <v>0</v>
      </c>
      <c r="BT250" s="477">
        <v>8982411.8000000026</v>
      </c>
      <c r="BW250" s="126">
        <v>536</v>
      </c>
      <c r="BX250" s="125">
        <v>32362</v>
      </c>
      <c r="BY250" s="19" t="s">
        <v>18</v>
      </c>
      <c r="BZ250" t="s">
        <v>853</v>
      </c>
    </row>
    <row r="251" spans="1:78" x14ac:dyDescent="0.25">
      <c r="A251" s="443">
        <v>32361</v>
      </c>
      <c r="B251" s="19" t="s">
        <v>18</v>
      </c>
      <c r="C251" t="s">
        <v>142</v>
      </c>
      <c r="D251" s="379"/>
      <c r="E251" s="120"/>
      <c r="F251" s="379">
        <v>324677.96999999997</v>
      </c>
      <c r="G251" s="120">
        <v>5.4237609193922155E-4</v>
      </c>
      <c r="H251" s="379">
        <v>806466.1</v>
      </c>
      <c r="I251" s="120">
        <v>3.1011416044074303E-3</v>
      </c>
      <c r="J251" s="379">
        <v>0</v>
      </c>
      <c r="K251" s="120">
        <v>0</v>
      </c>
      <c r="L251" s="379">
        <v>690546.82</v>
      </c>
      <c r="M251" s="120">
        <v>3.0975144036742724E-3</v>
      </c>
      <c r="N251" s="379">
        <v>2239032.9500000002</v>
      </c>
      <c r="O251" s="120">
        <v>3.1549425054572598E-3</v>
      </c>
      <c r="P251" s="383">
        <f t="shared" si="50"/>
        <v>4060723.84</v>
      </c>
      <c r="R251" s="379"/>
      <c r="S251" s="120"/>
      <c r="T251" s="380"/>
      <c r="U251" s="551">
        <v>243</v>
      </c>
      <c r="V251" s="550" t="s">
        <v>143</v>
      </c>
      <c r="W251" s="449" t="s">
        <v>18</v>
      </c>
      <c r="X251" s="562" t="s">
        <v>142</v>
      </c>
      <c r="Y251" s="379">
        <v>0</v>
      </c>
      <c r="Z251" s="379">
        <v>2188782.46</v>
      </c>
      <c r="AA251" s="379">
        <v>764247.45</v>
      </c>
      <c r="AB251" s="379"/>
      <c r="AC251" s="379">
        <v>0</v>
      </c>
      <c r="AD251" s="379">
        <v>2953029.91</v>
      </c>
      <c r="AE251" s="124"/>
      <c r="AF251" s="551">
        <v>243</v>
      </c>
      <c r="AG251" s="550" t="s">
        <v>143</v>
      </c>
      <c r="AH251" s="449" t="s">
        <v>18</v>
      </c>
      <c r="AI251" s="562" t="s">
        <v>142</v>
      </c>
      <c r="AJ251" s="383">
        <f t="shared" si="42"/>
        <v>0</v>
      </c>
      <c r="AK251" s="383">
        <f t="shared" si="43"/>
        <v>2239032.9500000002</v>
      </c>
      <c r="AL251" s="383">
        <f t="shared" si="44"/>
        <v>806466.1</v>
      </c>
      <c r="AM251" s="383">
        <f t="shared" si="45"/>
        <v>0</v>
      </c>
      <c r="AN251" s="383">
        <f t="shared" si="46"/>
        <v>0</v>
      </c>
      <c r="AO251" s="124">
        <f t="shared" si="51"/>
        <v>3045499.0500000003</v>
      </c>
      <c r="AR251" s="124">
        <f t="shared" si="47"/>
        <v>690546.82</v>
      </c>
      <c r="AS251" s="124">
        <f t="shared" si="54"/>
        <v>324677.96999999997</v>
      </c>
      <c r="AV251" s="379">
        <f t="shared" si="52"/>
        <v>1015224.7899999999</v>
      </c>
      <c r="AW251" s="124">
        <f t="shared" si="49"/>
        <v>0</v>
      </c>
      <c r="AZ251" s="379">
        <v>0</v>
      </c>
      <c r="BA251" s="379">
        <v>54416.17</v>
      </c>
      <c r="BB251" s="379">
        <v>20420.989999999998</v>
      </c>
      <c r="BC251" s="379"/>
      <c r="BD251" s="379">
        <v>0</v>
      </c>
      <c r="BE251" s="379">
        <f t="shared" si="53"/>
        <v>74837.16</v>
      </c>
      <c r="BF251" s="379"/>
      <c r="BO251" s="477">
        <v>0</v>
      </c>
      <c r="BP251" s="477">
        <v>5172778.4000000004</v>
      </c>
      <c r="BQ251" s="477">
        <v>1915812.51</v>
      </c>
      <c r="BR251" s="477"/>
      <c r="BS251" s="477">
        <v>0</v>
      </c>
      <c r="BT251" s="477">
        <v>7088590.9100000001</v>
      </c>
      <c r="BW251" s="126">
        <v>1077</v>
      </c>
      <c r="BX251" s="125">
        <v>32363</v>
      </c>
      <c r="BY251" s="19" t="s">
        <v>18</v>
      </c>
      <c r="BZ251" t="s">
        <v>1009</v>
      </c>
    </row>
    <row r="252" spans="1:78" x14ac:dyDescent="0.25">
      <c r="A252" s="443">
        <v>32362</v>
      </c>
      <c r="B252" s="19" t="s">
        <v>18</v>
      </c>
      <c r="C252" t="s">
        <v>268</v>
      </c>
      <c r="D252" s="379"/>
      <c r="E252" s="120"/>
      <c r="F252" s="379">
        <v>42494.15</v>
      </c>
      <c r="G252" s="120">
        <v>7.098667953134939E-5</v>
      </c>
      <c r="H252" s="379">
        <v>105257.47</v>
      </c>
      <c r="I252" s="120">
        <v>4.0475144509070747E-4</v>
      </c>
      <c r="J252" s="379">
        <v>0</v>
      </c>
      <c r="K252" s="120">
        <v>0</v>
      </c>
      <c r="L252" s="379">
        <v>97048.81</v>
      </c>
      <c r="M252" s="120">
        <v>4.3532180313921043E-4</v>
      </c>
      <c r="N252" s="379">
        <v>320321.68</v>
      </c>
      <c r="O252" s="120">
        <v>4.5135400247302239E-4</v>
      </c>
      <c r="P252" s="383">
        <f t="shared" si="50"/>
        <v>565122.11</v>
      </c>
      <c r="R252" s="379"/>
      <c r="S252" s="120"/>
      <c r="T252" s="380"/>
      <c r="U252" s="551">
        <v>536</v>
      </c>
      <c r="V252" s="550" t="s">
        <v>269</v>
      </c>
      <c r="W252" s="449" t="s">
        <v>18</v>
      </c>
      <c r="X252" s="562" t="s">
        <v>268</v>
      </c>
      <c r="Y252" s="379">
        <v>0</v>
      </c>
      <c r="Z252" s="379">
        <v>325076.98</v>
      </c>
      <c r="AA252" s="379">
        <v>101535.6</v>
      </c>
      <c r="AB252" s="379"/>
      <c r="AC252" s="379">
        <v>0</v>
      </c>
      <c r="AD252" s="379">
        <v>426612.57999999996</v>
      </c>
      <c r="AE252" s="124"/>
      <c r="AF252" s="551">
        <v>536</v>
      </c>
      <c r="AG252" s="550" t="s">
        <v>269</v>
      </c>
      <c r="AH252" s="449" t="s">
        <v>18</v>
      </c>
      <c r="AI252" s="562" t="s">
        <v>268</v>
      </c>
      <c r="AJ252" s="383">
        <f t="shared" si="42"/>
        <v>0</v>
      </c>
      <c r="AK252" s="383">
        <f t="shared" si="43"/>
        <v>320321.68</v>
      </c>
      <c r="AL252" s="383">
        <f t="shared" si="44"/>
        <v>105257.47</v>
      </c>
      <c r="AM252" s="383">
        <f t="shared" si="45"/>
        <v>0</v>
      </c>
      <c r="AN252" s="383">
        <f t="shared" si="46"/>
        <v>0</v>
      </c>
      <c r="AO252" s="124">
        <f t="shared" si="51"/>
        <v>425579.15</v>
      </c>
      <c r="AR252" s="124">
        <f t="shared" si="47"/>
        <v>97048.81</v>
      </c>
      <c r="AS252" s="124">
        <f t="shared" si="54"/>
        <v>42494.15</v>
      </c>
      <c r="AV252" s="379">
        <f t="shared" si="52"/>
        <v>139542.96</v>
      </c>
      <c r="AW252" s="124">
        <f t="shared" si="49"/>
        <v>0</v>
      </c>
      <c r="AZ252" s="379">
        <v>0</v>
      </c>
      <c r="BA252" s="379">
        <v>7791.6399999999994</v>
      </c>
      <c r="BB252" s="379">
        <v>2662.4700000000003</v>
      </c>
      <c r="BC252" s="379"/>
      <c r="BD252" s="379">
        <v>0</v>
      </c>
      <c r="BE252" s="379">
        <f t="shared" si="53"/>
        <v>10454.11</v>
      </c>
      <c r="BF252" s="379"/>
      <c r="BO252" s="477">
        <v>0</v>
      </c>
      <c r="BP252" s="477">
        <v>750239.11</v>
      </c>
      <c r="BQ252" s="477">
        <v>251949.69</v>
      </c>
      <c r="BR252" s="477"/>
      <c r="BS252" s="477">
        <v>0</v>
      </c>
      <c r="BT252" s="477">
        <v>1002188.8</v>
      </c>
      <c r="BW252" s="126">
        <v>227</v>
      </c>
      <c r="BX252" s="125">
        <v>32414</v>
      </c>
      <c r="BY252" s="19" t="s">
        <v>18</v>
      </c>
      <c r="BZ252" t="s">
        <v>788</v>
      </c>
    </row>
    <row r="253" spans="1:78" x14ac:dyDescent="0.25">
      <c r="A253" s="443">
        <v>32363</v>
      </c>
      <c r="B253" s="19" t="s">
        <v>18</v>
      </c>
      <c r="C253" t="s">
        <v>600</v>
      </c>
      <c r="D253" s="379"/>
      <c r="E253" s="120"/>
      <c r="F253" s="379">
        <v>268485.03999999998</v>
      </c>
      <c r="G253" s="120">
        <v>4.4850553531348481E-4</v>
      </c>
      <c r="H253" s="379">
        <v>651843.29</v>
      </c>
      <c r="I253" s="120">
        <v>2.5065633213507896E-3</v>
      </c>
      <c r="J253" s="379"/>
      <c r="K253" s="120"/>
      <c r="L253" s="379">
        <v>602337.16</v>
      </c>
      <c r="M253" s="120">
        <v>2.7018414608994288E-3</v>
      </c>
      <c r="N253" s="379">
        <v>1879237.46</v>
      </c>
      <c r="O253" s="120">
        <v>2.6479673469751914E-3</v>
      </c>
      <c r="P253" s="383">
        <f t="shared" si="50"/>
        <v>3401902.95</v>
      </c>
      <c r="R253" s="379"/>
      <c r="S253" s="120"/>
      <c r="T253" s="380"/>
      <c r="U253" s="551">
        <v>1077</v>
      </c>
      <c r="V253" s="550" t="s">
        <v>601</v>
      </c>
      <c r="W253" s="449" t="s">
        <v>18</v>
      </c>
      <c r="X253" s="562" t="s">
        <v>600</v>
      </c>
      <c r="Y253" s="379"/>
      <c r="Z253" s="379">
        <v>1856671.59</v>
      </c>
      <c r="AA253" s="379">
        <v>653171.32000000007</v>
      </c>
      <c r="AB253" s="379"/>
      <c r="AC253" s="379">
        <v>0</v>
      </c>
      <c r="AD253" s="379">
        <v>2509842.91</v>
      </c>
      <c r="AE253" s="124"/>
      <c r="AF253" s="551">
        <v>1077</v>
      </c>
      <c r="AG253" s="550" t="s">
        <v>601</v>
      </c>
      <c r="AH253" s="449" t="s">
        <v>18</v>
      </c>
      <c r="AI253" s="562" t="s">
        <v>600</v>
      </c>
      <c r="AJ253" s="383">
        <f t="shared" si="42"/>
        <v>0</v>
      </c>
      <c r="AK253" s="383">
        <f t="shared" si="43"/>
        <v>1879237.46</v>
      </c>
      <c r="AL253" s="383">
        <f t="shared" si="44"/>
        <v>651843.29</v>
      </c>
      <c r="AM253" s="383">
        <f t="shared" si="45"/>
        <v>0</v>
      </c>
      <c r="AN253" s="383">
        <f t="shared" si="46"/>
        <v>0</v>
      </c>
      <c r="AO253" s="124">
        <f t="shared" si="51"/>
        <v>2531080.75</v>
      </c>
      <c r="AR253" s="124">
        <f t="shared" si="47"/>
        <v>602337.16</v>
      </c>
      <c r="AS253" s="124">
        <f t="shared" si="54"/>
        <v>268485.03999999998</v>
      </c>
      <c r="AV253" s="379">
        <f t="shared" si="52"/>
        <v>870822.2</v>
      </c>
      <c r="AW253" s="124">
        <f t="shared" si="49"/>
        <v>0</v>
      </c>
      <c r="AZ253" s="379"/>
      <c r="BA253" s="379">
        <v>45582.46</v>
      </c>
      <c r="BB253" s="379">
        <v>16368.04</v>
      </c>
      <c r="BC253" s="379"/>
      <c r="BD253" s="379">
        <v>0</v>
      </c>
      <c r="BE253" s="379">
        <f t="shared" si="53"/>
        <v>61950.5</v>
      </c>
      <c r="BF253" s="379"/>
      <c r="BO253" s="477"/>
      <c r="BP253" s="477">
        <v>4383828.67</v>
      </c>
      <c r="BQ253" s="477">
        <v>1589867.69</v>
      </c>
      <c r="BR253" s="477"/>
      <c r="BS253" s="477">
        <v>0</v>
      </c>
      <c r="BT253" s="477">
        <v>5973696.3599999994</v>
      </c>
      <c r="BW253" s="126">
        <v>815</v>
      </c>
      <c r="BX253" s="125">
        <v>32416</v>
      </c>
      <c r="BY253" s="19" t="s">
        <v>18</v>
      </c>
      <c r="BZ253" t="s">
        <v>943</v>
      </c>
    </row>
    <row r="254" spans="1:78" x14ac:dyDescent="0.25">
      <c r="A254" s="443">
        <v>32414</v>
      </c>
      <c r="B254" s="19" t="s">
        <v>18</v>
      </c>
      <c r="C254" t="s">
        <v>134</v>
      </c>
      <c r="D254" s="379"/>
      <c r="E254" s="120"/>
      <c r="F254" s="379">
        <v>158741.46</v>
      </c>
      <c r="G254" s="120">
        <v>2.6517836335962757E-4</v>
      </c>
      <c r="H254" s="379">
        <v>394292.22</v>
      </c>
      <c r="I254" s="120">
        <v>1.5161902127518658E-3</v>
      </c>
      <c r="J254" s="379">
        <v>0</v>
      </c>
      <c r="K254" s="120">
        <v>0</v>
      </c>
      <c r="L254" s="379">
        <v>402791.82</v>
      </c>
      <c r="M254" s="120">
        <v>1.8067615808181911E-3</v>
      </c>
      <c r="N254" s="379">
        <v>1364645.89</v>
      </c>
      <c r="O254" s="120">
        <v>1.9228744817080747E-3</v>
      </c>
      <c r="P254" s="383">
        <f t="shared" si="50"/>
        <v>2320471.3899999997</v>
      </c>
      <c r="R254" s="379"/>
      <c r="S254" s="120"/>
      <c r="T254" s="380"/>
      <c r="U254" s="551">
        <v>227</v>
      </c>
      <c r="V254" s="550" t="s">
        <v>135</v>
      </c>
      <c r="W254" s="449" t="s">
        <v>18</v>
      </c>
      <c r="X254" s="562" t="s">
        <v>134</v>
      </c>
      <c r="Y254" s="379">
        <v>0</v>
      </c>
      <c r="Z254" s="379">
        <v>1273204.6599999999</v>
      </c>
      <c r="AA254" s="379">
        <v>367164.67</v>
      </c>
      <c r="AB254" s="379"/>
      <c r="AC254" s="379">
        <v>0</v>
      </c>
      <c r="AD254" s="379">
        <v>1640369.3299999998</v>
      </c>
      <c r="AE254" s="124"/>
      <c r="AF254" s="551">
        <v>227</v>
      </c>
      <c r="AG254" s="550" t="s">
        <v>135</v>
      </c>
      <c r="AH254" s="449" t="s">
        <v>18</v>
      </c>
      <c r="AI254" s="562" t="s">
        <v>134</v>
      </c>
      <c r="AJ254" s="383">
        <f t="shared" si="42"/>
        <v>0</v>
      </c>
      <c r="AK254" s="383">
        <f t="shared" si="43"/>
        <v>1364645.89</v>
      </c>
      <c r="AL254" s="383">
        <f t="shared" si="44"/>
        <v>394292.22</v>
      </c>
      <c r="AM254" s="383">
        <f t="shared" si="45"/>
        <v>0</v>
      </c>
      <c r="AN254" s="383">
        <f t="shared" si="46"/>
        <v>0</v>
      </c>
      <c r="AO254" s="124">
        <f t="shared" si="51"/>
        <v>1758938.1099999999</v>
      </c>
      <c r="AR254" s="124">
        <f t="shared" si="47"/>
        <v>402791.82</v>
      </c>
      <c r="AS254" s="124">
        <f t="shared" si="54"/>
        <v>158741.46</v>
      </c>
      <c r="AV254" s="379">
        <f t="shared" si="52"/>
        <v>561533.28</v>
      </c>
      <c r="AW254" s="124">
        <f t="shared" si="49"/>
        <v>0</v>
      </c>
      <c r="AZ254" s="379">
        <v>0</v>
      </c>
      <c r="BA254" s="379">
        <v>33236.67</v>
      </c>
      <c r="BB254" s="379">
        <v>9983.9699999999993</v>
      </c>
      <c r="BC254" s="379"/>
      <c r="BD254" s="379">
        <v>0</v>
      </c>
      <c r="BE254" s="379">
        <f t="shared" si="53"/>
        <v>43220.639999999999</v>
      </c>
      <c r="BF254" s="379"/>
      <c r="BO254" s="477">
        <v>0</v>
      </c>
      <c r="BP254" s="477">
        <v>3073879.04</v>
      </c>
      <c r="BQ254" s="477">
        <v>930182.32</v>
      </c>
      <c r="BR254" s="477"/>
      <c r="BS254" s="477">
        <v>0</v>
      </c>
      <c r="BT254" s="477">
        <v>4004061.36</v>
      </c>
      <c r="BW254" s="126">
        <v>259</v>
      </c>
      <c r="BX254" s="125">
        <v>32801</v>
      </c>
      <c r="BY254" s="19" t="s">
        <v>18</v>
      </c>
      <c r="BZ254" t="s">
        <v>796</v>
      </c>
    </row>
    <row r="255" spans="1:78" x14ac:dyDescent="0.25">
      <c r="A255" s="443">
        <v>32416</v>
      </c>
      <c r="B255" s="19" t="s">
        <v>18</v>
      </c>
      <c r="C255" t="s">
        <v>460</v>
      </c>
      <c r="D255" s="379"/>
      <c r="E255" s="120"/>
      <c r="F255" s="379">
        <v>109035.97</v>
      </c>
      <c r="G255" s="120">
        <v>1.8214510608589244E-4</v>
      </c>
      <c r="H255" s="379">
        <v>270051.82</v>
      </c>
      <c r="I255" s="120">
        <v>1.0384428240045635E-3</v>
      </c>
      <c r="J255" s="379">
        <v>0</v>
      </c>
      <c r="K255" s="120">
        <v>0</v>
      </c>
      <c r="L255" s="379">
        <v>224714.52</v>
      </c>
      <c r="M255" s="120">
        <v>1.0079786659719183E-3</v>
      </c>
      <c r="N255" s="379">
        <v>785767.2</v>
      </c>
      <c r="O255" s="120">
        <v>1.107196898854988E-3</v>
      </c>
      <c r="P255" s="383">
        <f t="shared" si="50"/>
        <v>1389569.51</v>
      </c>
      <c r="R255" s="379"/>
      <c r="S255" s="120"/>
      <c r="T255" s="380"/>
      <c r="U255" s="551">
        <v>815</v>
      </c>
      <c r="V255" s="550" t="s">
        <v>461</v>
      </c>
      <c r="W255" s="449" t="s">
        <v>18</v>
      </c>
      <c r="X255" s="562" t="s">
        <v>460</v>
      </c>
      <c r="Y255" s="379">
        <v>0</v>
      </c>
      <c r="Z255" s="379">
        <v>708282.59</v>
      </c>
      <c r="AA255" s="379">
        <v>241133.87</v>
      </c>
      <c r="AB255" s="379"/>
      <c r="AC255" s="379">
        <v>0</v>
      </c>
      <c r="AD255" s="379">
        <v>949416.46</v>
      </c>
      <c r="AE255" s="124"/>
      <c r="AF255" s="551">
        <v>815</v>
      </c>
      <c r="AG255" s="550" t="s">
        <v>461</v>
      </c>
      <c r="AH255" s="449" t="s">
        <v>18</v>
      </c>
      <c r="AI255" s="562" t="s">
        <v>460</v>
      </c>
      <c r="AJ255" s="383">
        <f t="shared" si="42"/>
        <v>0</v>
      </c>
      <c r="AK255" s="383">
        <f t="shared" si="43"/>
        <v>785767.2</v>
      </c>
      <c r="AL255" s="383">
        <f t="shared" si="44"/>
        <v>270051.82</v>
      </c>
      <c r="AM255" s="383">
        <f t="shared" si="45"/>
        <v>0</v>
      </c>
      <c r="AN255" s="383">
        <f t="shared" si="46"/>
        <v>0</v>
      </c>
      <c r="AO255" s="124">
        <f t="shared" si="51"/>
        <v>1055819.02</v>
      </c>
      <c r="AR255" s="124">
        <f t="shared" si="47"/>
        <v>224714.52</v>
      </c>
      <c r="AS255" s="124">
        <f t="shared" si="54"/>
        <v>109035.97</v>
      </c>
      <c r="AV255" s="379">
        <f t="shared" si="52"/>
        <v>333750.49</v>
      </c>
      <c r="AW255" s="124">
        <f t="shared" si="49"/>
        <v>0</v>
      </c>
      <c r="AZ255" s="379">
        <v>0</v>
      </c>
      <c r="BA255" s="379">
        <v>19166.129999999997</v>
      </c>
      <c r="BB255" s="379">
        <v>6831.7000000000007</v>
      </c>
      <c r="BC255" s="379"/>
      <c r="BD255" s="379">
        <v>0</v>
      </c>
      <c r="BE255" s="379">
        <f t="shared" si="53"/>
        <v>25997.829999999998</v>
      </c>
      <c r="BF255" s="379"/>
      <c r="BO255" s="477">
        <v>0</v>
      </c>
      <c r="BP255" s="477">
        <v>1737930.44</v>
      </c>
      <c r="BQ255" s="477">
        <v>627053.36</v>
      </c>
      <c r="BR255" s="477"/>
      <c r="BS255" s="477">
        <v>0</v>
      </c>
      <c r="BT255" s="477">
        <v>2364983.7999999998</v>
      </c>
      <c r="BW255" s="126">
        <v>2632</v>
      </c>
      <c r="BX255" s="125">
        <v>32901</v>
      </c>
      <c r="BY255" s="19" t="s">
        <v>1039</v>
      </c>
      <c r="BZ255" t="s">
        <v>1025</v>
      </c>
    </row>
    <row r="256" spans="1:78" x14ac:dyDescent="0.25">
      <c r="A256" s="443">
        <v>32801</v>
      </c>
      <c r="B256" s="19" t="s">
        <v>18</v>
      </c>
      <c r="C256" t="s">
        <v>356</v>
      </c>
      <c r="D256" s="379"/>
      <c r="E256" s="120"/>
      <c r="F256" s="379">
        <v>445771.18</v>
      </c>
      <c r="G256" s="120">
        <v>7.4466287474797034E-4</v>
      </c>
      <c r="H256" s="379">
        <v>1090423.67</v>
      </c>
      <c r="I256" s="120">
        <v>4.1930568556665165E-3</v>
      </c>
      <c r="J256" s="379"/>
      <c r="K256" s="120"/>
      <c r="L256" s="379">
        <v>54515.46</v>
      </c>
      <c r="M256" s="120">
        <v>2.4453435695052315E-4</v>
      </c>
      <c r="N256" s="379">
        <v>144922.68</v>
      </c>
      <c r="O256" s="120">
        <v>2.0420544643471222E-4</v>
      </c>
      <c r="P256" s="383">
        <f t="shared" si="50"/>
        <v>1735632.9899999998</v>
      </c>
      <c r="R256" s="379"/>
      <c r="S256" s="120"/>
      <c r="T256" s="380"/>
      <c r="U256" s="551">
        <v>259</v>
      </c>
      <c r="V256" s="550" t="s">
        <v>357</v>
      </c>
      <c r="W256" s="449" t="s">
        <v>18</v>
      </c>
      <c r="X256" s="562" t="s">
        <v>356</v>
      </c>
      <c r="Y256" s="379"/>
      <c r="Z256" s="379">
        <v>149593.16999999998</v>
      </c>
      <c r="AA256" s="379">
        <v>1046396.71</v>
      </c>
      <c r="AB256" s="379"/>
      <c r="AC256" s="379">
        <v>0</v>
      </c>
      <c r="AD256" s="379">
        <v>1195989.8799999999</v>
      </c>
      <c r="AE256" s="124"/>
      <c r="AF256" s="551">
        <v>259</v>
      </c>
      <c r="AG256" s="550" t="s">
        <v>357</v>
      </c>
      <c r="AH256" s="449" t="s">
        <v>18</v>
      </c>
      <c r="AI256" s="562" t="s">
        <v>356</v>
      </c>
      <c r="AJ256" s="383">
        <f t="shared" si="42"/>
        <v>0</v>
      </c>
      <c r="AK256" s="383">
        <f t="shared" si="43"/>
        <v>144922.68</v>
      </c>
      <c r="AL256" s="383">
        <f t="shared" si="44"/>
        <v>1090423.67</v>
      </c>
      <c r="AM256" s="383">
        <f t="shared" si="45"/>
        <v>0</v>
      </c>
      <c r="AN256" s="383">
        <f t="shared" si="46"/>
        <v>0</v>
      </c>
      <c r="AO256" s="124">
        <f t="shared" si="51"/>
        <v>1235346.3499999999</v>
      </c>
      <c r="AR256" s="124">
        <f t="shared" si="47"/>
        <v>54515.46</v>
      </c>
      <c r="AS256" s="124">
        <f t="shared" si="54"/>
        <v>445771.18</v>
      </c>
      <c r="AV256" s="379">
        <f t="shared" si="52"/>
        <v>500286.64</v>
      </c>
      <c r="AW256" s="124">
        <f t="shared" si="49"/>
        <v>0</v>
      </c>
      <c r="AZ256" s="379"/>
      <c r="BA256" s="379">
        <v>3483.35</v>
      </c>
      <c r="BB256" s="379">
        <v>27457.4</v>
      </c>
      <c r="BC256" s="379"/>
      <c r="BD256" s="379">
        <v>0</v>
      </c>
      <c r="BE256" s="379">
        <f t="shared" si="53"/>
        <v>30940.75</v>
      </c>
      <c r="BF256" s="379"/>
      <c r="BO256" s="477"/>
      <c r="BP256" s="477">
        <v>352514.66000000003</v>
      </c>
      <c r="BQ256" s="477">
        <v>2610048.96</v>
      </c>
      <c r="BR256" s="477"/>
      <c r="BS256" s="477">
        <v>0</v>
      </c>
      <c r="BT256" s="477">
        <v>2962563.62</v>
      </c>
      <c r="BW256" s="380">
        <v>4258</v>
      </c>
      <c r="BX256" s="259">
        <v>32903</v>
      </c>
      <c r="BY256" s="19" t="s">
        <v>1039</v>
      </c>
      <c r="BZ256" s="348" t="s">
        <v>1173</v>
      </c>
    </row>
    <row r="257" spans="1:78" x14ac:dyDescent="0.25">
      <c r="A257" s="443">
        <v>32901</v>
      </c>
      <c r="B257" s="19" t="s">
        <v>1039</v>
      </c>
      <c r="C257" t="s">
        <v>1034</v>
      </c>
      <c r="D257" s="379"/>
      <c r="E257" s="120"/>
      <c r="F257" s="379">
        <v>44254.080000000002</v>
      </c>
      <c r="G257" s="120">
        <v>7.3926650960536881E-5</v>
      </c>
      <c r="H257" s="379">
        <v>108020.82</v>
      </c>
      <c r="I257" s="120">
        <v>4.1537748337370448E-4</v>
      </c>
      <c r="J257" s="379"/>
      <c r="K257" s="120"/>
      <c r="L257" s="379">
        <v>121077.66</v>
      </c>
      <c r="M257" s="120">
        <v>5.4310552876512608E-4</v>
      </c>
      <c r="N257" s="379">
        <v>354022.75</v>
      </c>
      <c r="O257" s="120">
        <v>4.9884099377540156E-4</v>
      </c>
      <c r="P257" s="383">
        <f t="shared" si="50"/>
        <v>627375.31000000006</v>
      </c>
      <c r="R257" s="379"/>
      <c r="S257" s="120"/>
      <c r="T257" s="380"/>
      <c r="U257" s="551">
        <v>2632</v>
      </c>
      <c r="V257" s="550" t="s">
        <v>1061</v>
      </c>
      <c r="W257" s="449" t="s">
        <v>1039</v>
      </c>
      <c r="X257" s="562" t="s">
        <v>1034</v>
      </c>
      <c r="Y257" s="379"/>
      <c r="Z257" s="379">
        <v>320517.69</v>
      </c>
      <c r="AA257" s="379">
        <v>98698.94</v>
      </c>
      <c r="AB257" s="379"/>
      <c r="AC257" s="379">
        <v>0</v>
      </c>
      <c r="AD257" s="379">
        <v>419216.63</v>
      </c>
      <c r="AE257" s="124"/>
      <c r="AF257" s="551">
        <v>2632</v>
      </c>
      <c r="AG257" s="550" t="s">
        <v>1061</v>
      </c>
      <c r="AH257" s="449" t="s">
        <v>1039</v>
      </c>
      <c r="AI257" s="562" t="s">
        <v>1034</v>
      </c>
      <c r="AJ257" s="383">
        <f t="shared" si="42"/>
        <v>0</v>
      </c>
      <c r="AK257" s="383">
        <f t="shared" si="43"/>
        <v>354022.75</v>
      </c>
      <c r="AL257" s="383">
        <f t="shared" si="44"/>
        <v>108020.82</v>
      </c>
      <c r="AM257" s="383">
        <f t="shared" si="45"/>
        <v>0</v>
      </c>
      <c r="AN257" s="383">
        <f t="shared" si="46"/>
        <v>0</v>
      </c>
      <c r="AO257" s="124">
        <f t="shared" si="51"/>
        <v>462043.57</v>
      </c>
      <c r="AR257" s="124">
        <f t="shared" si="47"/>
        <v>121077.66</v>
      </c>
      <c r="AS257" s="124">
        <f t="shared" si="54"/>
        <v>44254.080000000002</v>
      </c>
      <c r="AV257" s="379">
        <f t="shared" si="52"/>
        <v>165331.74</v>
      </c>
      <c r="AW257" s="124">
        <f t="shared" si="49"/>
        <v>0</v>
      </c>
      <c r="AZ257" s="379"/>
      <c r="BA257" s="379">
        <v>8557.0400000000009</v>
      </c>
      <c r="BB257" s="379">
        <v>2717.73</v>
      </c>
      <c r="BC257" s="379"/>
      <c r="BD257" s="379">
        <v>0</v>
      </c>
      <c r="BE257" s="379">
        <f t="shared" si="53"/>
        <v>11274.77</v>
      </c>
      <c r="BF257" s="379"/>
      <c r="BO257" s="477"/>
      <c r="BP257" s="477">
        <v>804175.14</v>
      </c>
      <c r="BQ257" s="477">
        <v>253691.57</v>
      </c>
      <c r="BR257" s="477"/>
      <c r="BS257" s="477">
        <v>0</v>
      </c>
      <c r="BT257" s="477">
        <v>1057866.71</v>
      </c>
      <c r="BW257" s="126">
        <v>2635</v>
      </c>
      <c r="BX257" s="125">
        <v>32907</v>
      </c>
      <c r="BY257" s="19" t="s">
        <v>1039</v>
      </c>
      <c r="BZ257" t="s">
        <v>1030</v>
      </c>
    </row>
    <row r="258" spans="1:78" x14ac:dyDescent="0.25">
      <c r="A258" s="443">
        <v>32903</v>
      </c>
      <c r="B258" s="19" t="s">
        <v>1039</v>
      </c>
      <c r="C258" t="s">
        <v>1170</v>
      </c>
      <c r="D258" s="379"/>
      <c r="E258" s="120"/>
      <c r="F258" s="379">
        <v>2751.79</v>
      </c>
      <c r="G258" s="120">
        <v>4.5968782730698678E-6</v>
      </c>
      <c r="H258" s="379">
        <v>10604.77</v>
      </c>
      <c r="I258" s="120">
        <v>4.0779015326461695E-5</v>
      </c>
      <c r="J258" s="379"/>
      <c r="K258" s="120"/>
      <c r="L258" s="379">
        <v>27414.2</v>
      </c>
      <c r="M258" s="120">
        <v>1.2296903976070334E-4</v>
      </c>
      <c r="N258" s="379">
        <v>67279.7</v>
      </c>
      <c r="O258" s="120">
        <v>9.4801456711216686E-5</v>
      </c>
      <c r="P258" s="383">
        <f t="shared" si="50"/>
        <v>108050.45999999999</v>
      </c>
      <c r="R258" s="379"/>
      <c r="S258" s="120"/>
      <c r="T258" s="380"/>
      <c r="U258" s="551">
        <v>4258</v>
      </c>
      <c r="V258" s="550" t="s">
        <v>1169</v>
      </c>
      <c r="W258" s="449" t="s">
        <v>1039</v>
      </c>
      <c r="X258" s="562" t="s">
        <v>1170</v>
      </c>
      <c r="Y258" s="379"/>
      <c r="Z258" s="379">
        <v>64859.86</v>
      </c>
      <c r="AA258" s="379">
        <v>2798.8799999999992</v>
      </c>
      <c r="AB258" s="379"/>
      <c r="AC258" s="379">
        <v>0</v>
      </c>
      <c r="AD258" s="379">
        <v>67658.740000000005</v>
      </c>
      <c r="AE258" s="124"/>
      <c r="AF258" s="551">
        <v>4258</v>
      </c>
      <c r="AG258" s="550" t="s">
        <v>1169</v>
      </c>
      <c r="AH258" s="449" t="s">
        <v>1039</v>
      </c>
      <c r="AI258" s="562" t="s">
        <v>1170</v>
      </c>
      <c r="AJ258" s="383">
        <f t="shared" si="42"/>
        <v>0</v>
      </c>
      <c r="AK258" s="383">
        <f t="shared" si="43"/>
        <v>67279.7</v>
      </c>
      <c r="AL258" s="383">
        <f t="shared" si="44"/>
        <v>10604.77</v>
      </c>
      <c r="AM258" s="383">
        <f t="shared" si="45"/>
        <v>0</v>
      </c>
      <c r="AN258" s="383">
        <f t="shared" si="46"/>
        <v>0</v>
      </c>
      <c r="AO258" s="124">
        <f t="shared" si="51"/>
        <v>77884.47</v>
      </c>
      <c r="AR258" s="124">
        <f t="shared" si="47"/>
        <v>27414.2</v>
      </c>
      <c r="AS258" s="124">
        <f t="shared" si="54"/>
        <v>2751.79</v>
      </c>
      <c r="AV258" s="379">
        <f t="shared" si="52"/>
        <v>30165.99</v>
      </c>
      <c r="AW258" s="124">
        <f t="shared" si="49"/>
        <v>0</v>
      </c>
      <c r="AZ258" s="379"/>
      <c r="BA258" s="379">
        <v>1608.6999999999998</v>
      </c>
      <c r="BB258" s="379">
        <v>301.78000000000003</v>
      </c>
      <c r="BC258" s="379"/>
      <c r="BD258" s="379">
        <v>0</v>
      </c>
      <c r="BE258" s="379">
        <f t="shared" si="53"/>
        <v>1910.4799999999998</v>
      </c>
      <c r="BF258" s="379"/>
      <c r="BO258" s="477"/>
      <c r="BP258" s="477">
        <v>161162.46000000002</v>
      </c>
      <c r="BQ258" s="477">
        <v>16457.22</v>
      </c>
      <c r="BR258" s="477"/>
      <c r="BS258" s="477">
        <v>0</v>
      </c>
      <c r="BT258" s="477">
        <v>177619.68000000002</v>
      </c>
      <c r="BW258" s="126">
        <v>681</v>
      </c>
      <c r="BX258" s="125">
        <v>33030</v>
      </c>
      <c r="BY258" s="19" t="s">
        <v>18</v>
      </c>
      <c r="BZ258" t="s">
        <v>907</v>
      </c>
    </row>
    <row r="259" spans="1:78" x14ac:dyDescent="0.25">
      <c r="A259" s="443">
        <v>32907</v>
      </c>
      <c r="B259" s="19" t="s">
        <v>1039</v>
      </c>
      <c r="C259" t="s">
        <v>1037</v>
      </c>
      <c r="D259" s="379"/>
      <c r="E259" s="120"/>
      <c r="F259" s="379">
        <v>17777.169999999998</v>
      </c>
      <c r="G259" s="120">
        <v>2.9696846972214252E-5</v>
      </c>
      <c r="H259" s="379">
        <v>43514.64</v>
      </c>
      <c r="I259" s="120">
        <v>1.6732886913016151E-4</v>
      </c>
      <c r="J259" s="379"/>
      <c r="K259" s="120"/>
      <c r="L259" s="379">
        <v>77779.740000000005</v>
      </c>
      <c r="M259" s="120">
        <v>3.4888853005512354E-4</v>
      </c>
      <c r="N259" s="379">
        <v>225474.29</v>
      </c>
      <c r="O259" s="120">
        <v>3.1770788429388532E-4</v>
      </c>
      <c r="P259" s="383">
        <f t="shared" si="50"/>
        <v>364545.83999999997</v>
      </c>
      <c r="R259" s="379"/>
      <c r="S259" s="120"/>
      <c r="T259" s="380"/>
      <c r="U259" s="555">
        <v>2635</v>
      </c>
      <c r="V259" s="550" t="s">
        <v>1063</v>
      </c>
      <c r="W259" s="449" t="s">
        <v>1039</v>
      </c>
      <c r="X259" s="562" t="s">
        <v>1037</v>
      </c>
      <c r="Y259" s="379"/>
      <c r="Z259" s="379">
        <v>190983.96000000002</v>
      </c>
      <c r="AA259" s="379">
        <v>37076.07</v>
      </c>
      <c r="AB259" s="379"/>
      <c r="AC259" s="379">
        <v>0</v>
      </c>
      <c r="AD259" s="379">
        <v>228060.03000000003</v>
      </c>
      <c r="AE259" s="124"/>
      <c r="AF259" s="555">
        <v>2635</v>
      </c>
      <c r="AG259" s="550" t="s">
        <v>1063</v>
      </c>
      <c r="AH259" s="449" t="s">
        <v>1039</v>
      </c>
      <c r="AI259" s="562" t="s">
        <v>1037</v>
      </c>
      <c r="AJ259" s="383">
        <f t="shared" si="42"/>
        <v>0</v>
      </c>
      <c r="AK259" s="383">
        <f t="shared" si="43"/>
        <v>225474.29</v>
      </c>
      <c r="AL259" s="383">
        <f t="shared" si="44"/>
        <v>43514.64</v>
      </c>
      <c r="AM259" s="383">
        <f t="shared" si="45"/>
        <v>0</v>
      </c>
      <c r="AN259" s="383">
        <f t="shared" si="46"/>
        <v>0</v>
      </c>
      <c r="AO259" s="124">
        <f t="shared" si="51"/>
        <v>268988.93</v>
      </c>
      <c r="AR259" s="124">
        <f t="shared" si="47"/>
        <v>77779.740000000005</v>
      </c>
      <c r="AS259" s="124">
        <f t="shared" si="54"/>
        <v>17777.169999999998</v>
      </c>
      <c r="AV259" s="379">
        <f t="shared" si="52"/>
        <v>95556.91</v>
      </c>
      <c r="AW259" s="124">
        <f t="shared" si="49"/>
        <v>0</v>
      </c>
      <c r="AZ259" s="379"/>
      <c r="BA259" s="379">
        <v>5447.32</v>
      </c>
      <c r="BB259" s="379">
        <v>1095.68</v>
      </c>
      <c r="BC259" s="379"/>
      <c r="BD259" s="379">
        <v>0</v>
      </c>
      <c r="BE259" s="379">
        <f t="shared" si="53"/>
        <v>6543</v>
      </c>
      <c r="BF259" s="379"/>
      <c r="BO259" s="477"/>
      <c r="BP259" s="477">
        <v>499685.30999999994</v>
      </c>
      <c r="BQ259" s="477">
        <v>99463.56</v>
      </c>
      <c r="BR259" s="477"/>
      <c r="BS259" s="477">
        <v>0</v>
      </c>
      <c r="BT259" s="477">
        <v>599148.86999999988</v>
      </c>
      <c r="BW259" s="126">
        <v>135</v>
      </c>
      <c r="BX259" s="125">
        <v>33036</v>
      </c>
      <c r="BY259" s="19" t="s">
        <v>18</v>
      </c>
      <c r="BZ259" t="s">
        <v>764</v>
      </c>
    </row>
    <row r="260" spans="1:78" x14ac:dyDescent="0.25">
      <c r="A260" s="443">
        <v>33030</v>
      </c>
      <c r="B260" s="19" t="s">
        <v>18</v>
      </c>
      <c r="C260" t="s">
        <v>386</v>
      </c>
      <c r="D260" s="379"/>
      <c r="E260" s="120"/>
      <c r="F260" s="379">
        <v>6945.56</v>
      </c>
      <c r="G260" s="120">
        <v>1.1602590989248147E-5</v>
      </c>
      <c r="H260" s="379">
        <v>17094.63</v>
      </c>
      <c r="I260" s="120">
        <v>6.573477583862657E-5</v>
      </c>
      <c r="J260" s="379"/>
      <c r="K260" s="120"/>
      <c r="L260" s="379">
        <v>9612.65</v>
      </c>
      <c r="M260" s="120">
        <v>4.3118469262488957E-5</v>
      </c>
      <c r="N260" s="379">
        <v>26048.45</v>
      </c>
      <c r="O260" s="120">
        <v>3.6703953868243944E-5</v>
      </c>
      <c r="P260" s="383">
        <f t="shared" si="50"/>
        <v>59701.290000000008</v>
      </c>
      <c r="R260" s="379"/>
      <c r="S260" s="120"/>
      <c r="T260" s="380"/>
      <c r="U260" s="551">
        <v>681</v>
      </c>
      <c r="V260" s="550" t="s">
        <v>387</v>
      </c>
      <c r="W260" s="449" t="s">
        <v>18</v>
      </c>
      <c r="X260" s="562" t="s">
        <v>386</v>
      </c>
      <c r="Y260" s="379"/>
      <c r="Z260" s="379">
        <v>19778.100000000002</v>
      </c>
      <c r="AA260" s="379">
        <v>14590.65</v>
      </c>
      <c r="AB260" s="379"/>
      <c r="AC260" s="379">
        <v>0</v>
      </c>
      <c r="AD260" s="379">
        <v>34368.75</v>
      </c>
      <c r="AE260" s="124"/>
      <c r="AF260" s="551">
        <v>681</v>
      </c>
      <c r="AG260" s="550" t="s">
        <v>387</v>
      </c>
      <c r="AH260" s="449" t="s">
        <v>18</v>
      </c>
      <c r="AI260" s="562" t="s">
        <v>386</v>
      </c>
      <c r="AJ260" s="383">
        <f t="shared" si="42"/>
        <v>0</v>
      </c>
      <c r="AK260" s="383">
        <f t="shared" si="43"/>
        <v>26048.45</v>
      </c>
      <c r="AL260" s="383">
        <f t="shared" si="44"/>
        <v>17094.63</v>
      </c>
      <c r="AM260" s="383">
        <f t="shared" si="45"/>
        <v>0</v>
      </c>
      <c r="AN260" s="383">
        <f t="shared" si="46"/>
        <v>0</v>
      </c>
      <c r="AO260" s="124">
        <f t="shared" si="51"/>
        <v>43143.08</v>
      </c>
      <c r="AR260" s="124">
        <f t="shared" si="47"/>
        <v>9612.65</v>
      </c>
      <c r="AS260" s="124">
        <f t="shared" si="54"/>
        <v>6945.56</v>
      </c>
      <c r="AV260" s="379">
        <f t="shared" si="52"/>
        <v>16558.21</v>
      </c>
      <c r="AW260" s="124">
        <f t="shared" si="49"/>
        <v>0</v>
      </c>
      <c r="AZ260" s="379"/>
      <c r="BA260" s="379">
        <v>626.72</v>
      </c>
      <c r="BB260" s="379">
        <v>431.27</v>
      </c>
      <c r="BC260" s="379"/>
      <c r="BD260" s="379">
        <v>0</v>
      </c>
      <c r="BE260" s="379">
        <f t="shared" si="53"/>
        <v>1057.99</v>
      </c>
      <c r="BF260" s="379"/>
      <c r="BO260" s="477"/>
      <c r="BP260" s="477">
        <v>56065.919999999998</v>
      </c>
      <c r="BQ260" s="477">
        <v>39062.11</v>
      </c>
      <c r="BR260" s="477"/>
      <c r="BS260" s="477">
        <v>0</v>
      </c>
      <c r="BT260" s="477">
        <v>95128.03</v>
      </c>
      <c r="BW260" s="126">
        <v>1069</v>
      </c>
      <c r="BX260" s="125">
        <v>33049</v>
      </c>
      <c r="BY260" s="19" t="s">
        <v>18</v>
      </c>
      <c r="BZ260" t="s">
        <v>1006</v>
      </c>
    </row>
    <row r="261" spans="1:78" x14ac:dyDescent="0.25">
      <c r="A261" s="443">
        <v>33036</v>
      </c>
      <c r="B261" s="19" t="s">
        <v>18</v>
      </c>
      <c r="C261" t="s">
        <v>86</v>
      </c>
      <c r="D261" s="379"/>
      <c r="E261" s="120"/>
      <c r="F261" s="379">
        <v>66079.39</v>
      </c>
      <c r="G261" s="120">
        <v>1.1038593504181289E-4</v>
      </c>
      <c r="H261" s="379">
        <v>163532.37</v>
      </c>
      <c r="I261" s="120">
        <v>6.2883862852307067E-4</v>
      </c>
      <c r="J261" s="379">
        <v>0</v>
      </c>
      <c r="K261" s="120">
        <v>0</v>
      </c>
      <c r="L261" s="379">
        <v>131736.19</v>
      </c>
      <c r="M261" s="120">
        <v>5.9091539370229908E-4</v>
      </c>
      <c r="N261" s="379">
        <v>442848.07</v>
      </c>
      <c r="O261" s="120">
        <v>6.2400162512244936E-4</v>
      </c>
      <c r="P261" s="383">
        <f t="shared" si="50"/>
        <v>804196.02</v>
      </c>
      <c r="R261" s="379"/>
      <c r="S261" s="120"/>
      <c r="T261" s="380"/>
      <c r="U261" s="551">
        <v>135</v>
      </c>
      <c r="V261" s="550" t="s">
        <v>87</v>
      </c>
      <c r="W261" s="449" t="s">
        <v>18</v>
      </c>
      <c r="X261" s="562" t="s">
        <v>86</v>
      </c>
      <c r="Y261" s="379">
        <v>0</v>
      </c>
      <c r="Z261" s="379">
        <v>416411.94</v>
      </c>
      <c r="AA261" s="379">
        <v>163580.12</v>
      </c>
      <c r="AB261" s="379"/>
      <c r="AC261" s="379">
        <v>0</v>
      </c>
      <c r="AD261" s="379">
        <v>579992.06000000006</v>
      </c>
      <c r="AE261" s="124"/>
      <c r="AF261" s="551">
        <v>135</v>
      </c>
      <c r="AG261" s="550" t="s">
        <v>87</v>
      </c>
      <c r="AH261" s="449" t="s">
        <v>18</v>
      </c>
      <c r="AI261" s="562" t="s">
        <v>86</v>
      </c>
      <c r="AJ261" s="383">
        <f t="shared" si="42"/>
        <v>0</v>
      </c>
      <c r="AK261" s="383">
        <f t="shared" si="43"/>
        <v>442848.07</v>
      </c>
      <c r="AL261" s="383">
        <f t="shared" si="44"/>
        <v>163532.37</v>
      </c>
      <c r="AM261" s="383">
        <f t="shared" si="45"/>
        <v>0</v>
      </c>
      <c r="AN261" s="383">
        <f t="shared" si="46"/>
        <v>0</v>
      </c>
      <c r="AO261" s="124">
        <f t="shared" si="51"/>
        <v>606380.43999999994</v>
      </c>
      <c r="AR261" s="124">
        <f t="shared" si="47"/>
        <v>131736.19</v>
      </c>
      <c r="AS261" s="124">
        <f t="shared" si="54"/>
        <v>66079.39</v>
      </c>
      <c r="AV261" s="379">
        <f t="shared" si="52"/>
        <v>197815.58000000002</v>
      </c>
      <c r="AW261" s="124">
        <f t="shared" si="49"/>
        <v>0</v>
      </c>
      <c r="AZ261" s="379">
        <v>0</v>
      </c>
      <c r="BA261" s="379">
        <v>10781.64</v>
      </c>
      <c r="BB261" s="379">
        <v>4135.24</v>
      </c>
      <c r="BC261" s="379"/>
      <c r="BD261" s="379">
        <v>0</v>
      </c>
      <c r="BE261" s="379">
        <f t="shared" si="53"/>
        <v>14916.88</v>
      </c>
      <c r="BF261" s="379"/>
      <c r="BO261" s="477">
        <v>0</v>
      </c>
      <c r="BP261" s="477">
        <v>1001777.84</v>
      </c>
      <c r="BQ261" s="477">
        <v>397327.12</v>
      </c>
      <c r="BR261" s="477"/>
      <c r="BS261" s="477">
        <v>0</v>
      </c>
      <c r="BT261" s="477">
        <v>1399104.96</v>
      </c>
      <c r="BW261" s="126">
        <v>1026</v>
      </c>
      <c r="BX261" s="125">
        <v>33070</v>
      </c>
      <c r="BY261" s="19" t="s">
        <v>18</v>
      </c>
      <c r="BZ261" t="s">
        <v>994</v>
      </c>
    </row>
    <row r="262" spans="1:78" x14ac:dyDescent="0.25">
      <c r="A262" s="443">
        <v>33049</v>
      </c>
      <c r="B262" s="19" t="s">
        <v>18</v>
      </c>
      <c r="C262" t="s">
        <v>594</v>
      </c>
      <c r="D262" s="379"/>
      <c r="E262" s="120"/>
      <c r="F262" s="379">
        <v>68394.23</v>
      </c>
      <c r="G262" s="120">
        <v>1.1425288626324806E-4</v>
      </c>
      <c r="H262" s="379">
        <v>169626.08</v>
      </c>
      <c r="I262" s="120">
        <v>6.5227105501464123E-4</v>
      </c>
      <c r="J262" s="379"/>
      <c r="K262" s="120"/>
      <c r="L262" s="379">
        <v>103219.6</v>
      </c>
      <c r="M262" s="120">
        <v>4.6300147720830423E-4</v>
      </c>
      <c r="N262" s="379">
        <v>337564.8</v>
      </c>
      <c r="O262" s="120">
        <v>4.7565067582689156E-4</v>
      </c>
      <c r="P262" s="383">
        <f t="shared" si="50"/>
        <v>678804.71</v>
      </c>
      <c r="R262" s="379"/>
      <c r="S262" s="120"/>
      <c r="T262" s="380"/>
      <c r="U262" s="551">
        <v>1069</v>
      </c>
      <c r="V262" s="550" t="s">
        <v>595</v>
      </c>
      <c r="W262" s="449" t="s">
        <v>18</v>
      </c>
      <c r="X262" s="562" t="s">
        <v>594</v>
      </c>
      <c r="Y262" s="379"/>
      <c r="Z262" s="379">
        <v>336961.12</v>
      </c>
      <c r="AA262" s="379">
        <v>160652</v>
      </c>
      <c r="AB262" s="379"/>
      <c r="AC262" s="379">
        <v>0</v>
      </c>
      <c r="AD262" s="379">
        <v>497613.12</v>
      </c>
      <c r="AE262" s="124"/>
      <c r="AF262" s="551">
        <v>1069</v>
      </c>
      <c r="AG262" s="550" t="s">
        <v>595</v>
      </c>
      <c r="AH262" s="449" t="s">
        <v>18</v>
      </c>
      <c r="AI262" s="562" t="s">
        <v>594</v>
      </c>
      <c r="AJ262" s="383">
        <f t="shared" si="42"/>
        <v>0</v>
      </c>
      <c r="AK262" s="383">
        <f t="shared" si="43"/>
        <v>337564.8</v>
      </c>
      <c r="AL262" s="383">
        <f t="shared" si="44"/>
        <v>169626.08</v>
      </c>
      <c r="AM262" s="383">
        <f t="shared" si="45"/>
        <v>0</v>
      </c>
      <c r="AN262" s="383">
        <f t="shared" si="46"/>
        <v>0</v>
      </c>
      <c r="AO262" s="124">
        <f t="shared" si="51"/>
        <v>507190.88</v>
      </c>
      <c r="AR262" s="124">
        <f t="shared" si="47"/>
        <v>103219.6</v>
      </c>
      <c r="AS262" s="124">
        <f t="shared" si="54"/>
        <v>68394.23</v>
      </c>
      <c r="AV262" s="379">
        <f t="shared" si="52"/>
        <v>171613.83000000002</v>
      </c>
      <c r="AW262" s="124">
        <f t="shared" si="49"/>
        <v>0</v>
      </c>
      <c r="AZ262" s="379"/>
      <c r="BA262" s="379">
        <v>8207.3799999999992</v>
      </c>
      <c r="BB262" s="379">
        <v>4304.68</v>
      </c>
      <c r="BC262" s="379"/>
      <c r="BD262" s="379">
        <v>0</v>
      </c>
      <c r="BE262" s="379">
        <f t="shared" si="53"/>
        <v>12512.06</v>
      </c>
      <c r="BF262" s="379"/>
      <c r="BO262" s="477"/>
      <c r="BP262" s="477">
        <v>785952.89999999991</v>
      </c>
      <c r="BQ262" s="477">
        <v>402976.99</v>
      </c>
      <c r="BR262" s="477"/>
      <c r="BS262" s="477">
        <v>0</v>
      </c>
      <c r="BT262" s="477">
        <v>1188929.8899999999</v>
      </c>
      <c r="BW262" s="126">
        <v>175</v>
      </c>
      <c r="BX262" s="125">
        <v>33115</v>
      </c>
      <c r="BY262" s="19" t="s">
        <v>18</v>
      </c>
      <c r="BZ262" t="s">
        <v>774</v>
      </c>
    </row>
    <row r="263" spans="1:78" x14ac:dyDescent="0.25">
      <c r="A263" s="443">
        <v>33070</v>
      </c>
      <c r="B263" s="19" t="s">
        <v>18</v>
      </c>
      <c r="C263" t="s">
        <v>570</v>
      </c>
      <c r="D263" s="379"/>
      <c r="E263" s="120"/>
      <c r="F263" s="379">
        <v>109722.74</v>
      </c>
      <c r="G263" s="120">
        <v>1.8329235863481376E-4</v>
      </c>
      <c r="H263" s="379">
        <v>268846.09999999998</v>
      </c>
      <c r="I263" s="120">
        <v>1.0338064128085241E-3</v>
      </c>
      <c r="J263" s="379">
        <v>0</v>
      </c>
      <c r="K263" s="120">
        <v>0</v>
      </c>
      <c r="L263" s="379">
        <v>116801.34</v>
      </c>
      <c r="M263" s="120">
        <v>5.2392368271054514E-4</v>
      </c>
      <c r="N263" s="379">
        <v>399469.57</v>
      </c>
      <c r="O263" s="120">
        <v>5.628785078976771E-4</v>
      </c>
      <c r="P263" s="383">
        <f t="shared" si="50"/>
        <v>894839.75</v>
      </c>
      <c r="R263" s="379"/>
      <c r="S263" s="120"/>
      <c r="T263" s="380"/>
      <c r="U263" s="551">
        <v>1026</v>
      </c>
      <c r="V263" s="550" t="s">
        <v>571</v>
      </c>
      <c r="W263" s="449" t="s">
        <v>18</v>
      </c>
      <c r="X263" s="562" t="s">
        <v>570</v>
      </c>
      <c r="Y263" s="379">
        <v>0</v>
      </c>
      <c r="Z263" s="379">
        <v>426990.01</v>
      </c>
      <c r="AA263" s="379">
        <v>252388.21000000002</v>
      </c>
      <c r="AB263" s="379"/>
      <c r="AC263" s="379">
        <v>0</v>
      </c>
      <c r="AD263" s="379">
        <v>679378.22</v>
      </c>
      <c r="AE263" s="124"/>
      <c r="AF263" s="551">
        <v>1026</v>
      </c>
      <c r="AG263" s="550" t="s">
        <v>571</v>
      </c>
      <c r="AH263" s="449" t="s">
        <v>18</v>
      </c>
      <c r="AI263" s="562" t="s">
        <v>570</v>
      </c>
      <c r="AJ263" s="383">
        <f t="shared" ref="AJ263:AJ327" si="55">+J263</f>
        <v>0</v>
      </c>
      <c r="AK263" s="383">
        <f t="shared" ref="AK263:AK327" si="56">+N263</f>
        <v>399469.57</v>
      </c>
      <c r="AL263" s="383">
        <f t="shared" ref="AL263:AL327" si="57">+H263</f>
        <v>268846.09999999998</v>
      </c>
      <c r="AM263" s="383">
        <f t="shared" ref="AM263:AM327" si="58">+D263</f>
        <v>0</v>
      </c>
      <c r="AN263" s="383">
        <f t="shared" ref="AN263:AN327" si="59">+R263</f>
        <v>0</v>
      </c>
      <c r="AO263" s="124">
        <f t="shared" si="51"/>
        <v>668315.66999999993</v>
      </c>
      <c r="AR263" s="124">
        <f t="shared" ref="AR263:AR327" si="60">+L263</f>
        <v>116801.34</v>
      </c>
      <c r="AS263" s="124">
        <f t="shared" si="54"/>
        <v>109722.74</v>
      </c>
      <c r="AV263" s="379">
        <f t="shared" si="52"/>
        <v>226524.08000000002</v>
      </c>
      <c r="AW263" s="124">
        <f t="shared" ref="AW263:AW326" si="61">+AV263+AO263-P263</f>
        <v>0</v>
      </c>
      <c r="AZ263" s="379">
        <v>0</v>
      </c>
      <c r="BA263" s="379">
        <v>9734.01</v>
      </c>
      <c r="BB263" s="379">
        <v>6790.3600000000006</v>
      </c>
      <c r="BC263" s="379"/>
      <c r="BD263" s="379">
        <v>0</v>
      </c>
      <c r="BE263" s="379">
        <f t="shared" si="53"/>
        <v>16524.370000000003</v>
      </c>
      <c r="BF263" s="379"/>
      <c r="BO263" s="477">
        <v>0</v>
      </c>
      <c r="BP263" s="477">
        <v>952994.92999999993</v>
      </c>
      <c r="BQ263" s="477">
        <v>637747.41</v>
      </c>
      <c r="BR263" s="477"/>
      <c r="BS263" s="477">
        <v>0</v>
      </c>
      <c r="BT263" s="477">
        <v>1590742.3399999999</v>
      </c>
      <c r="BW263" s="126">
        <v>551</v>
      </c>
      <c r="BX263" s="125">
        <v>33183</v>
      </c>
      <c r="BY263" s="19" t="s">
        <v>18</v>
      </c>
      <c r="BZ263" t="s">
        <v>856</v>
      </c>
    </row>
    <row r="264" spans="1:78" x14ac:dyDescent="0.25">
      <c r="A264" s="443">
        <v>33115</v>
      </c>
      <c r="B264" s="19" t="s">
        <v>18</v>
      </c>
      <c r="C264" t="s">
        <v>106</v>
      </c>
      <c r="D264" s="379"/>
      <c r="E264" s="120"/>
      <c r="F264" s="379">
        <v>113496.56</v>
      </c>
      <c r="G264" s="120">
        <v>1.8959654288015098E-4</v>
      </c>
      <c r="H264" s="379">
        <v>280708.08</v>
      </c>
      <c r="I264" s="120">
        <v>1.0794198362229107E-3</v>
      </c>
      <c r="J264" s="379">
        <v>0</v>
      </c>
      <c r="K264" s="120">
        <v>0</v>
      </c>
      <c r="L264" s="379">
        <v>239503.38</v>
      </c>
      <c r="M264" s="120">
        <v>1.0743155247296232E-3</v>
      </c>
      <c r="N264" s="379">
        <v>822593.25</v>
      </c>
      <c r="O264" s="120">
        <v>1.1590871894615173E-3</v>
      </c>
      <c r="P264" s="383">
        <f t="shared" ref="P264:P327" si="62">+D264+F264+H264+J264+L264+N264+R264</f>
        <v>1456301.27</v>
      </c>
      <c r="R264" s="379"/>
      <c r="S264" s="120"/>
      <c r="T264" s="380"/>
      <c r="U264" s="551">
        <v>175</v>
      </c>
      <c r="V264" s="550" t="s">
        <v>107</v>
      </c>
      <c r="W264" s="449" t="s">
        <v>18</v>
      </c>
      <c r="X264" s="562" t="s">
        <v>106</v>
      </c>
      <c r="Y264" s="379">
        <v>0</v>
      </c>
      <c r="Z264" s="379">
        <v>843097.70000000007</v>
      </c>
      <c r="AA264" s="379">
        <v>276507.42</v>
      </c>
      <c r="AB264" s="379"/>
      <c r="AC264" s="379">
        <v>0</v>
      </c>
      <c r="AD264" s="379">
        <v>1119605.1200000001</v>
      </c>
      <c r="AE264" s="124"/>
      <c r="AF264" s="551">
        <v>175</v>
      </c>
      <c r="AG264" s="550" t="s">
        <v>107</v>
      </c>
      <c r="AH264" s="449" t="s">
        <v>18</v>
      </c>
      <c r="AI264" s="562" t="s">
        <v>106</v>
      </c>
      <c r="AJ264" s="383">
        <f t="shared" si="55"/>
        <v>0</v>
      </c>
      <c r="AK264" s="383">
        <f t="shared" si="56"/>
        <v>822593.25</v>
      </c>
      <c r="AL264" s="383">
        <f t="shared" si="57"/>
        <v>280708.08</v>
      </c>
      <c r="AM264" s="383">
        <f t="shared" si="58"/>
        <v>0</v>
      </c>
      <c r="AN264" s="383">
        <f t="shared" si="59"/>
        <v>0</v>
      </c>
      <c r="AO264" s="124">
        <f t="shared" ref="AO264:AO326" si="63">SUM(AJ264:AN264)</f>
        <v>1103301.33</v>
      </c>
      <c r="AR264" s="124">
        <f t="shared" si="60"/>
        <v>239503.38</v>
      </c>
      <c r="AS264" s="124">
        <f t="shared" si="54"/>
        <v>113496.56</v>
      </c>
      <c r="AV264" s="379">
        <f t="shared" ref="AV264:AV326" si="64">SUM(AQ264:AU264)</f>
        <v>352999.94</v>
      </c>
      <c r="AW264" s="124">
        <f t="shared" si="61"/>
        <v>0</v>
      </c>
      <c r="AZ264" s="379">
        <v>0</v>
      </c>
      <c r="BA264" s="379">
        <v>20047.63</v>
      </c>
      <c r="BB264" s="379">
        <v>7097.4</v>
      </c>
      <c r="BC264" s="379"/>
      <c r="BD264" s="379">
        <v>0</v>
      </c>
      <c r="BE264" s="379">
        <f t="shared" si="53"/>
        <v>27145.03</v>
      </c>
      <c r="BF264" s="379"/>
      <c r="BO264" s="477">
        <v>0</v>
      </c>
      <c r="BP264" s="477">
        <v>1925241.96</v>
      </c>
      <c r="BQ264" s="477">
        <v>677809.46</v>
      </c>
      <c r="BR264" s="477"/>
      <c r="BS264" s="477">
        <v>0</v>
      </c>
      <c r="BT264" s="477">
        <v>2603051.42</v>
      </c>
      <c r="BW264" s="126">
        <v>953</v>
      </c>
      <c r="BX264" s="125">
        <v>33202</v>
      </c>
      <c r="BY264" s="19" t="s">
        <v>18</v>
      </c>
      <c r="BZ264" t="s">
        <v>977</v>
      </c>
    </row>
    <row r="265" spans="1:78" x14ac:dyDescent="0.25">
      <c r="A265" s="443">
        <v>33183</v>
      </c>
      <c r="B265" s="19" t="s">
        <v>18</v>
      </c>
      <c r="C265" t="s">
        <v>274</v>
      </c>
      <c r="D265" s="379"/>
      <c r="E265" s="120"/>
      <c r="F265" s="379">
        <v>16069.22</v>
      </c>
      <c r="G265" s="120">
        <v>2.6843708380065259E-5</v>
      </c>
      <c r="H265" s="379">
        <v>38935.410000000003</v>
      </c>
      <c r="I265" s="120">
        <v>1.4972014302357052E-4</v>
      </c>
      <c r="J265" s="379"/>
      <c r="K265" s="120"/>
      <c r="L265" s="379">
        <v>32088.05</v>
      </c>
      <c r="M265" s="120">
        <v>1.4393404499469021E-4</v>
      </c>
      <c r="N265" s="379">
        <v>92664.92</v>
      </c>
      <c r="O265" s="120">
        <v>1.305708765352455E-4</v>
      </c>
      <c r="P265" s="383">
        <f t="shared" si="62"/>
        <v>179757.6</v>
      </c>
      <c r="R265" s="379"/>
      <c r="S265" s="120"/>
      <c r="T265" s="380"/>
      <c r="U265" s="551">
        <v>551</v>
      </c>
      <c r="V265" s="550" t="s">
        <v>275</v>
      </c>
      <c r="W265" s="449" t="s">
        <v>18</v>
      </c>
      <c r="X265" s="562" t="s">
        <v>274</v>
      </c>
      <c r="Y265" s="379"/>
      <c r="Z265" s="379">
        <v>78928.94</v>
      </c>
      <c r="AA265" s="379">
        <v>35468.239999999998</v>
      </c>
      <c r="AB265" s="379"/>
      <c r="AC265" s="379">
        <v>0</v>
      </c>
      <c r="AD265" s="379">
        <v>114397.18</v>
      </c>
      <c r="AE265" s="124"/>
      <c r="AF265" s="551">
        <v>551</v>
      </c>
      <c r="AG265" s="550" t="s">
        <v>275</v>
      </c>
      <c r="AH265" s="449" t="s">
        <v>18</v>
      </c>
      <c r="AI265" s="562" t="s">
        <v>274</v>
      </c>
      <c r="AJ265" s="383">
        <f t="shared" si="55"/>
        <v>0</v>
      </c>
      <c r="AK265" s="383">
        <f t="shared" si="56"/>
        <v>92664.92</v>
      </c>
      <c r="AL265" s="383">
        <f t="shared" si="57"/>
        <v>38935.410000000003</v>
      </c>
      <c r="AM265" s="383">
        <f t="shared" si="58"/>
        <v>0</v>
      </c>
      <c r="AN265" s="383">
        <f t="shared" si="59"/>
        <v>0</v>
      </c>
      <c r="AO265" s="124">
        <f t="shared" si="63"/>
        <v>131600.33000000002</v>
      </c>
      <c r="AR265" s="124">
        <f t="shared" si="60"/>
        <v>32088.05</v>
      </c>
      <c r="AS265" s="124">
        <f t="shared" si="54"/>
        <v>16069.22</v>
      </c>
      <c r="AV265" s="379">
        <f t="shared" si="64"/>
        <v>48157.27</v>
      </c>
      <c r="AW265" s="124">
        <f t="shared" si="61"/>
        <v>0</v>
      </c>
      <c r="AZ265" s="379"/>
      <c r="BA265" s="379">
        <v>2238.16</v>
      </c>
      <c r="BB265" s="379">
        <v>976.81</v>
      </c>
      <c r="BC265" s="379"/>
      <c r="BD265" s="379">
        <v>0</v>
      </c>
      <c r="BE265" s="379">
        <f t="shared" ref="BE265:BE327" si="65">SUM(AZ265:BD265)</f>
        <v>3214.97</v>
      </c>
      <c r="BF265" s="379"/>
      <c r="BO265" s="477"/>
      <c r="BP265" s="477">
        <v>205920.07</v>
      </c>
      <c r="BQ265" s="477">
        <v>91449.680000000008</v>
      </c>
      <c r="BR265" s="477"/>
      <c r="BS265" s="477">
        <v>0</v>
      </c>
      <c r="BT265" s="477">
        <v>297369.75</v>
      </c>
      <c r="BW265" s="126">
        <v>292</v>
      </c>
      <c r="BX265" s="125">
        <v>33205</v>
      </c>
      <c r="BY265" s="19" t="s">
        <v>18</v>
      </c>
      <c r="BZ265" t="s">
        <v>810</v>
      </c>
    </row>
    <row r="266" spans="1:78" x14ac:dyDescent="0.25">
      <c r="A266" s="443">
        <v>33202</v>
      </c>
      <c r="B266" s="19" t="s">
        <v>18</v>
      </c>
      <c r="C266" t="s">
        <v>532</v>
      </c>
      <c r="D266" s="379"/>
      <c r="E266" s="120"/>
      <c r="F266" s="379">
        <v>5529.15</v>
      </c>
      <c r="G266" s="120">
        <v>9.2364713526629073E-6</v>
      </c>
      <c r="H266" s="379">
        <v>13442.55</v>
      </c>
      <c r="I266" s="120">
        <v>5.1691262750321558E-5</v>
      </c>
      <c r="J266" s="379"/>
      <c r="K266" s="120"/>
      <c r="L266" s="379">
        <v>13532.26</v>
      </c>
      <c r="M266" s="120">
        <v>6.0700258187077327E-5</v>
      </c>
      <c r="N266" s="379">
        <v>38300.239999999998</v>
      </c>
      <c r="O266" s="120">
        <v>5.3967519837175395E-5</v>
      </c>
      <c r="P266" s="383">
        <f t="shared" si="62"/>
        <v>70804.2</v>
      </c>
      <c r="R266" s="379"/>
      <c r="S266" s="120"/>
      <c r="T266" s="380"/>
      <c r="U266" s="551">
        <v>953</v>
      </c>
      <c r="V266" s="550" t="s">
        <v>533</v>
      </c>
      <c r="W266" s="449" t="s">
        <v>18</v>
      </c>
      <c r="X266" s="562" t="s">
        <v>532</v>
      </c>
      <c r="Y266" s="379"/>
      <c r="Z266" s="379">
        <v>35918.93</v>
      </c>
      <c r="AA266" s="379">
        <v>13366.27</v>
      </c>
      <c r="AB266" s="379"/>
      <c r="AC266" s="379">
        <v>0</v>
      </c>
      <c r="AD266" s="379">
        <v>49285.2</v>
      </c>
      <c r="AE266" s="124"/>
      <c r="AF266" s="551">
        <v>953</v>
      </c>
      <c r="AG266" s="550" t="s">
        <v>533</v>
      </c>
      <c r="AH266" s="449" t="s">
        <v>18</v>
      </c>
      <c r="AI266" s="562" t="s">
        <v>532</v>
      </c>
      <c r="AJ266" s="383">
        <f t="shared" si="55"/>
        <v>0</v>
      </c>
      <c r="AK266" s="383">
        <f t="shared" si="56"/>
        <v>38300.239999999998</v>
      </c>
      <c r="AL266" s="383">
        <f t="shared" si="57"/>
        <v>13442.55</v>
      </c>
      <c r="AM266" s="383">
        <f t="shared" si="58"/>
        <v>0</v>
      </c>
      <c r="AN266" s="383">
        <f t="shared" si="59"/>
        <v>0</v>
      </c>
      <c r="AO266" s="124">
        <f t="shared" si="63"/>
        <v>51742.789999999994</v>
      </c>
      <c r="AR266" s="124">
        <f t="shared" si="60"/>
        <v>13532.26</v>
      </c>
      <c r="AS266" s="124">
        <f t="shared" si="54"/>
        <v>5529.15</v>
      </c>
      <c r="AV266" s="379">
        <f t="shared" si="64"/>
        <v>19061.41</v>
      </c>
      <c r="AW266" s="124">
        <f t="shared" si="61"/>
        <v>0</v>
      </c>
      <c r="AZ266" s="379"/>
      <c r="BA266" s="379">
        <v>923.91</v>
      </c>
      <c r="BB266" s="379">
        <v>337.6</v>
      </c>
      <c r="BC266" s="379"/>
      <c r="BD266" s="379">
        <v>0</v>
      </c>
      <c r="BE266" s="379">
        <f t="shared" si="65"/>
        <v>1261.51</v>
      </c>
      <c r="BF266" s="379"/>
      <c r="BO266" s="477"/>
      <c r="BP266" s="477">
        <v>88675.34</v>
      </c>
      <c r="BQ266" s="477">
        <v>32675.57</v>
      </c>
      <c r="BR266" s="477"/>
      <c r="BS266" s="477">
        <v>0</v>
      </c>
      <c r="BT266" s="477">
        <v>121350.91</v>
      </c>
      <c r="BW266" s="126">
        <v>172</v>
      </c>
      <c r="BX266" s="125">
        <v>33206</v>
      </c>
      <c r="BY266" s="19" t="s">
        <v>18</v>
      </c>
      <c r="BZ266" t="s">
        <v>772</v>
      </c>
    </row>
    <row r="267" spans="1:78" x14ac:dyDescent="0.25">
      <c r="A267" s="443">
        <v>33205</v>
      </c>
      <c r="B267" s="19" t="s">
        <v>18</v>
      </c>
      <c r="C267" t="s">
        <v>178</v>
      </c>
      <c r="D267" s="379"/>
      <c r="E267" s="120"/>
      <c r="F267" s="379">
        <v>3253.69</v>
      </c>
      <c r="G267" s="120">
        <v>5.4353046083838881E-6</v>
      </c>
      <c r="H267" s="379">
        <v>7857.85</v>
      </c>
      <c r="I267" s="120">
        <v>3.0216156086651291E-5</v>
      </c>
      <c r="J267" s="379">
        <v>0</v>
      </c>
      <c r="K267" s="120">
        <v>0</v>
      </c>
      <c r="L267" s="379">
        <v>4929.34</v>
      </c>
      <c r="M267" s="120">
        <v>2.2111030285546371E-5</v>
      </c>
      <c r="N267" s="379">
        <v>13956.75</v>
      </c>
      <c r="O267" s="120">
        <v>1.9665965082398903E-5</v>
      </c>
      <c r="P267" s="383">
        <f t="shared" si="62"/>
        <v>29997.63</v>
      </c>
      <c r="R267" s="379"/>
      <c r="S267" s="120"/>
      <c r="T267" s="380"/>
      <c r="U267" s="551">
        <v>292</v>
      </c>
      <c r="V267" s="550" t="s">
        <v>179</v>
      </c>
      <c r="W267" s="449" t="s">
        <v>18</v>
      </c>
      <c r="X267" s="562" t="s">
        <v>178</v>
      </c>
      <c r="Y267" s="379">
        <v>0</v>
      </c>
      <c r="Z267" s="379">
        <v>16338.900000000001</v>
      </c>
      <c r="AA267" s="379">
        <v>7841.52</v>
      </c>
      <c r="AB267" s="379"/>
      <c r="AC267" s="379">
        <v>0</v>
      </c>
      <c r="AD267" s="379">
        <v>24180.420000000002</v>
      </c>
      <c r="AE267" s="124"/>
      <c r="AF267" s="551">
        <v>292</v>
      </c>
      <c r="AG267" s="550" t="s">
        <v>179</v>
      </c>
      <c r="AH267" s="449" t="s">
        <v>18</v>
      </c>
      <c r="AI267" s="562" t="s">
        <v>178</v>
      </c>
      <c r="AJ267" s="383">
        <f t="shared" si="55"/>
        <v>0</v>
      </c>
      <c r="AK267" s="383">
        <f t="shared" si="56"/>
        <v>13956.75</v>
      </c>
      <c r="AL267" s="383">
        <f t="shared" si="57"/>
        <v>7857.85</v>
      </c>
      <c r="AM267" s="383">
        <f t="shared" si="58"/>
        <v>0</v>
      </c>
      <c r="AN267" s="383">
        <f t="shared" si="59"/>
        <v>0</v>
      </c>
      <c r="AO267" s="124">
        <f t="shared" si="63"/>
        <v>21814.6</v>
      </c>
      <c r="AR267" s="124">
        <f t="shared" si="60"/>
        <v>4929.34</v>
      </c>
      <c r="AS267" s="124">
        <f t="shared" si="54"/>
        <v>3253.69</v>
      </c>
      <c r="AV267" s="379">
        <f t="shared" si="64"/>
        <v>8183.0300000000007</v>
      </c>
      <c r="AW267" s="124">
        <f t="shared" si="61"/>
        <v>0</v>
      </c>
      <c r="AZ267" s="379">
        <v>0</v>
      </c>
      <c r="BA267" s="379">
        <v>336.61</v>
      </c>
      <c r="BB267" s="379">
        <v>196.76999999999998</v>
      </c>
      <c r="BC267" s="379"/>
      <c r="BD267" s="379">
        <v>0</v>
      </c>
      <c r="BE267" s="379">
        <f t="shared" si="65"/>
        <v>533.38</v>
      </c>
      <c r="BF267" s="379"/>
      <c r="BO267" s="477">
        <v>0</v>
      </c>
      <c r="BP267" s="477">
        <v>35561.599999999999</v>
      </c>
      <c r="BQ267" s="477">
        <v>19149.829999999998</v>
      </c>
      <c r="BR267" s="477"/>
      <c r="BS267" s="477">
        <v>0</v>
      </c>
      <c r="BT267" s="477">
        <v>54711.429999999993</v>
      </c>
      <c r="BW267" s="126">
        <v>568</v>
      </c>
      <c r="BX267" s="125">
        <v>33207</v>
      </c>
      <c r="BY267" s="19" t="s">
        <v>18</v>
      </c>
      <c r="BZ267" t="s">
        <v>864</v>
      </c>
    </row>
    <row r="268" spans="1:78" x14ac:dyDescent="0.25">
      <c r="A268" s="443">
        <v>33206</v>
      </c>
      <c r="B268" s="19" t="s">
        <v>18</v>
      </c>
      <c r="C268" t="s">
        <v>102</v>
      </c>
      <c r="D268" s="379"/>
      <c r="E268" s="120"/>
      <c r="F268" s="379">
        <v>14926.82</v>
      </c>
      <c r="G268" s="120">
        <v>2.4935323750731259E-5</v>
      </c>
      <c r="H268" s="379">
        <v>36996.870000000003</v>
      </c>
      <c r="I268" s="120">
        <v>1.4226578499685621E-4</v>
      </c>
      <c r="J268" s="379">
        <v>0</v>
      </c>
      <c r="K268" s="120">
        <v>0</v>
      </c>
      <c r="L268" s="379">
        <v>27005.09</v>
      </c>
      <c r="M268" s="120">
        <v>1.2113393737374688E-4</v>
      </c>
      <c r="N268" s="379">
        <v>91908.84</v>
      </c>
      <c r="O268" s="120">
        <v>1.2950551082478281E-4</v>
      </c>
      <c r="P268" s="383">
        <f t="shared" si="62"/>
        <v>170837.62</v>
      </c>
      <c r="R268" s="379"/>
      <c r="S268" s="120"/>
      <c r="T268" s="380"/>
      <c r="U268" s="551">
        <v>172</v>
      </c>
      <c r="V268" s="550" t="s">
        <v>103</v>
      </c>
      <c r="W268" s="449" t="s">
        <v>18</v>
      </c>
      <c r="X268" s="562" t="s">
        <v>102</v>
      </c>
      <c r="Y268" s="379">
        <v>0</v>
      </c>
      <c r="Z268" s="379">
        <v>87627.15</v>
      </c>
      <c r="AA268" s="379">
        <v>34825.619999999995</v>
      </c>
      <c r="AB268" s="379"/>
      <c r="AC268" s="379">
        <v>0</v>
      </c>
      <c r="AD268" s="379">
        <v>122452.76999999999</v>
      </c>
      <c r="AE268" s="124"/>
      <c r="AF268" s="551">
        <v>172</v>
      </c>
      <c r="AG268" s="550" t="s">
        <v>103</v>
      </c>
      <c r="AH268" s="449" t="s">
        <v>18</v>
      </c>
      <c r="AI268" s="562" t="s">
        <v>102</v>
      </c>
      <c r="AJ268" s="383">
        <f t="shared" si="55"/>
        <v>0</v>
      </c>
      <c r="AK268" s="383">
        <f t="shared" si="56"/>
        <v>91908.84</v>
      </c>
      <c r="AL268" s="383">
        <f t="shared" si="57"/>
        <v>36996.870000000003</v>
      </c>
      <c r="AM268" s="383">
        <f t="shared" si="58"/>
        <v>0</v>
      </c>
      <c r="AN268" s="383">
        <f t="shared" si="59"/>
        <v>0</v>
      </c>
      <c r="AO268" s="124">
        <f t="shared" si="63"/>
        <v>128905.70999999999</v>
      </c>
      <c r="AR268" s="124">
        <f t="shared" si="60"/>
        <v>27005.09</v>
      </c>
      <c r="AS268" s="124">
        <f t="shared" si="54"/>
        <v>14926.82</v>
      </c>
      <c r="AV268" s="379">
        <f t="shared" si="64"/>
        <v>41931.910000000003</v>
      </c>
      <c r="AW268" s="124">
        <f t="shared" si="61"/>
        <v>0</v>
      </c>
      <c r="AZ268" s="379">
        <v>0</v>
      </c>
      <c r="BA268" s="379">
        <v>2238.83</v>
      </c>
      <c r="BB268" s="379">
        <v>935.96</v>
      </c>
      <c r="BC268" s="379"/>
      <c r="BD268" s="379">
        <v>0</v>
      </c>
      <c r="BE268" s="379">
        <f t="shared" si="65"/>
        <v>3174.79</v>
      </c>
      <c r="BF268" s="379"/>
      <c r="BO268" s="477">
        <v>0</v>
      </c>
      <c r="BP268" s="477">
        <v>208779.91</v>
      </c>
      <c r="BQ268" s="477">
        <v>87685.26999999999</v>
      </c>
      <c r="BR268" s="477"/>
      <c r="BS268" s="477">
        <v>0</v>
      </c>
      <c r="BT268" s="477">
        <v>296465.18</v>
      </c>
      <c r="BW268" s="126">
        <v>652</v>
      </c>
      <c r="BX268" s="125">
        <v>33211</v>
      </c>
      <c r="BY268" s="19" t="s">
        <v>18</v>
      </c>
      <c r="BZ268" t="s">
        <v>895</v>
      </c>
    </row>
    <row r="269" spans="1:78" x14ac:dyDescent="0.25">
      <c r="A269" s="443">
        <v>33207</v>
      </c>
      <c r="B269" s="19" t="s">
        <v>18</v>
      </c>
      <c r="C269" t="s">
        <v>290</v>
      </c>
      <c r="D269" s="379"/>
      <c r="E269" s="120"/>
      <c r="F269" s="379">
        <v>39319</v>
      </c>
      <c r="G269" s="120">
        <v>6.5682576366232219E-5</v>
      </c>
      <c r="H269" s="379">
        <v>97632.47</v>
      </c>
      <c r="I269" s="120">
        <v>3.7543067793929634E-4</v>
      </c>
      <c r="J269" s="379"/>
      <c r="K269" s="120"/>
      <c r="L269" s="379">
        <v>71998.19</v>
      </c>
      <c r="M269" s="120">
        <v>3.229548295703932E-4</v>
      </c>
      <c r="N269" s="379">
        <v>250251.07</v>
      </c>
      <c r="O269" s="120">
        <v>3.5261997273383584E-4</v>
      </c>
      <c r="P269" s="383">
        <f t="shared" si="62"/>
        <v>459200.73</v>
      </c>
      <c r="R269" s="379"/>
      <c r="S269" s="120"/>
      <c r="T269" s="380"/>
      <c r="U269" s="551">
        <v>568</v>
      </c>
      <c r="V269" s="550" t="s">
        <v>291</v>
      </c>
      <c r="W269" s="449" t="s">
        <v>18</v>
      </c>
      <c r="X269" s="562" t="s">
        <v>290</v>
      </c>
      <c r="Y269" s="379"/>
      <c r="Z269" s="379">
        <v>233446.21</v>
      </c>
      <c r="AA269" s="379">
        <v>91154.94</v>
      </c>
      <c r="AB269" s="379"/>
      <c r="AC269" s="379">
        <v>0</v>
      </c>
      <c r="AD269" s="379">
        <v>324601.15000000002</v>
      </c>
      <c r="AE269" s="124"/>
      <c r="AF269" s="551">
        <v>568</v>
      </c>
      <c r="AG269" s="550" t="s">
        <v>291</v>
      </c>
      <c r="AH269" s="449" t="s">
        <v>18</v>
      </c>
      <c r="AI269" s="562" t="s">
        <v>290</v>
      </c>
      <c r="AJ269" s="383">
        <f t="shared" si="55"/>
        <v>0</v>
      </c>
      <c r="AK269" s="383">
        <f t="shared" si="56"/>
        <v>250251.07</v>
      </c>
      <c r="AL269" s="383">
        <f t="shared" si="57"/>
        <v>97632.47</v>
      </c>
      <c r="AM269" s="383">
        <f t="shared" si="58"/>
        <v>0</v>
      </c>
      <c r="AN269" s="383">
        <f t="shared" si="59"/>
        <v>0</v>
      </c>
      <c r="AO269" s="124">
        <f t="shared" si="63"/>
        <v>347883.54000000004</v>
      </c>
      <c r="AR269" s="124">
        <f t="shared" si="60"/>
        <v>71998.19</v>
      </c>
      <c r="AS269" s="124">
        <f t="shared" si="54"/>
        <v>39319</v>
      </c>
      <c r="AV269" s="379">
        <f t="shared" si="64"/>
        <v>111317.19</v>
      </c>
      <c r="AW269" s="124">
        <f t="shared" si="61"/>
        <v>0</v>
      </c>
      <c r="AZ269" s="379"/>
      <c r="BA269" s="379">
        <v>6102.21</v>
      </c>
      <c r="BB269" s="379">
        <v>2471.7799999999997</v>
      </c>
      <c r="BC269" s="379"/>
      <c r="BD269" s="379">
        <v>0</v>
      </c>
      <c r="BE269" s="379">
        <f t="shared" si="65"/>
        <v>8573.99</v>
      </c>
      <c r="BF269" s="379"/>
      <c r="BO269" s="477"/>
      <c r="BP269" s="477">
        <v>561797.67999999993</v>
      </c>
      <c r="BQ269" s="477">
        <v>230578.19</v>
      </c>
      <c r="BR269" s="477"/>
      <c r="BS269" s="477">
        <v>0</v>
      </c>
      <c r="BT269" s="477">
        <v>792375.86999999988</v>
      </c>
      <c r="BW269" s="126">
        <v>437</v>
      </c>
      <c r="BX269" s="125">
        <v>33212</v>
      </c>
      <c r="BY269" s="19" t="s">
        <v>18</v>
      </c>
      <c r="BZ269" t="s">
        <v>842</v>
      </c>
    </row>
    <row r="270" spans="1:78" x14ac:dyDescent="0.25">
      <c r="A270" s="443">
        <v>33211</v>
      </c>
      <c r="B270" s="19" t="s">
        <v>18</v>
      </c>
      <c r="C270" t="s">
        <v>358</v>
      </c>
      <c r="D270" s="379"/>
      <c r="E270" s="120"/>
      <c r="F270" s="379">
        <v>25980.61</v>
      </c>
      <c r="G270" s="120">
        <v>4.3400732479622988E-5</v>
      </c>
      <c r="H270" s="379">
        <v>63835.35</v>
      </c>
      <c r="I270" s="120">
        <v>2.4546904044312574E-4</v>
      </c>
      <c r="J270" s="379"/>
      <c r="K270" s="120"/>
      <c r="L270" s="379">
        <v>41034.800000000003</v>
      </c>
      <c r="M270" s="120">
        <v>1.8406555554320421E-4</v>
      </c>
      <c r="N270" s="379">
        <v>139429.96</v>
      </c>
      <c r="O270" s="120">
        <v>1.9646584805203758E-4</v>
      </c>
      <c r="P270" s="383">
        <f t="shared" si="62"/>
        <v>270280.71999999997</v>
      </c>
      <c r="R270" s="379"/>
      <c r="S270" s="120"/>
      <c r="T270" s="380"/>
      <c r="U270" s="551">
        <v>652</v>
      </c>
      <c r="V270" s="550" t="s">
        <v>359</v>
      </c>
      <c r="W270" s="449" t="s">
        <v>18</v>
      </c>
      <c r="X270" s="562" t="s">
        <v>358</v>
      </c>
      <c r="Y270" s="379"/>
      <c r="Z270" s="379">
        <v>123865.81</v>
      </c>
      <c r="AA270" s="379">
        <v>56386.420000000006</v>
      </c>
      <c r="AB270" s="379"/>
      <c r="AC270" s="379">
        <v>0</v>
      </c>
      <c r="AD270" s="379">
        <v>180252.23</v>
      </c>
      <c r="AE270" s="124"/>
      <c r="AF270" s="551">
        <v>652</v>
      </c>
      <c r="AG270" s="550" t="s">
        <v>359</v>
      </c>
      <c r="AH270" s="449" t="s">
        <v>18</v>
      </c>
      <c r="AI270" s="562" t="s">
        <v>358</v>
      </c>
      <c r="AJ270" s="383">
        <f t="shared" si="55"/>
        <v>0</v>
      </c>
      <c r="AK270" s="383">
        <f t="shared" si="56"/>
        <v>139429.96</v>
      </c>
      <c r="AL270" s="383">
        <f t="shared" si="57"/>
        <v>63835.35</v>
      </c>
      <c r="AM270" s="383">
        <f t="shared" si="58"/>
        <v>0</v>
      </c>
      <c r="AN270" s="383">
        <f t="shared" si="59"/>
        <v>0</v>
      </c>
      <c r="AO270" s="124">
        <f t="shared" si="63"/>
        <v>203265.31</v>
      </c>
      <c r="AR270" s="124">
        <f t="shared" si="60"/>
        <v>41034.800000000003</v>
      </c>
      <c r="AS270" s="124">
        <f t="shared" si="54"/>
        <v>25980.61</v>
      </c>
      <c r="AV270" s="379">
        <f t="shared" si="64"/>
        <v>67015.41</v>
      </c>
      <c r="AW270" s="124">
        <f t="shared" si="61"/>
        <v>0</v>
      </c>
      <c r="AZ270" s="379"/>
      <c r="BA270" s="379">
        <v>3396.26</v>
      </c>
      <c r="BB270" s="379">
        <v>1610.23</v>
      </c>
      <c r="BC270" s="379"/>
      <c r="BD270" s="379">
        <v>0</v>
      </c>
      <c r="BE270" s="379">
        <f t="shared" si="65"/>
        <v>5006.49</v>
      </c>
      <c r="BF270" s="379"/>
      <c r="BO270" s="477"/>
      <c r="BP270" s="477">
        <v>307726.82999999996</v>
      </c>
      <c r="BQ270" s="477">
        <v>147812.60999999999</v>
      </c>
      <c r="BR270" s="477"/>
      <c r="BS270" s="477">
        <v>0</v>
      </c>
      <c r="BT270" s="477">
        <v>455539.43999999994</v>
      </c>
      <c r="BW270" s="126">
        <v>1134</v>
      </c>
      <c r="BX270" s="125">
        <v>34002</v>
      </c>
      <c r="BY270" s="19" t="s">
        <v>13</v>
      </c>
      <c r="BZ270" t="s">
        <v>1021</v>
      </c>
    </row>
    <row r="271" spans="1:78" x14ac:dyDescent="0.25">
      <c r="A271" s="443">
        <v>33212</v>
      </c>
      <c r="B271" s="19" t="s">
        <v>18</v>
      </c>
      <c r="C271" t="s">
        <v>244</v>
      </c>
      <c r="D271" s="379"/>
      <c r="E271" s="120"/>
      <c r="F271" s="379">
        <v>92439.29</v>
      </c>
      <c r="G271" s="120">
        <v>1.544202732690375E-4</v>
      </c>
      <c r="H271" s="379">
        <v>230362.29</v>
      </c>
      <c r="I271" s="120">
        <v>8.8582282826961953E-4</v>
      </c>
      <c r="J271" s="379">
        <v>0</v>
      </c>
      <c r="K271" s="120">
        <v>0</v>
      </c>
      <c r="L271" s="379">
        <v>140665.43</v>
      </c>
      <c r="M271" s="120">
        <v>6.3096836145597646E-4</v>
      </c>
      <c r="N271" s="379">
        <v>508827.51</v>
      </c>
      <c r="O271" s="120">
        <v>7.1697093124287376E-4</v>
      </c>
      <c r="P271" s="383">
        <f t="shared" si="62"/>
        <v>972294.52</v>
      </c>
      <c r="R271" s="379"/>
      <c r="S271" s="120"/>
      <c r="T271" s="380"/>
      <c r="U271" s="551">
        <v>437</v>
      </c>
      <c r="V271" s="550" t="s">
        <v>245</v>
      </c>
      <c r="W271" s="449" t="s">
        <v>18</v>
      </c>
      <c r="X271" s="562" t="s">
        <v>244</v>
      </c>
      <c r="Y271" s="379">
        <v>0</v>
      </c>
      <c r="Z271" s="379">
        <v>469765.99</v>
      </c>
      <c r="AA271" s="379">
        <v>221665.44</v>
      </c>
      <c r="AB271" s="379"/>
      <c r="AC271" s="379">
        <v>0</v>
      </c>
      <c r="AD271" s="379">
        <v>691431.42999999993</v>
      </c>
      <c r="AE271" s="124"/>
      <c r="AF271" s="551">
        <v>437</v>
      </c>
      <c r="AG271" s="550" t="s">
        <v>245</v>
      </c>
      <c r="AH271" s="449" t="s">
        <v>18</v>
      </c>
      <c r="AI271" s="562" t="s">
        <v>244</v>
      </c>
      <c r="AJ271" s="383">
        <f t="shared" si="55"/>
        <v>0</v>
      </c>
      <c r="AK271" s="383">
        <f t="shared" si="56"/>
        <v>508827.51</v>
      </c>
      <c r="AL271" s="383">
        <f t="shared" si="57"/>
        <v>230362.29</v>
      </c>
      <c r="AM271" s="383">
        <f t="shared" si="58"/>
        <v>0</v>
      </c>
      <c r="AN271" s="383">
        <f t="shared" si="59"/>
        <v>0</v>
      </c>
      <c r="AO271" s="124">
        <f t="shared" si="63"/>
        <v>739189.8</v>
      </c>
      <c r="AR271" s="124">
        <f t="shared" si="60"/>
        <v>140665.43</v>
      </c>
      <c r="AS271" s="124">
        <f t="shared" si="54"/>
        <v>92439.29</v>
      </c>
      <c r="AV271" s="379">
        <f t="shared" si="64"/>
        <v>233104.71999999997</v>
      </c>
      <c r="AW271" s="124">
        <f t="shared" si="61"/>
        <v>0</v>
      </c>
      <c r="AZ271" s="379">
        <v>0</v>
      </c>
      <c r="BA271" s="379">
        <v>12430.17</v>
      </c>
      <c r="BB271" s="379">
        <v>5839.93</v>
      </c>
      <c r="BC271" s="379"/>
      <c r="BD271" s="379">
        <v>0</v>
      </c>
      <c r="BE271" s="379">
        <f t="shared" si="65"/>
        <v>18270.099999999999</v>
      </c>
      <c r="BF271" s="379"/>
      <c r="BO271" s="477">
        <v>0</v>
      </c>
      <c r="BP271" s="477">
        <v>1131689.1000000001</v>
      </c>
      <c r="BQ271" s="477">
        <v>550306.94999999995</v>
      </c>
      <c r="BR271" s="477"/>
      <c r="BS271" s="477">
        <v>0</v>
      </c>
      <c r="BT271" s="477">
        <v>1681996.05</v>
      </c>
      <c r="BW271" s="126">
        <v>651</v>
      </c>
      <c r="BX271" s="125">
        <v>34003</v>
      </c>
      <c r="BY271" s="19" t="s">
        <v>13</v>
      </c>
      <c r="BZ271" t="s">
        <v>1125</v>
      </c>
    </row>
    <row r="272" spans="1:78" x14ac:dyDescent="0.25">
      <c r="A272" s="443">
        <v>34002</v>
      </c>
      <c r="B272" s="19" t="s">
        <v>13</v>
      </c>
      <c r="C272" t="s">
        <v>624</v>
      </c>
      <c r="D272" s="379">
        <v>2269.73</v>
      </c>
      <c r="E272" s="120">
        <v>3.7915947520468031E-6</v>
      </c>
      <c r="F272" s="379">
        <v>491365.55</v>
      </c>
      <c r="G272" s="120">
        <v>8.2082848652332695E-4</v>
      </c>
      <c r="H272" s="379">
        <v>1224889.24</v>
      </c>
      <c r="I272" s="120">
        <v>4.7101235662044549E-3</v>
      </c>
      <c r="J272" s="379">
        <v>0</v>
      </c>
      <c r="K272" s="120">
        <v>0</v>
      </c>
      <c r="L272" s="379">
        <v>863841.5</v>
      </c>
      <c r="M272" s="120">
        <v>3.874844414954498E-3</v>
      </c>
      <c r="N272" s="379">
        <v>3172906.15</v>
      </c>
      <c r="O272" s="120">
        <v>4.4708303548912703E-3</v>
      </c>
      <c r="P272" s="383">
        <f t="shared" si="62"/>
        <v>5755272.1699999999</v>
      </c>
      <c r="R272" s="379"/>
      <c r="S272" s="120"/>
      <c r="T272" s="380"/>
      <c r="U272" s="551">
        <v>1134</v>
      </c>
      <c r="V272" s="550" t="s">
        <v>625</v>
      </c>
      <c r="W272" s="449" t="s">
        <v>13</v>
      </c>
      <c r="X272" s="562" t="s">
        <v>624</v>
      </c>
      <c r="Y272" s="379">
        <v>0</v>
      </c>
      <c r="Z272" s="379">
        <v>3061950.9299999997</v>
      </c>
      <c r="AA272" s="379">
        <v>1101744.6299999999</v>
      </c>
      <c r="AB272" s="379">
        <v>1417.88</v>
      </c>
      <c r="AC272" s="379">
        <v>0</v>
      </c>
      <c r="AD272" s="379">
        <v>4165113.4399999995</v>
      </c>
      <c r="AE272" s="124"/>
      <c r="AF272" s="551">
        <v>1134</v>
      </c>
      <c r="AG272" s="550" t="s">
        <v>625</v>
      </c>
      <c r="AH272" s="449" t="s">
        <v>13</v>
      </c>
      <c r="AI272" s="562" t="s">
        <v>624</v>
      </c>
      <c r="AJ272" s="383">
        <f t="shared" si="55"/>
        <v>0</v>
      </c>
      <c r="AK272" s="383">
        <f t="shared" si="56"/>
        <v>3172906.15</v>
      </c>
      <c r="AL272" s="383">
        <f t="shared" si="57"/>
        <v>1224889.24</v>
      </c>
      <c r="AM272" s="383">
        <f t="shared" si="58"/>
        <v>2269.73</v>
      </c>
      <c r="AN272" s="383">
        <f t="shared" si="59"/>
        <v>0</v>
      </c>
      <c r="AO272" s="124">
        <f t="shared" si="63"/>
        <v>4400065.12</v>
      </c>
      <c r="AR272" s="124">
        <f t="shared" si="60"/>
        <v>863841.5</v>
      </c>
      <c r="AS272" s="124">
        <f t="shared" si="54"/>
        <v>491365.55</v>
      </c>
      <c r="AV272" s="379">
        <f t="shared" si="64"/>
        <v>1355207.05</v>
      </c>
      <c r="AW272" s="124">
        <f t="shared" si="61"/>
        <v>0</v>
      </c>
      <c r="AZ272" s="379">
        <v>0</v>
      </c>
      <c r="BA272" s="379">
        <v>77563.87</v>
      </c>
      <c r="BB272" s="379">
        <v>31056.28</v>
      </c>
      <c r="BC272" s="379">
        <v>45.57</v>
      </c>
      <c r="BD272" s="379">
        <v>0</v>
      </c>
      <c r="BE272" s="379">
        <f t="shared" si="65"/>
        <v>108665.72</v>
      </c>
      <c r="BF272" s="379"/>
      <c r="BO272" s="477">
        <v>0</v>
      </c>
      <c r="BP272" s="477">
        <v>7176262.4499999993</v>
      </c>
      <c r="BQ272" s="477">
        <v>2849055.7</v>
      </c>
      <c r="BR272" s="477">
        <v>3733.18</v>
      </c>
      <c r="BS272" s="477">
        <v>0</v>
      </c>
      <c r="BT272" s="477">
        <v>10029051.329999998</v>
      </c>
      <c r="BW272" s="126">
        <v>1003</v>
      </c>
      <c r="BX272" s="125">
        <v>34033</v>
      </c>
      <c r="BY272" s="19" t="s">
        <v>13</v>
      </c>
      <c r="BZ272" t="s">
        <v>991</v>
      </c>
    </row>
    <row r="273" spans="1:78" x14ac:dyDescent="0.25">
      <c r="A273" s="443">
        <v>34003</v>
      </c>
      <c r="B273" s="19" t="s">
        <v>13</v>
      </c>
      <c r="C273" t="s">
        <v>354</v>
      </c>
      <c r="D273" s="379">
        <v>9191.99</v>
      </c>
      <c r="E273" s="120">
        <v>1.5355262980560107E-5</v>
      </c>
      <c r="F273" s="379">
        <v>1328148.07</v>
      </c>
      <c r="G273" s="120">
        <v>2.2186776630493893E-3</v>
      </c>
      <c r="H273" s="379">
        <v>3231369.42</v>
      </c>
      <c r="I273" s="120">
        <v>1.2425735127083342E-2</v>
      </c>
      <c r="J273" s="379">
        <v>13568.01</v>
      </c>
      <c r="K273" s="120">
        <v>6.0860618262200622E-5</v>
      </c>
      <c r="L273" s="379">
        <v>3284232.03</v>
      </c>
      <c r="M273" s="120">
        <v>1.4731739721766288E-2</v>
      </c>
      <c r="N273" s="379">
        <v>9534224.9100000001</v>
      </c>
      <c r="O273" s="120">
        <v>1.3434340671560201E-2</v>
      </c>
      <c r="P273" s="383">
        <f t="shared" si="62"/>
        <v>17400734.43</v>
      </c>
      <c r="R273" s="379"/>
      <c r="S273" s="120"/>
      <c r="T273" s="380"/>
      <c r="U273" s="551">
        <v>651</v>
      </c>
      <c r="V273" s="550" t="s">
        <v>355</v>
      </c>
      <c r="W273" s="449" t="s">
        <v>13</v>
      </c>
      <c r="X273" s="562" t="s">
        <v>354</v>
      </c>
      <c r="Y273" s="379">
        <v>7508.7</v>
      </c>
      <c r="Z273" s="379">
        <v>9079580.1900000013</v>
      </c>
      <c r="AA273" s="379">
        <v>2987552.34</v>
      </c>
      <c r="AB273" s="379">
        <v>5777.93</v>
      </c>
      <c r="AC273" s="379">
        <v>0</v>
      </c>
      <c r="AD273" s="379">
        <v>12080419.16</v>
      </c>
      <c r="AE273" s="124"/>
      <c r="AF273" s="551">
        <v>651</v>
      </c>
      <c r="AG273" s="550" t="s">
        <v>355</v>
      </c>
      <c r="AH273" s="449" t="s">
        <v>13</v>
      </c>
      <c r="AI273" s="562" t="s">
        <v>354</v>
      </c>
      <c r="AJ273" s="383">
        <f t="shared" si="55"/>
        <v>13568.01</v>
      </c>
      <c r="AK273" s="383">
        <f t="shared" si="56"/>
        <v>9534224.9100000001</v>
      </c>
      <c r="AL273" s="383">
        <f t="shared" si="57"/>
        <v>3231369.42</v>
      </c>
      <c r="AM273" s="383">
        <f t="shared" si="58"/>
        <v>9191.99</v>
      </c>
      <c r="AN273" s="383">
        <f t="shared" si="59"/>
        <v>0</v>
      </c>
      <c r="AO273" s="124">
        <f t="shared" si="63"/>
        <v>12788354.33</v>
      </c>
      <c r="AR273" s="124">
        <f t="shared" si="60"/>
        <v>3284232.03</v>
      </c>
      <c r="AS273" s="124">
        <f t="shared" si="54"/>
        <v>1328148.07</v>
      </c>
      <c r="AV273" s="379">
        <f t="shared" si="64"/>
        <v>4612380.0999999996</v>
      </c>
      <c r="AW273" s="124">
        <f t="shared" si="61"/>
        <v>0</v>
      </c>
      <c r="AZ273" s="379">
        <v>243.52</v>
      </c>
      <c r="BA273" s="379">
        <v>230366.94</v>
      </c>
      <c r="BB273" s="379">
        <v>81220.12</v>
      </c>
      <c r="BC273" s="379">
        <v>187.73</v>
      </c>
      <c r="BD273" s="379">
        <v>0</v>
      </c>
      <c r="BE273" s="379">
        <f t="shared" si="65"/>
        <v>312018.30999999994</v>
      </c>
      <c r="BF273" s="379"/>
      <c r="BO273" s="477">
        <v>21320.23</v>
      </c>
      <c r="BP273" s="477">
        <v>22128404.07</v>
      </c>
      <c r="BQ273" s="477">
        <v>7628289.9500000002</v>
      </c>
      <c r="BR273" s="477">
        <v>15157.65</v>
      </c>
      <c r="BS273" s="477">
        <v>0</v>
      </c>
      <c r="BT273" s="477">
        <v>29793171.899999999</v>
      </c>
      <c r="BW273" s="126">
        <v>673</v>
      </c>
      <c r="BX273" s="125">
        <v>34111</v>
      </c>
      <c r="BY273" s="19" t="s">
        <v>13</v>
      </c>
      <c r="BZ273" t="s">
        <v>904</v>
      </c>
    </row>
    <row r="274" spans="1:78" x14ac:dyDescent="0.25">
      <c r="A274" s="443">
        <v>34033</v>
      </c>
      <c r="B274" s="19" t="s">
        <v>13</v>
      </c>
      <c r="C274" t="s">
        <v>564</v>
      </c>
      <c r="D274" s="379">
        <v>3667.23</v>
      </c>
      <c r="E274" s="120">
        <v>6.1261251437609743E-6</v>
      </c>
      <c r="F274" s="379">
        <v>547999.41</v>
      </c>
      <c r="G274" s="120">
        <v>9.1543561880961361E-4</v>
      </c>
      <c r="H274" s="379">
        <v>1363616.27</v>
      </c>
      <c r="I274" s="120">
        <v>5.2435770670879733E-3</v>
      </c>
      <c r="J274" s="379">
        <v>24640.53</v>
      </c>
      <c r="K274" s="120">
        <v>1.10527475297284E-4</v>
      </c>
      <c r="L274" s="379">
        <v>1064844.3799999999</v>
      </c>
      <c r="M274" s="120">
        <v>4.7764622313684682E-3</v>
      </c>
      <c r="N274" s="379">
        <v>3665352.72</v>
      </c>
      <c r="O274" s="120">
        <v>5.1647194802655234E-3</v>
      </c>
      <c r="P274" s="383">
        <f t="shared" si="62"/>
        <v>6670120.540000001</v>
      </c>
      <c r="R274" s="379"/>
      <c r="S274" s="120"/>
      <c r="T274" s="380"/>
      <c r="U274" s="551">
        <v>1003</v>
      </c>
      <c r="V274" s="550" t="s">
        <v>565</v>
      </c>
      <c r="W274" s="449" t="s">
        <v>13</v>
      </c>
      <c r="X274" s="562" t="s">
        <v>564</v>
      </c>
      <c r="Y274" s="379">
        <v>14418.31</v>
      </c>
      <c r="Z274" s="379">
        <v>3535967.59</v>
      </c>
      <c r="AA274" s="379">
        <v>1288807.02</v>
      </c>
      <c r="AB274" s="379">
        <v>2325.12</v>
      </c>
      <c r="AC274" s="379">
        <v>0</v>
      </c>
      <c r="AD274" s="379">
        <v>4841518.04</v>
      </c>
      <c r="AE274" s="124"/>
      <c r="AF274" s="551">
        <v>1003</v>
      </c>
      <c r="AG274" s="550" t="s">
        <v>565</v>
      </c>
      <c r="AH274" s="449" t="s">
        <v>13</v>
      </c>
      <c r="AI274" s="562" t="s">
        <v>564</v>
      </c>
      <c r="AJ274" s="383">
        <f t="shared" si="55"/>
        <v>24640.53</v>
      </c>
      <c r="AK274" s="383">
        <f t="shared" si="56"/>
        <v>3665352.72</v>
      </c>
      <c r="AL274" s="383">
        <f t="shared" si="57"/>
        <v>1363616.27</v>
      </c>
      <c r="AM274" s="383">
        <f t="shared" si="58"/>
        <v>3667.23</v>
      </c>
      <c r="AN274" s="383">
        <f t="shared" si="59"/>
        <v>0</v>
      </c>
      <c r="AO274" s="124">
        <f t="shared" si="63"/>
        <v>5057276.75</v>
      </c>
      <c r="AR274" s="124">
        <f t="shared" si="60"/>
        <v>1064844.3799999999</v>
      </c>
      <c r="AS274" s="124">
        <f t="shared" ref="AS274:AS305" si="66">+F274</f>
        <v>547999.41</v>
      </c>
      <c r="AV274" s="379">
        <f t="shared" si="64"/>
        <v>1612843.79</v>
      </c>
      <c r="AW274" s="124">
        <f t="shared" si="61"/>
        <v>0</v>
      </c>
      <c r="AZ274" s="379">
        <v>473.31</v>
      </c>
      <c r="BA274" s="379">
        <v>89338.82</v>
      </c>
      <c r="BB274" s="379">
        <v>34552.03</v>
      </c>
      <c r="BC274" s="379">
        <v>76.12</v>
      </c>
      <c r="BD274" s="379">
        <v>0</v>
      </c>
      <c r="BE274" s="379">
        <f t="shared" si="65"/>
        <v>124440.28</v>
      </c>
      <c r="BF274" s="379"/>
      <c r="BO274" s="477">
        <v>39532.15</v>
      </c>
      <c r="BP274" s="477">
        <v>8355503.5099999998</v>
      </c>
      <c r="BQ274" s="477">
        <v>3234974.73</v>
      </c>
      <c r="BR274" s="477">
        <v>6068.47</v>
      </c>
      <c r="BS274" s="477">
        <v>0</v>
      </c>
      <c r="BT274" s="477">
        <v>11636078.860000001</v>
      </c>
      <c r="BW274" s="126">
        <v>793</v>
      </c>
      <c r="BX274" s="125">
        <v>34307</v>
      </c>
      <c r="BY274" s="19" t="s">
        <v>13</v>
      </c>
      <c r="BZ274" t="s">
        <v>935</v>
      </c>
    </row>
    <row r="275" spans="1:78" x14ac:dyDescent="0.25">
      <c r="A275" s="443">
        <v>34111</v>
      </c>
      <c r="B275" s="19" t="s">
        <v>13</v>
      </c>
      <c r="C275" t="s">
        <v>378</v>
      </c>
      <c r="D275" s="379">
        <v>14066.71</v>
      </c>
      <c r="E275" s="120">
        <v>2.3498505907999752E-5</v>
      </c>
      <c r="F275" s="379">
        <v>956108.14</v>
      </c>
      <c r="G275" s="120">
        <v>1.5971831918392188E-3</v>
      </c>
      <c r="H275" s="379">
        <v>2331451.46</v>
      </c>
      <c r="I275" s="120">
        <v>8.9652387388167287E-3</v>
      </c>
      <c r="J275" s="379">
        <v>0</v>
      </c>
      <c r="K275" s="120">
        <v>0</v>
      </c>
      <c r="L275" s="379">
        <v>2090145.77</v>
      </c>
      <c r="M275" s="120">
        <v>9.3755505649187592E-3</v>
      </c>
      <c r="N275" s="379">
        <v>6417343.9800000004</v>
      </c>
      <c r="O275" s="120">
        <v>9.0424534818222581E-3</v>
      </c>
      <c r="P275" s="383">
        <f t="shared" si="62"/>
        <v>11809116.060000001</v>
      </c>
      <c r="R275" s="379"/>
      <c r="S275" s="120"/>
      <c r="T275" s="380"/>
      <c r="U275" s="551">
        <v>673</v>
      </c>
      <c r="V275" s="550" t="s">
        <v>379</v>
      </c>
      <c r="W275" s="449" t="s">
        <v>13</v>
      </c>
      <c r="X275" s="562" t="s">
        <v>378</v>
      </c>
      <c r="Y275" s="379">
        <v>0</v>
      </c>
      <c r="Z275" s="379">
        <v>6270463.5700000003</v>
      </c>
      <c r="AA275" s="379">
        <v>2175468.56</v>
      </c>
      <c r="AB275" s="379">
        <v>8936.42</v>
      </c>
      <c r="AC275" s="379">
        <v>0</v>
      </c>
      <c r="AD275" s="379">
        <v>8454868.5500000007</v>
      </c>
      <c r="AE275" s="124"/>
      <c r="AF275" s="551">
        <v>673</v>
      </c>
      <c r="AG275" s="550" t="s">
        <v>379</v>
      </c>
      <c r="AH275" s="449" t="s">
        <v>13</v>
      </c>
      <c r="AI275" s="562" t="s">
        <v>378</v>
      </c>
      <c r="AJ275" s="383">
        <f t="shared" si="55"/>
        <v>0</v>
      </c>
      <c r="AK275" s="383">
        <f t="shared" si="56"/>
        <v>6417343.9800000004</v>
      </c>
      <c r="AL275" s="383">
        <f t="shared" si="57"/>
        <v>2331451.46</v>
      </c>
      <c r="AM275" s="383">
        <f t="shared" si="58"/>
        <v>14066.71</v>
      </c>
      <c r="AN275" s="383">
        <f t="shared" si="59"/>
        <v>0</v>
      </c>
      <c r="AO275" s="124">
        <f t="shared" si="63"/>
        <v>8762862.1500000022</v>
      </c>
      <c r="AR275" s="124">
        <f t="shared" si="60"/>
        <v>2090145.77</v>
      </c>
      <c r="AS275" s="124">
        <f t="shared" si="66"/>
        <v>956108.14</v>
      </c>
      <c r="AV275" s="379">
        <f t="shared" si="64"/>
        <v>3046253.91</v>
      </c>
      <c r="AW275" s="124">
        <f t="shared" si="61"/>
        <v>0</v>
      </c>
      <c r="AZ275" s="379">
        <v>0</v>
      </c>
      <c r="BA275" s="379">
        <v>155527.29</v>
      </c>
      <c r="BB275" s="379">
        <v>58610.069999999992</v>
      </c>
      <c r="BC275" s="379">
        <v>290.66000000000003</v>
      </c>
      <c r="BD275" s="379">
        <v>0</v>
      </c>
      <c r="BE275" s="379">
        <f t="shared" si="65"/>
        <v>214428.02</v>
      </c>
      <c r="BF275" s="379"/>
      <c r="BO275" s="477">
        <v>0</v>
      </c>
      <c r="BP275" s="477">
        <v>14933480.609999999</v>
      </c>
      <c r="BQ275" s="477">
        <v>5521638.2300000004</v>
      </c>
      <c r="BR275" s="477">
        <v>23293.79</v>
      </c>
      <c r="BS275" s="477">
        <v>0</v>
      </c>
      <c r="BT275" s="477">
        <v>20478412.629999999</v>
      </c>
      <c r="BW275" s="126">
        <v>368</v>
      </c>
      <c r="BX275" s="125">
        <v>34324</v>
      </c>
      <c r="BY275" s="19" t="s">
        <v>13</v>
      </c>
      <c r="BZ275" t="s">
        <v>826</v>
      </c>
    </row>
    <row r="276" spans="1:78" x14ac:dyDescent="0.25">
      <c r="A276" s="443">
        <v>34307</v>
      </c>
      <c r="B276" s="19" t="s">
        <v>13</v>
      </c>
      <c r="C276" t="s">
        <v>444</v>
      </c>
      <c r="D276" s="379"/>
      <c r="E276" s="120"/>
      <c r="F276" s="379">
        <v>65511.22</v>
      </c>
      <c r="G276" s="120">
        <v>1.0943680435654619E-4</v>
      </c>
      <c r="H276" s="379">
        <v>162850.73000000001</v>
      </c>
      <c r="I276" s="120">
        <v>6.2621748652686251E-4</v>
      </c>
      <c r="J276" s="379">
        <v>0</v>
      </c>
      <c r="K276" s="120">
        <v>0</v>
      </c>
      <c r="L276" s="379">
        <v>143222.19</v>
      </c>
      <c r="M276" s="120">
        <v>6.4243695518107424E-4</v>
      </c>
      <c r="N276" s="379">
        <v>501349.29</v>
      </c>
      <c r="O276" s="120">
        <v>7.0643363470904619E-4</v>
      </c>
      <c r="P276" s="383">
        <f t="shared" si="62"/>
        <v>872933.42999999993</v>
      </c>
      <c r="R276" s="379"/>
      <c r="S276" s="120"/>
      <c r="T276" s="380"/>
      <c r="U276" s="551">
        <v>793</v>
      </c>
      <c r="V276" s="550" t="s">
        <v>445</v>
      </c>
      <c r="W276" s="449" t="s">
        <v>13</v>
      </c>
      <c r="X276" s="562" t="s">
        <v>444</v>
      </c>
      <c r="Y276" s="379">
        <v>0</v>
      </c>
      <c r="Z276" s="379">
        <v>501806.16</v>
      </c>
      <c r="AA276" s="379">
        <v>160078.51</v>
      </c>
      <c r="AB276" s="379"/>
      <c r="AC276" s="379">
        <v>0</v>
      </c>
      <c r="AD276" s="379">
        <v>661884.66999999993</v>
      </c>
      <c r="AE276" s="124"/>
      <c r="AF276" s="551">
        <v>793</v>
      </c>
      <c r="AG276" s="550" t="s">
        <v>445</v>
      </c>
      <c r="AH276" s="449" t="s">
        <v>13</v>
      </c>
      <c r="AI276" s="562" t="s">
        <v>444</v>
      </c>
      <c r="AJ276" s="383">
        <f t="shared" si="55"/>
        <v>0</v>
      </c>
      <c r="AK276" s="383">
        <f t="shared" si="56"/>
        <v>501349.29</v>
      </c>
      <c r="AL276" s="383">
        <f t="shared" si="57"/>
        <v>162850.73000000001</v>
      </c>
      <c r="AM276" s="383">
        <f t="shared" si="58"/>
        <v>0</v>
      </c>
      <c r="AN276" s="383">
        <f t="shared" si="59"/>
        <v>0</v>
      </c>
      <c r="AO276" s="124">
        <f t="shared" si="63"/>
        <v>664200.02</v>
      </c>
      <c r="AR276" s="124">
        <f t="shared" si="60"/>
        <v>143222.19</v>
      </c>
      <c r="AS276" s="124">
        <f t="shared" si="66"/>
        <v>65511.22</v>
      </c>
      <c r="AV276" s="379">
        <f t="shared" si="64"/>
        <v>208733.41</v>
      </c>
      <c r="AW276" s="124">
        <f t="shared" si="61"/>
        <v>0</v>
      </c>
      <c r="AZ276" s="379">
        <v>0</v>
      </c>
      <c r="BA276" s="379">
        <v>12237.779999999999</v>
      </c>
      <c r="BB276" s="379">
        <v>4124.68</v>
      </c>
      <c r="BC276" s="379"/>
      <c r="BD276" s="379">
        <v>0</v>
      </c>
      <c r="BE276" s="379">
        <f t="shared" si="65"/>
        <v>16362.46</v>
      </c>
      <c r="BF276" s="379"/>
      <c r="BO276" s="477">
        <v>0</v>
      </c>
      <c r="BP276" s="477">
        <v>1158615.42</v>
      </c>
      <c r="BQ276" s="477">
        <v>392565.14</v>
      </c>
      <c r="BR276" s="477"/>
      <c r="BS276" s="477">
        <v>0</v>
      </c>
      <c r="BT276" s="477">
        <v>1551180.56</v>
      </c>
      <c r="BW276" s="126">
        <v>817</v>
      </c>
      <c r="BX276" s="125">
        <v>34401</v>
      </c>
      <c r="BY276" s="19" t="s">
        <v>13</v>
      </c>
      <c r="BZ276" t="s">
        <v>945</v>
      </c>
    </row>
    <row r="277" spans="1:78" x14ac:dyDescent="0.25">
      <c r="A277" s="443">
        <v>34324</v>
      </c>
      <c r="B277" s="19" t="s">
        <v>13</v>
      </c>
      <c r="C277" t="s">
        <v>212</v>
      </c>
      <c r="D277" s="379"/>
      <c r="E277" s="120"/>
      <c r="F277" s="379">
        <v>59164.1</v>
      </c>
      <c r="G277" s="120">
        <v>9.883391023142499E-5</v>
      </c>
      <c r="H277" s="379">
        <v>147207.56</v>
      </c>
      <c r="I277" s="120">
        <v>5.6606407733605056E-4</v>
      </c>
      <c r="J277" s="379">
        <v>0</v>
      </c>
      <c r="K277" s="120">
        <v>0</v>
      </c>
      <c r="L277" s="379">
        <v>91122.65</v>
      </c>
      <c r="M277" s="120">
        <v>4.0873944054361068E-4</v>
      </c>
      <c r="N277" s="379">
        <v>319862.83</v>
      </c>
      <c r="O277" s="120">
        <v>4.5070745309167942E-4</v>
      </c>
      <c r="P277" s="383">
        <f t="shared" si="62"/>
        <v>617357.14</v>
      </c>
      <c r="R277" s="379"/>
      <c r="S277" s="120"/>
      <c r="T277" s="380"/>
      <c r="U277" s="551">
        <v>368</v>
      </c>
      <c r="V277" s="550" t="s">
        <v>213</v>
      </c>
      <c r="W277" s="449" t="s">
        <v>13</v>
      </c>
      <c r="X277" s="562" t="s">
        <v>212</v>
      </c>
      <c r="Y277" s="379">
        <v>0</v>
      </c>
      <c r="Z277" s="379">
        <v>292520.87</v>
      </c>
      <c r="AA277" s="379">
        <v>137683.22999999998</v>
      </c>
      <c r="AB277" s="379"/>
      <c r="AC277" s="379">
        <v>0</v>
      </c>
      <c r="AD277" s="379">
        <v>430204.1</v>
      </c>
      <c r="AE277" s="124"/>
      <c r="AF277" s="551">
        <v>368</v>
      </c>
      <c r="AG277" s="550" t="s">
        <v>213</v>
      </c>
      <c r="AH277" s="449" t="s">
        <v>13</v>
      </c>
      <c r="AI277" s="562" t="s">
        <v>212</v>
      </c>
      <c r="AJ277" s="383">
        <f t="shared" si="55"/>
        <v>0</v>
      </c>
      <c r="AK277" s="383">
        <f t="shared" si="56"/>
        <v>319862.83</v>
      </c>
      <c r="AL277" s="383">
        <f t="shared" si="57"/>
        <v>147207.56</v>
      </c>
      <c r="AM277" s="383">
        <f t="shared" si="58"/>
        <v>0</v>
      </c>
      <c r="AN277" s="383">
        <f t="shared" si="59"/>
        <v>0</v>
      </c>
      <c r="AO277" s="124">
        <f t="shared" si="63"/>
        <v>467070.39</v>
      </c>
      <c r="AR277" s="124">
        <f t="shared" si="60"/>
        <v>91122.65</v>
      </c>
      <c r="AS277" s="124">
        <f t="shared" si="66"/>
        <v>59164.1</v>
      </c>
      <c r="AV277" s="379">
        <f t="shared" si="64"/>
        <v>150286.75</v>
      </c>
      <c r="AW277" s="124">
        <f t="shared" si="61"/>
        <v>0</v>
      </c>
      <c r="AZ277" s="379">
        <v>0</v>
      </c>
      <c r="BA277" s="379">
        <v>7803.28</v>
      </c>
      <c r="BB277" s="379">
        <v>3729.7200000000003</v>
      </c>
      <c r="BC277" s="379"/>
      <c r="BD277" s="379">
        <v>0</v>
      </c>
      <c r="BE277" s="379">
        <f t="shared" si="65"/>
        <v>11533</v>
      </c>
      <c r="BF277" s="379"/>
      <c r="BO277" s="477">
        <v>0</v>
      </c>
      <c r="BP277" s="477">
        <v>711309.63</v>
      </c>
      <c r="BQ277" s="477">
        <v>347784.61</v>
      </c>
      <c r="BR277" s="477"/>
      <c r="BS277" s="477">
        <v>0</v>
      </c>
      <c r="BT277" s="477">
        <v>1059094.24</v>
      </c>
      <c r="BW277" s="126">
        <v>972</v>
      </c>
      <c r="BX277" s="125">
        <v>34402</v>
      </c>
      <c r="BY277" s="19" t="s">
        <v>13</v>
      </c>
      <c r="BZ277" t="s">
        <v>983</v>
      </c>
    </row>
    <row r="278" spans="1:78" x14ac:dyDescent="0.25">
      <c r="A278" s="443">
        <v>34401</v>
      </c>
      <c r="B278" s="19" t="s">
        <v>13</v>
      </c>
      <c r="C278" t="s">
        <v>464</v>
      </c>
      <c r="D278" s="379"/>
      <c r="E278" s="120"/>
      <c r="F278" s="379">
        <v>135333.34</v>
      </c>
      <c r="G278" s="120">
        <v>2.2607498765093894E-4</v>
      </c>
      <c r="H278" s="379">
        <v>328743.32</v>
      </c>
      <c r="I278" s="120">
        <v>1.2641319787936845E-3</v>
      </c>
      <c r="J278" s="379">
        <v>0</v>
      </c>
      <c r="K278" s="120">
        <v>0</v>
      </c>
      <c r="L278" s="379">
        <v>439878.61</v>
      </c>
      <c r="M278" s="120">
        <v>1.9731179564960095E-3</v>
      </c>
      <c r="N278" s="379">
        <v>1250604.73</v>
      </c>
      <c r="O278" s="120">
        <v>1.7621830979320334E-3</v>
      </c>
      <c r="P278" s="383">
        <f t="shared" si="62"/>
        <v>2154560</v>
      </c>
      <c r="R278" s="379"/>
      <c r="S278" s="120"/>
      <c r="T278" s="380"/>
      <c r="U278" s="551">
        <v>817</v>
      </c>
      <c r="V278" s="550" t="s">
        <v>465</v>
      </c>
      <c r="W278" s="449" t="s">
        <v>13</v>
      </c>
      <c r="X278" s="562" t="s">
        <v>464</v>
      </c>
      <c r="Y278" s="379">
        <v>0</v>
      </c>
      <c r="Z278" s="379">
        <v>1216325.8999999999</v>
      </c>
      <c r="AA278" s="379">
        <v>310649.47000000003</v>
      </c>
      <c r="AB278" s="379"/>
      <c r="AC278" s="379">
        <v>0</v>
      </c>
      <c r="AD278" s="379">
        <v>1526975.3699999999</v>
      </c>
      <c r="AE278" s="124"/>
      <c r="AF278" s="551">
        <v>817</v>
      </c>
      <c r="AG278" s="550" t="s">
        <v>465</v>
      </c>
      <c r="AH278" s="449" t="s">
        <v>13</v>
      </c>
      <c r="AI278" s="562" t="s">
        <v>464</v>
      </c>
      <c r="AJ278" s="383">
        <f t="shared" si="55"/>
        <v>0</v>
      </c>
      <c r="AK278" s="383">
        <f t="shared" si="56"/>
        <v>1250604.73</v>
      </c>
      <c r="AL278" s="383">
        <f t="shared" si="57"/>
        <v>328743.32</v>
      </c>
      <c r="AM278" s="383">
        <f t="shared" si="58"/>
        <v>0</v>
      </c>
      <c r="AN278" s="383">
        <f t="shared" si="59"/>
        <v>0</v>
      </c>
      <c r="AO278" s="124">
        <f t="shared" si="63"/>
        <v>1579348.05</v>
      </c>
      <c r="AR278" s="124">
        <f t="shared" si="60"/>
        <v>439878.61</v>
      </c>
      <c r="AS278" s="124">
        <f t="shared" si="66"/>
        <v>135333.34</v>
      </c>
      <c r="AV278" s="379">
        <f t="shared" si="64"/>
        <v>575211.94999999995</v>
      </c>
      <c r="AW278" s="124">
        <f t="shared" si="61"/>
        <v>0</v>
      </c>
      <c r="AZ278" s="379">
        <v>0</v>
      </c>
      <c r="BA278" s="379">
        <v>30181.05</v>
      </c>
      <c r="BB278" s="379">
        <v>8256.7800000000007</v>
      </c>
      <c r="BC278" s="379"/>
      <c r="BD278" s="379">
        <v>0</v>
      </c>
      <c r="BE278" s="379">
        <f t="shared" si="65"/>
        <v>38437.83</v>
      </c>
      <c r="BF278" s="379"/>
      <c r="BO278" s="477">
        <v>0</v>
      </c>
      <c r="BP278" s="477">
        <v>2936990.29</v>
      </c>
      <c r="BQ278" s="477">
        <v>782982.91</v>
      </c>
      <c r="BR278" s="477"/>
      <c r="BS278" s="477">
        <v>0</v>
      </c>
      <c r="BT278" s="477">
        <v>3719973.2</v>
      </c>
      <c r="BW278" s="126">
        <v>262</v>
      </c>
      <c r="BX278" s="125">
        <v>34801</v>
      </c>
      <c r="BY278" s="19">
        <v>113</v>
      </c>
      <c r="BZ278" t="s">
        <v>799</v>
      </c>
    </row>
    <row r="279" spans="1:78" x14ac:dyDescent="0.25">
      <c r="A279" s="443">
        <v>34402</v>
      </c>
      <c r="B279" s="19" t="s">
        <v>13</v>
      </c>
      <c r="C279" t="s">
        <v>546</v>
      </c>
      <c r="D279" s="379">
        <v>2085.92</v>
      </c>
      <c r="E279" s="120">
        <v>3.4845392734772276E-6</v>
      </c>
      <c r="F279" s="379">
        <v>98263.05</v>
      </c>
      <c r="G279" s="120">
        <v>1.6414889202685456E-4</v>
      </c>
      <c r="H279" s="379">
        <v>244449.26</v>
      </c>
      <c r="I279" s="120">
        <v>9.3999210921898537E-4</v>
      </c>
      <c r="J279" s="379"/>
      <c r="K279" s="120"/>
      <c r="L279" s="379">
        <v>194908.1</v>
      </c>
      <c r="M279" s="120">
        <v>8.7427909253537004E-4</v>
      </c>
      <c r="N279" s="379">
        <v>670970.35</v>
      </c>
      <c r="O279" s="120">
        <v>9.4544069890375407E-4</v>
      </c>
      <c r="P279" s="383">
        <f t="shared" si="62"/>
        <v>1210676.68</v>
      </c>
      <c r="R279" s="379"/>
      <c r="S279" s="120"/>
      <c r="T279" s="380"/>
      <c r="U279" s="551">
        <v>972</v>
      </c>
      <c r="V279" s="550" t="s">
        <v>547</v>
      </c>
      <c r="W279" s="449" t="s">
        <v>13</v>
      </c>
      <c r="X279" s="562" t="s">
        <v>546</v>
      </c>
      <c r="Y279" s="379"/>
      <c r="Z279" s="379">
        <v>743316.02</v>
      </c>
      <c r="AA279" s="379">
        <v>239058.74</v>
      </c>
      <c r="AB279" s="379">
        <v>1358.23</v>
      </c>
      <c r="AC279" s="379">
        <v>0</v>
      </c>
      <c r="AD279" s="379">
        <v>983732.99</v>
      </c>
      <c r="AE279" s="124"/>
      <c r="AF279" s="551">
        <v>972</v>
      </c>
      <c r="AG279" s="550" t="s">
        <v>547</v>
      </c>
      <c r="AH279" s="449" t="s">
        <v>13</v>
      </c>
      <c r="AI279" s="562" t="s">
        <v>546</v>
      </c>
      <c r="AJ279" s="383">
        <f t="shared" si="55"/>
        <v>0</v>
      </c>
      <c r="AK279" s="383">
        <f t="shared" si="56"/>
        <v>670970.35</v>
      </c>
      <c r="AL279" s="383">
        <f t="shared" si="57"/>
        <v>244449.26</v>
      </c>
      <c r="AM279" s="383">
        <f t="shared" si="58"/>
        <v>2085.92</v>
      </c>
      <c r="AN279" s="383">
        <f t="shared" si="59"/>
        <v>0</v>
      </c>
      <c r="AO279" s="124">
        <f t="shared" si="63"/>
        <v>917505.53</v>
      </c>
      <c r="AR279" s="124">
        <f t="shared" si="60"/>
        <v>194908.1</v>
      </c>
      <c r="AS279" s="124">
        <f t="shared" si="66"/>
        <v>98263.05</v>
      </c>
      <c r="AV279" s="379">
        <f t="shared" si="64"/>
        <v>293171.15000000002</v>
      </c>
      <c r="AW279" s="124">
        <f t="shared" si="61"/>
        <v>0</v>
      </c>
      <c r="AZ279" s="379"/>
      <c r="BA279" s="379">
        <v>16354.1</v>
      </c>
      <c r="BB279" s="379">
        <v>6193.16</v>
      </c>
      <c r="BC279" s="379">
        <v>40.729999999999997</v>
      </c>
      <c r="BD279" s="379">
        <v>0</v>
      </c>
      <c r="BE279" s="379">
        <f t="shared" si="65"/>
        <v>22587.99</v>
      </c>
      <c r="BF279" s="379"/>
      <c r="BO279" s="477"/>
      <c r="BP279" s="477">
        <v>1625548.5699999998</v>
      </c>
      <c r="BQ279" s="477">
        <v>587964.21</v>
      </c>
      <c r="BR279" s="477">
        <v>3484.88</v>
      </c>
      <c r="BS279" s="477">
        <v>0</v>
      </c>
      <c r="BT279" s="477">
        <v>2216997.6599999997</v>
      </c>
      <c r="BW279" s="126">
        <v>1043</v>
      </c>
      <c r="BX279" s="125">
        <v>35200</v>
      </c>
      <c r="BY279" s="19" t="s">
        <v>34</v>
      </c>
      <c r="BZ279" t="s">
        <v>997</v>
      </c>
    </row>
    <row r="280" spans="1:78" x14ac:dyDescent="0.25">
      <c r="A280" s="443">
        <v>34801</v>
      </c>
      <c r="B280" s="19">
        <v>113</v>
      </c>
      <c r="C280" t="s">
        <v>156</v>
      </c>
      <c r="D280" s="379"/>
      <c r="E280" s="120"/>
      <c r="F280" s="379">
        <v>749900.91</v>
      </c>
      <c r="G280" s="120">
        <v>1.2527130341102783E-3</v>
      </c>
      <c r="H280" s="379">
        <v>1839938.46</v>
      </c>
      <c r="I280" s="120">
        <v>7.0752009388309525E-3</v>
      </c>
      <c r="J280" s="379">
        <v>0</v>
      </c>
      <c r="K280" s="120">
        <v>0</v>
      </c>
      <c r="L280" s="379">
        <v>152103.4</v>
      </c>
      <c r="M280" s="120">
        <v>6.8227447973452301E-4</v>
      </c>
      <c r="N280" s="379">
        <v>564361.57999999996</v>
      </c>
      <c r="O280" s="120">
        <v>7.952220342219696E-4</v>
      </c>
      <c r="P280" s="383">
        <f t="shared" si="62"/>
        <v>3306304.35</v>
      </c>
      <c r="R280" s="379"/>
      <c r="S280" s="120"/>
      <c r="T280" s="380"/>
      <c r="U280" s="551">
        <v>262</v>
      </c>
      <c r="V280" s="550" t="s">
        <v>157</v>
      </c>
      <c r="W280" s="449">
        <v>113</v>
      </c>
      <c r="X280" s="562" t="s">
        <v>156</v>
      </c>
      <c r="Y280" s="379">
        <v>0</v>
      </c>
      <c r="Z280" s="379">
        <v>569712.84</v>
      </c>
      <c r="AA280" s="379">
        <v>1788172.19</v>
      </c>
      <c r="AB280" s="379"/>
      <c r="AC280" s="379">
        <v>0</v>
      </c>
      <c r="AD280" s="379">
        <v>2357885.0299999998</v>
      </c>
      <c r="AE280" s="124"/>
      <c r="AF280" s="551">
        <v>262</v>
      </c>
      <c r="AG280" s="550" t="s">
        <v>157</v>
      </c>
      <c r="AH280" s="449">
        <v>113</v>
      </c>
      <c r="AI280" s="562" t="s">
        <v>156</v>
      </c>
      <c r="AJ280" s="383">
        <f t="shared" si="55"/>
        <v>0</v>
      </c>
      <c r="AK280" s="383">
        <f t="shared" si="56"/>
        <v>564361.57999999996</v>
      </c>
      <c r="AL280" s="383">
        <f t="shared" si="57"/>
        <v>1839938.46</v>
      </c>
      <c r="AM280" s="383">
        <f t="shared" si="58"/>
        <v>0</v>
      </c>
      <c r="AN280" s="383">
        <f t="shared" si="59"/>
        <v>0</v>
      </c>
      <c r="AO280" s="124">
        <f t="shared" si="63"/>
        <v>2404300.04</v>
      </c>
      <c r="AR280" s="124">
        <f t="shared" si="60"/>
        <v>152103.4</v>
      </c>
      <c r="AS280" s="124">
        <f t="shared" si="66"/>
        <v>749900.91</v>
      </c>
      <c r="AV280" s="379">
        <f t="shared" si="64"/>
        <v>902004.31</v>
      </c>
      <c r="AW280" s="124">
        <f t="shared" si="61"/>
        <v>0</v>
      </c>
      <c r="AZ280" s="379">
        <v>0</v>
      </c>
      <c r="BA280" s="379">
        <v>13802.66</v>
      </c>
      <c r="BB280" s="379">
        <v>46391.869999999995</v>
      </c>
      <c r="BC280" s="379"/>
      <c r="BD280" s="379">
        <v>0</v>
      </c>
      <c r="BE280" s="379">
        <f t="shared" si="65"/>
        <v>60194.53</v>
      </c>
      <c r="BF280" s="379"/>
      <c r="BO280" s="477">
        <v>0</v>
      </c>
      <c r="BP280" s="477">
        <v>1299980.48</v>
      </c>
      <c r="BQ280" s="477">
        <v>4424403.43</v>
      </c>
      <c r="BR280" s="477"/>
      <c r="BS280" s="477">
        <v>0</v>
      </c>
      <c r="BT280" s="477">
        <v>5724383.9100000001</v>
      </c>
      <c r="BW280" s="126">
        <v>232</v>
      </c>
      <c r="BX280" s="125">
        <v>36101</v>
      </c>
      <c r="BY280" s="19" t="s">
        <v>26</v>
      </c>
      <c r="BZ280" t="s">
        <v>790</v>
      </c>
    </row>
    <row r="281" spans="1:78" x14ac:dyDescent="0.25">
      <c r="A281" s="443">
        <v>35200</v>
      </c>
      <c r="B281" s="19" t="s">
        <v>34</v>
      </c>
      <c r="C281" t="s">
        <v>576</v>
      </c>
      <c r="D281" s="379"/>
      <c r="E281" s="120"/>
      <c r="F281" s="379">
        <v>35820.980000000003</v>
      </c>
      <c r="G281" s="120">
        <v>5.9839117331653326E-5</v>
      </c>
      <c r="H281" s="379">
        <v>89052.23</v>
      </c>
      <c r="I281" s="120">
        <v>3.4243668198608658E-4</v>
      </c>
      <c r="J281" s="379"/>
      <c r="K281" s="120"/>
      <c r="L281" s="379">
        <v>54206.74</v>
      </c>
      <c r="M281" s="120">
        <v>2.4314956359689895E-4</v>
      </c>
      <c r="N281" s="379">
        <v>191920.25</v>
      </c>
      <c r="O281" s="120">
        <v>2.7042806778836533E-4</v>
      </c>
      <c r="P281" s="383">
        <f t="shared" si="62"/>
        <v>371000.19999999995</v>
      </c>
      <c r="R281" s="379"/>
      <c r="S281" s="120"/>
      <c r="T281" s="380"/>
      <c r="U281" s="551">
        <v>1043</v>
      </c>
      <c r="V281" s="550" t="s">
        <v>577</v>
      </c>
      <c r="W281" s="449" t="s">
        <v>34</v>
      </c>
      <c r="X281" s="562" t="s">
        <v>576</v>
      </c>
      <c r="Y281" s="379"/>
      <c r="Z281" s="379">
        <v>199165.76</v>
      </c>
      <c r="AA281" s="379">
        <v>86476.859999999986</v>
      </c>
      <c r="AB281" s="379"/>
      <c r="AC281" s="379">
        <v>0</v>
      </c>
      <c r="AD281" s="379">
        <v>285642.62</v>
      </c>
      <c r="AE281" s="124"/>
      <c r="AF281" s="551">
        <v>1043</v>
      </c>
      <c r="AG281" s="550" t="s">
        <v>577</v>
      </c>
      <c r="AH281" s="449" t="s">
        <v>34</v>
      </c>
      <c r="AI281" s="562" t="s">
        <v>576</v>
      </c>
      <c r="AJ281" s="383">
        <f t="shared" si="55"/>
        <v>0</v>
      </c>
      <c r="AK281" s="383">
        <f t="shared" si="56"/>
        <v>191920.25</v>
      </c>
      <c r="AL281" s="383">
        <f t="shared" si="57"/>
        <v>89052.23</v>
      </c>
      <c r="AM281" s="383">
        <f t="shared" si="58"/>
        <v>0</v>
      </c>
      <c r="AN281" s="383">
        <f t="shared" si="59"/>
        <v>0</v>
      </c>
      <c r="AO281" s="124">
        <f t="shared" si="63"/>
        <v>280972.48</v>
      </c>
      <c r="AR281" s="124">
        <f t="shared" si="60"/>
        <v>54206.74</v>
      </c>
      <c r="AS281" s="124">
        <f t="shared" si="66"/>
        <v>35820.980000000003</v>
      </c>
      <c r="AV281" s="379">
        <f t="shared" si="64"/>
        <v>90027.72</v>
      </c>
      <c r="AW281" s="124">
        <f t="shared" si="61"/>
        <v>0</v>
      </c>
      <c r="AZ281" s="379"/>
      <c r="BA281" s="379">
        <v>4683.8</v>
      </c>
      <c r="BB281" s="379">
        <v>2255.5500000000002</v>
      </c>
      <c r="BC281" s="379"/>
      <c r="BD281" s="379">
        <v>0</v>
      </c>
      <c r="BE281" s="379">
        <f t="shared" si="65"/>
        <v>6939.35</v>
      </c>
      <c r="BF281" s="379"/>
      <c r="BO281" s="477"/>
      <c r="BP281" s="477">
        <v>449976.55</v>
      </c>
      <c r="BQ281" s="477">
        <v>213605.62</v>
      </c>
      <c r="BR281" s="477"/>
      <c r="BS281" s="477">
        <v>0</v>
      </c>
      <c r="BT281" s="477">
        <v>663582.16999999993</v>
      </c>
      <c r="BW281" s="126">
        <v>1056</v>
      </c>
      <c r="BX281" s="125">
        <v>36140</v>
      </c>
      <c r="BY281" s="19" t="s">
        <v>26</v>
      </c>
      <c r="BZ281" t="s">
        <v>1000</v>
      </c>
    </row>
    <row r="282" spans="1:78" x14ac:dyDescent="0.25">
      <c r="A282" s="443">
        <v>36101</v>
      </c>
      <c r="B282" s="19" t="s">
        <v>26</v>
      </c>
      <c r="C282" t="s">
        <v>138</v>
      </c>
      <c r="D282" s="379"/>
      <c r="E282" s="120"/>
      <c r="F282" s="379">
        <v>6796.25</v>
      </c>
      <c r="G282" s="120">
        <v>1.1353167924642175E-5</v>
      </c>
      <c r="H282" s="379">
        <v>16476.3</v>
      </c>
      <c r="I282" s="120">
        <v>6.3357082730071542E-5</v>
      </c>
      <c r="J282" s="379"/>
      <c r="K282" s="120"/>
      <c r="L282" s="379">
        <v>4544.6099999999997</v>
      </c>
      <c r="M282" s="120">
        <v>2.0385286741429255E-5</v>
      </c>
      <c r="N282" s="379">
        <v>13707.54</v>
      </c>
      <c r="O282" s="120">
        <v>1.9314812044751556E-5</v>
      </c>
      <c r="P282" s="383">
        <f t="shared" si="62"/>
        <v>41524.699999999997</v>
      </c>
      <c r="R282" s="379"/>
      <c r="S282" s="120"/>
      <c r="T282" s="380"/>
      <c r="U282" s="551">
        <v>232</v>
      </c>
      <c r="V282" s="550" t="s">
        <v>139</v>
      </c>
      <c r="W282" s="449" t="s">
        <v>26</v>
      </c>
      <c r="X282" s="562" t="s">
        <v>138</v>
      </c>
      <c r="Y282" s="379"/>
      <c r="Z282" s="379">
        <v>11258.38</v>
      </c>
      <c r="AA282" s="379">
        <v>16921.580000000002</v>
      </c>
      <c r="AB282" s="379"/>
      <c r="AC282" s="379">
        <v>0</v>
      </c>
      <c r="AD282" s="379">
        <v>28179.96</v>
      </c>
      <c r="AE282" s="124"/>
      <c r="AF282" s="551">
        <v>232</v>
      </c>
      <c r="AG282" s="550" t="s">
        <v>139</v>
      </c>
      <c r="AH282" s="449" t="s">
        <v>26</v>
      </c>
      <c r="AI282" s="562" t="s">
        <v>138</v>
      </c>
      <c r="AJ282" s="383">
        <f t="shared" si="55"/>
        <v>0</v>
      </c>
      <c r="AK282" s="383">
        <f t="shared" si="56"/>
        <v>13707.54</v>
      </c>
      <c r="AL282" s="383">
        <f t="shared" si="57"/>
        <v>16476.3</v>
      </c>
      <c r="AM282" s="383">
        <f t="shared" si="58"/>
        <v>0</v>
      </c>
      <c r="AN282" s="383">
        <f t="shared" si="59"/>
        <v>0</v>
      </c>
      <c r="AO282" s="124">
        <f t="shared" si="63"/>
        <v>30183.84</v>
      </c>
      <c r="AR282" s="124">
        <f t="shared" si="60"/>
        <v>4544.6099999999997</v>
      </c>
      <c r="AS282" s="124">
        <f t="shared" si="66"/>
        <v>6796.25</v>
      </c>
      <c r="AV282" s="379">
        <f t="shared" si="64"/>
        <v>11340.86</v>
      </c>
      <c r="AW282" s="124">
        <f t="shared" si="61"/>
        <v>0</v>
      </c>
      <c r="AZ282" s="379"/>
      <c r="BA282" s="379">
        <v>331.77</v>
      </c>
      <c r="BB282" s="379">
        <v>413.39</v>
      </c>
      <c r="BC282" s="379"/>
      <c r="BD282" s="379">
        <v>0</v>
      </c>
      <c r="BE282" s="379">
        <f t="shared" si="65"/>
        <v>745.16</v>
      </c>
      <c r="BF282" s="379"/>
      <c r="BO282" s="477"/>
      <c r="BP282" s="477">
        <v>29842.3</v>
      </c>
      <c r="BQ282" s="477">
        <v>40607.519999999997</v>
      </c>
      <c r="BR282" s="477"/>
      <c r="BS282" s="477">
        <v>0</v>
      </c>
      <c r="BT282" s="477">
        <v>70449.819999999992</v>
      </c>
      <c r="BW282" s="126">
        <v>167</v>
      </c>
      <c r="BX282" s="125">
        <v>36250</v>
      </c>
      <c r="BY282" s="19" t="s">
        <v>26</v>
      </c>
      <c r="BZ282" t="s">
        <v>770</v>
      </c>
    </row>
    <row r="283" spans="1:78" x14ac:dyDescent="0.25">
      <c r="A283" s="443">
        <v>36140</v>
      </c>
      <c r="B283" s="19" t="s">
        <v>26</v>
      </c>
      <c r="C283" t="s">
        <v>582</v>
      </c>
      <c r="D283" s="379">
        <v>3624.84</v>
      </c>
      <c r="E283" s="120">
        <v>6.0553124472996059E-6</v>
      </c>
      <c r="F283" s="379">
        <v>466844.15</v>
      </c>
      <c r="G283" s="120">
        <v>7.7986537128369924E-4</v>
      </c>
      <c r="H283" s="379">
        <v>1155622.31</v>
      </c>
      <c r="I283" s="120">
        <v>4.4437682185555242E-3</v>
      </c>
      <c r="J283" s="379">
        <v>0</v>
      </c>
      <c r="K283" s="120">
        <v>0</v>
      </c>
      <c r="L283" s="379">
        <v>918258.03</v>
      </c>
      <c r="M283" s="120">
        <v>4.1189350118425892E-3</v>
      </c>
      <c r="N283" s="379">
        <v>3073786.75</v>
      </c>
      <c r="O283" s="120">
        <v>4.331164697815781E-3</v>
      </c>
      <c r="P283" s="383">
        <f t="shared" si="62"/>
        <v>5618136.0800000001</v>
      </c>
      <c r="R283" s="379"/>
      <c r="S283" s="120"/>
      <c r="T283" s="380"/>
      <c r="U283" s="551">
        <v>1056</v>
      </c>
      <c r="V283" s="550" t="s">
        <v>583</v>
      </c>
      <c r="W283" s="449" t="s">
        <v>26</v>
      </c>
      <c r="X283" s="562" t="s">
        <v>582</v>
      </c>
      <c r="Y283" s="379">
        <v>0</v>
      </c>
      <c r="Z283" s="379">
        <v>3005809.25</v>
      </c>
      <c r="AA283" s="379">
        <v>1078968.69</v>
      </c>
      <c r="AB283" s="379">
        <v>2298.2199999999998</v>
      </c>
      <c r="AC283" s="379">
        <v>0</v>
      </c>
      <c r="AD283" s="379">
        <v>4087076.16</v>
      </c>
      <c r="AE283" s="124"/>
      <c r="AF283" s="551">
        <v>1056</v>
      </c>
      <c r="AG283" s="550" t="s">
        <v>583</v>
      </c>
      <c r="AH283" s="449" t="s">
        <v>26</v>
      </c>
      <c r="AI283" s="562" t="s">
        <v>582</v>
      </c>
      <c r="AJ283" s="383">
        <f t="shared" si="55"/>
        <v>0</v>
      </c>
      <c r="AK283" s="383">
        <f t="shared" si="56"/>
        <v>3073786.75</v>
      </c>
      <c r="AL283" s="383">
        <f t="shared" si="57"/>
        <v>1155622.31</v>
      </c>
      <c r="AM283" s="383">
        <f t="shared" si="58"/>
        <v>3624.84</v>
      </c>
      <c r="AN283" s="383">
        <f t="shared" si="59"/>
        <v>0</v>
      </c>
      <c r="AO283" s="124">
        <f t="shared" si="63"/>
        <v>4233033.9000000004</v>
      </c>
      <c r="AR283" s="124">
        <f t="shared" si="60"/>
        <v>918258.03</v>
      </c>
      <c r="AS283" s="124">
        <f t="shared" si="66"/>
        <v>466844.15</v>
      </c>
      <c r="AV283" s="379">
        <f t="shared" si="64"/>
        <v>1385102.1800000002</v>
      </c>
      <c r="AW283" s="124">
        <f t="shared" si="61"/>
        <v>0</v>
      </c>
      <c r="AZ283" s="379">
        <v>0</v>
      </c>
      <c r="BA283" s="379">
        <v>74820.61</v>
      </c>
      <c r="BB283" s="379">
        <v>29225.83</v>
      </c>
      <c r="BC283" s="379">
        <v>75.33</v>
      </c>
      <c r="BD283" s="379">
        <v>0</v>
      </c>
      <c r="BE283" s="379">
        <f t="shared" si="65"/>
        <v>104121.77</v>
      </c>
      <c r="BF283" s="379"/>
      <c r="BO283" s="477">
        <v>0</v>
      </c>
      <c r="BP283" s="477">
        <v>7072674.6400000006</v>
      </c>
      <c r="BQ283" s="477">
        <v>2730660.98</v>
      </c>
      <c r="BR283" s="477">
        <v>5998.39</v>
      </c>
      <c r="BS283" s="477">
        <v>0</v>
      </c>
      <c r="BT283" s="477">
        <v>9809334.0100000016</v>
      </c>
      <c r="BW283" s="126">
        <v>993</v>
      </c>
      <c r="BX283" s="125">
        <v>36300</v>
      </c>
      <c r="BY283" s="19" t="s">
        <v>26</v>
      </c>
      <c r="BZ283" t="s">
        <v>988</v>
      </c>
    </row>
    <row r="284" spans="1:78" x14ac:dyDescent="0.25">
      <c r="A284" s="443">
        <v>36250</v>
      </c>
      <c r="B284" s="19" t="s">
        <v>26</v>
      </c>
      <c r="C284" t="s">
        <v>98</v>
      </c>
      <c r="D284" s="379"/>
      <c r="E284" s="120"/>
      <c r="F284" s="379">
        <v>117221.3</v>
      </c>
      <c r="G284" s="120">
        <v>1.9581873875223216E-4</v>
      </c>
      <c r="H284" s="379">
        <v>290082.7</v>
      </c>
      <c r="I284" s="120">
        <v>1.1154684985380532E-3</v>
      </c>
      <c r="J284" s="379">
        <v>0</v>
      </c>
      <c r="K284" s="120">
        <v>0</v>
      </c>
      <c r="L284" s="379">
        <v>251760.8</v>
      </c>
      <c r="M284" s="120">
        <v>1.1292973650657862E-3</v>
      </c>
      <c r="N284" s="379">
        <v>833379.74</v>
      </c>
      <c r="O284" s="120">
        <v>1.1742860527858331E-3</v>
      </c>
      <c r="P284" s="383">
        <f t="shared" si="62"/>
        <v>1492444.54</v>
      </c>
      <c r="R284" s="379"/>
      <c r="S284" s="120"/>
      <c r="T284" s="380"/>
      <c r="U284" s="551">
        <v>167</v>
      </c>
      <c r="V284" s="550" t="s">
        <v>99</v>
      </c>
      <c r="W284" s="449" t="s">
        <v>26</v>
      </c>
      <c r="X284" s="562" t="s">
        <v>98</v>
      </c>
      <c r="Y284" s="379">
        <v>0</v>
      </c>
      <c r="Z284" s="379">
        <v>812142.67999999993</v>
      </c>
      <c r="AA284" s="379">
        <v>273951.26</v>
      </c>
      <c r="AB284" s="379"/>
      <c r="AC284" s="379">
        <v>0</v>
      </c>
      <c r="AD284" s="379">
        <v>1086093.94</v>
      </c>
      <c r="AE284" s="124"/>
      <c r="AF284" s="551">
        <v>167</v>
      </c>
      <c r="AG284" s="550" t="s">
        <v>99</v>
      </c>
      <c r="AH284" s="449" t="s">
        <v>26</v>
      </c>
      <c r="AI284" s="562" t="s">
        <v>98</v>
      </c>
      <c r="AJ284" s="383">
        <f t="shared" si="55"/>
        <v>0</v>
      </c>
      <c r="AK284" s="383">
        <f t="shared" si="56"/>
        <v>833379.74</v>
      </c>
      <c r="AL284" s="383">
        <f t="shared" si="57"/>
        <v>290082.7</v>
      </c>
      <c r="AM284" s="383">
        <f t="shared" si="58"/>
        <v>0</v>
      </c>
      <c r="AN284" s="383">
        <f t="shared" si="59"/>
        <v>0</v>
      </c>
      <c r="AO284" s="124">
        <f t="shared" si="63"/>
        <v>1123462.44</v>
      </c>
      <c r="AR284" s="124">
        <f t="shared" si="60"/>
        <v>251760.8</v>
      </c>
      <c r="AS284" s="124">
        <f t="shared" si="66"/>
        <v>117221.3</v>
      </c>
      <c r="AV284" s="379">
        <f t="shared" si="64"/>
        <v>368982.1</v>
      </c>
      <c r="AW284" s="124">
        <f t="shared" si="61"/>
        <v>0</v>
      </c>
      <c r="AZ284" s="379">
        <v>0</v>
      </c>
      <c r="BA284" s="379">
        <v>20274.59</v>
      </c>
      <c r="BB284" s="379">
        <v>7334.7999999999993</v>
      </c>
      <c r="BC284" s="379"/>
      <c r="BD284" s="379">
        <v>0</v>
      </c>
      <c r="BE284" s="379">
        <f t="shared" si="65"/>
        <v>27609.39</v>
      </c>
      <c r="BF284" s="379"/>
      <c r="BO284" s="477">
        <v>0</v>
      </c>
      <c r="BP284" s="477">
        <v>1917557.81</v>
      </c>
      <c r="BQ284" s="477">
        <v>688590.06</v>
      </c>
      <c r="BR284" s="477"/>
      <c r="BS284" s="477">
        <v>0</v>
      </c>
      <c r="BT284" s="477">
        <v>2606147.87</v>
      </c>
      <c r="BW284" s="126">
        <v>173</v>
      </c>
      <c r="BX284" s="125">
        <v>36400</v>
      </c>
      <c r="BY284" s="19" t="s">
        <v>26</v>
      </c>
      <c r="BZ284" t="s">
        <v>773</v>
      </c>
    </row>
    <row r="285" spans="1:78" x14ac:dyDescent="0.25">
      <c r="A285" s="443">
        <v>36300</v>
      </c>
      <c r="B285" s="19" t="s">
        <v>26</v>
      </c>
      <c r="C285" t="s">
        <v>556</v>
      </c>
      <c r="D285" s="379"/>
      <c r="E285" s="120"/>
      <c r="F285" s="379">
        <v>23379.19</v>
      </c>
      <c r="G285" s="120">
        <v>3.9055048006196814E-5</v>
      </c>
      <c r="H285" s="379">
        <v>57011.48</v>
      </c>
      <c r="I285" s="120">
        <v>2.1922889574260115E-4</v>
      </c>
      <c r="J285" s="379"/>
      <c r="K285" s="120"/>
      <c r="L285" s="379">
        <v>55719.98</v>
      </c>
      <c r="M285" s="120">
        <v>2.4993734765506906E-4</v>
      </c>
      <c r="N285" s="379">
        <v>162175.95000000001</v>
      </c>
      <c r="O285" s="120">
        <v>2.2851642179625418E-4</v>
      </c>
      <c r="P285" s="383">
        <f t="shared" si="62"/>
        <v>298286.59999999998</v>
      </c>
      <c r="R285" s="379"/>
      <c r="S285" s="120"/>
      <c r="T285" s="380"/>
      <c r="U285" s="551">
        <v>993</v>
      </c>
      <c r="V285" s="550" t="s">
        <v>557</v>
      </c>
      <c r="W285" s="449" t="s">
        <v>26</v>
      </c>
      <c r="X285" s="562" t="s">
        <v>556</v>
      </c>
      <c r="Y285" s="379"/>
      <c r="Z285" s="379">
        <v>147503.56</v>
      </c>
      <c r="AA285" s="379">
        <v>49438.57</v>
      </c>
      <c r="AB285" s="379"/>
      <c r="AC285" s="379">
        <v>0</v>
      </c>
      <c r="AD285" s="379">
        <v>196942.13</v>
      </c>
      <c r="AE285" s="124"/>
      <c r="AF285" s="551">
        <v>993</v>
      </c>
      <c r="AG285" s="550" t="s">
        <v>557</v>
      </c>
      <c r="AH285" s="449" t="s">
        <v>26</v>
      </c>
      <c r="AI285" s="562" t="s">
        <v>556</v>
      </c>
      <c r="AJ285" s="383">
        <f t="shared" si="55"/>
        <v>0</v>
      </c>
      <c r="AK285" s="383">
        <f t="shared" si="56"/>
        <v>162175.95000000001</v>
      </c>
      <c r="AL285" s="383">
        <f t="shared" si="57"/>
        <v>57011.48</v>
      </c>
      <c r="AM285" s="383">
        <f t="shared" si="58"/>
        <v>0</v>
      </c>
      <c r="AN285" s="383">
        <f t="shared" si="59"/>
        <v>0</v>
      </c>
      <c r="AO285" s="124">
        <f t="shared" si="63"/>
        <v>219187.43000000002</v>
      </c>
      <c r="AR285" s="124">
        <f t="shared" si="60"/>
        <v>55719.98</v>
      </c>
      <c r="AS285" s="124">
        <f t="shared" si="66"/>
        <v>23379.19</v>
      </c>
      <c r="AV285" s="379">
        <f t="shared" si="64"/>
        <v>79099.17</v>
      </c>
      <c r="AW285" s="124">
        <f t="shared" si="61"/>
        <v>0</v>
      </c>
      <c r="AZ285" s="379"/>
      <c r="BA285" s="379">
        <v>3918.92</v>
      </c>
      <c r="BB285" s="379">
        <v>1433.77</v>
      </c>
      <c r="BC285" s="379"/>
      <c r="BD285" s="379">
        <v>0</v>
      </c>
      <c r="BE285" s="379">
        <f t="shared" si="65"/>
        <v>5352.6900000000005</v>
      </c>
      <c r="BF285" s="379"/>
      <c r="BO285" s="477"/>
      <c r="BP285" s="477">
        <v>369318.41000000003</v>
      </c>
      <c r="BQ285" s="477">
        <v>131263.01</v>
      </c>
      <c r="BR285" s="477"/>
      <c r="BS285" s="477">
        <v>0</v>
      </c>
      <c r="BT285" s="477">
        <v>500581.42000000004</v>
      </c>
      <c r="BW285" s="126">
        <v>1046</v>
      </c>
      <c r="BX285" s="125">
        <v>36401</v>
      </c>
      <c r="BY285" s="19" t="s">
        <v>26</v>
      </c>
      <c r="BZ285" t="s">
        <v>999</v>
      </c>
    </row>
    <row r="286" spans="1:78" x14ac:dyDescent="0.25">
      <c r="A286" s="443">
        <v>36400</v>
      </c>
      <c r="B286" s="19" t="s">
        <v>26</v>
      </c>
      <c r="C286" t="s">
        <v>104</v>
      </c>
      <c r="D286" s="379">
        <v>3972.06</v>
      </c>
      <c r="E286" s="120">
        <v>6.6353451074863638E-6</v>
      </c>
      <c r="F286" s="379">
        <v>65732.03</v>
      </c>
      <c r="G286" s="120">
        <v>1.0980566851096078E-4</v>
      </c>
      <c r="H286" s="379">
        <v>163494.39000000001</v>
      </c>
      <c r="I286" s="120">
        <v>6.2869258226255786E-4</v>
      </c>
      <c r="J286" s="379"/>
      <c r="K286" s="120"/>
      <c r="L286" s="379">
        <v>136399.72</v>
      </c>
      <c r="M286" s="120">
        <v>6.118341075803343E-4</v>
      </c>
      <c r="N286" s="379">
        <v>491497.55</v>
      </c>
      <c r="O286" s="120">
        <v>6.9255189470217695E-4</v>
      </c>
      <c r="P286" s="383">
        <f t="shared" si="62"/>
        <v>861095.75</v>
      </c>
      <c r="R286" s="379"/>
      <c r="S286" s="120"/>
      <c r="T286" s="380"/>
      <c r="U286" s="551">
        <v>173</v>
      </c>
      <c r="V286" s="550" t="s">
        <v>105</v>
      </c>
      <c r="W286" s="449" t="s">
        <v>26</v>
      </c>
      <c r="X286" s="562" t="s">
        <v>104</v>
      </c>
      <c r="Y286" s="379"/>
      <c r="Z286" s="379">
        <v>527913.78</v>
      </c>
      <c r="AA286" s="379">
        <v>157788.94</v>
      </c>
      <c r="AB286" s="379">
        <v>2517.12</v>
      </c>
      <c r="AC286" s="379">
        <v>0</v>
      </c>
      <c r="AD286" s="379">
        <v>688219.84</v>
      </c>
      <c r="AE286" s="124"/>
      <c r="AF286" s="551">
        <v>173</v>
      </c>
      <c r="AG286" s="550" t="s">
        <v>105</v>
      </c>
      <c r="AH286" s="449" t="s">
        <v>26</v>
      </c>
      <c r="AI286" s="562" t="s">
        <v>104</v>
      </c>
      <c r="AJ286" s="383">
        <f t="shared" si="55"/>
        <v>0</v>
      </c>
      <c r="AK286" s="383">
        <f t="shared" si="56"/>
        <v>491497.55</v>
      </c>
      <c r="AL286" s="383">
        <f t="shared" si="57"/>
        <v>163494.39000000001</v>
      </c>
      <c r="AM286" s="383">
        <f t="shared" si="58"/>
        <v>3972.06</v>
      </c>
      <c r="AN286" s="383">
        <f t="shared" si="59"/>
        <v>0</v>
      </c>
      <c r="AO286" s="124">
        <f t="shared" si="63"/>
        <v>658964</v>
      </c>
      <c r="AR286" s="124">
        <f t="shared" si="60"/>
        <v>136399.72</v>
      </c>
      <c r="AS286" s="124">
        <f t="shared" si="66"/>
        <v>65732.03</v>
      </c>
      <c r="AV286" s="379">
        <f t="shared" si="64"/>
        <v>202131.75</v>
      </c>
      <c r="AW286" s="124">
        <f t="shared" si="61"/>
        <v>0</v>
      </c>
      <c r="AZ286" s="379"/>
      <c r="BA286" s="379">
        <v>12004.67</v>
      </c>
      <c r="BB286" s="379">
        <v>4141.88</v>
      </c>
      <c r="BC286" s="379">
        <v>81.95</v>
      </c>
      <c r="BD286" s="379">
        <v>0</v>
      </c>
      <c r="BE286" s="379">
        <f t="shared" si="65"/>
        <v>16228.5</v>
      </c>
      <c r="BF286" s="379"/>
      <c r="BO286" s="477"/>
      <c r="BP286" s="477">
        <v>1167815.72</v>
      </c>
      <c r="BQ286" s="477">
        <v>391157.24</v>
      </c>
      <c r="BR286" s="477">
        <v>6571.13</v>
      </c>
      <c r="BS286" s="477">
        <v>0</v>
      </c>
      <c r="BT286" s="477">
        <v>1565544.0899999999</v>
      </c>
      <c r="BW286" s="126">
        <v>761</v>
      </c>
      <c r="BX286" s="125">
        <v>36402</v>
      </c>
      <c r="BY286" s="19" t="s">
        <v>26</v>
      </c>
      <c r="BZ286" t="s">
        <v>926</v>
      </c>
    </row>
    <row r="287" spans="1:78" x14ac:dyDescent="0.25">
      <c r="A287" s="443">
        <v>36401</v>
      </c>
      <c r="B287" s="19" t="s">
        <v>26</v>
      </c>
      <c r="C287" t="s">
        <v>580</v>
      </c>
      <c r="D287" s="379"/>
      <c r="E287" s="120"/>
      <c r="F287" s="379">
        <v>28928.400000000001</v>
      </c>
      <c r="G287" s="120">
        <v>4.8325029684196245E-5</v>
      </c>
      <c r="H287" s="379">
        <v>70309.47</v>
      </c>
      <c r="I287" s="120">
        <v>2.7036427520119705E-4</v>
      </c>
      <c r="J287" s="379"/>
      <c r="K287" s="120"/>
      <c r="L287" s="379">
        <v>47487.67</v>
      </c>
      <c r="M287" s="120">
        <v>2.1301052667497714E-4</v>
      </c>
      <c r="N287" s="379">
        <v>143101.37</v>
      </c>
      <c r="O287" s="120">
        <v>2.0163910263230664E-4</v>
      </c>
      <c r="P287" s="383">
        <f t="shared" si="62"/>
        <v>289826.90999999997</v>
      </c>
      <c r="R287" s="379"/>
      <c r="S287" s="120"/>
      <c r="T287" s="380"/>
      <c r="U287" s="551">
        <v>1046</v>
      </c>
      <c r="V287" s="550" t="s">
        <v>581</v>
      </c>
      <c r="W287" s="449" t="s">
        <v>26</v>
      </c>
      <c r="X287" s="562" t="s">
        <v>580</v>
      </c>
      <c r="Y287" s="379"/>
      <c r="Z287" s="379">
        <v>137284.14000000001</v>
      </c>
      <c r="AA287" s="379">
        <v>67698.89</v>
      </c>
      <c r="AB287" s="379"/>
      <c r="AC287" s="379">
        <v>0</v>
      </c>
      <c r="AD287" s="379">
        <v>204983.03000000003</v>
      </c>
      <c r="AE287" s="124"/>
      <c r="AF287" s="551">
        <v>1046</v>
      </c>
      <c r="AG287" s="550" t="s">
        <v>581</v>
      </c>
      <c r="AH287" s="449" t="s">
        <v>26</v>
      </c>
      <c r="AI287" s="562" t="s">
        <v>580</v>
      </c>
      <c r="AJ287" s="383">
        <f t="shared" si="55"/>
        <v>0</v>
      </c>
      <c r="AK287" s="383">
        <f t="shared" si="56"/>
        <v>143101.37</v>
      </c>
      <c r="AL287" s="383">
        <f t="shared" si="57"/>
        <v>70309.47</v>
      </c>
      <c r="AM287" s="383">
        <f t="shared" si="58"/>
        <v>0</v>
      </c>
      <c r="AN287" s="383">
        <f t="shared" si="59"/>
        <v>0</v>
      </c>
      <c r="AO287" s="124">
        <f t="shared" si="63"/>
        <v>213410.84</v>
      </c>
      <c r="AR287" s="124">
        <f t="shared" si="60"/>
        <v>47487.67</v>
      </c>
      <c r="AS287" s="124">
        <f t="shared" si="66"/>
        <v>28928.400000000001</v>
      </c>
      <c r="AV287" s="379">
        <f t="shared" si="64"/>
        <v>76416.070000000007</v>
      </c>
      <c r="AW287" s="124">
        <f t="shared" si="61"/>
        <v>0</v>
      </c>
      <c r="AZ287" s="379"/>
      <c r="BA287" s="379">
        <v>3464.5199999999995</v>
      </c>
      <c r="BB287" s="379">
        <v>1766.08</v>
      </c>
      <c r="BC287" s="379"/>
      <c r="BD287" s="379">
        <v>0</v>
      </c>
      <c r="BE287" s="379">
        <f t="shared" si="65"/>
        <v>5230.5999999999995</v>
      </c>
      <c r="BF287" s="379"/>
      <c r="BO287" s="477"/>
      <c r="BP287" s="477">
        <v>331337.7</v>
      </c>
      <c r="BQ287" s="477">
        <v>168702.84</v>
      </c>
      <c r="BR287" s="477"/>
      <c r="BS287" s="477">
        <v>0</v>
      </c>
      <c r="BT287" s="477">
        <v>500040.54000000004</v>
      </c>
      <c r="BW287" s="126">
        <v>2905</v>
      </c>
      <c r="BX287" s="125">
        <v>36901</v>
      </c>
      <c r="BY287" s="19" t="s">
        <v>1039</v>
      </c>
      <c r="BZ287" t="s">
        <v>1126</v>
      </c>
    </row>
    <row r="288" spans="1:78" x14ac:dyDescent="0.25">
      <c r="A288" s="443">
        <v>36402</v>
      </c>
      <c r="B288" s="19" t="s">
        <v>26</v>
      </c>
      <c r="C288" t="s">
        <v>424</v>
      </c>
      <c r="D288" s="379"/>
      <c r="E288" s="120"/>
      <c r="F288" s="379">
        <v>35381.31</v>
      </c>
      <c r="G288" s="120">
        <v>5.9104646507091618E-5</v>
      </c>
      <c r="H288" s="379">
        <v>87602.55</v>
      </c>
      <c r="I288" s="120">
        <v>3.3686216005506263E-4</v>
      </c>
      <c r="J288" s="379">
        <v>0</v>
      </c>
      <c r="K288" s="120">
        <v>0</v>
      </c>
      <c r="L288" s="379">
        <v>51967.86</v>
      </c>
      <c r="M288" s="120">
        <v>2.3310685128942899E-4</v>
      </c>
      <c r="N288" s="379">
        <v>175037.84</v>
      </c>
      <c r="O288" s="120">
        <v>2.4663965819682419E-4</v>
      </c>
      <c r="P288" s="383">
        <f t="shared" si="62"/>
        <v>349989.56</v>
      </c>
      <c r="R288" s="379"/>
      <c r="S288" s="120"/>
      <c r="T288" s="380"/>
      <c r="U288" s="551">
        <v>761</v>
      </c>
      <c r="V288" s="550" t="s">
        <v>425</v>
      </c>
      <c r="W288" s="449" t="s">
        <v>26</v>
      </c>
      <c r="X288" s="562" t="s">
        <v>424</v>
      </c>
      <c r="Y288" s="379">
        <v>0</v>
      </c>
      <c r="Z288" s="379">
        <v>185366.21</v>
      </c>
      <c r="AA288" s="379">
        <v>83844.680000000008</v>
      </c>
      <c r="AB288" s="379"/>
      <c r="AC288" s="379">
        <v>0</v>
      </c>
      <c r="AD288" s="379">
        <v>269210.89</v>
      </c>
      <c r="AE288" s="124"/>
      <c r="AF288" s="551">
        <v>761</v>
      </c>
      <c r="AG288" s="550" t="s">
        <v>425</v>
      </c>
      <c r="AH288" s="449" t="s">
        <v>26</v>
      </c>
      <c r="AI288" s="562" t="s">
        <v>424</v>
      </c>
      <c r="AJ288" s="383">
        <f t="shared" si="55"/>
        <v>0</v>
      </c>
      <c r="AK288" s="383">
        <f t="shared" si="56"/>
        <v>175037.84</v>
      </c>
      <c r="AL288" s="383">
        <f t="shared" si="57"/>
        <v>87602.55</v>
      </c>
      <c r="AM288" s="383">
        <f t="shared" si="58"/>
        <v>0</v>
      </c>
      <c r="AN288" s="383">
        <f t="shared" si="59"/>
        <v>0</v>
      </c>
      <c r="AO288" s="124">
        <f t="shared" si="63"/>
        <v>262640.39</v>
      </c>
      <c r="AR288" s="124">
        <f t="shared" si="60"/>
        <v>51967.86</v>
      </c>
      <c r="AS288" s="124">
        <f t="shared" si="66"/>
        <v>35381.31</v>
      </c>
      <c r="AV288" s="379">
        <f t="shared" si="64"/>
        <v>87349.17</v>
      </c>
      <c r="AW288" s="124">
        <f t="shared" si="61"/>
        <v>0</v>
      </c>
      <c r="AZ288" s="379">
        <v>0</v>
      </c>
      <c r="BA288" s="379">
        <v>4261.8599999999997</v>
      </c>
      <c r="BB288" s="379">
        <v>2215.5500000000002</v>
      </c>
      <c r="BC288" s="379"/>
      <c r="BD288" s="379">
        <v>0</v>
      </c>
      <c r="BE288" s="379">
        <f t="shared" si="65"/>
        <v>6477.41</v>
      </c>
      <c r="BF288" s="379"/>
      <c r="BO288" s="477">
        <v>0</v>
      </c>
      <c r="BP288" s="477">
        <v>416633.76999999996</v>
      </c>
      <c r="BQ288" s="477">
        <v>209044.09000000003</v>
      </c>
      <c r="BR288" s="477"/>
      <c r="BS288" s="477">
        <v>0</v>
      </c>
      <c r="BT288" s="477">
        <v>625677.86</v>
      </c>
      <c r="BW288" s="126">
        <v>54</v>
      </c>
      <c r="BX288" s="125">
        <v>37501</v>
      </c>
      <c r="BY288" s="19" t="s">
        <v>21</v>
      </c>
      <c r="BZ288" t="s">
        <v>741</v>
      </c>
    </row>
    <row r="289" spans="1:78" x14ac:dyDescent="0.25">
      <c r="A289" s="443">
        <v>37501</v>
      </c>
      <c r="B289" s="19" t="s">
        <v>21</v>
      </c>
      <c r="C289" t="s">
        <v>37</v>
      </c>
      <c r="D289" s="379"/>
      <c r="E289" s="120"/>
      <c r="F289" s="379">
        <v>1092290.1499999999</v>
      </c>
      <c r="G289" s="120">
        <v>1.8246758867585197E-3</v>
      </c>
      <c r="H289" s="379">
        <v>2716609.73</v>
      </c>
      <c r="I289" s="120">
        <v>1.0446305748798413E-2</v>
      </c>
      <c r="J289" s="379">
        <v>0</v>
      </c>
      <c r="K289" s="120">
        <v>0</v>
      </c>
      <c r="L289" s="379">
        <v>2441601.08</v>
      </c>
      <c r="M289" s="120">
        <v>1.0952037275802183E-2</v>
      </c>
      <c r="N289" s="379">
        <v>8017484.5199999996</v>
      </c>
      <c r="O289" s="120">
        <v>1.1297155184336877E-2</v>
      </c>
      <c r="P289" s="383">
        <f t="shared" si="62"/>
        <v>14267985.48</v>
      </c>
      <c r="R289" s="379"/>
      <c r="S289" s="120"/>
      <c r="T289" s="380"/>
      <c r="U289" s="551">
        <v>54</v>
      </c>
      <c r="V289" s="550" t="s">
        <v>38</v>
      </c>
      <c r="W289" s="449" t="s">
        <v>21</v>
      </c>
      <c r="X289" s="562" t="s">
        <v>37</v>
      </c>
      <c r="Y289" s="379">
        <v>0</v>
      </c>
      <c r="Z289" s="379">
        <v>8262805.1199999992</v>
      </c>
      <c r="AA289" s="379">
        <v>2731678.8899999997</v>
      </c>
      <c r="AB289" s="379"/>
      <c r="AC289" s="379">
        <v>0</v>
      </c>
      <c r="AD289" s="379">
        <v>10994484.009999998</v>
      </c>
      <c r="AE289" s="124"/>
      <c r="AF289" s="551">
        <v>54</v>
      </c>
      <c r="AG289" s="550" t="s">
        <v>38</v>
      </c>
      <c r="AH289" s="449" t="s">
        <v>21</v>
      </c>
      <c r="AI289" s="562" t="s">
        <v>37</v>
      </c>
      <c r="AJ289" s="383">
        <f t="shared" si="55"/>
        <v>0</v>
      </c>
      <c r="AK289" s="383">
        <f t="shared" si="56"/>
        <v>8017484.5199999996</v>
      </c>
      <c r="AL289" s="383">
        <f t="shared" si="57"/>
        <v>2716609.73</v>
      </c>
      <c r="AM289" s="383">
        <f t="shared" si="58"/>
        <v>0</v>
      </c>
      <c r="AN289" s="383">
        <f t="shared" si="59"/>
        <v>0</v>
      </c>
      <c r="AO289" s="124">
        <f t="shared" si="63"/>
        <v>10734094.25</v>
      </c>
      <c r="AR289" s="124">
        <f t="shared" si="60"/>
        <v>2441601.08</v>
      </c>
      <c r="AS289" s="124">
        <f t="shared" si="66"/>
        <v>1092290.1499999999</v>
      </c>
      <c r="AV289" s="379">
        <f t="shared" si="64"/>
        <v>3533891.23</v>
      </c>
      <c r="AW289" s="124">
        <f t="shared" si="61"/>
        <v>0</v>
      </c>
      <c r="AZ289" s="379">
        <v>0</v>
      </c>
      <c r="BA289" s="379">
        <v>194974.67</v>
      </c>
      <c r="BB289" s="379">
        <v>68821.01999999999</v>
      </c>
      <c r="BC289" s="379"/>
      <c r="BD289" s="379">
        <v>0</v>
      </c>
      <c r="BE289" s="379">
        <f t="shared" si="65"/>
        <v>263795.69</v>
      </c>
      <c r="BF289" s="379"/>
      <c r="BO289" s="477">
        <v>0</v>
      </c>
      <c r="BP289" s="477">
        <v>18916865.390000001</v>
      </c>
      <c r="BQ289" s="477">
        <v>6609399.7899999991</v>
      </c>
      <c r="BR289" s="477"/>
      <c r="BS289" s="477">
        <v>0</v>
      </c>
      <c r="BT289" s="477">
        <v>25526265.18</v>
      </c>
      <c r="BW289" s="126">
        <v>72</v>
      </c>
      <c r="BX289" s="125">
        <v>37503</v>
      </c>
      <c r="BY289" s="19" t="s">
        <v>21</v>
      </c>
      <c r="BZ289" t="s">
        <v>745</v>
      </c>
    </row>
    <row r="290" spans="1:78" x14ac:dyDescent="0.25">
      <c r="A290" s="443">
        <v>37502</v>
      </c>
      <c r="B290" s="19" t="s">
        <v>21</v>
      </c>
      <c r="C290" t="s">
        <v>182</v>
      </c>
      <c r="D290" s="379">
        <v>942.15</v>
      </c>
      <c r="E290" s="120">
        <v>1.5738660526322052E-6</v>
      </c>
      <c r="F290" s="379">
        <v>500539.03</v>
      </c>
      <c r="G290" s="120">
        <v>8.3615282846091711E-4</v>
      </c>
      <c r="H290" s="379">
        <v>1225685.18</v>
      </c>
      <c r="I290" s="120">
        <v>4.7131842313069454E-3</v>
      </c>
      <c r="J290" s="379">
        <v>14385.46</v>
      </c>
      <c r="K290" s="120">
        <v>6.4527369126803153E-5</v>
      </c>
      <c r="L290" s="379">
        <v>1120424.48</v>
      </c>
      <c r="M290" s="120">
        <v>5.0257721337841465E-3</v>
      </c>
      <c r="N290" s="379">
        <v>3376511.57</v>
      </c>
      <c r="O290" s="120">
        <v>4.7577235843542301E-3</v>
      </c>
      <c r="P290" s="383">
        <f t="shared" si="62"/>
        <v>6238487.8699999992</v>
      </c>
      <c r="R290" s="379"/>
      <c r="S290" s="120"/>
      <c r="T290" s="380"/>
      <c r="U290" s="551">
        <v>297</v>
      </c>
      <c r="V290" s="550" t="s">
        <v>183</v>
      </c>
      <c r="W290" s="449" t="s">
        <v>21</v>
      </c>
      <c r="X290" s="562" t="s">
        <v>182</v>
      </c>
      <c r="Y290" s="379">
        <v>8062.84</v>
      </c>
      <c r="Z290" s="379">
        <v>3205678.09</v>
      </c>
      <c r="AA290" s="379">
        <v>1185603.17</v>
      </c>
      <c r="AB290" s="379">
        <v>553.94000000000005</v>
      </c>
      <c r="AC290" s="379">
        <v>0</v>
      </c>
      <c r="AD290" s="379">
        <v>4399898.04</v>
      </c>
      <c r="AE290" s="124"/>
      <c r="AF290" s="551">
        <v>297</v>
      </c>
      <c r="AG290" s="550" t="s">
        <v>183</v>
      </c>
      <c r="AH290" s="449" t="s">
        <v>21</v>
      </c>
      <c r="AI290" s="562" t="s">
        <v>182</v>
      </c>
      <c r="AJ290" s="383">
        <f t="shared" si="55"/>
        <v>14385.46</v>
      </c>
      <c r="AK290" s="383">
        <f t="shared" si="56"/>
        <v>3376511.57</v>
      </c>
      <c r="AL290" s="383">
        <f t="shared" si="57"/>
        <v>1225685.18</v>
      </c>
      <c r="AM290" s="383">
        <f t="shared" si="58"/>
        <v>942.15</v>
      </c>
      <c r="AN290" s="383">
        <f t="shared" si="59"/>
        <v>0</v>
      </c>
      <c r="AO290" s="124">
        <f t="shared" si="63"/>
        <v>4617524.3600000003</v>
      </c>
      <c r="AR290" s="124">
        <f t="shared" si="60"/>
        <v>1120424.48</v>
      </c>
      <c r="AS290" s="124">
        <f t="shared" si="66"/>
        <v>500539.03</v>
      </c>
      <c r="AV290" s="379">
        <f t="shared" si="64"/>
        <v>1620963.51</v>
      </c>
      <c r="AW290" s="124">
        <f t="shared" si="61"/>
        <v>0</v>
      </c>
      <c r="AZ290" s="379">
        <v>262.23</v>
      </c>
      <c r="BA290" s="379">
        <v>81749.72</v>
      </c>
      <c r="BB290" s="379">
        <v>30872.510000000002</v>
      </c>
      <c r="BC290" s="379">
        <v>16.600000000000001</v>
      </c>
      <c r="BD290" s="379">
        <v>0</v>
      </c>
      <c r="BE290" s="379">
        <f t="shared" si="65"/>
        <v>112901.06</v>
      </c>
      <c r="BF290" s="379"/>
      <c r="BO290" s="477">
        <v>22710.53</v>
      </c>
      <c r="BP290" s="477">
        <v>7784363.8600000003</v>
      </c>
      <c r="BQ290" s="477">
        <v>2942699.89</v>
      </c>
      <c r="BR290" s="477">
        <v>1512.69</v>
      </c>
      <c r="BS290" s="477">
        <v>0</v>
      </c>
      <c r="BT290" s="477">
        <v>10751286.970000001</v>
      </c>
      <c r="BW290" s="126">
        <v>557</v>
      </c>
      <c r="BX290" s="125">
        <v>37504</v>
      </c>
      <c r="BY290" s="19" t="s">
        <v>21</v>
      </c>
      <c r="BZ290" t="s">
        <v>859</v>
      </c>
    </row>
    <row r="291" spans="1:78" x14ac:dyDescent="0.25">
      <c r="A291" s="443">
        <v>37503</v>
      </c>
      <c r="B291" s="19" t="s">
        <v>21</v>
      </c>
      <c r="C291" t="s">
        <v>46</v>
      </c>
      <c r="D291" s="379"/>
      <c r="E291" s="120"/>
      <c r="F291" s="379">
        <v>202449.82</v>
      </c>
      <c r="G291" s="120">
        <v>3.3819338646659292E-4</v>
      </c>
      <c r="H291" s="379">
        <v>487868.68</v>
      </c>
      <c r="I291" s="120">
        <v>1.8760241267864021E-3</v>
      </c>
      <c r="J291" s="379">
        <v>0</v>
      </c>
      <c r="K291" s="120">
        <v>0</v>
      </c>
      <c r="L291" s="379">
        <v>457521.35</v>
      </c>
      <c r="M291" s="120">
        <v>2.052256169412956E-3</v>
      </c>
      <c r="N291" s="379">
        <v>1315244.5</v>
      </c>
      <c r="O291" s="120">
        <v>1.8532647222180812E-3</v>
      </c>
      <c r="P291" s="383">
        <f t="shared" si="62"/>
        <v>2463084.35</v>
      </c>
      <c r="R291" s="379"/>
      <c r="S291" s="120"/>
      <c r="T291" s="380"/>
      <c r="U291" s="551">
        <v>72</v>
      </c>
      <c r="V291" s="550" t="s">
        <v>47</v>
      </c>
      <c r="W291" s="449" t="s">
        <v>21</v>
      </c>
      <c r="X291" s="562" t="s">
        <v>46</v>
      </c>
      <c r="Y291" s="379">
        <v>0</v>
      </c>
      <c r="Z291" s="379">
        <v>1375109</v>
      </c>
      <c r="AA291" s="379">
        <v>489368.61</v>
      </c>
      <c r="AB291" s="379"/>
      <c r="AC291" s="379">
        <v>0</v>
      </c>
      <c r="AD291" s="379">
        <v>1864477.6099999999</v>
      </c>
      <c r="AE291" s="124"/>
      <c r="AF291" s="551">
        <v>72</v>
      </c>
      <c r="AG291" s="550" t="s">
        <v>47</v>
      </c>
      <c r="AH291" s="449" t="s">
        <v>21</v>
      </c>
      <c r="AI291" s="562" t="s">
        <v>46</v>
      </c>
      <c r="AJ291" s="383">
        <f t="shared" si="55"/>
        <v>0</v>
      </c>
      <c r="AK291" s="383">
        <f t="shared" si="56"/>
        <v>1315244.5</v>
      </c>
      <c r="AL291" s="383">
        <f t="shared" si="57"/>
        <v>487868.68</v>
      </c>
      <c r="AM291" s="383">
        <f t="shared" si="58"/>
        <v>0</v>
      </c>
      <c r="AN291" s="383">
        <f t="shared" si="59"/>
        <v>0</v>
      </c>
      <c r="AO291" s="124">
        <f t="shared" si="63"/>
        <v>1803113.18</v>
      </c>
      <c r="AR291" s="124">
        <f t="shared" si="60"/>
        <v>457521.35</v>
      </c>
      <c r="AS291" s="124">
        <f t="shared" si="66"/>
        <v>202449.82</v>
      </c>
      <c r="AV291" s="379">
        <f t="shared" si="64"/>
        <v>659971.16999999993</v>
      </c>
      <c r="AW291" s="124">
        <f t="shared" si="61"/>
        <v>0</v>
      </c>
      <c r="AZ291" s="379">
        <v>0</v>
      </c>
      <c r="BA291" s="379">
        <v>31760.91</v>
      </c>
      <c r="BB291" s="379">
        <v>12216.36</v>
      </c>
      <c r="BC291" s="379"/>
      <c r="BD291" s="379">
        <v>0</v>
      </c>
      <c r="BE291" s="379">
        <f t="shared" si="65"/>
        <v>43977.270000000004</v>
      </c>
      <c r="BF291" s="379"/>
      <c r="BO291" s="477">
        <v>0</v>
      </c>
      <c r="BP291" s="477">
        <v>3179635.76</v>
      </c>
      <c r="BQ291" s="477">
        <v>1191903.47</v>
      </c>
      <c r="BR291" s="477"/>
      <c r="BS291" s="477">
        <v>0</v>
      </c>
      <c r="BT291" s="477">
        <v>4371539.2299999995</v>
      </c>
      <c r="BW291" s="126">
        <v>586</v>
      </c>
      <c r="BX291" s="125">
        <v>37505</v>
      </c>
      <c r="BY291" s="19" t="s">
        <v>21</v>
      </c>
      <c r="BZ291" t="s">
        <v>870</v>
      </c>
    </row>
    <row r="292" spans="1:78" x14ac:dyDescent="0.25">
      <c r="A292" s="443">
        <v>37504</v>
      </c>
      <c r="B292" s="19" t="s">
        <v>21</v>
      </c>
      <c r="C292" t="s">
        <v>280</v>
      </c>
      <c r="D292" s="379"/>
      <c r="E292" s="120"/>
      <c r="F292" s="379">
        <v>257119.99</v>
      </c>
      <c r="G292" s="120">
        <v>4.2952016527530871E-4</v>
      </c>
      <c r="H292" s="379">
        <v>639214.84</v>
      </c>
      <c r="I292" s="120">
        <v>2.4580025551956108E-3</v>
      </c>
      <c r="J292" s="379">
        <v>0</v>
      </c>
      <c r="K292" s="120">
        <v>0</v>
      </c>
      <c r="L292" s="379">
        <v>589852.19999999995</v>
      </c>
      <c r="M292" s="120">
        <v>2.6458389679340751E-3</v>
      </c>
      <c r="N292" s="379">
        <v>2018582</v>
      </c>
      <c r="O292" s="120">
        <v>2.8443128327124111E-3</v>
      </c>
      <c r="P292" s="383">
        <f t="shared" si="62"/>
        <v>3504769.03</v>
      </c>
      <c r="R292" s="379"/>
      <c r="S292" s="120"/>
      <c r="T292" s="380"/>
      <c r="U292" s="551">
        <v>557</v>
      </c>
      <c r="V292" s="550" t="s">
        <v>281</v>
      </c>
      <c r="W292" s="449" t="s">
        <v>21</v>
      </c>
      <c r="X292" s="562" t="s">
        <v>280</v>
      </c>
      <c r="Y292" s="379">
        <v>0</v>
      </c>
      <c r="Z292" s="379">
        <v>2066966.45</v>
      </c>
      <c r="AA292" s="379">
        <v>622154.37</v>
      </c>
      <c r="AB292" s="379"/>
      <c r="AC292" s="379">
        <v>0</v>
      </c>
      <c r="AD292" s="379">
        <v>2689120.82</v>
      </c>
      <c r="AE292" s="124"/>
      <c r="AF292" s="551">
        <v>557</v>
      </c>
      <c r="AG292" s="550" t="s">
        <v>281</v>
      </c>
      <c r="AH292" s="449" t="s">
        <v>21</v>
      </c>
      <c r="AI292" s="562" t="s">
        <v>280</v>
      </c>
      <c r="AJ292" s="383">
        <f t="shared" si="55"/>
        <v>0</v>
      </c>
      <c r="AK292" s="383">
        <f t="shared" si="56"/>
        <v>2018582</v>
      </c>
      <c r="AL292" s="383">
        <f t="shared" si="57"/>
        <v>639214.84</v>
      </c>
      <c r="AM292" s="383">
        <f t="shared" si="58"/>
        <v>0</v>
      </c>
      <c r="AN292" s="383">
        <f t="shared" si="59"/>
        <v>0</v>
      </c>
      <c r="AO292" s="124">
        <f t="shared" si="63"/>
        <v>2657796.84</v>
      </c>
      <c r="AR292" s="124">
        <f t="shared" si="60"/>
        <v>589852.19999999995</v>
      </c>
      <c r="AS292" s="124">
        <f t="shared" si="66"/>
        <v>257119.99</v>
      </c>
      <c r="AV292" s="379">
        <f t="shared" si="64"/>
        <v>846972.19</v>
      </c>
      <c r="AW292" s="124">
        <f t="shared" si="61"/>
        <v>0</v>
      </c>
      <c r="AZ292" s="379">
        <v>0</v>
      </c>
      <c r="BA292" s="379">
        <v>49187.22</v>
      </c>
      <c r="BB292" s="379">
        <v>16190.47</v>
      </c>
      <c r="BC292" s="379"/>
      <c r="BD292" s="379">
        <v>0</v>
      </c>
      <c r="BE292" s="379">
        <f t="shared" si="65"/>
        <v>65377.69</v>
      </c>
      <c r="BF292" s="379"/>
      <c r="BO292" s="477">
        <v>0</v>
      </c>
      <c r="BP292" s="477">
        <v>4724587.87</v>
      </c>
      <c r="BQ292" s="477">
        <v>1534679.67</v>
      </c>
      <c r="BR292" s="477"/>
      <c r="BS292" s="477">
        <v>0</v>
      </c>
      <c r="BT292" s="477">
        <v>6259267.54</v>
      </c>
      <c r="BW292" s="126">
        <v>643</v>
      </c>
      <c r="BX292" s="125">
        <v>37506</v>
      </c>
      <c r="BY292" s="19" t="s">
        <v>21</v>
      </c>
      <c r="BZ292" t="s">
        <v>890</v>
      </c>
    </row>
    <row r="293" spans="1:78" x14ac:dyDescent="0.25">
      <c r="A293" s="443">
        <v>37505</v>
      </c>
      <c r="B293" s="19" t="s">
        <v>21</v>
      </c>
      <c r="C293" t="s">
        <v>302</v>
      </c>
      <c r="D293" s="379"/>
      <c r="E293" s="120"/>
      <c r="F293" s="379">
        <v>167623.32999999999</v>
      </c>
      <c r="G293" s="120">
        <v>2.8001556940632119E-4</v>
      </c>
      <c r="H293" s="379">
        <v>417710.15</v>
      </c>
      <c r="I293" s="120">
        <v>1.6062402681876753E-3</v>
      </c>
      <c r="J293" s="379">
        <v>0</v>
      </c>
      <c r="K293" s="120">
        <v>0</v>
      </c>
      <c r="L293" s="379">
        <v>306081.14</v>
      </c>
      <c r="M293" s="120">
        <v>1.3729564924258742E-3</v>
      </c>
      <c r="N293" s="379">
        <v>1052873.93</v>
      </c>
      <c r="O293" s="120">
        <v>1.4835675886970896E-3</v>
      </c>
      <c r="P293" s="383">
        <f t="shared" si="62"/>
        <v>1944288.5499999998</v>
      </c>
      <c r="R293" s="379"/>
      <c r="S293" s="120"/>
      <c r="T293" s="380"/>
      <c r="U293" s="551">
        <v>586</v>
      </c>
      <c r="V293" s="550" t="s">
        <v>303</v>
      </c>
      <c r="W293" s="449" t="s">
        <v>21</v>
      </c>
      <c r="X293" s="562" t="s">
        <v>302</v>
      </c>
      <c r="Y293" s="379">
        <v>0</v>
      </c>
      <c r="Z293" s="379">
        <v>1131320.1099999999</v>
      </c>
      <c r="AA293" s="379">
        <v>409769.80000000005</v>
      </c>
      <c r="AB293" s="379"/>
      <c r="AC293" s="379">
        <v>0</v>
      </c>
      <c r="AD293" s="379">
        <v>1541089.91</v>
      </c>
      <c r="AE293" s="124"/>
      <c r="AF293" s="551">
        <v>586</v>
      </c>
      <c r="AG293" s="550" t="s">
        <v>303</v>
      </c>
      <c r="AH293" s="449" t="s">
        <v>21</v>
      </c>
      <c r="AI293" s="562" t="s">
        <v>302</v>
      </c>
      <c r="AJ293" s="383">
        <f t="shared" si="55"/>
        <v>0</v>
      </c>
      <c r="AK293" s="383">
        <f t="shared" si="56"/>
        <v>1052873.93</v>
      </c>
      <c r="AL293" s="383">
        <f t="shared" si="57"/>
        <v>417710.15</v>
      </c>
      <c r="AM293" s="383">
        <f t="shared" si="58"/>
        <v>0</v>
      </c>
      <c r="AN293" s="383">
        <f t="shared" si="59"/>
        <v>0</v>
      </c>
      <c r="AO293" s="124">
        <f t="shared" si="63"/>
        <v>1470584.08</v>
      </c>
      <c r="AR293" s="124">
        <f t="shared" si="60"/>
        <v>306081.14</v>
      </c>
      <c r="AS293" s="124">
        <f t="shared" si="66"/>
        <v>167623.32999999999</v>
      </c>
      <c r="AV293" s="379">
        <f t="shared" si="64"/>
        <v>473704.47</v>
      </c>
      <c r="AW293" s="124">
        <f t="shared" si="61"/>
        <v>0</v>
      </c>
      <c r="AZ293" s="379">
        <v>0</v>
      </c>
      <c r="BA293" s="379">
        <v>25661.57</v>
      </c>
      <c r="BB293" s="379">
        <v>10589.369999999999</v>
      </c>
      <c r="BC293" s="379"/>
      <c r="BD293" s="379">
        <v>0</v>
      </c>
      <c r="BE293" s="379">
        <f t="shared" si="65"/>
        <v>36250.94</v>
      </c>
      <c r="BF293" s="379"/>
      <c r="BO293" s="477">
        <v>0</v>
      </c>
      <c r="BP293" s="477">
        <v>2515936.75</v>
      </c>
      <c r="BQ293" s="477">
        <v>1005692.6499999999</v>
      </c>
      <c r="BR293" s="477"/>
      <c r="BS293" s="477">
        <v>0</v>
      </c>
      <c r="BT293" s="477">
        <v>3521629.4</v>
      </c>
      <c r="BW293" s="126">
        <v>615</v>
      </c>
      <c r="BX293" s="125">
        <v>37507</v>
      </c>
      <c r="BY293" s="19" t="s">
        <v>21</v>
      </c>
      <c r="BZ293" t="s">
        <v>879</v>
      </c>
    </row>
    <row r="294" spans="1:78" x14ac:dyDescent="0.25">
      <c r="A294" s="443">
        <v>37506</v>
      </c>
      <c r="B294" s="19" t="s">
        <v>21</v>
      </c>
      <c r="C294" t="s">
        <v>340</v>
      </c>
      <c r="D294" s="379"/>
      <c r="E294" s="120"/>
      <c r="F294" s="379">
        <v>175053.48</v>
      </c>
      <c r="G294" s="120">
        <v>2.9242767029361645E-4</v>
      </c>
      <c r="H294" s="379">
        <v>435593.52</v>
      </c>
      <c r="I294" s="120">
        <v>1.6750080226339088E-3</v>
      </c>
      <c r="J294" s="379"/>
      <c r="K294" s="120"/>
      <c r="L294" s="379">
        <v>350139.42</v>
      </c>
      <c r="M294" s="120">
        <v>1.5705841592958977E-3</v>
      </c>
      <c r="N294" s="379">
        <v>1188569.5900000001</v>
      </c>
      <c r="O294" s="120">
        <v>1.6747715660838792E-3</v>
      </c>
      <c r="P294" s="383">
        <f t="shared" si="62"/>
        <v>2149356.0099999998</v>
      </c>
      <c r="R294" s="379"/>
      <c r="S294" s="120"/>
      <c r="T294" s="380"/>
      <c r="U294" s="551">
        <v>643</v>
      </c>
      <c r="V294" s="550" t="s">
        <v>341</v>
      </c>
      <c r="W294" s="449" t="s">
        <v>21</v>
      </c>
      <c r="X294" s="562" t="s">
        <v>340</v>
      </c>
      <c r="Y294" s="379"/>
      <c r="Z294" s="379">
        <v>1163751.9100000001</v>
      </c>
      <c r="AA294" s="379">
        <v>429617.04000000004</v>
      </c>
      <c r="AB294" s="379"/>
      <c r="AC294" s="379">
        <v>0</v>
      </c>
      <c r="AD294" s="379">
        <v>1593368.9500000002</v>
      </c>
      <c r="AE294" s="124"/>
      <c r="AF294" s="551">
        <v>643</v>
      </c>
      <c r="AG294" s="550" t="s">
        <v>341</v>
      </c>
      <c r="AH294" s="449" t="s">
        <v>21</v>
      </c>
      <c r="AI294" s="562" t="s">
        <v>340</v>
      </c>
      <c r="AJ294" s="383">
        <f t="shared" si="55"/>
        <v>0</v>
      </c>
      <c r="AK294" s="383">
        <f t="shared" si="56"/>
        <v>1188569.5900000001</v>
      </c>
      <c r="AL294" s="383">
        <f t="shared" si="57"/>
        <v>435593.52</v>
      </c>
      <c r="AM294" s="383">
        <f t="shared" si="58"/>
        <v>0</v>
      </c>
      <c r="AN294" s="383">
        <f t="shared" si="59"/>
        <v>0</v>
      </c>
      <c r="AO294" s="124">
        <f t="shared" si="63"/>
        <v>1624163.11</v>
      </c>
      <c r="AR294" s="124">
        <f t="shared" si="60"/>
        <v>350139.42</v>
      </c>
      <c r="AS294" s="124">
        <f t="shared" si="66"/>
        <v>175053.48</v>
      </c>
      <c r="AV294" s="379">
        <f t="shared" si="64"/>
        <v>525192.9</v>
      </c>
      <c r="AW294" s="124">
        <f t="shared" si="61"/>
        <v>0</v>
      </c>
      <c r="AZ294" s="379"/>
      <c r="BA294" s="379">
        <v>28950.92</v>
      </c>
      <c r="BB294" s="379">
        <v>11037.02</v>
      </c>
      <c r="BC294" s="379"/>
      <c r="BD294" s="379">
        <v>0</v>
      </c>
      <c r="BE294" s="379">
        <f t="shared" si="65"/>
        <v>39987.94</v>
      </c>
      <c r="BF294" s="379"/>
      <c r="BO294" s="477"/>
      <c r="BP294" s="477">
        <v>2731411.84</v>
      </c>
      <c r="BQ294" s="477">
        <v>1051301.06</v>
      </c>
      <c r="BR294" s="477"/>
      <c r="BS294" s="477">
        <v>0</v>
      </c>
      <c r="BT294" s="477">
        <v>3782712.9</v>
      </c>
      <c r="BW294" s="126">
        <v>512</v>
      </c>
      <c r="BX294" s="125">
        <v>38126</v>
      </c>
      <c r="BY294" s="19" t="s">
        <v>18</v>
      </c>
      <c r="BZ294" t="s">
        <v>1057</v>
      </c>
    </row>
    <row r="295" spans="1:78" x14ac:dyDescent="0.25">
      <c r="A295" s="443">
        <v>37507</v>
      </c>
      <c r="B295" s="19" t="s">
        <v>21</v>
      </c>
      <c r="C295" t="s">
        <v>320</v>
      </c>
      <c r="D295" s="379">
        <v>1874.57</v>
      </c>
      <c r="E295" s="120">
        <v>3.1314780940219212E-6</v>
      </c>
      <c r="F295" s="379">
        <v>186164.57</v>
      </c>
      <c r="G295" s="120">
        <v>3.1098879894483032E-4</v>
      </c>
      <c r="H295" s="379">
        <v>460852.47999999998</v>
      </c>
      <c r="I295" s="120">
        <v>1.7721374763580804E-3</v>
      </c>
      <c r="J295" s="379">
        <v>0</v>
      </c>
      <c r="K295" s="120">
        <v>0</v>
      </c>
      <c r="L295" s="379">
        <v>346269.56</v>
      </c>
      <c r="M295" s="120">
        <v>1.5532255287975299E-3</v>
      </c>
      <c r="N295" s="379">
        <v>1137459.43</v>
      </c>
      <c r="O295" s="120">
        <v>1.6027540389435477E-3</v>
      </c>
      <c r="P295" s="383">
        <f t="shared" si="62"/>
        <v>2132620.61</v>
      </c>
      <c r="R295" s="379"/>
      <c r="S295" s="120"/>
      <c r="T295" s="380"/>
      <c r="U295" s="551">
        <v>615</v>
      </c>
      <c r="V295" s="550" t="s">
        <v>321</v>
      </c>
      <c r="W295" s="449" t="s">
        <v>21</v>
      </c>
      <c r="X295" s="562" t="s">
        <v>320</v>
      </c>
      <c r="Y295" s="379">
        <v>0</v>
      </c>
      <c r="Z295" s="379">
        <v>1199270.25</v>
      </c>
      <c r="AA295" s="379">
        <v>431391.54000000004</v>
      </c>
      <c r="AB295" s="379">
        <v>1160.8499999999999</v>
      </c>
      <c r="AC295" s="379">
        <v>0</v>
      </c>
      <c r="AD295" s="379">
        <v>1631822.6400000001</v>
      </c>
      <c r="AE295" s="124"/>
      <c r="AF295" s="551">
        <v>615</v>
      </c>
      <c r="AG295" s="550" t="s">
        <v>321</v>
      </c>
      <c r="AH295" s="449" t="s">
        <v>21</v>
      </c>
      <c r="AI295" s="562" t="s">
        <v>320</v>
      </c>
      <c r="AJ295" s="383">
        <f t="shared" si="55"/>
        <v>0</v>
      </c>
      <c r="AK295" s="383">
        <f t="shared" si="56"/>
        <v>1137459.43</v>
      </c>
      <c r="AL295" s="383">
        <f t="shared" si="57"/>
        <v>460852.47999999998</v>
      </c>
      <c r="AM295" s="383">
        <f t="shared" si="58"/>
        <v>1874.57</v>
      </c>
      <c r="AN295" s="383">
        <f t="shared" si="59"/>
        <v>0</v>
      </c>
      <c r="AO295" s="124">
        <f t="shared" si="63"/>
        <v>1600186.48</v>
      </c>
      <c r="AR295" s="124">
        <f t="shared" si="60"/>
        <v>346269.56</v>
      </c>
      <c r="AS295" s="124">
        <f t="shared" si="66"/>
        <v>186164.57</v>
      </c>
      <c r="AV295" s="379">
        <f t="shared" si="64"/>
        <v>532434.13</v>
      </c>
      <c r="AW295" s="124">
        <f t="shared" si="61"/>
        <v>0</v>
      </c>
      <c r="AZ295" s="379">
        <v>0</v>
      </c>
      <c r="BA295" s="379">
        <v>27661.510000000002</v>
      </c>
      <c r="BB295" s="379">
        <v>11655.22</v>
      </c>
      <c r="BC295" s="379">
        <v>34.81</v>
      </c>
      <c r="BD295" s="379">
        <v>0</v>
      </c>
      <c r="BE295" s="379">
        <f t="shared" si="65"/>
        <v>39351.54</v>
      </c>
      <c r="BF295" s="379"/>
      <c r="BO295" s="477">
        <v>0</v>
      </c>
      <c r="BP295" s="477">
        <v>2710660.75</v>
      </c>
      <c r="BQ295" s="477">
        <v>1090063.81</v>
      </c>
      <c r="BR295" s="477">
        <v>3070.23</v>
      </c>
      <c r="BS295" s="477">
        <v>0</v>
      </c>
      <c r="BT295" s="477">
        <v>3803794.79</v>
      </c>
      <c r="BW295" s="126">
        <v>523</v>
      </c>
      <c r="BX295" s="125">
        <v>38264</v>
      </c>
      <c r="BY295" s="19" t="s">
        <v>18</v>
      </c>
      <c r="BZ295" t="s">
        <v>852</v>
      </c>
    </row>
    <row r="296" spans="1:78" x14ac:dyDescent="0.25">
      <c r="A296" s="447">
        <v>37902</v>
      </c>
      <c r="B296" s="19" t="s">
        <v>1039</v>
      </c>
      <c r="C296" t="s">
        <v>1182</v>
      </c>
      <c r="D296" s="379"/>
      <c r="E296" s="120"/>
      <c r="F296" s="379">
        <v>5101.47</v>
      </c>
      <c r="G296" s="120">
        <v>8.522029880084505E-6</v>
      </c>
      <c r="H296" s="379">
        <v>12296.33</v>
      </c>
      <c r="I296" s="120">
        <v>4.7283649671726092E-5</v>
      </c>
      <c r="J296" s="379"/>
      <c r="K296" s="120"/>
      <c r="L296" s="379">
        <v>19611.02</v>
      </c>
      <c r="M296" s="120">
        <v>8.796712280963691E-5</v>
      </c>
      <c r="N296" s="379">
        <v>57995.26</v>
      </c>
      <c r="O296" s="120">
        <v>8.1719079162745323E-5</v>
      </c>
      <c r="P296" s="383">
        <f t="shared" si="62"/>
        <v>95004.08</v>
      </c>
      <c r="R296" s="379"/>
      <c r="S296" s="120"/>
      <c r="T296" s="380"/>
      <c r="U296" s="558">
        <v>4276</v>
      </c>
      <c r="V296" s="552" t="s">
        <v>1181</v>
      </c>
      <c r="W296" s="449" t="s">
        <v>1039</v>
      </c>
      <c r="X296" s="562" t="s">
        <v>1182</v>
      </c>
      <c r="Y296" s="379"/>
      <c r="Z296" s="379">
        <v>60867.11</v>
      </c>
      <c r="AA296" s="379">
        <v>12855.87</v>
      </c>
      <c r="AB296" s="379"/>
      <c r="AC296" s="379">
        <v>0</v>
      </c>
      <c r="AD296" s="379">
        <v>73722.98</v>
      </c>
      <c r="AE296" s="124"/>
      <c r="AF296" s="558">
        <v>4276</v>
      </c>
      <c r="AG296" s="552" t="s">
        <v>1181</v>
      </c>
      <c r="AH296" s="449" t="s">
        <v>1039</v>
      </c>
      <c r="AI296" s="562" t="s">
        <v>1182</v>
      </c>
      <c r="AJ296" s="383">
        <f t="shared" si="55"/>
        <v>0</v>
      </c>
      <c r="AK296" s="383">
        <f t="shared" si="56"/>
        <v>57995.26</v>
      </c>
      <c r="AL296" s="383">
        <f t="shared" si="57"/>
        <v>12296.33</v>
      </c>
      <c r="AM296" s="383">
        <f t="shared" si="58"/>
        <v>0</v>
      </c>
      <c r="AN296" s="383">
        <f t="shared" si="59"/>
        <v>0</v>
      </c>
      <c r="AO296" s="124">
        <f t="shared" si="63"/>
        <v>70291.59</v>
      </c>
      <c r="AR296" s="124">
        <f t="shared" si="60"/>
        <v>19611.02</v>
      </c>
      <c r="AS296" s="124">
        <f t="shared" si="66"/>
        <v>5101.47</v>
      </c>
      <c r="AV296" s="379">
        <f t="shared" si="64"/>
        <v>24712.49</v>
      </c>
      <c r="AW296" s="124">
        <f t="shared" si="61"/>
        <v>0</v>
      </c>
      <c r="AZ296" s="379"/>
      <c r="BA296" s="379">
        <v>1402.57</v>
      </c>
      <c r="BB296" s="379">
        <v>307.78999999999996</v>
      </c>
      <c r="BC296" s="379"/>
      <c r="BD296" s="379">
        <v>0</v>
      </c>
      <c r="BE296" s="379">
        <f t="shared" si="65"/>
        <v>1710.36</v>
      </c>
      <c r="BF296" s="379"/>
      <c r="BO296" s="477"/>
      <c r="BP296" s="477">
        <v>139875.96000000002</v>
      </c>
      <c r="BQ296" s="477">
        <v>30561.46</v>
      </c>
      <c r="BR296" s="477"/>
      <c r="BS296" s="477">
        <v>0</v>
      </c>
      <c r="BT296" s="477">
        <v>170437.42</v>
      </c>
      <c r="BW296" s="126">
        <v>971</v>
      </c>
      <c r="BX296" s="125">
        <v>38265</v>
      </c>
      <c r="BY296" s="19" t="s">
        <v>18</v>
      </c>
      <c r="BZ296" t="s">
        <v>982</v>
      </c>
    </row>
    <row r="297" spans="1:78" x14ac:dyDescent="0.25">
      <c r="A297" s="443">
        <v>38126</v>
      </c>
      <c r="B297" s="19" t="s">
        <v>18</v>
      </c>
      <c r="C297" t="s">
        <v>256</v>
      </c>
      <c r="D297" s="379"/>
      <c r="E297" s="120"/>
      <c r="F297" s="379">
        <v>16933.150000000001</v>
      </c>
      <c r="G297" s="120">
        <v>2.8286907550951579E-5</v>
      </c>
      <c r="H297" s="379">
        <v>41977.38</v>
      </c>
      <c r="I297" s="120">
        <v>1.6141757175164632E-4</v>
      </c>
      <c r="J297" s="379">
        <v>0</v>
      </c>
      <c r="K297" s="120">
        <v>0</v>
      </c>
      <c r="L297" s="379">
        <v>24760.93</v>
      </c>
      <c r="M297" s="120">
        <v>1.1106754111672024E-4</v>
      </c>
      <c r="N297" s="379">
        <v>90234</v>
      </c>
      <c r="O297" s="120">
        <v>1.2714555274295108E-4</v>
      </c>
      <c r="P297" s="383">
        <f t="shared" si="62"/>
        <v>173905.46</v>
      </c>
      <c r="R297" s="379"/>
      <c r="S297" s="120"/>
      <c r="T297" s="380"/>
      <c r="U297" s="551">
        <v>512</v>
      </c>
      <c r="V297" s="550" t="s">
        <v>257</v>
      </c>
      <c r="W297" s="449" t="s">
        <v>18</v>
      </c>
      <c r="X297" s="562" t="s">
        <v>256</v>
      </c>
      <c r="Y297" s="379">
        <v>0</v>
      </c>
      <c r="Z297" s="379">
        <v>88394.33</v>
      </c>
      <c r="AA297" s="379">
        <v>33121.800000000003</v>
      </c>
      <c r="AB297" s="379"/>
      <c r="AC297" s="379">
        <v>0</v>
      </c>
      <c r="AD297" s="379">
        <v>121516.13</v>
      </c>
      <c r="AE297" s="124"/>
      <c r="AF297" s="551">
        <v>512</v>
      </c>
      <c r="AG297" s="550" t="s">
        <v>257</v>
      </c>
      <c r="AH297" s="449" t="s">
        <v>18</v>
      </c>
      <c r="AI297" s="562" t="s">
        <v>256</v>
      </c>
      <c r="AJ297" s="383">
        <f t="shared" si="55"/>
        <v>0</v>
      </c>
      <c r="AK297" s="383">
        <f t="shared" si="56"/>
        <v>90234</v>
      </c>
      <c r="AL297" s="383">
        <f t="shared" si="57"/>
        <v>41977.38</v>
      </c>
      <c r="AM297" s="383">
        <f t="shared" si="58"/>
        <v>0</v>
      </c>
      <c r="AN297" s="383">
        <f t="shared" si="59"/>
        <v>0</v>
      </c>
      <c r="AO297" s="124">
        <f t="shared" si="63"/>
        <v>132211.38</v>
      </c>
      <c r="AR297" s="124">
        <f t="shared" si="60"/>
        <v>24760.93</v>
      </c>
      <c r="AS297" s="124">
        <f t="shared" si="66"/>
        <v>16933.150000000001</v>
      </c>
      <c r="AV297" s="379">
        <f t="shared" si="64"/>
        <v>41694.080000000002</v>
      </c>
      <c r="AW297" s="124">
        <f t="shared" si="61"/>
        <v>0</v>
      </c>
      <c r="AZ297" s="379">
        <v>0</v>
      </c>
      <c r="BA297" s="379">
        <v>2204.94</v>
      </c>
      <c r="BB297" s="379">
        <v>1062.04</v>
      </c>
      <c r="BC297" s="379"/>
      <c r="BD297" s="379">
        <v>0</v>
      </c>
      <c r="BE297" s="379">
        <f t="shared" si="65"/>
        <v>3266.98</v>
      </c>
      <c r="BF297" s="379"/>
      <c r="BO297" s="477">
        <v>0</v>
      </c>
      <c r="BP297" s="477">
        <v>205594.2</v>
      </c>
      <c r="BQ297" s="477">
        <v>93094.37</v>
      </c>
      <c r="BR297" s="477"/>
      <c r="BS297" s="477">
        <v>0</v>
      </c>
      <c r="BT297" s="477">
        <v>298688.57</v>
      </c>
      <c r="BW297" s="126">
        <v>781</v>
      </c>
      <c r="BX297" s="125">
        <v>38267</v>
      </c>
      <c r="BY297" s="19" t="s">
        <v>18</v>
      </c>
      <c r="BZ297" t="s">
        <v>928</v>
      </c>
    </row>
    <row r="298" spans="1:78" x14ac:dyDescent="0.25">
      <c r="A298" s="443">
        <v>38264</v>
      </c>
      <c r="B298" s="19" t="s">
        <v>18</v>
      </c>
      <c r="C298" t="s">
        <v>266</v>
      </c>
      <c r="D298" s="379"/>
      <c r="E298" s="120"/>
      <c r="F298" s="379">
        <v>4460.9399999999996</v>
      </c>
      <c r="G298" s="120">
        <v>7.4520214709219438E-6</v>
      </c>
      <c r="H298" s="379">
        <v>11066.62</v>
      </c>
      <c r="I298" s="120">
        <v>4.2554988612872087E-5</v>
      </c>
      <c r="J298" s="379">
        <v>0</v>
      </c>
      <c r="K298" s="120">
        <v>0</v>
      </c>
      <c r="L298" s="379">
        <v>9346.1299999999992</v>
      </c>
      <c r="M298" s="120">
        <v>4.1922968081457862E-5</v>
      </c>
      <c r="N298" s="379">
        <v>33943.129999999997</v>
      </c>
      <c r="O298" s="120">
        <v>4.7828069526739865E-5</v>
      </c>
      <c r="P298" s="383">
        <f t="shared" si="62"/>
        <v>58816.82</v>
      </c>
      <c r="R298" s="379"/>
      <c r="S298" s="120"/>
      <c r="T298" s="380"/>
      <c r="U298" s="551">
        <v>523</v>
      </c>
      <c r="V298" s="550" t="s">
        <v>267</v>
      </c>
      <c r="W298" s="449" t="s">
        <v>18</v>
      </c>
      <c r="X298" s="562" t="s">
        <v>266</v>
      </c>
      <c r="Y298" s="379">
        <v>0</v>
      </c>
      <c r="Z298" s="379">
        <v>41787.620000000003</v>
      </c>
      <c r="AA298" s="379">
        <v>8709.0400000000009</v>
      </c>
      <c r="AB298" s="379"/>
      <c r="AC298" s="379">
        <v>0</v>
      </c>
      <c r="AD298" s="379">
        <v>50496.66</v>
      </c>
      <c r="AE298" s="124"/>
      <c r="AF298" s="551">
        <v>523</v>
      </c>
      <c r="AG298" s="550" t="s">
        <v>267</v>
      </c>
      <c r="AH298" s="449" t="s">
        <v>18</v>
      </c>
      <c r="AI298" s="562" t="s">
        <v>266</v>
      </c>
      <c r="AJ298" s="383">
        <f t="shared" si="55"/>
        <v>0</v>
      </c>
      <c r="AK298" s="383">
        <f t="shared" si="56"/>
        <v>33943.129999999997</v>
      </c>
      <c r="AL298" s="383">
        <f t="shared" si="57"/>
        <v>11066.62</v>
      </c>
      <c r="AM298" s="383">
        <f t="shared" si="58"/>
        <v>0</v>
      </c>
      <c r="AN298" s="383">
        <f t="shared" si="59"/>
        <v>0</v>
      </c>
      <c r="AO298" s="124">
        <f t="shared" si="63"/>
        <v>45009.75</v>
      </c>
      <c r="AR298" s="124">
        <f t="shared" si="60"/>
        <v>9346.1299999999992</v>
      </c>
      <c r="AS298" s="124">
        <f t="shared" si="66"/>
        <v>4460.9399999999996</v>
      </c>
      <c r="AV298" s="379">
        <f t="shared" si="64"/>
        <v>13807.07</v>
      </c>
      <c r="AW298" s="124">
        <f t="shared" si="61"/>
        <v>0</v>
      </c>
      <c r="AZ298" s="379">
        <v>0</v>
      </c>
      <c r="BA298" s="379">
        <v>829.27</v>
      </c>
      <c r="BB298" s="379">
        <v>279.97000000000003</v>
      </c>
      <c r="BC298" s="379"/>
      <c r="BD298" s="379">
        <v>0</v>
      </c>
      <c r="BE298" s="379">
        <f t="shared" si="65"/>
        <v>1109.24</v>
      </c>
      <c r="BF298" s="379"/>
      <c r="BO298" s="477">
        <v>0</v>
      </c>
      <c r="BP298" s="477">
        <v>85906.15</v>
      </c>
      <c r="BQ298" s="477">
        <v>24516.57</v>
      </c>
      <c r="BR298" s="477"/>
      <c r="BS298" s="477">
        <v>0</v>
      </c>
      <c r="BT298" s="477">
        <v>110422.72</v>
      </c>
      <c r="BW298" s="126">
        <v>165</v>
      </c>
      <c r="BX298" s="125">
        <v>38300</v>
      </c>
      <c r="BY298" s="19" t="s">
        <v>18</v>
      </c>
      <c r="BZ298" t="s">
        <v>769</v>
      </c>
    </row>
    <row r="299" spans="1:78" x14ac:dyDescent="0.25">
      <c r="A299" s="443">
        <v>38265</v>
      </c>
      <c r="B299" s="19" t="s">
        <v>18</v>
      </c>
      <c r="C299" t="s">
        <v>544</v>
      </c>
      <c r="D299" s="379"/>
      <c r="E299" s="120"/>
      <c r="F299" s="379">
        <v>19249.05</v>
      </c>
      <c r="G299" s="120">
        <v>3.2155629507424452E-5</v>
      </c>
      <c r="H299" s="379">
        <v>46961.34</v>
      </c>
      <c r="I299" s="120">
        <v>1.8058262495190168E-4</v>
      </c>
      <c r="J299" s="379">
        <v>0</v>
      </c>
      <c r="K299" s="120">
        <v>0</v>
      </c>
      <c r="L299" s="379">
        <v>40943.269999999997</v>
      </c>
      <c r="M299" s="120">
        <v>1.8365498889492347E-4</v>
      </c>
      <c r="N299" s="379">
        <v>131525.39000000001</v>
      </c>
      <c r="O299" s="120">
        <v>1.8532779674271574E-4</v>
      </c>
      <c r="P299" s="383">
        <f t="shared" si="62"/>
        <v>238679.05000000002</v>
      </c>
      <c r="R299" s="379"/>
      <c r="S299" s="120"/>
      <c r="T299" s="380"/>
      <c r="U299" s="551">
        <v>971</v>
      </c>
      <c r="V299" s="550" t="s">
        <v>545</v>
      </c>
      <c r="W299" s="449" t="s">
        <v>18</v>
      </c>
      <c r="X299" s="562" t="s">
        <v>544</v>
      </c>
      <c r="Y299" s="379">
        <v>0</v>
      </c>
      <c r="Z299" s="379">
        <v>123862.33</v>
      </c>
      <c r="AA299" s="379">
        <v>42513.34</v>
      </c>
      <c r="AB299" s="379"/>
      <c r="AC299" s="379">
        <v>0</v>
      </c>
      <c r="AD299" s="379">
        <v>166375.66999999998</v>
      </c>
      <c r="AE299" s="124"/>
      <c r="AF299" s="551">
        <v>971</v>
      </c>
      <c r="AG299" s="550" t="s">
        <v>545</v>
      </c>
      <c r="AH299" s="449" t="s">
        <v>18</v>
      </c>
      <c r="AI299" s="562" t="s">
        <v>544</v>
      </c>
      <c r="AJ299" s="383">
        <f t="shared" si="55"/>
        <v>0</v>
      </c>
      <c r="AK299" s="383">
        <f t="shared" si="56"/>
        <v>131525.39000000001</v>
      </c>
      <c r="AL299" s="383">
        <f t="shared" si="57"/>
        <v>46961.34</v>
      </c>
      <c r="AM299" s="383">
        <f t="shared" si="58"/>
        <v>0</v>
      </c>
      <c r="AN299" s="383">
        <f t="shared" si="59"/>
        <v>0</v>
      </c>
      <c r="AO299" s="124">
        <f t="shared" si="63"/>
        <v>178486.73</v>
      </c>
      <c r="AR299" s="124">
        <f t="shared" si="60"/>
        <v>40943.269999999997</v>
      </c>
      <c r="AS299" s="124">
        <f t="shared" si="66"/>
        <v>19249.05</v>
      </c>
      <c r="AV299" s="379">
        <f t="shared" si="64"/>
        <v>60192.319999999992</v>
      </c>
      <c r="AW299" s="124">
        <f t="shared" si="61"/>
        <v>0</v>
      </c>
      <c r="AZ299" s="379">
        <v>0</v>
      </c>
      <c r="BA299" s="379">
        <v>3194.88</v>
      </c>
      <c r="BB299" s="379">
        <v>1181.17</v>
      </c>
      <c r="BC299" s="379"/>
      <c r="BD299" s="379">
        <v>0</v>
      </c>
      <c r="BE299" s="379">
        <f t="shared" si="65"/>
        <v>4376.05</v>
      </c>
      <c r="BF299" s="379"/>
      <c r="BO299" s="477">
        <v>0</v>
      </c>
      <c r="BP299" s="477">
        <v>299525.87</v>
      </c>
      <c r="BQ299" s="477">
        <v>109904.90000000001</v>
      </c>
      <c r="BR299" s="477"/>
      <c r="BS299" s="477">
        <v>0</v>
      </c>
      <c r="BT299" s="477">
        <v>409430.77</v>
      </c>
      <c r="BW299" s="126">
        <v>703</v>
      </c>
      <c r="BX299" s="125">
        <v>38301</v>
      </c>
      <c r="BY299" s="19" t="s">
        <v>18</v>
      </c>
      <c r="BZ299" t="s">
        <v>916</v>
      </c>
    </row>
    <row r="300" spans="1:78" x14ac:dyDescent="0.25">
      <c r="A300" s="443">
        <v>38267</v>
      </c>
      <c r="B300" s="19" t="s">
        <v>18</v>
      </c>
      <c r="C300" t="s">
        <v>430</v>
      </c>
      <c r="D300" s="379"/>
      <c r="E300" s="120"/>
      <c r="F300" s="379">
        <v>207120.59</v>
      </c>
      <c r="G300" s="120">
        <v>3.4599592994974621E-4</v>
      </c>
      <c r="H300" s="379">
        <v>516098.32</v>
      </c>
      <c r="I300" s="120">
        <v>1.9845768744858332E-3</v>
      </c>
      <c r="J300" s="379">
        <v>0</v>
      </c>
      <c r="K300" s="120">
        <v>0</v>
      </c>
      <c r="L300" s="379">
        <v>461327.76</v>
      </c>
      <c r="M300" s="120">
        <v>2.0693301888129582E-3</v>
      </c>
      <c r="N300" s="379">
        <v>1552915.49</v>
      </c>
      <c r="O300" s="120">
        <v>2.1881585471013225E-3</v>
      </c>
      <c r="P300" s="383">
        <f t="shared" si="62"/>
        <v>2737462.16</v>
      </c>
      <c r="R300" s="379"/>
      <c r="S300" s="120"/>
      <c r="T300" s="380"/>
      <c r="U300" s="551">
        <v>781</v>
      </c>
      <c r="V300" s="550" t="s">
        <v>431</v>
      </c>
      <c r="W300" s="449" t="s">
        <v>18</v>
      </c>
      <c r="X300" s="562" t="s">
        <v>430</v>
      </c>
      <c r="Y300" s="379">
        <v>0</v>
      </c>
      <c r="Z300" s="379">
        <v>1556278.54</v>
      </c>
      <c r="AA300" s="379">
        <v>519008.51999999996</v>
      </c>
      <c r="AB300" s="379"/>
      <c r="AC300" s="379">
        <v>0</v>
      </c>
      <c r="AD300" s="379">
        <v>2075287.06</v>
      </c>
      <c r="AE300" s="124"/>
      <c r="AF300" s="551">
        <v>781</v>
      </c>
      <c r="AG300" s="550" t="s">
        <v>431</v>
      </c>
      <c r="AH300" s="449" t="s">
        <v>18</v>
      </c>
      <c r="AI300" s="562" t="s">
        <v>430</v>
      </c>
      <c r="AJ300" s="383">
        <f t="shared" si="55"/>
        <v>0</v>
      </c>
      <c r="AK300" s="383">
        <f t="shared" si="56"/>
        <v>1552915.49</v>
      </c>
      <c r="AL300" s="383">
        <f t="shared" si="57"/>
        <v>516098.32</v>
      </c>
      <c r="AM300" s="383">
        <f t="shared" si="58"/>
        <v>0</v>
      </c>
      <c r="AN300" s="383">
        <f t="shared" si="59"/>
        <v>0</v>
      </c>
      <c r="AO300" s="124">
        <f t="shared" si="63"/>
        <v>2069013.81</v>
      </c>
      <c r="AR300" s="124">
        <f t="shared" si="60"/>
        <v>461327.76</v>
      </c>
      <c r="AS300" s="124">
        <f t="shared" si="66"/>
        <v>207120.59</v>
      </c>
      <c r="AV300" s="379">
        <f t="shared" si="64"/>
        <v>668448.35</v>
      </c>
      <c r="AW300" s="124">
        <f t="shared" si="61"/>
        <v>0</v>
      </c>
      <c r="AZ300" s="379">
        <v>0</v>
      </c>
      <c r="BA300" s="379">
        <v>37810.49</v>
      </c>
      <c r="BB300" s="379">
        <v>13083.269999999999</v>
      </c>
      <c r="BC300" s="379"/>
      <c r="BD300" s="379">
        <v>0</v>
      </c>
      <c r="BE300" s="379">
        <f t="shared" si="65"/>
        <v>50893.759999999995</v>
      </c>
      <c r="BF300" s="379"/>
      <c r="BO300" s="477">
        <v>0</v>
      </c>
      <c r="BP300" s="477">
        <v>3608332.2800000003</v>
      </c>
      <c r="BQ300" s="477">
        <v>1255310.7</v>
      </c>
      <c r="BR300" s="477"/>
      <c r="BS300" s="477">
        <v>0</v>
      </c>
      <c r="BT300" s="477">
        <v>4863642.9800000004</v>
      </c>
      <c r="BW300" s="126">
        <v>328</v>
      </c>
      <c r="BX300" s="125">
        <v>38302</v>
      </c>
      <c r="BY300" s="19" t="s">
        <v>18</v>
      </c>
      <c r="BZ300" t="s">
        <v>816</v>
      </c>
    </row>
    <row r="301" spans="1:78" x14ac:dyDescent="0.25">
      <c r="A301" s="443">
        <v>38300</v>
      </c>
      <c r="B301" s="19" t="s">
        <v>18</v>
      </c>
      <c r="C301" t="s">
        <v>96</v>
      </c>
      <c r="D301" s="379"/>
      <c r="E301" s="120"/>
      <c r="F301" s="379">
        <v>39663</v>
      </c>
      <c r="G301" s="120">
        <v>6.62572300011157E-5</v>
      </c>
      <c r="H301" s="379">
        <v>96380.05</v>
      </c>
      <c r="I301" s="120">
        <v>3.7061468906116253E-4</v>
      </c>
      <c r="J301" s="379"/>
      <c r="K301" s="120"/>
      <c r="L301" s="379">
        <v>97802.05</v>
      </c>
      <c r="M301" s="120">
        <v>4.3870053385210199E-4</v>
      </c>
      <c r="N301" s="379">
        <v>288026.96999999997</v>
      </c>
      <c r="O301" s="120">
        <v>4.0584866353622124E-4</v>
      </c>
      <c r="P301" s="383">
        <f t="shared" si="62"/>
        <v>521872.06999999995</v>
      </c>
      <c r="R301" s="379"/>
      <c r="S301" s="120"/>
      <c r="T301" s="380"/>
      <c r="U301" s="551">
        <v>165</v>
      </c>
      <c r="V301" s="550" t="s">
        <v>97</v>
      </c>
      <c r="W301" s="449" t="s">
        <v>18</v>
      </c>
      <c r="X301" s="562" t="s">
        <v>96</v>
      </c>
      <c r="Y301" s="379"/>
      <c r="Z301" s="379">
        <v>291102.15000000002</v>
      </c>
      <c r="AA301" s="379">
        <v>81089.47</v>
      </c>
      <c r="AB301" s="379"/>
      <c r="AC301" s="379">
        <v>0</v>
      </c>
      <c r="AD301" s="379">
        <v>372191.62</v>
      </c>
      <c r="AE301" s="124"/>
      <c r="AF301" s="551">
        <v>165</v>
      </c>
      <c r="AG301" s="550" t="s">
        <v>97</v>
      </c>
      <c r="AH301" s="449" t="s">
        <v>18</v>
      </c>
      <c r="AI301" s="562" t="s">
        <v>96</v>
      </c>
      <c r="AJ301" s="383">
        <f t="shared" si="55"/>
        <v>0</v>
      </c>
      <c r="AK301" s="383">
        <f t="shared" si="56"/>
        <v>288026.96999999997</v>
      </c>
      <c r="AL301" s="383">
        <f t="shared" si="57"/>
        <v>96380.05</v>
      </c>
      <c r="AM301" s="383">
        <f t="shared" si="58"/>
        <v>0</v>
      </c>
      <c r="AN301" s="383">
        <f t="shared" si="59"/>
        <v>0</v>
      </c>
      <c r="AO301" s="124">
        <f t="shared" si="63"/>
        <v>384407.01999999996</v>
      </c>
      <c r="AR301" s="124">
        <f t="shared" si="60"/>
        <v>97802.05</v>
      </c>
      <c r="AS301" s="124">
        <f t="shared" si="66"/>
        <v>39663</v>
      </c>
      <c r="AV301" s="379">
        <f t="shared" si="64"/>
        <v>137465.04999999999</v>
      </c>
      <c r="AW301" s="124">
        <f t="shared" si="61"/>
        <v>0</v>
      </c>
      <c r="AZ301" s="379"/>
      <c r="BA301" s="379">
        <v>6964.65</v>
      </c>
      <c r="BB301" s="379">
        <v>2420.83</v>
      </c>
      <c r="BC301" s="379"/>
      <c r="BD301" s="379">
        <v>0</v>
      </c>
      <c r="BE301" s="379">
        <f t="shared" si="65"/>
        <v>9385.48</v>
      </c>
      <c r="BF301" s="379"/>
      <c r="BO301" s="477"/>
      <c r="BP301" s="477">
        <v>683895.82000000007</v>
      </c>
      <c r="BQ301" s="477">
        <v>219553.35</v>
      </c>
      <c r="BR301" s="477"/>
      <c r="BS301" s="477">
        <v>0</v>
      </c>
      <c r="BT301" s="477">
        <v>903449.17</v>
      </c>
      <c r="BW301" s="126">
        <v>945</v>
      </c>
      <c r="BX301" s="125">
        <v>38304</v>
      </c>
      <c r="BY301" s="19" t="s">
        <v>18</v>
      </c>
      <c r="BZ301" t="s">
        <v>974</v>
      </c>
    </row>
    <row r="302" spans="1:78" x14ac:dyDescent="0.25">
      <c r="A302" s="443">
        <v>38301</v>
      </c>
      <c r="B302" s="19" t="s">
        <v>18</v>
      </c>
      <c r="C302" t="s">
        <v>404</v>
      </c>
      <c r="D302" s="379"/>
      <c r="E302" s="120"/>
      <c r="F302" s="379">
        <v>15957.18</v>
      </c>
      <c r="G302" s="120">
        <v>2.6656545027587512E-5</v>
      </c>
      <c r="H302" s="379">
        <v>39158.18</v>
      </c>
      <c r="I302" s="120">
        <v>1.5057677086597311E-4</v>
      </c>
      <c r="J302" s="379">
        <v>0</v>
      </c>
      <c r="K302" s="120">
        <v>0</v>
      </c>
      <c r="L302" s="379">
        <v>42444.69</v>
      </c>
      <c r="M302" s="120">
        <v>1.903897532023815E-4</v>
      </c>
      <c r="N302" s="379">
        <v>139339.23000000001</v>
      </c>
      <c r="O302" s="120">
        <v>1.9633800360315616E-4</v>
      </c>
      <c r="P302" s="383">
        <f t="shared" si="62"/>
        <v>236899.28000000003</v>
      </c>
      <c r="R302" s="379"/>
      <c r="S302" s="120"/>
      <c r="T302" s="380"/>
      <c r="U302" s="551">
        <v>703</v>
      </c>
      <c r="V302" s="550" t="s">
        <v>405</v>
      </c>
      <c r="W302" s="449" t="s">
        <v>18</v>
      </c>
      <c r="X302" s="562" t="s">
        <v>404</v>
      </c>
      <c r="Y302" s="379">
        <v>0</v>
      </c>
      <c r="Z302" s="379">
        <v>133182.12</v>
      </c>
      <c r="AA302" s="379">
        <v>37510.400000000001</v>
      </c>
      <c r="AB302" s="379"/>
      <c r="AC302" s="379">
        <v>0</v>
      </c>
      <c r="AD302" s="379">
        <v>170692.52</v>
      </c>
      <c r="AE302" s="124"/>
      <c r="AF302" s="551">
        <v>703</v>
      </c>
      <c r="AG302" s="550" t="s">
        <v>405</v>
      </c>
      <c r="AH302" s="449" t="s">
        <v>18</v>
      </c>
      <c r="AI302" s="562" t="s">
        <v>404</v>
      </c>
      <c r="AJ302" s="383">
        <f t="shared" si="55"/>
        <v>0</v>
      </c>
      <c r="AK302" s="383">
        <f t="shared" si="56"/>
        <v>139339.23000000001</v>
      </c>
      <c r="AL302" s="383">
        <f t="shared" si="57"/>
        <v>39158.18</v>
      </c>
      <c r="AM302" s="383">
        <f t="shared" si="58"/>
        <v>0</v>
      </c>
      <c r="AN302" s="383">
        <f t="shared" si="59"/>
        <v>0</v>
      </c>
      <c r="AO302" s="124">
        <f t="shared" si="63"/>
        <v>178497.41</v>
      </c>
      <c r="AR302" s="124">
        <f t="shared" si="60"/>
        <v>42444.69</v>
      </c>
      <c r="AS302" s="124">
        <f t="shared" si="66"/>
        <v>15957.18</v>
      </c>
      <c r="AV302" s="379">
        <f t="shared" si="64"/>
        <v>58401.87</v>
      </c>
      <c r="AW302" s="124">
        <f t="shared" si="61"/>
        <v>0</v>
      </c>
      <c r="AZ302" s="379">
        <v>0</v>
      </c>
      <c r="BA302" s="379">
        <v>3388.37</v>
      </c>
      <c r="BB302" s="379">
        <v>987</v>
      </c>
      <c r="BC302" s="379"/>
      <c r="BD302" s="379">
        <v>0</v>
      </c>
      <c r="BE302" s="379">
        <f t="shared" si="65"/>
        <v>4375.37</v>
      </c>
      <c r="BF302" s="379"/>
      <c r="BO302" s="477">
        <v>0</v>
      </c>
      <c r="BP302" s="477">
        <v>318354.41000000003</v>
      </c>
      <c r="BQ302" s="477">
        <v>93612.760000000009</v>
      </c>
      <c r="BR302" s="477"/>
      <c r="BS302" s="477">
        <v>0</v>
      </c>
      <c r="BT302" s="477">
        <v>411967.17000000004</v>
      </c>
      <c r="BW302" s="126">
        <v>168</v>
      </c>
      <c r="BX302" s="125">
        <v>38306</v>
      </c>
      <c r="BY302" s="19" t="s">
        <v>18</v>
      </c>
      <c r="BZ302" t="s">
        <v>771</v>
      </c>
    </row>
    <row r="303" spans="1:78" x14ac:dyDescent="0.25">
      <c r="A303" s="443">
        <v>38302</v>
      </c>
      <c r="B303" s="19" t="s">
        <v>18</v>
      </c>
      <c r="C303" t="s">
        <v>192</v>
      </c>
      <c r="D303" s="379"/>
      <c r="E303" s="120"/>
      <c r="F303" s="379">
        <v>19260.259999999998</v>
      </c>
      <c r="G303" s="120">
        <v>3.2174355865700745E-5</v>
      </c>
      <c r="H303" s="379">
        <v>46715.16</v>
      </c>
      <c r="I303" s="120">
        <v>1.7963597754766113E-4</v>
      </c>
      <c r="J303" s="379">
        <v>0</v>
      </c>
      <c r="K303" s="120">
        <v>0</v>
      </c>
      <c r="L303" s="379">
        <v>30403.31</v>
      </c>
      <c r="M303" s="120">
        <v>1.3637698113557899E-4</v>
      </c>
      <c r="N303" s="379">
        <v>89820.94</v>
      </c>
      <c r="O303" s="120">
        <v>1.2656352443858685E-4</v>
      </c>
      <c r="P303" s="383">
        <f t="shared" si="62"/>
        <v>186199.66999999998</v>
      </c>
      <c r="R303" s="379"/>
      <c r="S303" s="120"/>
      <c r="T303" s="380"/>
      <c r="U303" s="551">
        <v>328</v>
      </c>
      <c r="V303" s="550" t="s">
        <v>193</v>
      </c>
      <c r="W303" s="449" t="s">
        <v>18</v>
      </c>
      <c r="X303" s="562" t="s">
        <v>192</v>
      </c>
      <c r="Y303" s="379">
        <v>0</v>
      </c>
      <c r="Z303" s="379">
        <v>74896.52</v>
      </c>
      <c r="AA303" s="379">
        <v>48476.770000000004</v>
      </c>
      <c r="AB303" s="379"/>
      <c r="AC303" s="379">
        <v>0</v>
      </c>
      <c r="AD303" s="379">
        <v>123373.29000000001</v>
      </c>
      <c r="AE303" s="124"/>
      <c r="AF303" s="551">
        <v>328</v>
      </c>
      <c r="AG303" s="550" t="s">
        <v>193</v>
      </c>
      <c r="AH303" s="449" t="s">
        <v>18</v>
      </c>
      <c r="AI303" s="562" t="s">
        <v>192</v>
      </c>
      <c r="AJ303" s="383">
        <f t="shared" si="55"/>
        <v>0</v>
      </c>
      <c r="AK303" s="383">
        <f t="shared" si="56"/>
        <v>89820.94</v>
      </c>
      <c r="AL303" s="383">
        <f t="shared" si="57"/>
        <v>46715.16</v>
      </c>
      <c r="AM303" s="383">
        <f t="shared" si="58"/>
        <v>0</v>
      </c>
      <c r="AN303" s="383">
        <f t="shared" si="59"/>
        <v>0</v>
      </c>
      <c r="AO303" s="124">
        <f t="shared" si="63"/>
        <v>136536.1</v>
      </c>
      <c r="AR303" s="124">
        <f t="shared" si="60"/>
        <v>30403.31</v>
      </c>
      <c r="AS303" s="124">
        <f t="shared" si="66"/>
        <v>19260.259999999998</v>
      </c>
      <c r="AV303" s="379">
        <f t="shared" si="64"/>
        <v>49663.57</v>
      </c>
      <c r="AW303" s="124">
        <f t="shared" si="61"/>
        <v>0</v>
      </c>
      <c r="AZ303" s="379">
        <v>0</v>
      </c>
      <c r="BA303" s="379">
        <v>2172.2200000000003</v>
      </c>
      <c r="BB303" s="379">
        <v>1172.51</v>
      </c>
      <c r="BC303" s="379"/>
      <c r="BD303" s="379">
        <v>0</v>
      </c>
      <c r="BE303" s="379">
        <f t="shared" si="65"/>
        <v>3344.7300000000005</v>
      </c>
      <c r="BF303" s="379"/>
      <c r="BO303" s="477">
        <v>0</v>
      </c>
      <c r="BP303" s="477">
        <v>197292.99</v>
      </c>
      <c r="BQ303" s="477">
        <v>115624.70000000001</v>
      </c>
      <c r="BR303" s="477"/>
      <c r="BS303" s="477">
        <v>0</v>
      </c>
      <c r="BT303" s="477">
        <v>312917.69</v>
      </c>
      <c r="BW303" s="126">
        <v>274</v>
      </c>
      <c r="BX303" s="125">
        <v>38308</v>
      </c>
      <c r="BY303" s="19" t="s">
        <v>18</v>
      </c>
      <c r="BZ303" t="s">
        <v>803</v>
      </c>
    </row>
    <row r="304" spans="1:78" x14ac:dyDescent="0.25">
      <c r="A304" s="443">
        <v>38304</v>
      </c>
      <c r="B304" s="19" t="s">
        <v>18</v>
      </c>
      <c r="C304" t="s">
        <v>526</v>
      </c>
      <c r="D304" s="379"/>
      <c r="E304" s="120"/>
      <c r="F304" s="379">
        <v>3407.22</v>
      </c>
      <c r="G304" s="120">
        <v>5.6917772030456956E-6</v>
      </c>
      <c r="H304" s="379">
        <v>8190.49</v>
      </c>
      <c r="I304" s="120">
        <v>3.1495272150290031E-5</v>
      </c>
      <c r="J304" s="379"/>
      <c r="K304" s="120"/>
      <c r="L304" s="379">
        <v>9916.7999999999993</v>
      </c>
      <c r="M304" s="120">
        <v>4.4482763440076407E-5</v>
      </c>
      <c r="N304" s="379">
        <v>30109.65</v>
      </c>
      <c r="O304" s="120">
        <v>4.2426447815089627E-5</v>
      </c>
      <c r="P304" s="383">
        <f t="shared" si="62"/>
        <v>51624.160000000003</v>
      </c>
      <c r="R304" s="379"/>
      <c r="S304" s="120"/>
      <c r="T304" s="380"/>
      <c r="U304" s="551">
        <v>945</v>
      </c>
      <c r="V304" s="550" t="s">
        <v>527</v>
      </c>
      <c r="W304" s="449" t="s">
        <v>18</v>
      </c>
      <c r="X304" s="562" t="s">
        <v>526</v>
      </c>
      <c r="Y304" s="379"/>
      <c r="Z304" s="379">
        <v>34082.379999999997</v>
      </c>
      <c r="AA304" s="379">
        <v>6755.0399999999991</v>
      </c>
      <c r="AB304" s="379"/>
      <c r="AC304" s="379">
        <v>0</v>
      </c>
      <c r="AD304" s="379">
        <v>40837.42</v>
      </c>
      <c r="AE304" s="124"/>
      <c r="AF304" s="551">
        <v>945</v>
      </c>
      <c r="AG304" s="550" t="s">
        <v>527</v>
      </c>
      <c r="AH304" s="449" t="s">
        <v>18</v>
      </c>
      <c r="AI304" s="562" t="s">
        <v>526</v>
      </c>
      <c r="AJ304" s="383">
        <f t="shared" si="55"/>
        <v>0</v>
      </c>
      <c r="AK304" s="383">
        <f t="shared" si="56"/>
        <v>30109.65</v>
      </c>
      <c r="AL304" s="383">
        <f t="shared" si="57"/>
        <v>8190.49</v>
      </c>
      <c r="AM304" s="383">
        <f t="shared" si="58"/>
        <v>0</v>
      </c>
      <c r="AN304" s="383">
        <f t="shared" si="59"/>
        <v>0</v>
      </c>
      <c r="AO304" s="124">
        <f t="shared" si="63"/>
        <v>38300.14</v>
      </c>
      <c r="AR304" s="124">
        <f t="shared" si="60"/>
        <v>9916.7999999999993</v>
      </c>
      <c r="AS304" s="124">
        <f t="shared" si="66"/>
        <v>3407.22</v>
      </c>
      <c r="AV304" s="379">
        <f t="shared" si="64"/>
        <v>13324.019999999999</v>
      </c>
      <c r="AW304" s="124">
        <f t="shared" si="61"/>
        <v>0</v>
      </c>
      <c r="AZ304" s="379"/>
      <c r="BA304" s="379">
        <v>729.23</v>
      </c>
      <c r="BB304" s="379">
        <v>204.73000000000002</v>
      </c>
      <c r="BC304" s="379"/>
      <c r="BD304" s="379">
        <v>0</v>
      </c>
      <c r="BE304" s="379">
        <f t="shared" si="65"/>
        <v>933.96</v>
      </c>
      <c r="BF304" s="379"/>
      <c r="BO304" s="477"/>
      <c r="BP304" s="477">
        <v>74838.06</v>
      </c>
      <c r="BQ304" s="477">
        <v>18557.48</v>
      </c>
      <c r="BR304" s="477"/>
      <c r="BS304" s="477">
        <v>0</v>
      </c>
      <c r="BT304" s="477">
        <v>93395.54</v>
      </c>
      <c r="BW304" s="126">
        <v>820</v>
      </c>
      <c r="BX304" s="125">
        <v>38320</v>
      </c>
      <c r="BY304" s="19" t="s">
        <v>18</v>
      </c>
      <c r="BZ304" t="s">
        <v>947</v>
      </c>
    </row>
    <row r="305" spans="1:78" x14ac:dyDescent="0.25">
      <c r="A305" s="443">
        <v>38306</v>
      </c>
      <c r="B305" s="19" t="s">
        <v>18</v>
      </c>
      <c r="C305" t="s">
        <v>100</v>
      </c>
      <c r="D305" s="379"/>
      <c r="E305" s="120"/>
      <c r="F305" s="379">
        <v>17301.060000000001</v>
      </c>
      <c r="G305" s="120">
        <v>2.8901502954468973E-5</v>
      </c>
      <c r="H305" s="379">
        <v>43104.639999999999</v>
      </c>
      <c r="I305" s="120">
        <v>1.6575227706038074E-4</v>
      </c>
      <c r="J305" s="379">
        <v>0</v>
      </c>
      <c r="K305" s="120">
        <v>0</v>
      </c>
      <c r="L305" s="379">
        <v>32657.9</v>
      </c>
      <c r="M305" s="120">
        <v>1.4649016216417306E-4</v>
      </c>
      <c r="N305" s="379">
        <v>105010.12</v>
      </c>
      <c r="O305" s="120">
        <v>1.4796606324670992E-4</v>
      </c>
      <c r="P305" s="383">
        <f t="shared" si="62"/>
        <v>198073.72</v>
      </c>
      <c r="R305" s="379"/>
      <c r="S305" s="120"/>
      <c r="T305" s="380"/>
      <c r="U305" s="551">
        <v>168</v>
      </c>
      <c r="V305" s="550" t="s">
        <v>101</v>
      </c>
      <c r="W305" s="449" t="s">
        <v>18</v>
      </c>
      <c r="X305" s="562" t="s">
        <v>100</v>
      </c>
      <c r="Y305" s="379">
        <v>0</v>
      </c>
      <c r="Z305" s="379">
        <v>100367.24</v>
      </c>
      <c r="AA305" s="379">
        <v>43610.13</v>
      </c>
      <c r="AB305" s="379"/>
      <c r="AC305" s="379">
        <v>0</v>
      </c>
      <c r="AD305" s="379">
        <v>143977.37</v>
      </c>
      <c r="AE305" s="124"/>
      <c r="AF305" s="551">
        <v>168</v>
      </c>
      <c r="AG305" s="550" t="s">
        <v>101</v>
      </c>
      <c r="AH305" s="449" t="s">
        <v>18</v>
      </c>
      <c r="AI305" s="562" t="s">
        <v>100</v>
      </c>
      <c r="AJ305" s="383">
        <f t="shared" si="55"/>
        <v>0</v>
      </c>
      <c r="AK305" s="383">
        <f t="shared" si="56"/>
        <v>105010.12</v>
      </c>
      <c r="AL305" s="383">
        <f t="shared" si="57"/>
        <v>43104.639999999999</v>
      </c>
      <c r="AM305" s="383">
        <f t="shared" si="58"/>
        <v>0</v>
      </c>
      <c r="AN305" s="383">
        <f t="shared" si="59"/>
        <v>0</v>
      </c>
      <c r="AO305" s="124">
        <f t="shared" si="63"/>
        <v>148114.76</v>
      </c>
      <c r="AR305" s="124">
        <f t="shared" si="60"/>
        <v>32657.9</v>
      </c>
      <c r="AS305" s="124">
        <f t="shared" si="66"/>
        <v>17301.060000000001</v>
      </c>
      <c r="AV305" s="379">
        <f t="shared" si="64"/>
        <v>49958.960000000006</v>
      </c>
      <c r="AW305" s="124">
        <f t="shared" si="61"/>
        <v>0</v>
      </c>
      <c r="AZ305" s="379">
        <v>0</v>
      </c>
      <c r="BA305" s="379">
        <v>2550.91</v>
      </c>
      <c r="BB305" s="379">
        <v>1092.51</v>
      </c>
      <c r="BC305" s="379"/>
      <c r="BD305" s="379">
        <v>0</v>
      </c>
      <c r="BE305" s="379">
        <f t="shared" si="65"/>
        <v>3643.42</v>
      </c>
      <c r="BF305" s="379"/>
      <c r="BO305" s="477">
        <v>0</v>
      </c>
      <c r="BP305" s="477">
        <v>240586.16999999998</v>
      </c>
      <c r="BQ305" s="477">
        <v>105108.34</v>
      </c>
      <c r="BR305" s="477"/>
      <c r="BS305" s="477">
        <v>0</v>
      </c>
      <c r="BT305" s="477">
        <v>345694.51</v>
      </c>
      <c r="BW305" s="126">
        <v>929</v>
      </c>
      <c r="BX305" s="125">
        <v>38322</v>
      </c>
      <c r="BY305" s="19" t="s">
        <v>18</v>
      </c>
      <c r="BZ305" t="s">
        <v>970</v>
      </c>
    </row>
    <row r="306" spans="1:78" x14ac:dyDescent="0.25">
      <c r="A306" s="443">
        <v>38308</v>
      </c>
      <c r="B306" s="19" t="s">
        <v>18</v>
      </c>
      <c r="C306" t="s">
        <v>164</v>
      </c>
      <c r="D306" s="379"/>
      <c r="E306" s="120"/>
      <c r="F306" s="379">
        <v>16421.27</v>
      </c>
      <c r="G306" s="120">
        <v>2.7431809578206925E-5</v>
      </c>
      <c r="H306" s="379">
        <v>40541.449999999997</v>
      </c>
      <c r="I306" s="120">
        <v>1.5589592333515768E-4</v>
      </c>
      <c r="J306" s="379"/>
      <c r="K306" s="120"/>
      <c r="L306" s="379">
        <v>26706.37</v>
      </c>
      <c r="M306" s="120">
        <v>1.1979399998519214E-4</v>
      </c>
      <c r="N306" s="379">
        <v>93357.99</v>
      </c>
      <c r="O306" s="120">
        <v>1.3154745707295366E-4</v>
      </c>
      <c r="P306" s="383">
        <f t="shared" si="62"/>
        <v>177027.08000000002</v>
      </c>
      <c r="R306" s="379"/>
      <c r="S306" s="120"/>
      <c r="T306" s="380"/>
      <c r="U306" s="551">
        <v>274</v>
      </c>
      <c r="V306" s="550" t="s">
        <v>165</v>
      </c>
      <c r="W306" s="449" t="s">
        <v>18</v>
      </c>
      <c r="X306" s="562" t="s">
        <v>164</v>
      </c>
      <c r="Y306" s="379"/>
      <c r="Z306" s="379">
        <v>98663.92</v>
      </c>
      <c r="AA306" s="379">
        <v>36651.899999999994</v>
      </c>
      <c r="AB306" s="379"/>
      <c r="AC306" s="379">
        <v>0</v>
      </c>
      <c r="AD306" s="379">
        <v>135315.82</v>
      </c>
      <c r="AE306" s="124"/>
      <c r="AF306" s="551">
        <v>274</v>
      </c>
      <c r="AG306" s="550" t="s">
        <v>165</v>
      </c>
      <c r="AH306" s="449" t="s">
        <v>18</v>
      </c>
      <c r="AI306" s="562" t="s">
        <v>164</v>
      </c>
      <c r="AJ306" s="383">
        <f t="shared" si="55"/>
        <v>0</v>
      </c>
      <c r="AK306" s="383">
        <f t="shared" si="56"/>
        <v>93357.99</v>
      </c>
      <c r="AL306" s="383">
        <f t="shared" si="57"/>
        <v>40541.449999999997</v>
      </c>
      <c r="AM306" s="383">
        <f t="shared" si="58"/>
        <v>0</v>
      </c>
      <c r="AN306" s="383">
        <f t="shared" si="59"/>
        <v>0</v>
      </c>
      <c r="AO306" s="124">
        <f t="shared" si="63"/>
        <v>133899.44</v>
      </c>
      <c r="AR306" s="124">
        <f t="shared" si="60"/>
        <v>26706.37</v>
      </c>
      <c r="AS306" s="124">
        <f t="shared" ref="AS306:AS327" si="67">+F306</f>
        <v>16421.27</v>
      </c>
      <c r="AV306" s="379">
        <f t="shared" si="64"/>
        <v>43127.64</v>
      </c>
      <c r="AW306" s="124">
        <f t="shared" si="61"/>
        <v>0</v>
      </c>
      <c r="AZ306" s="379"/>
      <c r="BA306" s="379">
        <v>2277.0500000000002</v>
      </c>
      <c r="BB306" s="379">
        <v>1024.19</v>
      </c>
      <c r="BC306" s="379"/>
      <c r="BD306" s="379">
        <v>0</v>
      </c>
      <c r="BE306" s="379">
        <f t="shared" si="65"/>
        <v>3301.2400000000002</v>
      </c>
      <c r="BF306" s="379"/>
      <c r="BO306" s="477"/>
      <c r="BP306" s="477">
        <v>221005.33000000002</v>
      </c>
      <c r="BQ306" s="477">
        <v>94638.81</v>
      </c>
      <c r="BR306" s="477"/>
      <c r="BS306" s="477">
        <v>0</v>
      </c>
      <c r="BT306" s="477">
        <v>315644.14</v>
      </c>
      <c r="BW306" s="126">
        <v>658</v>
      </c>
      <c r="BX306" s="125">
        <v>38324</v>
      </c>
      <c r="BY306" s="19" t="s">
        <v>18</v>
      </c>
      <c r="BZ306" t="s">
        <v>898</v>
      </c>
    </row>
    <row r="307" spans="1:78" x14ac:dyDescent="0.25">
      <c r="A307" s="443">
        <v>38320</v>
      </c>
      <c r="B307" s="19" t="s">
        <v>18</v>
      </c>
      <c r="C307" t="s">
        <v>468</v>
      </c>
      <c r="D307" s="379">
        <v>1034.92</v>
      </c>
      <c r="E307" s="120">
        <v>1.7288387785279649E-6</v>
      </c>
      <c r="F307" s="379">
        <v>22416.68</v>
      </c>
      <c r="G307" s="120">
        <v>3.7447170476802321E-5</v>
      </c>
      <c r="H307" s="379">
        <v>54619.01</v>
      </c>
      <c r="I307" s="120">
        <v>2.1002901957384879E-4</v>
      </c>
      <c r="J307" s="379"/>
      <c r="K307" s="120"/>
      <c r="L307" s="379">
        <v>48052.42</v>
      </c>
      <c r="M307" s="120">
        <v>2.1554376730227457E-4</v>
      </c>
      <c r="N307" s="379">
        <v>134797.9</v>
      </c>
      <c r="O307" s="120">
        <v>1.899389753761226E-4</v>
      </c>
      <c r="P307" s="383">
        <f t="shared" si="62"/>
        <v>260920.93</v>
      </c>
      <c r="R307" s="379"/>
      <c r="S307" s="120"/>
      <c r="T307" s="380"/>
      <c r="U307" s="551">
        <v>820</v>
      </c>
      <c r="V307" s="550" t="s">
        <v>469</v>
      </c>
      <c r="W307" s="449" t="s">
        <v>18</v>
      </c>
      <c r="X307" s="562" t="s">
        <v>468</v>
      </c>
      <c r="Y307" s="379"/>
      <c r="Z307" s="379">
        <v>132400.82</v>
      </c>
      <c r="AA307" s="379">
        <v>56900.07</v>
      </c>
      <c r="AB307" s="379">
        <v>652.36</v>
      </c>
      <c r="AC307" s="379">
        <v>0</v>
      </c>
      <c r="AD307" s="379">
        <v>189953.25</v>
      </c>
      <c r="AE307" s="124"/>
      <c r="AF307" s="551">
        <v>820</v>
      </c>
      <c r="AG307" s="550" t="s">
        <v>469</v>
      </c>
      <c r="AH307" s="449" t="s">
        <v>18</v>
      </c>
      <c r="AI307" s="562" t="s">
        <v>468</v>
      </c>
      <c r="AJ307" s="383">
        <f t="shared" si="55"/>
        <v>0</v>
      </c>
      <c r="AK307" s="383">
        <f t="shared" si="56"/>
        <v>134797.9</v>
      </c>
      <c r="AL307" s="383">
        <f t="shared" si="57"/>
        <v>54619.01</v>
      </c>
      <c r="AM307" s="383">
        <f t="shared" si="58"/>
        <v>1034.92</v>
      </c>
      <c r="AN307" s="383">
        <f t="shared" si="59"/>
        <v>0</v>
      </c>
      <c r="AO307" s="124">
        <f t="shared" si="63"/>
        <v>190451.83000000002</v>
      </c>
      <c r="AR307" s="124">
        <f t="shared" si="60"/>
        <v>48052.42</v>
      </c>
      <c r="AS307" s="124">
        <f t="shared" si="67"/>
        <v>22416.68</v>
      </c>
      <c r="AV307" s="379">
        <f t="shared" si="64"/>
        <v>70469.100000000006</v>
      </c>
      <c r="AW307" s="124">
        <f t="shared" si="61"/>
        <v>0</v>
      </c>
      <c r="AZ307" s="379"/>
      <c r="BA307" s="379">
        <v>3250.42</v>
      </c>
      <c r="BB307" s="379">
        <v>1373.12</v>
      </c>
      <c r="BC307" s="379">
        <v>19.559999999999999</v>
      </c>
      <c r="BD307" s="379">
        <v>0</v>
      </c>
      <c r="BE307" s="379">
        <f t="shared" si="65"/>
        <v>4643.1000000000004</v>
      </c>
      <c r="BF307" s="379"/>
      <c r="BO307" s="477"/>
      <c r="BP307" s="477">
        <v>318501.56</v>
      </c>
      <c r="BQ307" s="477">
        <v>135308.88</v>
      </c>
      <c r="BR307" s="477">
        <v>1706.84</v>
      </c>
      <c r="BS307" s="477">
        <v>0</v>
      </c>
      <c r="BT307" s="477">
        <v>455517.28</v>
      </c>
      <c r="BW307" s="126">
        <v>1007</v>
      </c>
      <c r="BX307" s="125">
        <v>39002</v>
      </c>
      <c r="BY307" s="19" t="s">
        <v>45</v>
      </c>
      <c r="BZ307" t="s">
        <v>992</v>
      </c>
    </row>
    <row r="308" spans="1:78" x14ac:dyDescent="0.25">
      <c r="A308" s="443">
        <v>38322</v>
      </c>
      <c r="B308" s="19" t="s">
        <v>18</v>
      </c>
      <c r="C308" t="s">
        <v>472</v>
      </c>
      <c r="D308" s="379">
        <v>1118.01</v>
      </c>
      <c r="E308" s="120">
        <v>1.8676410184188631E-6</v>
      </c>
      <c r="F308" s="379">
        <v>14979.99</v>
      </c>
      <c r="G308" s="120">
        <v>2.5024144488425313E-5</v>
      </c>
      <c r="H308" s="379">
        <v>37171.79</v>
      </c>
      <c r="I308" s="120">
        <v>1.4293841300867585E-4</v>
      </c>
      <c r="J308" s="379">
        <v>0</v>
      </c>
      <c r="K308" s="120">
        <v>0</v>
      </c>
      <c r="L308" s="379">
        <v>25667.59</v>
      </c>
      <c r="M308" s="120">
        <v>1.1513445204570737E-4</v>
      </c>
      <c r="N308" s="379">
        <v>91783.75</v>
      </c>
      <c r="O308" s="120">
        <v>1.2932925090953341E-4</v>
      </c>
      <c r="P308" s="383">
        <f t="shared" si="62"/>
        <v>170721.13</v>
      </c>
      <c r="R308" s="379"/>
      <c r="S308" s="120"/>
      <c r="T308" s="380"/>
      <c r="U308" s="551">
        <v>929</v>
      </c>
      <c r="V308" s="550" t="s">
        <v>473</v>
      </c>
      <c r="W308" s="449" t="s">
        <v>18</v>
      </c>
      <c r="X308" s="562" t="s">
        <v>472</v>
      </c>
      <c r="Y308" s="379">
        <v>0</v>
      </c>
      <c r="Z308" s="379">
        <v>83954.36</v>
      </c>
      <c r="AA308" s="379">
        <v>35232.19</v>
      </c>
      <c r="AB308" s="379">
        <v>718.96</v>
      </c>
      <c r="AC308" s="379">
        <v>0</v>
      </c>
      <c r="AD308" s="379">
        <v>119905.51000000001</v>
      </c>
      <c r="AE308" s="124"/>
      <c r="AF308" s="551">
        <v>929</v>
      </c>
      <c r="AG308" s="550" t="s">
        <v>473</v>
      </c>
      <c r="AH308" s="449" t="s">
        <v>18</v>
      </c>
      <c r="AI308" s="562" t="s">
        <v>472</v>
      </c>
      <c r="AJ308" s="383">
        <f t="shared" si="55"/>
        <v>0</v>
      </c>
      <c r="AK308" s="383">
        <f t="shared" si="56"/>
        <v>91783.75</v>
      </c>
      <c r="AL308" s="383">
        <f t="shared" si="57"/>
        <v>37171.79</v>
      </c>
      <c r="AM308" s="383">
        <f t="shared" si="58"/>
        <v>1118.01</v>
      </c>
      <c r="AN308" s="383">
        <f t="shared" si="59"/>
        <v>0</v>
      </c>
      <c r="AO308" s="124">
        <f t="shared" si="63"/>
        <v>130073.55</v>
      </c>
      <c r="AR308" s="124">
        <f t="shared" si="60"/>
        <v>25667.59</v>
      </c>
      <c r="AS308" s="124">
        <f t="shared" si="67"/>
        <v>14979.99</v>
      </c>
      <c r="AV308" s="379">
        <f t="shared" si="64"/>
        <v>40647.58</v>
      </c>
      <c r="AW308" s="124">
        <f t="shared" si="61"/>
        <v>0</v>
      </c>
      <c r="AZ308" s="379">
        <v>0</v>
      </c>
      <c r="BA308" s="379">
        <v>2240.94</v>
      </c>
      <c r="BB308" s="379">
        <v>940.77</v>
      </c>
      <c r="BC308" s="379">
        <v>23.93</v>
      </c>
      <c r="BD308" s="379">
        <v>0</v>
      </c>
      <c r="BE308" s="379">
        <f t="shared" si="65"/>
        <v>3205.64</v>
      </c>
      <c r="BF308" s="379"/>
      <c r="BO308" s="477">
        <v>0</v>
      </c>
      <c r="BP308" s="477">
        <v>203646.64</v>
      </c>
      <c r="BQ308" s="477">
        <v>88324.74</v>
      </c>
      <c r="BR308" s="477">
        <v>1860.9</v>
      </c>
      <c r="BS308" s="477">
        <v>0</v>
      </c>
      <c r="BT308" s="477">
        <v>293832.28000000003</v>
      </c>
      <c r="BW308" s="126">
        <v>630</v>
      </c>
      <c r="BX308" s="125">
        <v>39003</v>
      </c>
      <c r="BY308" s="19" t="s">
        <v>45</v>
      </c>
      <c r="BZ308" t="s">
        <v>884</v>
      </c>
    </row>
    <row r="309" spans="1:78" x14ac:dyDescent="0.25">
      <c r="A309" s="443">
        <v>38324</v>
      </c>
      <c r="B309" s="19" t="s">
        <v>18</v>
      </c>
      <c r="C309" t="s">
        <v>366</v>
      </c>
      <c r="D309" s="379"/>
      <c r="E309" s="120"/>
      <c r="F309" s="379">
        <v>25854.61</v>
      </c>
      <c r="G309" s="120">
        <v>4.319024888079939E-5</v>
      </c>
      <c r="H309" s="379">
        <v>62831.98</v>
      </c>
      <c r="I309" s="120">
        <v>2.4161073511372097E-4</v>
      </c>
      <c r="J309" s="379">
        <v>5427.96</v>
      </c>
      <c r="K309" s="120">
        <v>2.43476384158395E-5</v>
      </c>
      <c r="L309" s="379">
        <v>29897.16</v>
      </c>
      <c r="M309" s="120">
        <v>1.3410659646358853E-4</v>
      </c>
      <c r="N309" s="379">
        <v>91534.14</v>
      </c>
      <c r="O309" s="120">
        <v>1.2897753424596792E-4</v>
      </c>
      <c r="P309" s="383">
        <f t="shared" si="62"/>
        <v>215545.85</v>
      </c>
      <c r="R309" s="379"/>
      <c r="S309" s="120"/>
      <c r="T309" s="380"/>
      <c r="U309" s="551">
        <v>658</v>
      </c>
      <c r="V309" s="550" t="s">
        <v>367</v>
      </c>
      <c r="W309" s="449" t="s">
        <v>18</v>
      </c>
      <c r="X309" s="562" t="s">
        <v>366</v>
      </c>
      <c r="Y309" s="379">
        <v>3042.09</v>
      </c>
      <c r="Z309" s="379">
        <v>95870.56</v>
      </c>
      <c r="AA309" s="379">
        <v>56942.33</v>
      </c>
      <c r="AB309" s="379"/>
      <c r="AC309" s="379">
        <v>0</v>
      </c>
      <c r="AD309" s="379">
        <v>155854.97999999998</v>
      </c>
      <c r="AE309" s="124"/>
      <c r="AF309" s="551">
        <v>658</v>
      </c>
      <c r="AG309" s="550" t="s">
        <v>367</v>
      </c>
      <c r="AH309" s="449" t="s">
        <v>18</v>
      </c>
      <c r="AI309" s="562" t="s">
        <v>366</v>
      </c>
      <c r="AJ309" s="383">
        <f t="shared" si="55"/>
        <v>5427.96</v>
      </c>
      <c r="AK309" s="383">
        <f t="shared" si="56"/>
        <v>91534.14</v>
      </c>
      <c r="AL309" s="383">
        <f t="shared" si="57"/>
        <v>62831.98</v>
      </c>
      <c r="AM309" s="383">
        <f t="shared" si="58"/>
        <v>0</v>
      </c>
      <c r="AN309" s="383">
        <f t="shared" si="59"/>
        <v>0</v>
      </c>
      <c r="AO309" s="124">
        <f t="shared" si="63"/>
        <v>159794.08000000002</v>
      </c>
      <c r="AR309" s="124">
        <f t="shared" si="60"/>
        <v>29897.16</v>
      </c>
      <c r="AS309" s="124">
        <f t="shared" si="67"/>
        <v>25854.61</v>
      </c>
      <c r="AV309" s="379">
        <f t="shared" si="64"/>
        <v>55751.770000000004</v>
      </c>
      <c r="AW309" s="124">
        <f t="shared" si="61"/>
        <v>0</v>
      </c>
      <c r="AZ309" s="379">
        <v>98.91</v>
      </c>
      <c r="BA309" s="379">
        <v>2217.86</v>
      </c>
      <c r="BB309" s="379">
        <v>1578.1599999999999</v>
      </c>
      <c r="BC309" s="379"/>
      <c r="BD309" s="379">
        <v>0</v>
      </c>
      <c r="BE309" s="379">
        <f t="shared" si="65"/>
        <v>3894.93</v>
      </c>
      <c r="BF309" s="379"/>
      <c r="BO309" s="477">
        <v>8568.9599999999991</v>
      </c>
      <c r="BP309" s="477">
        <v>219519.71999999997</v>
      </c>
      <c r="BQ309" s="477">
        <v>147207.08000000002</v>
      </c>
      <c r="BR309" s="477"/>
      <c r="BS309" s="477">
        <v>0</v>
      </c>
      <c r="BT309" s="477">
        <v>375295.76</v>
      </c>
      <c r="BW309" s="126">
        <v>1128</v>
      </c>
      <c r="BX309" s="125">
        <v>39007</v>
      </c>
      <c r="BY309" s="19" t="s">
        <v>45</v>
      </c>
      <c r="BZ309" t="s">
        <v>1020</v>
      </c>
    </row>
    <row r="310" spans="1:78" x14ac:dyDescent="0.25">
      <c r="A310" s="447">
        <v>38901</v>
      </c>
      <c r="B310" s="19" t="s">
        <v>1039</v>
      </c>
      <c r="C310" t="s">
        <v>1184</v>
      </c>
      <c r="D310" s="379"/>
      <c r="E310" s="120"/>
      <c r="F310" s="379">
        <v>18489.86</v>
      </c>
      <c r="G310" s="120">
        <v>3.0887399004322147E-5</v>
      </c>
      <c r="H310" s="379">
        <v>45633.87</v>
      </c>
      <c r="I310" s="120">
        <v>1.7547804281806777E-4</v>
      </c>
      <c r="J310" s="379"/>
      <c r="K310" s="120"/>
      <c r="L310" s="379">
        <v>12199.08</v>
      </c>
      <c r="M310" s="120">
        <v>5.4720150635947819E-5</v>
      </c>
      <c r="N310" s="379">
        <v>40395.39</v>
      </c>
      <c r="O310" s="120">
        <v>5.6919721943137604E-5</v>
      </c>
      <c r="P310" s="383">
        <f t="shared" si="62"/>
        <v>116718.2</v>
      </c>
      <c r="R310" s="379"/>
      <c r="S310" s="120"/>
      <c r="T310" s="380"/>
      <c r="U310" s="554">
        <v>4280</v>
      </c>
      <c r="V310" s="552" t="s">
        <v>1183</v>
      </c>
      <c r="W310" s="449" t="s">
        <v>1039</v>
      </c>
      <c r="X310" s="562" t="s">
        <v>1184</v>
      </c>
      <c r="Y310" s="379"/>
      <c r="Z310" s="379">
        <v>33693.33</v>
      </c>
      <c r="AA310" s="379">
        <v>44157.06</v>
      </c>
      <c r="AB310" s="379"/>
      <c r="AC310" s="379">
        <v>0</v>
      </c>
      <c r="AD310" s="379">
        <v>77850.39</v>
      </c>
      <c r="AE310" s="124"/>
      <c r="AF310" s="554">
        <v>4280</v>
      </c>
      <c r="AG310" s="552" t="s">
        <v>1183</v>
      </c>
      <c r="AH310" s="449" t="s">
        <v>1039</v>
      </c>
      <c r="AI310" s="562" t="s">
        <v>1184</v>
      </c>
      <c r="AJ310" s="383">
        <f t="shared" si="55"/>
        <v>0</v>
      </c>
      <c r="AK310" s="383">
        <f t="shared" si="56"/>
        <v>40395.39</v>
      </c>
      <c r="AL310" s="383">
        <f t="shared" si="57"/>
        <v>45633.87</v>
      </c>
      <c r="AM310" s="383">
        <f t="shared" si="58"/>
        <v>0</v>
      </c>
      <c r="AN310" s="383">
        <f t="shared" si="59"/>
        <v>0</v>
      </c>
      <c r="AO310" s="124">
        <f t="shared" si="63"/>
        <v>86029.260000000009</v>
      </c>
      <c r="AR310" s="124">
        <f t="shared" si="60"/>
        <v>12199.08</v>
      </c>
      <c r="AS310" s="124">
        <f t="shared" si="67"/>
        <v>18489.86</v>
      </c>
      <c r="AV310" s="379">
        <f t="shared" si="64"/>
        <v>30688.940000000002</v>
      </c>
      <c r="AW310" s="124">
        <f t="shared" si="61"/>
        <v>0</v>
      </c>
      <c r="AZ310" s="379"/>
      <c r="BA310" s="379">
        <v>982.67</v>
      </c>
      <c r="BB310" s="379">
        <v>1152.73</v>
      </c>
      <c r="BC310" s="379"/>
      <c r="BD310" s="379">
        <v>0</v>
      </c>
      <c r="BE310" s="379">
        <f t="shared" si="65"/>
        <v>2135.4</v>
      </c>
      <c r="BF310" s="379"/>
      <c r="BO310" s="477"/>
      <c r="BP310" s="477">
        <v>87270.47</v>
      </c>
      <c r="BQ310" s="477">
        <v>109433.52</v>
      </c>
      <c r="BR310" s="477"/>
      <c r="BS310" s="477">
        <v>0</v>
      </c>
      <c r="BT310" s="477">
        <v>196703.99</v>
      </c>
      <c r="BW310" s="126">
        <v>621</v>
      </c>
      <c r="BX310" s="125">
        <v>39090</v>
      </c>
      <c r="BY310" s="19" t="s">
        <v>45</v>
      </c>
      <c r="BZ310" t="s">
        <v>882</v>
      </c>
    </row>
    <row r="311" spans="1:78" x14ac:dyDescent="0.25">
      <c r="A311" s="443">
        <v>39002</v>
      </c>
      <c r="B311" s="19" t="s">
        <v>45</v>
      </c>
      <c r="C311" t="s">
        <v>566</v>
      </c>
      <c r="D311" s="379"/>
      <c r="E311" s="120"/>
      <c r="F311" s="379">
        <v>53327.46</v>
      </c>
      <c r="G311" s="120">
        <v>8.9083775372394871E-5</v>
      </c>
      <c r="H311" s="379">
        <v>131478.54999999999</v>
      </c>
      <c r="I311" s="120">
        <v>5.0558058360067771E-4</v>
      </c>
      <c r="J311" s="379"/>
      <c r="K311" s="120"/>
      <c r="L311" s="379">
        <v>95068.01</v>
      </c>
      <c r="M311" s="120">
        <v>4.2643673357825292E-4</v>
      </c>
      <c r="N311" s="379">
        <v>298676.24</v>
      </c>
      <c r="O311" s="120">
        <v>4.2085417498932015E-4</v>
      </c>
      <c r="P311" s="383">
        <f t="shared" si="62"/>
        <v>578550.26</v>
      </c>
      <c r="R311" s="379"/>
      <c r="S311" s="120"/>
      <c r="T311" s="380"/>
      <c r="U311" s="551">
        <v>1007</v>
      </c>
      <c r="V311" s="550" t="s">
        <v>567</v>
      </c>
      <c r="W311" s="449" t="s">
        <v>45</v>
      </c>
      <c r="X311" s="562" t="s">
        <v>566</v>
      </c>
      <c r="Y311" s="379"/>
      <c r="Z311" s="379">
        <v>295916.28000000003</v>
      </c>
      <c r="AA311" s="379">
        <v>119085.45999999999</v>
      </c>
      <c r="AB311" s="379"/>
      <c r="AC311" s="379">
        <v>0</v>
      </c>
      <c r="AD311" s="379">
        <v>415001.74</v>
      </c>
      <c r="AE311" s="124"/>
      <c r="AF311" s="551">
        <v>1007</v>
      </c>
      <c r="AG311" s="550" t="s">
        <v>567</v>
      </c>
      <c r="AH311" s="449" t="s">
        <v>45</v>
      </c>
      <c r="AI311" s="562" t="s">
        <v>566</v>
      </c>
      <c r="AJ311" s="383">
        <f t="shared" si="55"/>
        <v>0</v>
      </c>
      <c r="AK311" s="383">
        <f t="shared" si="56"/>
        <v>298676.24</v>
      </c>
      <c r="AL311" s="383">
        <f t="shared" si="57"/>
        <v>131478.54999999999</v>
      </c>
      <c r="AM311" s="383">
        <f t="shared" si="58"/>
        <v>0</v>
      </c>
      <c r="AN311" s="383">
        <f t="shared" si="59"/>
        <v>0</v>
      </c>
      <c r="AO311" s="124">
        <f t="shared" si="63"/>
        <v>430154.79</v>
      </c>
      <c r="AR311" s="124">
        <f t="shared" si="60"/>
        <v>95068.01</v>
      </c>
      <c r="AS311" s="124">
        <f t="shared" si="67"/>
        <v>53327.46</v>
      </c>
      <c r="AV311" s="379">
        <f t="shared" si="64"/>
        <v>148395.47</v>
      </c>
      <c r="AW311" s="124">
        <f t="shared" si="61"/>
        <v>0</v>
      </c>
      <c r="AZ311" s="379"/>
      <c r="BA311" s="379">
        <v>7246.9</v>
      </c>
      <c r="BB311" s="379">
        <v>3320.17</v>
      </c>
      <c r="BC311" s="379"/>
      <c r="BD311" s="379">
        <v>0</v>
      </c>
      <c r="BE311" s="379">
        <f t="shared" si="65"/>
        <v>10567.07</v>
      </c>
      <c r="BF311" s="379"/>
      <c r="BO311" s="477"/>
      <c r="BP311" s="477">
        <v>696907.42999999993</v>
      </c>
      <c r="BQ311" s="477">
        <v>307211.64</v>
      </c>
      <c r="BR311" s="477"/>
      <c r="BS311" s="477">
        <v>0</v>
      </c>
      <c r="BT311" s="477">
        <v>1004119.07</v>
      </c>
      <c r="BW311" s="126">
        <v>850</v>
      </c>
      <c r="BX311" s="125">
        <v>39119</v>
      </c>
      <c r="BY311" s="19" t="s">
        <v>45</v>
      </c>
      <c r="BZ311" t="s">
        <v>953</v>
      </c>
    </row>
    <row r="312" spans="1:78" x14ac:dyDescent="0.25">
      <c r="A312" s="443">
        <v>39003</v>
      </c>
      <c r="B312" s="19" t="s">
        <v>45</v>
      </c>
      <c r="C312" t="s">
        <v>328</v>
      </c>
      <c r="D312" s="379"/>
      <c r="E312" s="120"/>
      <c r="F312" s="379">
        <v>104105.22</v>
      </c>
      <c r="G312" s="120">
        <v>1.7390826477716638E-4</v>
      </c>
      <c r="H312" s="379">
        <v>258684.42</v>
      </c>
      <c r="I312" s="120">
        <v>9.9473123206791415E-4</v>
      </c>
      <c r="J312" s="379">
        <v>11328.34</v>
      </c>
      <c r="K312" s="120">
        <v>5.0814362333490162E-5</v>
      </c>
      <c r="L312" s="379">
        <v>202044.62</v>
      </c>
      <c r="M312" s="120">
        <v>9.0629064171911613E-4</v>
      </c>
      <c r="N312" s="379">
        <v>677208.39</v>
      </c>
      <c r="O312" s="120">
        <v>9.5423050145969357E-4</v>
      </c>
      <c r="P312" s="383">
        <f t="shared" si="62"/>
        <v>1253370.9900000002</v>
      </c>
      <c r="R312" s="379"/>
      <c r="S312" s="120"/>
      <c r="T312" s="380"/>
      <c r="U312" s="551">
        <v>630</v>
      </c>
      <c r="V312" s="550" t="s">
        <v>329</v>
      </c>
      <c r="W312" s="449" t="s">
        <v>45</v>
      </c>
      <c r="X312" s="562" t="s">
        <v>328</v>
      </c>
      <c r="Y312" s="379">
        <v>6427.18</v>
      </c>
      <c r="Z312" s="379">
        <v>672463.38</v>
      </c>
      <c r="AA312" s="379">
        <v>249616.56</v>
      </c>
      <c r="AB312" s="379"/>
      <c r="AC312" s="379">
        <v>0</v>
      </c>
      <c r="AD312" s="379">
        <v>928507.12000000011</v>
      </c>
      <c r="AE312" s="124"/>
      <c r="AF312" s="551">
        <v>630</v>
      </c>
      <c r="AG312" s="550" t="s">
        <v>329</v>
      </c>
      <c r="AH312" s="449" t="s">
        <v>45</v>
      </c>
      <c r="AI312" s="562" t="s">
        <v>328</v>
      </c>
      <c r="AJ312" s="383">
        <f t="shared" si="55"/>
        <v>11328.34</v>
      </c>
      <c r="AK312" s="383">
        <f t="shared" si="56"/>
        <v>677208.39</v>
      </c>
      <c r="AL312" s="383">
        <f t="shared" si="57"/>
        <v>258684.42</v>
      </c>
      <c r="AM312" s="383">
        <f t="shared" si="58"/>
        <v>0</v>
      </c>
      <c r="AN312" s="383">
        <f t="shared" si="59"/>
        <v>0</v>
      </c>
      <c r="AO312" s="124">
        <f t="shared" si="63"/>
        <v>947221.15</v>
      </c>
      <c r="AR312" s="124">
        <f t="shared" si="60"/>
        <v>202044.62</v>
      </c>
      <c r="AS312" s="124">
        <f t="shared" si="67"/>
        <v>104105.22</v>
      </c>
      <c r="AV312" s="379">
        <f t="shared" si="64"/>
        <v>306149.83999999997</v>
      </c>
      <c r="AW312" s="124">
        <f t="shared" si="61"/>
        <v>0</v>
      </c>
      <c r="AZ312" s="379">
        <v>209.59</v>
      </c>
      <c r="BA312" s="379">
        <v>16486.34</v>
      </c>
      <c r="BB312" s="379">
        <v>6551.7800000000007</v>
      </c>
      <c r="BC312" s="379"/>
      <c r="BD312" s="379">
        <v>0</v>
      </c>
      <c r="BE312" s="379">
        <f t="shared" si="65"/>
        <v>23247.71</v>
      </c>
      <c r="BF312" s="379"/>
      <c r="BO312" s="477">
        <v>17965.11</v>
      </c>
      <c r="BP312" s="477">
        <v>1568202.73</v>
      </c>
      <c r="BQ312" s="477">
        <v>618957.98</v>
      </c>
      <c r="BR312" s="477"/>
      <c r="BS312" s="477">
        <v>0</v>
      </c>
      <c r="BT312" s="477">
        <v>2205125.8200000003</v>
      </c>
      <c r="BW312" s="126">
        <v>560</v>
      </c>
      <c r="BX312" s="125">
        <v>39120</v>
      </c>
      <c r="BY312" s="19" t="s">
        <v>45</v>
      </c>
      <c r="BZ312" t="s">
        <v>860</v>
      </c>
    </row>
    <row r="313" spans="1:78" x14ac:dyDescent="0.25">
      <c r="A313" s="443">
        <v>39007</v>
      </c>
      <c r="B313" s="19" t="s">
        <v>45</v>
      </c>
      <c r="C313" t="s">
        <v>622</v>
      </c>
      <c r="D313" s="379">
        <v>14488.42</v>
      </c>
      <c r="E313" s="120">
        <v>2.4202974467205326E-5</v>
      </c>
      <c r="F313" s="379">
        <v>1491862.28</v>
      </c>
      <c r="G313" s="120">
        <v>2.4921630289173506E-3</v>
      </c>
      <c r="H313" s="379">
        <v>3680546.3</v>
      </c>
      <c r="I313" s="120">
        <v>1.415297587570988E-2</v>
      </c>
      <c r="J313" s="379">
        <v>13073.06</v>
      </c>
      <c r="K313" s="120">
        <v>5.8640472271087981E-5</v>
      </c>
      <c r="L313" s="379">
        <v>3182387.26</v>
      </c>
      <c r="M313" s="120">
        <v>1.4274905177203628E-2</v>
      </c>
      <c r="N313" s="379">
        <v>9693922.5099999998</v>
      </c>
      <c r="O313" s="120">
        <v>1.3659364937620917E-2</v>
      </c>
      <c r="P313" s="383">
        <f t="shared" si="62"/>
        <v>18076279.829999998</v>
      </c>
      <c r="R313" s="379"/>
      <c r="S313" s="120"/>
      <c r="T313" s="380"/>
      <c r="U313" s="551">
        <v>1128</v>
      </c>
      <c r="V313" s="550" t="s">
        <v>623</v>
      </c>
      <c r="W313" s="449" t="s">
        <v>45</v>
      </c>
      <c r="X313" s="562" t="s">
        <v>622</v>
      </c>
      <c r="Y313" s="379">
        <v>7263.22</v>
      </c>
      <c r="Z313" s="379">
        <v>9233418.2899999991</v>
      </c>
      <c r="AA313" s="379">
        <v>3354125.73</v>
      </c>
      <c r="AB313" s="379">
        <v>9182.6</v>
      </c>
      <c r="AC313" s="379">
        <v>0</v>
      </c>
      <c r="AD313" s="379">
        <v>12603989.84</v>
      </c>
      <c r="AE313" s="124"/>
      <c r="AF313" s="551">
        <v>1128</v>
      </c>
      <c r="AG313" s="550" t="s">
        <v>623</v>
      </c>
      <c r="AH313" s="449" t="s">
        <v>45</v>
      </c>
      <c r="AI313" s="562" t="s">
        <v>622</v>
      </c>
      <c r="AJ313" s="383">
        <f t="shared" si="55"/>
        <v>13073.06</v>
      </c>
      <c r="AK313" s="383">
        <f t="shared" si="56"/>
        <v>9693922.5099999998</v>
      </c>
      <c r="AL313" s="383">
        <f t="shared" si="57"/>
        <v>3680546.3</v>
      </c>
      <c r="AM313" s="383">
        <f t="shared" si="58"/>
        <v>14488.42</v>
      </c>
      <c r="AN313" s="383">
        <f t="shared" si="59"/>
        <v>0</v>
      </c>
      <c r="AO313" s="124">
        <f t="shared" si="63"/>
        <v>13402030.290000001</v>
      </c>
      <c r="AR313" s="124">
        <f t="shared" si="60"/>
        <v>3182387.26</v>
      </c>
      <c r="AS313" s="124">
        <f t="shared" si="67"/>
        <v>1491862.28</v>
      </c>
      <c r="AV313" s="379">
        <f t="shared" si="64"/>
        <v>4674249.54</v>
      </c>
      <c r="AW313" s="124">
        <f t="shared" si="61"/>
        <v>0</v>
      </c>
      <c r="AZ313" s="379">
        <v>235.79</v>
      </c>
      <c r="BA313" s="379">
        <v>234834.88999999998</v>
      </c>
      <c r="BB313" s="379">
        <v>92969.25</v>
      </c>
      <c r="BC313" s="379">
        <v>299.3</v>
      </c>
      <c r="BD313" s="379">
        <v>0</v>
      </c>
      <c r="BE313" s="379">
        <f t="shared" si="65"/>
        <v>328339.23</v>
      </c>
      <c r="BF313" s="379"/>
      <c r="BO313" s="477">
        <v>20572.07</v>
      </c>
      <c r="BP313" s="477">
        <v>22344562.950000003</v>
      </c>
      <c r="BQ313" s="477">
        <v>8619503.5599999987</v>
      </c>
      <c r="BR313" s="477">
        <v>23970.32</v>
      </c>
      <c r="BS313" s="477">
        <v>0</v>
      </c>
      <c r="BT313" s="477">
        <v>31008608.900000002</v>
      </c>
      <c r="BW313" s="126">
        <v>341</v>
      </c>
      <c r="BX313" s="125">
        <v>39200</v>
      </c>
      <c r="BY313" s="19" t="s">
        <v>45</v>
      </c>
      <c r="BZ313" t="s">
        <v>820</v>
      </c>
    </row>
    <row r="314" spans="1:78" x14ac:dyDescent="0.25">
      <c r="A314" s="443">
        <v>39090</v>
      </c>
      <c r="B314" s="19" t="s">
        <v>45</v>
      </c>
      <c r="C314" t="s">
        <v>140</v>
      </c>
      <c r="D314" s="379"/>
      <c r="E314" s="120"/>
      <c r="F314" s="379">
        <v>237380.78</v>
      </c>
      <c r="G314" s="120">
        <v>3.9654572115836538E-4</v>
      </c>
      <c r="H314" s="379">
        <v>574241.69999999995</v>
      </c>
      <c r="I314" s="120">
        <v>2.2081583179449828E-3</v>
      </c>
      <c r="J314" s="379">
        <v>0</v>
      </c>
      <c r="K314" s="120">
        <v>0</v>
      </c>
      <c r="L314" s="379">
        <v>647168.28</v>
      </c>
      <c r="M314" s="120">
        <v>2.9029357761738801E-3</v>
      </c>
      <c r="N314" s="379">
        <v>1843868.63</v>
      </c>
      <c r="O314" s="120">
        <v>2.5981303737697315E-3</v>
      </c>
      <c r="P314" s="383">
        <f t="shared" si="62"/>
        <v>3302659.3899999997</v>
      </c>
      <c r="R314" s="379"/>
      <c r="S314" s="120"/>
      <c r="T314" s="380"/>
      <c r="U314" s="551">
        <v>621</v>
      </c>
      <c r="V314" s="550" t="s">
        <v>141</v>
      </c>
      <c r="W314" s="449" t="s">
        <v>45</v>
      </c>
      <c r="X314" s="562" t="s">
        <v>140</v>
      </c>
      <c r="Y314" s="379">
        <v>0</v>
      </c>
      <c r="Z314" s="379">
        <v>1700014.92</v>
      </c>
      <c r="AA314" s="379">
        <v>546683.44999999995</v>
      </c>
      <c r="AB314" s="379"/>
      <c r="AC314" s="379">
        <v>0</v>
      </c>
      <c r="AD314" s="379">
        <v>2246698.37</v>
      </c>
      <c r="AE314" s="124"/>
      <c r="AF314" s="551">
        <v>621</v>
      </c>
      <c r="AG314" s="550" t="s">
        <v>141</v>
      </c>
      <c r="AH314" s="449" t="s">
        <v>45</v>
      </c>
      <c r="AI314" s="562" t="s">
        <v>140</v>
      </c>
      <c r="AJ314" s="383">
        <f t="shared" si="55"/>
        <v>0</v>
      </c>
      <c r="AK314" s="383">
        <f t="shared" si="56"/>
        <v>1843868.63</v>
      </c>
      <c r="AL314" s="383">
        <f t="shared" si="57"/>
        <v>574241.69999999995</v>
      </c>
      <c r="AM314" s="383">
        <f t="shared" si="58"/>
        <v>0</v>
      </c>
      <c r="AN314" s="383">
        <f t="shared" si="59"/>
        <v>0</v>
      </c>
      <c r="AO314" s="124">
        <f t="shared" si="63"/>
        <v>2418110.33</v>
      </c>
      <c r="AR314" s="124">
        <f t="shared" si="60"/>
        <v>647168.28</v>
      </c>
      <c r="AS314" s="124">
        <f t="shared" si="67"/>
        <v>237380.78</v>
      </c>
      <c r="AV314" s="379">
        <f t="shared" si="64"/>
        <v>884549.06</v>
      </c>
      <c r="AW314" s="124">
        <f t="shared" si="61"/>
        <v>0</v>
      </c>
      <c r="AZ314" s="379">
        <v>0</v>
      </c>
      <c r="BA314" s="379">
        <v>44503.590000000004</v>
      </c>
      <c r="BB314" s="379">
        <v>14399.279999999999</v>
      </c>
      <c r="BC314" s="379"/>
      <c r="BD314" s="379">
        <v>0</v>
      </c>
      <c r="BE314" s="379">
        <f t="shared" si="65"/>
        <v>58902.87</v>
      </c>
      <c r="BF314" s="379"/>
      <c r="BO314" s="477">
        <v>0</v>
      </c>
      <c r="BP314" s="477">
        <v>4235555.42</v>
      </c>
      <c r="BQ314" s="477">
        <v>1372705.21</v>
      </c>
      <c r="BR314" s="477"/>
      <c r="BS314" s="477">
        <v>0</v>
      </c>
      <c r="BT314" s="477">
        <v>5608260.6299999999</v>
      </c>
      <c r="BW314" s="126">
        <v>958</v>
      </c>
      <c r="BX314" s="125">
        <v>39201</v>
      </c>
      <c r="BY314" s="19" t="s">
        <v>45</v>
      </c>
      <c r="BZ314" t="s">
        <v>978</v>
      </c>
    </row>
    <row r="315" spans="1:78" x14ac:dyDescent="0.25">
      <c r="A315" s="443">
        <v>39119</v>
      </c>
      <c r="B315" s="19" t="s">
        <v>45</v>
      </c>
      <c r="C315" t="s">
        <v>482</v>
      </c>
      <c r="D315" s="379"/>
      <c r="E315" s="120"/>
      <c r="F315" s="379">
        <v>314080.15999999997</v>
      </c>
      <c r="G315" s="120">
        <v>5.2467239996740588E-4</v>
      </c>
      <c r="H315" s="379">
        <v>766208.56</v>
      </c>
      <c r="I315" s="120">
        <v>2.9463374134003988E-3</v>
      </c>
      <c r="J315" s="379">
        <v>0</v>
      </c>
      <c r="K315" s="120">
        <v>0</v>
      </c>
      <c r="L315" s="379">
        <v>764982.43</v>
      </c>
      <c r="M315" s="120">
        <v>3.4314025158826249E-3</v>
      </c>
      <c r="N315" s="379">
        <v>2313734.67</v>
      </c>
      <c r="O315" s="120">
        <v>3.2602020692608057E-3</v>
      </c>
      <c r="P315" s="383">
        <f t="shared" si="62"/>
        <v>4159005.82</v>
      </c>
      <c r="R315" s="379"/>
      <c r="S315" s="120"/>
      <c r="T315" s="380"/>
      <c r="U315" s="551">
        <v>850</v>
      </c>
      <c r="V315" s="550" t="s">
        <v>483</v>
      </c>
      <c r="W315" s="449" t="s">
        <v>45</v>
      </c>
      <c r="X315" s="562" t="s">
        <v>482</v>
      </c>
      <c r="Y315" s="379">
        <v>0</v>
      </c>
      <c r="Z315" s="379">
        <v>2259113.73</v>
      </c>
      <c r="AA315" s="379">
        <v>714854.63</v>
      </c>
      <c r="AB315" s="379"/>
      <c r="AC315" s="379">
        <v>0</v>
      </c>
      <c r="AD315" s="379">
        <v>2973968.36</v>
      </c>
      <c r="AE315" s="124"/>
      <c r="AF315" s="551">
        <v>850</v>
      </c>
      <c r="AG315" s="550" t="s">
        <v>483</v>
      </c>
      <c r="AH315" s="449" t="s">
        <v>45</v>
      </c>
      <c r="AI315" s="562" t="s">
        <v>482</v>
      </c>
      <c r="AJ315" s="383">
        <f t="shared" si="55"/>
        <v>0</v>
      </c>
      <c r="AK315" s="383">
        <f t="shared" si="56"/>
        <v>2313734.67</v>
      </c>
      <c r="AL315" s="383">
        <f t="shared" si="57"/>
        <v>766208.56</v>
      </c>
      <c r="AM315" s="383">
        <f t="shared" si="58"/>
        <v>0</v>
      </c>
      <c r="AN315" s="383">
        <f t="shared" si="59"/>
        <v>0</v>
      </c>
      <c r="AO315" s="124">
        <f t="shared" si="63"/>
        <v>3079943.23</v>
      </c>
      <c r="AR315" s="124">
        <f t="shared" si="60"/>
        <v>764982.43</v>
      </c>
      <c r="AS315" s="124">
        <f t="shared" si="67"/>
        <v>314080.15999999997</v>
      </c>
      <c r="AV315" s="379">
        <f t="shared" si="64"/>
        <v>1079062.5900000001</v>
      </c>
      <c r="AW315" s="124">
        <f t="shared" si="61"/>
        <v>0</v>
      </c>
      <c r="AZ315" s="379">
        <v>0</v>
      </c>
      <c r="BA315" s="379">
        <v>56029.5</v>
      </c>
      <c r="BB315" s="379">
        <v>19274.14</v>
      </c>
      <c r="BC315" s="379"/>
      <c r="BD315" s="379">
        <v>0</v>
      </c>
      <c r="BE315" s="379">
        <f t="shared" si="65"/>
        <v>75303.64</v>
      </c>
      <c r="BF315" s="379"/>
      <c r="BO315" s="477">
        <v>0</v>
      </c>
      <c r="BP315" s="477">
        <v>5393860.3300000001</v>
      </c>
      <c r="BQ315" s="477">
        <v>1814417.49</v>
      </c>
      <c r="BR315" s="477"/>
      <c r="BS315" s="477">
        <v>0</v>
      </c>
      <c r="BT315" s="477">
        <v>7208277.8200000003</v>
      </c>
      <c r="BW315" s="126">
        <v>992</v>
      </c>
      <c r="BX315" s="125">
        <v>39202</v>
      </c>
      <c r="BY315" s="19" t="s">
        <v>45</v>
      </c>
      <c r="BZ315" t="s">
        <v>987</v>
      </c>
    </row>
    <row r="316" spans="1:78" x14ac:dyDescent="0.25">
      <c r="A316" s="443">
        <v>39120</v>
      </c>
      <c r="B316" s="19" t="s">
        <v>45</v>
      </c>
      <c r="C316" t="s">
        <v>282</v>
      </c>
      <c r="D316" s="379"/>
      <c r="E316" s="120"/>
      <c r="F316" s="379">
        <v>90600.46</v>
      </c>
      <c r="G316" s="120">
        <v>1.5134849901487238E-4</v>
      </c>
      <c r="H316" s="379">
        <v>208900.94</v>
      </c>
      <c r="I316" s="120">
        <v>8.0329650091159486E-4</v>
      </c>
      <c r="J316" s="379"/>
      <c r="K316" s="120"/>
      <c r="L316" s="379">
        <v>143670.71</v>
      </c>
      <c r="M316" s="120">
        <v>6.4444883492636941E-4</v>
      </c>
      <c r="N316" s="379">
        <v>451128.53</v>
      </c>
      <c r="O316" s="120">
        <v>6.3566932979769258E-4</v>
      </c>
      <c r="P316" s="383">
        <f t="shared" si="62"/>
        <v>894300.64</v>
      </c>
      <c r="R316" s="379"/>
      <c r="S316" s="120"/>
      <c r="T316" s="380"/>
      <c r="U316" s="551">
        <v>560</v>
      </c>
      <c r="V316" s="550" t="s">
        <v>283</v>
      </c>
      <c r="W316" s="449" t="s">
        <v>45</v>
      </c>
      <c r="X316" s="562" t="s">
        <v>282</v>
      </c>
      <c r="Y316" s="379"/>
      <c r="Z316" s="379">
        <v>433859.1</v>
      </c>
      <c r="AA316" s="379">
        <v>157742.22999999998</v>
      </c>
      <c r="AB316" s="379"/>
      <c r="AC316" s="379">
        <v>0</v>
      </c>
      <c r="AD316" s="379">
        <v>591601.32999999996</v>
      </c>
      <c r="AE316" s="124"/>
      <c r="AF316" s="551">
        <v>560</v>
      </c>
      <c r="AG316" s="550" t="s">
        <v>283</v>
      </c>
      <c r="AH316" s="449" t="s">
        <v>45</v>
      </c>
      <c r="AI316" s="562" t="s">
        <v>282</v>
      </c>
      <c r="AJ316" s="383">
        <f t="shared" si="55"/>
        <v>0</v>
      </c>
      <c r="AK316" s="383">
        <f t="shared" si="56"/>
        <v>451128.53</v>
      </c>
      <c r="AL316" s="383">
        <f t="shared" si="57"/>
        <v>208900.94</v>
      </c>
      <c r="AM316" s="383">
        <f t="shared" si="58"/>
        <v>0</v>
      </c>
      <c r="AN316" s="383">
        <f t="shared" si="59"/>
        <v>0</v>
      </c>
      <c r="AO316" s="124">
        <f t="shared" si="63"/>
        <v>660029.47</v>
      </c>
      <c r="AR316" s="124">
        <f t="shared" si="60"/>
        <v>143670.71</v>
      </c>
      <c r="AS316" s="124">
        <f t="shared" si="67"/>
        <v>90600.46</v>
      </c>
      <c r="AV316" s="379">
        <f t="shared" si="64"/>
        <v>234271.16999999998</v>
      </c>
      <c r="AW316" s="124">
        <f t="shared" si="61"/>
        <v>0</v>
      </c>
      <c r="AZ316" s="379"/>
      <c r="BA316" s="379">
        <v>10946</v>
      </c>
      <c r="BB316" s="379">
        <v>5183.88</v>
      </c>
      <c r="BC316" s="379"/>
      <c r="BD316" s="379">
        <v>0</v>
      </c>
      <c r="BE316" s="379">
        <f t="shared" si="65"/>
        <v>16129.880000000001</v>
      </c>
      <c r="BF316" s="379"/>
      <c r="BO316" s="477"/>
      <c r="BP316" s="477">
        <v>1039604.3400000001</v>
      </c>
      <c r="BQ316" s="477">
        <v>462427.51</v>
      </c>
      <c r="BR316" s="477"/>
      <c r="BS316" s="477">
        <v>0</v>
      </c>
      <c r="BT316" s="477">
        <v>1502031.85</v>
      </c>
      <c r="BW316" s="126">
        <v>376</v>
      </c>
      <c r="BX316" s="125">
        <v>39203</v>
      </c>
      <c r="BY316" s="19" t="s">
        <v>45</v>
      </c>
      <c r="BZ316" t="s">
        <v>828</v>
      </c>
    </row>
    <row r="317" spans="1:78" x14ac:dyDescent="0.25">
      <c r="A317" s="443">
        <v>39200</v>
      </c>
      <c r="B317" s="19" t="s">
        <v>45</v>
      </c>
      <c r="C317" t="s">
        <v>200</v>
      </c>
      <c r="D317" s="379">
        <v>3952.38</v>
      </c>
      <c r="E317" s="120">
        <v>6.6024695739558203E-6</v>
      </c>
      <c r="F317" s="379">
        <v>343834.31</v>
      </c>
      <c r="G317" s="120">
        <v>5.7437684895103537E-4</v>
      </c>
      <c r="H317" s="379">
        <v>827451.05</v>
      </c>
      <c r="I317" s="120">
        <v>3.1818360086873004E-3</v>
      </c>
      <c r="J317" s="379">
        <v>0</v>
      </c>
      <c r="K317" s="120">
        <v>0</v>
      </c>
      <c r="L317" s="379">
        <v>719829.96</v>
      </c>
      <c r="M317" s="120">
        <v>3.2288667541706664E-3</v>
      </c>
      <c r="N317" s="379">
        <v>1970118.47</v>
      </c>
      <c r="O317" s="120">
        <v>2.7760245787313773E-3</v>
      </c>
      <c r="P317" s="383">
        <f t="shared" si="62"/>
        <v>3865186.17</v>
      </c>
      <c r="R317" s="379"/>
      <c r="S317" s="120"/>
      <c r="T317" s="380"/>
      <c r="U317" s="551">
        <v>341</v>
      </c>
      <c r="V317" s="550" t="s">
        <v>201</v>
      </c>
      <c r="W317" s="449" t="s">
        <v>45</v>
      </c>
      <c r="X317" s="562" t="s">
        <v>200</v>
      </c>
      <c r="Y317" s="379">
        <v>0</v>
      </c>
      <c r="Z317" s="379">
        <v>1884988.38</v>
      </c>
      <c r="AA317" s="379">
        <v>742858.36</v>
      </c>
      <c r="AB317" s="379">
        <v>2450.4899999999998</v>
      </c>
      <c r="AC317" s="379">
        <v>0</v>
      </c>
      <c r="AD317" s="379">
        <v>2630297.23</v>
      </c>
      <c r="AE317" s="124"/>
      <c r="AF317" s="551">
        <v>341</v>
      </c>
      <c r="AG317" s="550" t="s">
        <v>201</v>
      </c>
      <c r="AH317" s="449" t="s">
        <v>45</v>
      </c>
      <c r="AI317" s="562" t="s">
        <v>200</v>
      </c>
      <c r="AJ317" s="383">
        <f t="shared" si="55"/>
        <v>0</v>
      </c>
      <c r="AK317" s="383">
        <f t="shared" si="56"/>
        <v>1970118.47</v>
      </c>
      <c r="AL317" s="383">
        <f t="shared" si="57"/>
        <v>827451.05</v>
      </c>
      <c r="AM317" s="383">
        <f t="shared" si="58"/>
        <v>3952.38</v>
      </c>
      <c r="AN317" s="383">
        <f t="shared" si="59"/>
        <v>0</v>
      </c>
      <c r="AO317" s="124">
        <f t="shared" si="63"/>
        <v>2801521.9</v>
      </c>
      <c r="AR317" s="124">
        <f t="shared" si="60"/>
        <v>719829.96</v>
      </c>
      <c r="AS317" s="124">
        <f t="shared" si="67"/>
        <v>343834.31</v>
      </c>
      <c r="AV317" s="379">
        <f t="shared" si="64"/>
        <v>1063664.27</v>
      </c>
      <c r="AW317" s="124">
        <f t="shared" si="61"/>
        <v>0</v>
      </c>
      <c r="AZ317" s="379">
        <v>0</v>
      </c>
      <c r="BA317" s="379">
        <v>47438.86</v>
      </c>
      <c r="BB317" s="379">
        <v>20707.97</v>
      </c>
      <c r="BC317" s="379">
        <v>78.12</v>
      </c>
      <c r="BD317" s="379">
        <v>0</v>
      </c>
      <c r="BE317" s="379">
        <f t="shared" si="65"/>
        <v>68224.95</v>
      </c>
      <c r="BF317" s="379"/>
      <c r="BO317" s="477">
        <v>0</v>
      </c>
      <c r="BP317" s="477">
        <v>4622375.67</v>
      </c>
      <c r="BQ317" s="477">
        <v>1934851.69</v>
      </c>
      <c r="BR317" s="477">
        <v>6480.99</v>
      </c>
      <c r="BS317" s="477">
        <v>0</v>
      </c>
      <c r="BT317" s="477">
        <v>6563708.3499999996</v>
      </c>
      <c r="BW317" s="126">
        <v>342</v>
      </c>
      <c r="BX317" s="125">
        <v>39204</v>
      </c>
      <c r="BY317" s="19" t="s">
        <v>45</v>
      </c>
      <c r="BZ317" t="s">
        <v>821</v>
      </c>
    </row>
    <row r="318" spans="1:78" x14ac:dyDescent="0.25">
      <c r="A318" s="443">
        <v>39201</v>
      </c>
      <c r="B318" s="19" t="s">
        <v>45</v>
      </c>
      <c r="C318" t="s">
        <v>536</v>
      </c>
      <c r="D318" s="379">
        <v>13004.35</v>
      </c>
      <c r="E318" s="120">
        <v>2.1723828479061317E-5</v>
      </c>
      <c r="F318" s="379">
        <v>623978.71</v>
      </c>
      <c r="G318" s="120">
        <v>1.0423594005564247E-3</v>
      </c>
      <c r="H318" s="379">
        <v>1501112.54</v>
      </c>
      <c r="I318" s="120">
        <v>5.7722978692988005E-3</v>
      </c>
      <c r="J318" s="379">
        <v>12890.32</v>
      </c>
      <c r="K318" s="120">
        <v>5.7820774365408776E-5</v>
      </c>
      <c r="L318" s="379">
        <v>1279818.47</v>
      </c>
      <c r="M318" s="120">
        <v>5.7407492585562405E-3</v>
      </c>
      <c r="N318" s="379">
        <v>3541831.14</v>
      </c>
      <c r="O318" s="120">
        <v>4.990669570422419E-3</v>
      </c>
      <c r="P318" s="383">
        <f t="shared" si="62"/>
        <v>6972635.5299999993</v>
      </c>
      <c r="R318" s="379"/>
      <c r="S318" s="120"/>
      <c r="T318" s="380"/>
      <c r="U318" s="551">
        <v>958</v>
      </c>
      <c r="V318" s="550" t="s">
        <v>537</v>
      </c>
      <c r="W318" s="449" t="s">
        <v>45</v>
      </c>
      <c r="X318" s="562" t="s">
        <v>536</v>
      </c>
      <c r="Y318" s="379">
        <v>7114.79</v>
      </c>
      <c r="Z318" s="379">
        <v>3365967</v>
      </c>
      <c r="AA318" s="379">
        <v>1326688.9100000001</v>
      </c>
      <c r="AB318" s="379">
        <v>8248.15</v>
      </c>
      <c r="AC318" s="379">
        <v>0</v>
      </c>
      <c r="AD318" s="379">
        <v>4708018.8500000006</v>
      </c>
      <c r="AE318" s="124"/>
      <c r="AF318" s="551">
        <v>958</v>
      </c>
      <c r="AG318" s="550" t="s">
        <v>537</v>
      </c>
      <c r="AH318" s="449" t="s">
        <v>45</v>
      </c>
      <c r="AI318" s="562" t="s">
        <v>536</v>
      </c>
      <c r="AJ318" s="383">
        <f t="shared" si="55"/>
        <v>12890.32</v>
      </c>
      <c r="AK318" s="383">
        <f t="shared" si="56"/>
        <v>3541831.14</v>
      </c>
      <c r="AL318" s="383">
        <f t="shared" si="57"/>
        <v>1501112.54</v>
      </c>
      <c r="AM318" s="383">
        <f t="shared" si="58"/>
        <v>13004.35</v>
      </c>
      <c r="AN318" s="383">
        <f t="shared" si="59"/>
        <v>0</v>
      </c>
      <c r="AO318" s="124">
        <f t="shared" si="63"/>
        <v>5068838.3499999996</v>
      </c>
      <c r="AR318" s="124">
        <f t="shared" si="60"/>
        <v>1279818.47</v>
      </c>
      <c r="AS318" s="124">
        <f t="shared" si="67"/>
        <v>623978.71</v>
      </c>
      <c r="AV318" s="379">
        <f t="shared" si="64"/>
        <v>1903797.18</v>
      </c>
      <c r="AW318" s="124">
        <f t="shared" si="61"/>
        <v>0</v>
      </c>
      <c r="AZ318" s="379">
        <v>230.62</v>
      </c>
      <c r="BA318" s="379">
        <v>85341.64</v>
      </c>
      <c r="BB318" s="379">
        <v>37564.300000000003</v>
      </c>
      <c r="BC318" s="379">
        <v>263.48</v>
      </c>
      <c r="BD318" s="379">
        <v>0</v>
      </c>
      <c r="BE318" s="379">
        <f t="shared" si="65"/>
        <v>123400.04</v>
      </c>
      <c r="BF318" s="379"/>
      <c r="BO318" s="477">
        <v>20235.73</v>
      </c>
      <c r="BP318" s="477">
        <v>8272958.25</v>
      </c>
      <c r="BQ318" s="477">
        <v>3489344.46</v>
      </c>
      <c r="BR318" s="477">
        <v>21515.98</v>
      </c>
      <c r="BS318" s="477">
        <v>0</v>
      </c>
      <c r="BT318" s="477">
        <v>11804054.420000002</v>
      </c>
      <c r="BW318" s="126">
        <v>1137</v>
      </c>
      <c r="BX318" s="125">
        <v>39205</v>
      </c>
      <c r="BY318" s="19" t="s">
        <v>45</v>
      </c>
      <c r="BZ318" t="s">
        <v>1022</v>
      </c>
    </row>
    <row r="319" spans="1:78" x14ac:dyDescent="0.25">
      <c r="A319" s="443">
        <v>39202</v>
      </c>
      <c r="B319" s="19" t="s">
        <v>45</v>
      </c>
      <c r="C319" t="s">
        <v>554</v>
      </c>
      <c r="D319" s="379">
        <v>662.54</v>
      </c>
      <c r="E319" s="120">
        <v>1.1067762187665884E-6</v>
      </c>
      <c r="F319" s="379">
        <v>383599.1</v>
      </c>
      <c r="G319" s="120">
        <v>6.4080411963091501E-4</v>
      </c>
      <c r="H319" s="379">
        <v>942768.95</v>
      </c>
      <c r="I319" s="120">
        <v>3.6252732931843119E-3</v>
      </c>
      <c r="J319" s="379">
        <v>0</v>
      </c>
      <c r="K319" s="120">
        <v>0</v>
      </c>
      <c r="L319" s="379">
        <v>692893.93</v>
      </c>
      <c r="M319" s="120">
        <v>3.1080425920916896E-3</v>
      </c>
      <c r="N319" s="379">
        <v>2122978.17</v>
      </c>
      <c r="O319" s="120">
        <v>2.9914138006280201E-3</v>
      </c>
      <c r="P319" s="383">
        <f t="shared" si="62"/>
        <v>4142902.69</v>
      </c>
      <c r="R319" s="379"/>
      <c r="S319" s="120"/>
      <c r="T319" s="380"/>
      <c r="U319" s="551">
        <v>992</v>
      </c>
      <c r="V319" s="550" t="s">
        <v>555</v>
      </c>
      <c r="W319" s="449" t="s">
        <v>45</v>
      </c>
      <c r="X319" s="562" t="s">
        <v>554</v>
      </c>
      <c r="Y319" s="379">
        <v>0</v>
      </c>
      <c r="Z319" s="379">
        <v>1828915.53</v>
      </c>
      <c r="AA319" s="379">
        <v>825695.03</v>
      </c>
      <c r="AB319" s="379">
        <v>389.35</v>
      </c>
      <c r="AC319" s="379">
        <v>0</v>
      </c>
      <c r="AD319" s="379">
        <v>2654999.91</v>
      </c>
      <c r="AE319" s="124"/>
      <c r="AF319" s="551">
        <v>992</v>
      </c>
      <c r="AG319" s="550" t="s">
        <v>555</v>
      </c>
      <c r="AH319" s="449" t="s">
        <v>45</v>
      </c>
      <c r="AI319" s="562" t="s">
        <v>554</v>
      </c>
      <c r="AJ319" s="383">
        <f t="shared" si="55"/>
        <v>0</v>
      </c>
      <c r="AK319" s="383">
        <f t="shared" si="56"/>
        <v>2122978.17</v>
      </c>
      <c r="AL319" s="383">
        <f t="shared" si="57"/>
        <v>942768.95</v>
      </c>
      <c r="AM319" s="383">
        <f t="shared" si="58"/>
        <v>662.54</v>
      </c>
      <c r="AN319" s="383">
        <f t="shared" si="59"/>
        <v>0</v>
      </c>
      <c r="AO319" s="124">
        <f t="shared" si="63"/>
        <v>3066409.66</v>
      </c>
      <c r="AR319" s="124">
        <f t="shared" si="60"/>
        <v>692893.93</v>
      </c>
      <c r="AS319" s="124">
        <f t="shared" si="67"/>
        <v>383599.1</v>
      </c>
      <c r="AV319" s="379">
        <f t="shared" si="64"/>
        <v>1076493.03</v>
      </c>
      <c r="AW319" s="124">
        <f t="shared" si="61"/>
        <v>0</v>
      </c>
      <c r="AZ319" s="379">
        <v>0</v>
      </c>
      <c r="BA319" s="379">
        <v>51447.8</v>
      </c>
      <c r="BB319" s="379">
        <v>23780.42</v>
      </c>
      <c r="BC319" s="379">
        <v>11.68</v>
      </c>
      <c r="BD319" s="379">
        <v>0</v>
      </c>
      <c r="BE319" s="379">
        <f t="shared" si="65"/>
        <v>75239.899999999994</v>
      </c>
      <c r="BF319" s="379"/>
      <c r="BO319" s="477">
        <v>0</v>
      </c>
      <c r="BP319" s="477">
        <v>4696235.43</v>
      </c>
      <c r="BQ319" s="477">
        <v>2175843.5</v>
      </c>
      <c r="BR319" s="477">
        <v>1063.57</v>
      </c>
      <c r="BS319" s="477">
        <v>0</v>
      </c>
      <c r="BT319" s="477">
        <v>6873142.5</v>
      </c>
      <c r="BW319" s="126">
        <v>1058</v>
      </c>
      <c r="BX319" s="125">
        <v>39207</v>
      </c>
      <c r="BY319" s="19" t="s">
        <v>45</v>
      </c>
      <c r="BZ319" t="s">
        <v>1001</v>
      </c>
    </row>
    <row r="320" spans="1:78" x14ac:dyDescent="0.25">
      <c r="A320" s="443">
        <v>39203</v>
      </c>
      <c r="B320" s="19" t="s">
        <v>45</v>
      </c>
      <c r="C320" t="s">
        <v>216</v>
      </c>
      <c r="D320" s="379">
        <v>2453.96</v>
      </c>
      <c r="E320" s="120">
        <v>4.099351842612457E-6</v>
      </c>
      <c r="F320" s="379">
        <v>94083.03</v>
      </c>
      <c r="G320" s="120">
        <v>1.5716614875102409E-4</v>
      </c>
      <c r="H320" s="379">
        <v>232717.73</v>
      </c>
      <c r="I320" s="120">
        <v>8.9488031125704512E-4</v>
      </c>
      <c r="J320" s="379"/>
      <c r="K320" s="120"/>
      <c r="L320" s="379">
        <v>193513.51</v>
      </c>
      <c r="M320" s="120">
        <v>8.6802352450274895E-4</v>
      </c>
      <c r="N320" s="379">
        <v>606540.89</v>
      </c>
      <c r="O320" s="120">
        <v>8.5465541503481496E-4</v>
      </c>
      <c r="P320" s="383">
        <f t="shared" si="62"/>
        <v>1129309.1200000001</v>
      </c>
      <c r="R320" s="379"/>
      <c r="S320" s="120"/>
      <c r="U320" s="551">
        <v>376</v>
      </c>
      <c r="V320" s="550" t="s">
        <v>217</v>
      </c>
      <c r="W320" s="449" t="s">
        <v>45</v>
      </c>
      <c r="X320" s="562" t="s">
        <v>216</v>
      </c>
      <c r="Y320" s="379"/>
      <c r="Z320" s="379">
        <v>545722.71</v>
      </c>
      <c r="AA320" s="379">
        <v>218276.71</v>
      </c>
      <c r="AB320" s="379">
        <v>1555.86</v>
      </c>
      <c r="AC320" s="379">
        <v>0</v>
      </c>
      <c r="AD320" s="379">
        <v>765555.27999999991</v>
      </c>
      <c r="AE320" s="124"/>
      <c r="AF320" s="551">
        <v>376</v>
      </c>
      <c r="AG320" s="550" t="s">
        <v>217</v>
      </c>
      <c r="AH320" s="449" t="s">
        <v>45</v>
      </c>
      <c r="AI320" s="562" t="s">
        <v>216</v>
      </c>
      <c r="AJ320" s="383">
        <f t="shared" si="55"/>
        <v>0</v>
      </c>
      <c r="AK320" s="383">
        <f t="shared" si="56"/>
        <v>606540.89</v>
      </c>
      <c r="AL320" s="383">
        <f t="shared" si="57"/>
        <v>232717.73</v>
      </c>
      <c r="AM320" s="383">
        <f t="shared" si="58"/>
        <v>2453.96</v>
      </c>
      <c r="AN320" s="383">
        <f t="shared" si="59"/>
        <v>0</v>
      </c>
      <c r="AO320" s="124">
        <f t="shared" si="63"/>
        <v>841712.58</v>
      </c>
      <c r="AR320" s="124">
        <f t="shared" si="60"/>
        <v>193513.51</v>
      </c>
      <c r="AS320" s="124">
        <f t="shared" si="67"/>
        <v>94083.03</v>
      </c>
      <c r="AV320" s="379">
        <f t="shared" si="64"/>
        <v>287596.54000000004</v>
      </c>
      <c r="AW320" s="124">
        <f t="shared" si="61"/>
        <v>0</v>
      </c>
      <c r="AZ320" s="379"/>
      <c r="BA320" s="379">
        <v>14715.59</v>
      </c>
      <c r="BB320" s="379">
        <v>5883.7800000000007</v>
      </c>
      <c r="BC320" s="379">
        <v>50.74</v>
      </c>
      <c r="BD320" s="379">
        <v>0</v>
      </c>
      <c r="BE320" s="379">
        <f t="shared" si="65"/>
        <v>20650.110000000004</v>
      </c>
      <c r="BF320" s="379"/>
      <c r="BO320" s="477"/>
      <c r="BP320" s="477">
        <v>1360492.7</v>
      </c>
      <c r="BQ320" s="477">
        <v>550961.25</v>
      </c>
      <c r="BR320" s="477">
        <v>4060.56</v>
      </c>
      <c r="BS320" s="477">
        <v>0</v>
      </c>
      <c r="BT320" s="477">
        <v>1915514.51</v>
      </c>
      <c r="BW320" s="126">
        <v>1076</v>
      </c>
      <c r="BX320" s="125">
        <v>39208</v>
      </c>
      <c r="BY320" s="19" t="s">
        <v>45</v>
      </c>
      <c r="BZ320" t="s">
        <v>1008</v>
      </c>
    </row>
    <row r="321" spans="1:78" x14ac:dyDescent="0.25">
      <c r="A321" s="443">
        <v>39204</v>
      </c>
      <c r="B321" s="19" t="s">
        <v>45</v>
      </c>
      <c r="C321" t="s">
        <v>202</v>
      </c>
      <c r="D321" s="379"/>
      <c r="E321" s="120"/>
      <c r="F321" s="379">
        <v>138368.82</v>
      </c>
      <c r="G321" s="120">
        <v>2.3114577141726493E-4</v>
      </c>
      <c r="H321" s="379">
        <v>340163.21</v>
      </c>
      <c r="I321" s="120">
        <v>1.3080454129687309E-3</v>
      </c>
      <c r="J321" s="379"/>
      <c r="K321" s="120"/>
      <c r="L321" s="379">
        <v>280598.01</v>
      </c>
      <c r="M321" s="120">
        <v>1.258649453511838E-3</v>
      </c>
      <c r="N321" s="379">
        <v>865378.88</v>
      </c>
      <c r="O321" s="120">
        <v>1.2193749144410748E-3</v>
      </c>
      <c r="P321" s="383">
        <f t="shared" si="62"/>
        <v>1624508.92</v>
      </c>
      <c r="R321" s="379"/>
      <c r="S321" s="120"/>
      <c r="U321" s="551">
        <v>342</v>
      </c>
      <c r="V321" s="550" t="s">
        <v>203</v>
      </c>
      <c r="W321" s="449" t="s">
        <v>45</v>
      </c>
      <c r="X321" s="562" t="s">
        <v>202</v>
      </c>
      <c r="Y321" s="379"/>
      <c r="Z321" s="379">
        <v>826223.86</v>
      </c>
      <c r="AA321" s="379">
        <v>314669.71999999997</v>
      </c>
      <c r="AB321" s="379"/>
      <c r="AC321" s="379">
        <v>0</v>
      </c>
      <c r="AD321" s="379">
        <v>1140893.58</v>
      </c>
      <c r="AE321" s="124"/>
      <c r="AF321" s="551">
        <v>342</v>
      </c>
      <c r="AG321" s="550" t="s">
        <v>203</v>
      </c>
      <c r="AH321" s="449" t="s">
        <v>45</v>
      </c>
      <c r="AI321" s="562" t="s">
        <v>202</v>
      </c>
      <c r="AJ321" s="383">
        <f t="shared" si="55"/>
        <v>0</v>
      </c>
      <c r="AK321" s="383">
        <f t="shared" si="56"/>
        <v>865378.88</v>
      </c>
      <c r="AL321" s="383">
        <f t="shared" si="57"/>
        <v>340163.21</v>
      </c>
      <c r="AM321" s="383">
        <f t="shared" si="58"/>
        <v>0</v>
      </c>
      <c r="AN321" s="383">
        <f t="shared" si="59"/>
        <v>0</v>
      </c>
      <c r="AO321" s="124">
        <f t="shared" si="63"/>
        <v>1205542.0900000001</v>
      </c>
      <c r="AR321" s="124">
        <f t="shared" si="60"/>
        <v>280598.01</v>
      </c>
      <c r="AS321" s="124">
        <f t="shared" si="67"/>
        <v>138368.82</v>
      </c>
      <c r="AV321" s="379">
        <f t="shared" si="64"/>
        <v>418966.83</v>
      </c>
      <c r="AW321" s="124">
        <f t="shared" si="61"/>
        <v>0</v>
      </c>
      <c r="AZ321" s="379"/>
      <c r="BA321" s="379">
        <v>20977.71</v>
      </c>
      <c r="BB321" s="379">
        <v>8581.1</v>
      </c>
      <c r="BC321" s="379"/>
      <c r="BD321" s="379">
        <v>0</v>
      </c>
      <c r="BE321" s="379">
        <f t="shared" si="65"/>
        <v>29558.809999999998</v>
      </c>
      <c r="BF321" s="379"/>
      <c r="BO321" s="477"/>
      <c r="BP321" s="477">
        <v>1993178.46</v>
      </c>
      <c r="BQ321" s="477">
        <v>801782.85000000009</v>
      </c>
      <c r="BR321" s="477"/>
      <c r="BS321" s="477">
        <v>0</v>
      </c>
      <c r="BT321" s="477">
        <v>2794961.31</v>
      </c>
      <c r="BW321" s="126">
        <v>614</v>
      </c>
      <c r="BX321" s="125">
        <v>39209</v>
      </c>
      <c r="BY321" s="19" t="s">
        <v>45</v>
      </c>
      <c r="BZ321" t="s">
        <v>878</v>
      </c>
    </row>
    <row r="322" spans="1:78" x14ac:dyDescent="0.25">
      <c r="A322" s="443">
        <v>39205</v>
      </c>
      <c r="B322" s="19" t="s">
        <v>45</v>
      </c>
      <c r="C322" t="s">
        <v>626</v>
      </c>
      <c r="D322" s="379"/>
      <c r="E322" s="120"/>
      <c r="F322" s="379">
        <v>94621.99</v>
      </c>
      <c r="G322" s="120">
        <v>1.5806648399246831E-4</v>
      </c>
      <c r="H322" s="379">
        <v>227398.31</v>
      </c>
      <c r="I322" s="120">
        <v>8.7442529811598813E-4</v>
      </c>
      <c r="J322" s="379">
        <v>0</v>
      </c>
      <c r="K322" s="120">
        <v>0</v>
      </c>
      <c r="L322" s="379">
        <v>260626.15</v>
      </c>
      <c r="M322" s="120">
        <v>1.1690637480586349E-3</v>
      </c>
      <c r="N322" s="379">
        <v>707352.89</v>
      </c>
      <c r="O322" s="120">
        <v>9.9670605518290098E-4</v>
      </c>
      <c r="P322" s="383">
        <f t="shared" si="62"/>
        <v>1289999.3399999999</v>
      </c>
      <c r="R322" s="379"/>
      <c r="S322" s="120"/>
      <c r="U322" s="551">
        <v>1137</v>
      </c>
      <c r="V322" s="550" t="s">
        <v>627</v>
      </c>
      <c r="W322" s="449" t="s">
        <v>45</v>
      </c>
      <c r="X322" s="562" t="s">
        <v>626</v>
      </c>
      <c r="Y322" s="379">
        <v>0</v>
      </c>
      <c r="Z322" s="379">
        <v>653566.23</v>
      </c>
      <c r="AA322" s="379">
        <v>221296.62</v>
      </c>
      <c r="AB322" s="379"/>
      <c r="AC322" s="379">
        <v>0</v>
      </c>
      <c r="AD322" s="379">
        <v>874862.85</v>
      </c>
      <c r="AE322" s="124"/>
      <c r="AF322" s="551">
        <v>1137</v>
      </c>
      <c r="AG322" s="550" t="s">
        <v>627</v>
      </c>
      <c r="AH322" s="449" t="s">
        <v>45</v>
      </c>
      <c r="AI322" s="562" t="s">
        <v>626</v>
      </c>
      <c r="AJ322" s="383">
        <f t="shared" si="55"/>
        <v>0</v>
      </c>
      <c r="AK322" s="383">
        <f t="shared" si="56"/>
        <v>707352.89</v>
      </c>
      <c r="AL322" s="383">
        <f t="shared" si="57"/>
        <v>227398.31</v>
      </c>
      <c r="AM322" s="383">
        <f t="shared" si="58"/>
        <v>0</v>
      </c>
      <c r="AN322" s="383">
        <f t="shared" si="59"/>
        <v>0</v>
      </c>
      <c r="AO322" s="124">
        <f t="shared" si="63"/>
        <v>934751.2</v>
      </c>
      <c r="AR322" s="124">
        <f t="shared" si="60"/>
        <v>260626.15</v>
      </c>
      <c r="AS322" s="124">
        <f t="shared" si="67"/>
        <v>94621.99</v>
      </c>
      <c r="AV322" s="379">
        <f t="shared" si="64"/>
        <v>355248.14</v>
      </c>
      <c r="AW322" s="124">
        <f t="shared" si="61"/>
        <v>0</v>
      </c>
      <c r="AZ322" s="379">
        <v>0</v>
      </c>
      <c r="BA322" s="379">
        <v>17024.169999999998</v>
      </c>
      <c r="BB322" s="379">
        <v>5688.15</v>
      </c>
      <c r="BC322" s="379"/>
      <c r="BD322" s="379">
        <v>0</v>
      </c>
      <c r="BE322" s="379">
        <f t="shared" si="65"/>
        <v>22712.32</v>
      </c>
      <c r="BF322" s="379"/>
      <c r="BO322" s="477">
        <v>0</v>
      </c>
      <c r="BP322" s="477">
        <v>1638569.44</v>
      </c>
      <c r="BQ322" s="477">
        <v>549005.07000000007</v>
      </c>
      <c r="BR322" s="477"/>
      <c r="BS322" s="477">
        <v>0</v>
      </c>
      <c r="BT322" s="477">
        <v>2187574.5099999998</v>
      </c>
      <c r="BW322" s="126">
        <v>260</v>
      </c>
      <c r="BX322" s="19">
        <v>39801</v>
      </c>
      <c r="BY322" s="101" t="s">
        <v>45</v>
      </c>
      <c r="BZ322" s="187" t="s">
        <v>797</v>
      </c>
    </row>
    <row r="323" spans="1:78" x14ac:dyDescent="0.25">
      <c r="A323" s="443">
        <v>39207</v>
      </c>
      <c r="B323" s="19" t="s">
        <v>45</v>
      </c>
      <c r="C323" t="s">
        <v>584</v>
      </c>
      <c r="D323" s="379">
        <v>3739.68</v>
      </c>
      <c r="E323" s="120">
        <v>6.2471532130845463E-6</v>
      </c>
      <c r="F323" s="379">
        <v>303799.2</v>
      </c>
      <c r="G323" s="120">
        <v>5.0749800742644151E-4</v>
      </c>
      <c r="H323" s="379">
        <v>754456.76</v>
      </c>
      <c r="I323" s="120">
        <v>2.9011476702646669E-3</v>
      </c>
      <c r="J323" s="379">
        <v>0</v>
      </c>
      <c r="K323" s="120">
        <v>0</v>
      </c>
      <c r="L323" s="379">
        <v>615567.41</v>
      </c>
      <c r="M323" s="120">
        <v>2.7611870240854437E-3</v>
      </c>
      <c r="N323" s="379">
        <v>2034107.72</v>
      </c>
      <c r="O323" s="120">
        <v>2.8661895781867588E-3</v>
      </c>
      <c r="P323" s="383">
        <f t="shared" si="62"/>
        <v>3711670.7700000005</v>
      </c>
      <c r="R323" s="379"/>
      <c r="S323" s="120"/>
      <c r="U323" s="551">
        <v>1058</v>
      </c>
      <c r="V323" s="550" t="s">
        <v>585</v>
      </c>
      <c r="W323" s="449" t="s">
        <v>45</v>
      </c>
      <c r="X323" s="562" t="s">
        <v>584</v>
      </c>
      <c r="Y323" s="379">
        <v>0</v>
      </c>
      <c r="Z323" s="379">
        <v>1919666.67</v>
      </c>
      <c r="AA323" s="379">
        <v>679315.34000000008</v>
      </c>
      <c r="AB323" s="379">
        <v>2369.04</v>
      </c>
      <c r="AC323" s="379">
        <v>0</v>
      </c>
      <c r="AD323" s="379">
        <v>2601351.0499999998</v>
      </c>
      <c r="AE323" s="124"/>
      <c r="AF323" s="551">
        <v>1058</v>
      </c>
      <c r="AG323" s="550" t="s">
        <v>585</v>
      </c>
      <c r="AH323" s="449" t="s">
        <v>45</v>
      </c>
      <c r="AI323" s="562" t="s">
        <v>584</v>
      </c>
      <c r="AJ323" s="383">
        <f t="shared" si="55"/>
        <v>0</v>
      </c>
      <c r="AK323" s="383">
        <f t="shared" si="56"/>
        <v>2034107.72</v>
      </c>
      <c r="AL323" s="383">
        <f t="shared" si="57"/>
        <v>754456.76</v>
      </c>
      <c r="AM323" s="383">
        <f t="shared" si="58"/>
        <v>3739.68</v>
      </c>
      <c r="AN323" s="383">
        <f t="shared" si="59"/>
        <v>0</v>
      </c>
      <c r="AO323" s="124">
        <f t="shared" si="63"/>
        <v>2792304.16</v>
      </c>
      <c r="AR323" s="124">
        <f t="shared" si="60"/>
        <v>615567.41</v>
      </c>
      <c r="AS323" s="124">
        <f t="shared" si="67"/>
        <v>303799.2</v>
      </c>
      <c r="AV323" s="379">
        <f t="shared" si="64"/>
        <v>919366.6100000001</v>
      </c>
      <c r="AW323" s="124">
        <f t="shared" si="61"/>
        <v>0</v>
      </c>
      <c r="AZ323" s="379">
        <v>0</v>
      </c>
      <c r="BA323" s="379">
        <v>49481.93</v>
      </c>
      <c r="BB323" s="379">
        <v>19102.61</v>
      </c>
      <c r="BC323" s="379">
        <v>77.39</v>
      </c>
      <c r="BD323" s="379">
        <v>0</v>
      </c>
      <c r="BE323" s="379">
        <f t="shared" si="65"/>
        <v>68661.930000000008</v>
      </c>
      <c r="BF323" s="379"/>
      <c r="BO323" s="477">
        <v>0</v>
      </c>
      <c r="BP323" s="477">
        <v>4618823.7300000004</v>
      </c>
      <c r="BQ323" s="477">
        <v>1756673.91</v>
      </c>
      <c r="BR323" s="477">
        <v>6186.11</v>
      </c>
      <c r="BS323" s="477">
        <v>0</v>
      </c>
      <c r="BT323" s="477">
        <v>6381683.7500000009</v>
      </c>
    </row>
    <row r="324" spans="1:78" x14ac:dyDescent="0.25">
      <c r="A324" s="443">
        <v>39208</v>
      </c>
      <c r="B324" s="19" t="s">
        <v>45</v>
      </c>
      <c r="C324" t="s">
        <v>598</v>
      </c>
      <c r="D324" s="379">
        <v>1407.03</v>
      </c>
      <c r="E324" s="120">
        <v>2.3504503020061475E-6</v>
      </c>
      <c r="F324" s="379">
        <v>430144.41</v>
      </c>
      <c r="G324" s="120">
        <v>7.1855828119567894E-4</v>
      </c>
      <c r="H324" s="379">
        <v>1068227.29</v>
      </c>
      <c r="I324" s="120">
        <v>4.1077040832620268E-3</v>
      </c>
      <c r="J324" s="379">
        <v>0</v>
      </c>
      <c r="K324" s="120">
        <v>0</v>
      </c>
      <c r="L324" s="379">
        <v>838828.39</v>
      </c>
      <c r="M324" s="120">
        <v>3.7626456961106563E-3</v>
      </c>
      <c r="N324" s="379">
        <v>2791811.11</v>
      </c>
      <c r="O324" s="120">
        <v>3.9338427503475609E-3</v>
      </c>
      <c r="P324" s="383">
        <f t="shared" si="62"/>
        <v>5130418.2300000004</v>
      </c>
      <c r="R324" s="379"/>
      <c r="S324" s="120"/>
      <c r="U324" s="551">
        <v>1076</v>
      </c>
      <c r="V324" s="550" t="s">
        <v>599</v>
      </c>
      <c r="W324" s="449" t="s">
        <v>45</v>
      </c>
      <c r="X324" s="562" t="s">
        <v>598</v>
      </c>
      <c r="Y324" s="379">
        <v>0</v>
      </c>
      <c r="Z324" s="379">
        <v>2652926.4900000002</v>
      </c>
      <c r="AA324" s="379">
        <v>1033110.98</v>
      </c>
      <c r="AB324" s="379">
        <v>884.77</v>
      </c>
      <c r="AC324" s="379">
        <v>0</v>
      </c>
      <c r="AD324" s="379">
        <v>3686922.2400000002</v>
      </c>
      <c r="AE324" s="124"/>
      <c r="AF324" s="551">
        <v>1076</v>
      </c>
      <c r="AG324" s="550" t="s">
        <v>599</v>
      </c>
      <c r="AH324" s="449" t="s">
        <v>45</v>
      </c>
      <c r="AI324" s="562" t="s">
        <v>598</v>
      </c>
      <c r="AJ324" s="383">
        <f t="shared" si="55"/>
        <v>0</v>
      </c>
      <c r="AK324" s="383">
        <f t="shared" si="56"/>
        <v>2791811.11</v>
      </c>
      <c r="AL324" s="383">
        <f t="shared" si="57"/>
        <v>1068227.29</v>
      </c>
      <c r="AM324" s="383">
        <f t="shared" si="58"/>
        <v>1407.03</v>
      </c>
      <c r="AN324" s="383">
        <f t="shared" si="59"/>
        <v>0</v>
      </c>
      <c r="AO324" s="124">
        <f t="shared" si="63"/>
        <v>3861445.4299999997</v>
      </c>
      <c r="AR324" s="124">
        <f t="shared" si="60"/>
        <v>838828.39</v>
      </c>
      <c r="AS324" s="124">
        <f t="shared" si="67"/>
        <v>430144.41</v>
      </c>
      <c r="AV324" s="379">
        <f t="shared" si="64"/>
        <v>1268972.8</v>
      </c>
      <c r="AW324" s="124">
        <f t="shared" si="61"/>
        <v>0</v>
      </c>
      <c r="AZ324" s="379">
        <v>0</v>
      </c>
      <c r="BA324" s="379">
        <v>67899</v>
      </c>
      <c r="BB324" s="379">
        <v>27041.699999999997</v>
      </c>
      <c r="BC324" s="379">
        <v>26.52</v>
      </c>
      <c r="BD324" s="379">
        <v>0</v>
      </c>
      <c r="BE324" s="379">
        <f t="shared" si="65"/>
        <v>94967.22</v>
      </c>
      <c r="BF324" s="379"/>
      <c r="BO324" s="477">
        <v>0</v>
      </c>
      <c r="BP324" s="477">
        <v>6351464.9900000002</v>
      </c>
      <c r="BQ324" s="477">
        <v>2558524.38</v>
      </c>
      <c r="BR324" s="477">
        <v>2318.3200000000002</v>
      </c>
      <c r="BS324" s="477">
        <v>0</v>
      </c>
      <c r="BT324" s="477">
        <v>8912307.6900000013</v>
      </c>
    </row>
    <row r="325" spans="1:78" x14ac:dyDescent="0.25">
      <c r="A325" s="443">
        <v>39209</v>
      </c>
      <c r="B325" s="19" t="s">
        <v>45</v>
      </c>
      <c r="C325" t="s">
        <v>318</v>
      </c>
      <c r="D325" s="379"/>
      <c r="E325" s="120"/>
      <c r="F325" s="379">
        <v>108325.26</v>
      </c>
      <c r="G325" s="120">
        <v>1.8095786165319463E-4</v>
      </c>
      <c r="H325" s="379">
        <v>267184.32</v>
      </c>
      <c r="I325" s="120">
        <v>1.027416292882377E-3</v>
      </c>
      <c r="J325" s="379"/>
      <c r="K325" s="120"/>
      <c r="L325" s="379">
        <v>189507.42</v>
      </c>
      <c r="M325" s="120">
        <v>8.5005382119224E-4</v>
      </c>
      <c r="N325" s="379">
        <v>585409.28000000003</v>
      </c>
      <c r="O325" s="120">
        <v>8.248796073149037E-4</v>
      </c>
      <c r="P325" s="383">
        <f t="shared" si="62"/>
        <v>1150426.28</v>
      </c>
      <c r="R325" s="379"/>
      <c r="S325" s="120"/>
      <c r="U325" s="551">
        <v>614</v>
      </c>
      <c r="V325" s="550" t="s">
        <v>319</v>
      </c>
      <c r="W325" s="449" t="s">
        <v>45</v>
      </c>
      <c r="X325" s="562" t="s">
        <v>318</v>
      </c>
      <c r="Y325" s="379"/>
      <c r="Z325" s="379">
        <v>561970.92999999993</v>
      </c>
      <c r="AA325" s="379">
        <v>249081.38999999998</v>
      </c>
      <c r="AB325" s="379"/>
      <c r="AC325" s="379">
        <v>0</v>
      </c>
      <c r="AD325" s="379">
        <v>811052.32</v>
      </c>
      <c r="AE325" s="124"/>
      <c r="AF325" s="551">
        <v>614</v>
      </c>
      <c r="AG325" s="550" t="s">
        <v>319</v>
      </c>
      <c r="AH325" s="449" t="s">
        <v>45</v>
      </c>
      <c r="AI325" s="562" t="s">
        <v>318</v>
      </c>
      <c r="AJ325" s="383">
        <f t="shared" si="55"/>
        <v>0</v>
      </c>
      <c r="AK325" s="383">
        <f t="shared" si="56"/>
        <v>585409.28000000003</v>
      </c>
      <c r="AL325" s="383">
        <f t="shared" si="57"/>
        <v>267184.32</v>
      </c>
      <c r="AM325" s="383">
        <f t="shared" si="58"/>
        <v>0</v>
      </c>
      <c r="AN325" s="383">
        <f t="shared" si="59"/>
        <v>0</v>
      </c>
      <c r="AO325" s="124">
        <f t="shared" si="63"/>
        <v>852593.60000000009</v>
      </c>
      <c r="AR325" s="124">
        <f t="shared" si="60"/>
        <v>189507.42</v>
      </c>
      <c r="AS325" s="124">
        <f t="shared" si="67"/>
        <v>108325.26</v>
      </c>
      <c r="AV325" s="379">
        <f t="shared" si="64"/>
        <v>297832.68</v>
      </c>
      <c r="AW325" s="124">
        <f t="shared" si="61"/>
        <v>0</v>
      </c>
      <c r="AZ325" s="379"/>
      <c r="BA325" s="379">
        <v>14192.130000000001</v>
      </c>
      <c r="BB325" s="379">
        <v>6748.17</v>
      </c>
      <c r="BC325" s="379"/>
      <c r="BD325" s="379">
        <v>0</v>
      </c>
      <c r="BE325" s="379">
        <f t="shared" si="65"/>
        <v>20940.300000000003</v>
      </c>
      <c r="BF325" s="379"/>
      <c r="BO325" s="477"/>
      <c r="BP325" s="477">
        <v>1351079.76</v>
      </c>
      <c r="BQ325" s="477">
        <v>631339.14</v>
      </c>
      <c r="BR325" s="477"/>
      <c r="BS325" s="477">
        <v>0</v>
      </c>
      <c r="BT325" s="477">
        <v>1982418.9</v>
      </c>
    </row>
    <row r="326" spans="1:78" x14ac:dyDescent="0.25">
      <c r="A326" s="443">
        <v>39801</v>
      </c>
      <c r="B326" s="19" t="s">
        <v>45</v>
      </c>
      <c r="C326" t="s">
        <v>152</v>
      </c>
      <c r="D326" s="379"/>
      <c r="E326" s="120"/>
      <c r="F326" s="379">
        <v>614118.55000000005</v>
      </c>
      <c r="G326" s="120">
        <v>1.0258879564153411E-3</v>
      </c>
      <c r="H326" s="379">
        <v>1531871.5</v>
      </c>
      <c r="I326" s="120">
        <v>5.8905767288371042E-3</v>
      </c>
      <c r="J326" s="379">
        <v>11809.77</v>
      </c>
      <c r="K326" s="120">
        <v>5.2973863059828895E-5</v>
      </c>
      <c r="L326" s="379">
        <v>39963.629999999997</v>
      </c>
      <c r="M326" s="120">
        <v>1.7926071913285945E-4</v>
      </c>
      <c r="N326" s="379">
        <v>141663.47</v>
      </c>
      <c r="O326" s="120">
        <v>1.9961300836308341E-4</v>
      </c>
      <c r="P326" s="383">
        <f t="shared" si="62"/>
        <v>2339426.92</v>
      </c>
      <c r="R326" s="379"/>
      <c r="S326" s="120"/>
      <c r="U326" s="551">
        <v>260</v>
      </c>
      <c r="V326" s="550" t="s">
        <v>153</v>
      </c>
      <c r="W326" s="449" t="s">
        <v>45</v>
      </c>
      <c r="X326" s="562" t="s">
        <v>152</v>
      </c>
      <c r="Y326" s="379">
        <v>6872.75</v>
      </c>
      <c r="Z326" s="379">
        <v>151985.28000000003</v>
      </c>
      <c r="AA326" s="379">
        <v>1470793.7000000002</v>
      </c>
      <c r="AB326" s="379"/>
      <c r="AC326" s="379">
        <v>0</v>
      </c>
      <c r="AD326" s="379">
        <v>1629651.7300000002</v>
      </c>
      <c r="AE326" s="124"/>
      <c r="AF326" s="551">
        <v>260</v>
      </c>
      <c r="AG326" s="550" t="s">
        <v>153</v>
      </c>
      <c r="AH326" s="449" t="s">
        <v>45</v>
      </c>
      <c r="AI326" s="562" t="s">
        <v>152</v>
      </c>
      <c r="AJ326" s="383">
        <f t="shared" si="55"/>
        <v>11809.77</v>
      </c>
      <c r="AK326" s="383">
        <f t="shared" si="56"/>
        <v>141663.47</v>
      </c>
      <c r="AL326" s="383">
        <f t="shared" si="57"/>
        <v>1531871.5</v>
      </c>
      <c r="AM326" s="383">
        <f t="shared" si="58"/>
        <v>0</v>
      </c>
      <c r="AN326" s="383">
        <f t="shared" si="59"/>
        <v>0</v>
      </c>
      <c r="AO326" s="124">
        <f t="shared" si="63"/>
        <v>1685344.74</v>
      </c>
      <c r="AR326" s="124">
        <f t="shared" si="60"/>
        <v>39963.629999999997</v>
      </c>
      <c r="AS326" s="124">
        <f t="shared" si="67"/>
        <v>614118.55000000005</v>
      </c>
      <c r="AV326" s="379">
        <f t="shared" si="64"/>
        <v>654082.18000000005</v>
      </c>
      <c r="AW326" s="124">
        <f t="shared" si="61"/>
        <v>0</v>
      </c>
      <c r="AZ326" s="379">
        <v>225.32</v>
      </c>
      <c r="BA326" s="379">
        <v>3457.4500000000003</v>
      </c>
      <c r="BB326" s="379">
        <v>38848.83</v>
      </c>
      <c r="BC326" s="379"/>
      <c r="BD326" s="379">
        <v>0</v>
      </c>
      <c r="BE326" s="379">
        <f t="shared" si="65"/>
        <v>42531.600000000006</v>
      </c>
      <c r="BF326" s="379"/>
      <c r="BO326" s="477">
        <v>18907.84</v>
      </c>
      <c r="BP326" s="477">
        <v>337069.83</v>
      </c>
      <c r="BQ326" s="477">
        <v>3655632.58</v>
      </c>
      <c r="BR326" s="477"/>
      <c r="BS326" s="477">
        <v>0</v>
      </c>
      <c r="BT326" s="477">
        <v>4011610.25</v>
      </c>
    </row>
    <row r="327" spans="1:78" x14ac:dyDescent="0.25">
      <c r="A327" s="447">
        <v>99999</v>
      </c>
      <c r="B327" s="19" t="s">
        <v>1039</v>
      </c>
      <c r="C327" t="s">
        <v>1186</v>
      </c>
      <c r="D327" s="379"/>
      <c r="E327" s="120"/>
      <c r="F327" s="379">
        <v>118635.64</v>
      </c>
      <c r="G327" s="120">
        <v>1.9818140044397959E-4</v>
      </c>
      <c r="H327" s="379">
        <v>297113.59000000003</v>
      </c>
      <c r="I327" s="120">
        <v>1.1425047068734217E-3</v>
      </c>
      <c r="J327" s="379"/>
      <c r="K327" s="120"/>
      <c r="L327" s="379"/>
      <c r="M327" s="120"/>
      <c r="N327" s="379"/>
      <c r="O327" s="120"/>
      <c r="P327" s="383">
        <f t="shared" si="62"/>
        <v>415749.23000000004</v>
      </c>
      <c r="R327" s="379"/>
      <c r="S327" s="120"/>
      <c r="U327" s="554">
        <v>4279</v>
      </c>
      <c r="V327" s="559" t="s">
        <v>1185</v>
      </c>
      <c r="W327" s="449" t="s">
        <v>1039</v>
      </c>
      <c r="X327" s="562" t="s">
        <v>1186</v>
      </c>
      <c r="Y327" s="379"/>
      <c r="Z327" s="379">
        <v>0</v>
      </c>
      <c r="AA327" s="379">
        <v>314665.81</v>
      </c>
      <c r="AB327" s="379"/>
      <c r="AC327" s="379">
        <v>0</v>
      </c>
      <c r="AD327" s="379">
        <v>314665.81</v>
      </c>
      <c r="AE327" s="124"/>
      <c r="AF327" s="554">
        <v>4279</v>
      </c>
      <c r="AG327" s="559" t="s">
        <v>1185</v>
      </c>
      <c r="AH327" s="449" t="s">
        <v>1039</v>
      </c>
      <c r="AI327" s="562" t="s">
        <v>1186</v>
      </c>
      <c r="AJ327" s="383">
        <f t="shared" si="55"/>
        <v>0</v>
      </c>
      <c r="AK327" s="383">
        <f t="shared" si="56"/>
        <v>0</v>
      </c>
      <c r="AL327" s="383">
        <f t="shared" si="57"/>
        <v>297113.59000000003</v>
      </c>
      <c r="AM327" s="383">
        <f t="shared" si="58"/>
        <v>0</v>
      </c>
      <c r="AN327" s="383">
        <f t="shared" si="59"/>
        <v>0</v>
      </c>
      <c r="AO327" s="124">
        <f t="shared" ref="AO327" si="68">SUM(AJ327:AN327)</f>
        <v>297113.59000000003</v>
      </c>
      <c r="AR327" s="124">
        <f t="shared" si="60"/>
        <v>0</v>
      </c>
      <c r="AS327" s="124">
        <f t="shared" si="67"/>
        <v>118635.64</v>
      </c>
      <c r="AV327" s="379">
        <f t="shared" ref="AV327" si="69">SUM(AQ327:AU327)</f>
        <v>118635.64</v>
      </c>
      <c r="AW327" s="124">
        <f t="shared" ref="AW327:AW390" si="70">+AV327+AO327-P327</f>
        <v>0</v>
      </c>
      <c r="AZ327" s="379"/>
      <c r="BA327" s="379">
        <v>0</v>
      </c>
      <c r="BB327" s="379">
        <v>7545.59</v>
      </c>
      <c r="BC327" s="379"/>
      <c r="BD327" s="379">
        <v>0</v>
      </c>
      <c r="BE327" s="379">
        <f t="shared" si="65"/>
        <v>7545.59</v>
      </c>
      <c r="BF327" s="379"/>
      <c r="BO327" s="477"/>
      <c r="BP327" s="477">
        <v>0</v>
      </c>
      <c r="BQ327" s="477">
        <v>737960.63</v>
      </c>
      <c r="BR327" s="477"/>
      <c r="BS327" s="477">
        <v>0</v>
      </c>
      <c r="BT327" s="477">
        <v>737960.63</v>
      </c>
    </row>
    <row r="328" spans="1:78" x14ac:dyDescent="0.25">
      <c r="A328" s="19"/>
      <c r="B328" s="101"/>
      <c r="C328" s="187"/>
      <c r="P328" s="383"/>
      <c r="U328" s="19"/>
      <c r="V328" s="101"/>
      <c r="W328" s="19"/>
      <c r="X328" s="187"/>
      <c r="Y328" s="186"/>
      <c r="Z328" s="186"/>
      <c r="AA328" s="186"/>
      <c r="AB328" s="186"/>
      <c r="AC328" s="186"/>
      <c r="AD328" s="186"/>
      <c r="AF328" s="268"/>
      <c r="AG328" s="268"/>
      <c r="AH328" s="268"/>
      <c r="AI328" s="268"/>
      <c r="AJ328" s="268"/>
      <c r="AK328" s="268"/>
      <c r="AL328" s="268"/>
      <c r="AM328" s="268"/>
      <c r="AN328" s="268"/>
      <c r="AO328" s="268"/>
      <c r="AP328" s="268"/>
      <c r="AQ328" s="268"/>
      <c r="AR328" s="268"/>
      <c r="AS328" s="268"/>
      <c r="AT328" s="268"/>
      <c r="AU328" s="268"/>
      <c r="AV328" s="268"/>
      <c r="BO328">
        <v>1220211.1300000001</v>
      </c>
      <c r="BP328">
        <v>1608906478.4699996</v>
      </c>
      <c r="BQ328">
        <v>615106524.56999993</v>
      </c>
      <c r="BR328">
        <v>961192.65999999957</v>
      </c>
      <c r="BS328">
        <v>1477153.35</v>
      </c>
      <c r="BT328">
        <v>2227671560.1799994</v>
      </c>
    </row>
    <row r="329" spans="1:78" x14ac:dyDescent="0.25">
      <c r="A329" s="19"/>
      <c r="B329" s="101"/>
      <c r="C329" s="187"/>
      <c r="P329" s="383"/>
      <c r="U329" s="19"/>
      <c r="V329" s="101"/>
      <c r="X329" s="187"/>
      <c r="Y329" s="186"/>
      <c r="Z329" s="186"/>
      <c r="AA329" s="186"/>
      <c r="AB329" s="186"/>
      <c r="AC329" s="186"/>
      <c r="AD329" s="186"/>
      <c r="AF329" s="268"/>
      <c r="AG329" s="268"/>
      <c r="AH329" s="268"/>
      <c r="AI329" s="268"/>
      <c r="AJ329" s="268"/>
      <c r="AK329" s="268"/>
      <c r="AL329" s="268"/>
      <c r="AM329" s="268"/>
      <c r="AN329" s="268"/>
      <c r="AO329" s="268"/>
      <c r="AP329" s="268"/>
      <c r="AQ329" s="268"/>
      <c r="AR329" s="268"/>
      <c r="AS329" s="268"/>
      <c r="AT329" s="268"/>
      <c r="AU329" s="268"/>
      <c r="AV329" s="268"/>
    </row>
    <row r="330" spans="1:78" x14ac:dyDescent="0.25">
      <c r="A330" s="19"/>
      <c r="B330" s="101"/>
      <c r="C330" s="187"/>
      <c r="P330" s="383"/>
      <c r="U330" s="19"/>
      <c r="V330" s="101"/>
      <c r="X330" s="187"/>
      <c r="Y330" s="186"/>
      <c r="Z330" s="186"/>
      <c r="AA330" s="186"/>
      <c r="AB330" s="186"/>
      <c r="AC330" s="186"/>
      <c r="AD330" s="186"/>
      <c r="AF330" s="268"/>
      <c r="AG330" s="268"/>
      <c r="AH330" s="268"/>
      <c r="AI330" s="268"/>
      <c r="AJ330" s="268"/>
      <c r="AK330" s="268"/>
      <c r="AL330" s="268"/>
      <c r="AM330" s="268"/>
      <c r="AN330" s="268"/>
      <c r="AO330" s="268"/>
      <c r="AP330" s="268"/>
      <c r="AQ330" s="268"/>
      <c r="AR330" s="268"/>
      <c r="AS330" s="268"/>
      <c r="AT330" s="268"/>
      <c r="AU330" s="268"/>
      <c r="AV330" s="268"/>
    </row>
    <row r="331" spans="1:78" x14ac:dyDescent="0.25">
      <c r="A331" s="19"/>
      <c r="B331" s="101"/>
      <c r="C331" s="187"/>
      <c r="P331" s="383"/>
      <c r="U331" s="19"/>
      <c r="V331" s="101"/>
      <c r="X331" s="187"/>
      <c r="Y331" s="186"/>
      <c r="Z331" s="186"/>
      <c r="AA331" s="186"/>
      <c r="AB331" s="186"/>
      <c r="AC331" s="186"/>
      <c r="AD331" s="186"/>
      <c r="AF331" s="268"/>
      <c r="AG331" s="268"/>
      <c r="AH331" s="268"/>
      <c r="AI331" s="268"/>
      <c r="AJ331" s="268"/>
      <c r="AK331" s="268"/>
      <c r="AL331" s="268"/>
      <c r="AM331" s="268"/>
      <c r="AN331" s="268"/>
      <c r="AO331" s="268"/>
      <c r="AP331" s="268"/>
      <c r="AQ331" s="268"/>
      <c r="AR331" s="268"/>
      <c r="AS331" s="268"/>
      <c r="AT331" s="268"/>
      <c r="AU331" s="268"/>
      <c r="AV331" s="268"/>
    </row>
    <row r="332" spans="1:78" x14ac:dyDescent="0.25">
      <c r="A332" s="125"/>
      <c r="B332" s="19"/>
      <c r="P332" s="383"/>
      <c r="T332" s="380"/>
      <c r="U332" s="125"/>
      <c r="V332" s="19"/>
      <c r="W332" s="126"/>
      <c r="Y332" s="186"/>
      <c r="Z332" s="186"/>
      <c r="AA332" s="186"/>
      <c r="AB332" s="186"/>
      <c r="AC332" s="186"/>
      <c r="AD332" s="186"/>
      <c r="AF332" s="268"/>
      <c r="AG332" s="268"/>
      <c r="AH332" s="268"/>
      <c r="AI332" s="268"/>
      <c r="AJ332" s="268"/>
      <c r="AK332" s="268"/>
      <c r="AL332" s="268"/>
      <c r="AM332" s="268"/>
      <c r="AN332" s="268"/>
      <c r="AO332" s="268"/>
      <c r="AP332" s="268"/>
      <c r="AQ332" s="268"/>
      <c r="AR332" s="268"/>
      <c r="AS332" s="268"/>
      <c r="AT332" s="268"/>
      <c r="AU332" s="268"/>
      <c r="AV332" s="268"/>
    </row>
    <row r="333" spans="1:78" x14ac:dyDescent="0.25">
      <c r="A333" s="125"/>
      <c r="B333" s="19"/>
      <c r="P333" s="383"/>
      <c r="U333" s="125"/>
      <c r="V333" s="19"/>
      <c r="W333" s="126"/>
      <c r="Y333" s="186"/>
      <c r="Z333" s="186"/>
      <c r="AA333" s="186"/>
      <c r="AB333" s="186"/>
      <c r="AC333" s="186"/>
      <c r="AD333" s="186"/>
      <c r="AF333" s="268"/>
      <c r="AG333" s="268"/>
      <c r="AH333" s="268"/>
      <c r="AI333" s="268"/>
      <c r="AJ333" s="268"/>
      <c r="AK333" s="268"/>
      <c r="AL333" s="268"/>
      <c r="AM333" s="268"/>
      <c r="AN333" s="268"/>
      <c r="AO333" s="268"/>
      <c r="AP333" s="268"/>
      <c r="AQ333" s="268"/>
      <c r="AR333" s="268"/>
      <c r="AS333" s="268"/>
      <c r="AT333" s="268"/>
      <c r="AU333" s="268"/>
      <c r="AV333" s="268"/>
    </row>
    <row r="334" spans="1:78" x14ac:dyDescent="0.25">
      <c r="A334" s="125"/>
      <c r="B334" s="19"/>
      <c r="P334" s="383"/>
      <c r="V334" s="19"/>
      <c r="W334" s="19"/>
      <c r="Y334" s="186"/>
      <c r="Z334" s="186"/>
      <c r="AA334" s="186"/>
      <c r="AB334" s="186"/>
      <c r="AC334" s="186"/>
      <c r="AD334" s="186"/>
      <c r="AF334" s="268"/>
      <c r="AG334" s="268"/>
      <c r="AH334" s="268"/>
      <c r="AI334" s="268"/>
      <c r="AJ334" s="268"/>
      <c r="AK334" s="268"/>
      <c r="AL334" s="268"/>
      <c r="AM334" s="268"/>
      <c r="AN334" s="268"/>
      <c r="AO334" s="268"/>
      <c r="AP334" s="268"/>
      <c r="AQ334" s="268"/>
      <c r="AR334" s="268"/>
      <c r="AS334" s="268"/>
      <c r="AT334" s="268"/>
      <c r="AU334" s="268"/>
      <c r="AV334" s="268"/>
    </row>
    <row r="335" spans="1:78" x14ac:dyDescent="0.25">
      <c r="P335" s="383"/>
      <c r="AF335" s="268"/>
      <c r="AG335" s="268"/>
      <c r="AH335" s="268"/>
      <c r="AI335" s="268"/>
      <c r="AJ335" s="268"/>
      <c r="AK335" s="268"/>
      <c r="AL335" s="268"/>
      <c r="AM335" s="268"/>
      <c r="AN335" s="268"/>
      <c r="AO335" s="268"/>
      <c r="AP335" s="268"/>
      <c r="AQ335" s="268"/>
      <c r="AR335" s="268"/>
      <c r="AS335" s="268"/>
      <c r="AT335" s="268"/>
      <c r="AU335" s="268"/>
      <c r="AV335" s="268"/>
    </row>
    <row r="336" spans="1:78" x14ac:dyDescent="0.25">
      <c r="P336" s="383"/>
      <c r="AF336" s="268"/>
      <c r="AG336" s="268"/>
      <c r="AH336" s="268"/>
      <c r="AI336" s="268"/>
      <c r="AJ336" s="268"/>
      <c r="AK336" s="268"/>
      <c r="AL336" s="268"/>
      <c r="AM336" s="268"/>
      <c r="AN336" s="268"/>
      <c r="AO336" s="268"/>
      <c r="AP336" s="268"/>
      <c r="AQ336" s="268"/>
      <c r="AR336" s="268"/>
      <c r="AS336" s="268"/>
      <c r="AT336" s="268"/>
      <c r="AU336" s="268"/>
      <c r="AV336" s="268"/>
    </row>
    <row r="337" spans="16:48" x14ac:dyDescent="0.25">
      <c r="P337" s="383"/>
      <c r="AF337" s="268"/>
      <c r="AG337" s="268"/>
      <c r="AH337" s="268"/>
      <c r="AI337" s="268"/>
      <c r="AJ337" s="268"/>
      <c r="AK337" s="268"/>
      <c r="AL337" s="268"/>
      <c r="AM337" s="268"/>
      <c r="AN337" s="268"/>
      <c r="AO337" s="268"/>
      <c r="AP337" s="268"/>
      <c r="AQ337" s="268"/>
      <c r="AR337" s="268"/>
      <c r="AS337" s="268"/>
      <c r="AT337" s="268"/>
      <c r="AU337" s="268"/>
      <c r="AV337" s="268"/>
    </row>
    <row r="338" spans="16:48" x14ac:dyDescent="0.25">
      <c r="P338" s="383"/>
      <c r="AF338" s="268"/>
      <c r="AG338" s="268"/>
      <c r="AH338" s="268"/>
      <c r="AI338" s="268"/>
      <c r="AJ338" s="268"/>
      <c r="AK338" s="268"/>
      <c r="AL338" s="268"/>
      <c r="AM338" s="268"/>
      <c r="AN338" s="268"/>
      <c r="AO338" s="268"/>
      <c r="AP338" s="268"/>
      <c r="AQ338" s="268"/>
      <c r="AR338" s="268"/>
      <c r="AS338" s="268"/>
      <c r="AT338" s="268"/>
      <c r="AU338" s="268"/>
      <c r="AV338" s="268"/>
    </row>
    <row r="339" spans="16:48" x14ac:dyDescent="0.25">
      <c r="P339" s="383"/>
      <c r="AF339" s="268"/>
      <c r="AG339" s="268"/>
      <c r="AH339" s="268"/>
      <c r="AI339" s="268"/>
      <c r="AJ339" s="268"/>
      <c r="AK339" s="268"/>
      <c r="AL339" s="268"/>
      <c r="AM339" s="268"/>
      <c r="AN339" s="268"/>
      <c r="AO339" s="268"/>
      <c r="AP339" s="268"/>
      <c r="AQ339" s="268"/>
      <c r="AR339" s="268"/>
      <c r="AS339" s="268"/>
      <c r="AT339" s="268"/>
      <c r="AU339" s="268"/>
      <c r="AV339" s="268"/>
    </row>
    <row r="340" spans="16:48" x14ac:dyDescent="0.25">
      <c r="AF340" s="268"/>
      <c r="AG340" s="268"/>
      <c r="AH340" s="268"/>
      <c r="AI340" s="268"/>
      <c r="AJ340" s="268"/>
      <c r="AK340" s="268"/>
      <c r="AL340" s="268"/>
      <c r="AM340" s="268"/>
      <c r="AN340" s="268"/>
      <c r="AO340" s="268"/>
      <c r="AP340" s="268"/>
      <c r="AQ340" s="268"/>
      <c r="AR340" s="268"/>
      <c r="AS340" s="268"/>
      <c r="AT340" s="268"/>
      <c r="AU340" s="268"/>
      <c r="AV340" s="268"/>
    </row>
    <row r="341" spans="16:48" x14ac:dyDescent="0.25">
      <c r="AF341" s="268"/>
      <c r="AG341" s="268"/>
      <c r="AH341" s="268"/>
      <c r="AI341" s="268"/>
      <c r="AJ341" s="268"/>
      <c r="AK341" s="268"/>
      <c r="AL341" s="268"/>
      <c r="AM341" s="268"/>
      <c r="AN341" s="268"/>
      <c r="AO341" s="268"/>
      <c r="AP341" s="268"/>
      <c r="AQ341" s="268"/>
      <c r="AR341" s="268"/>
      <c r="AS341" s="268"/>
      <c r="AT341" s="268"/>
      <c r="AU341" s="268"/>
      <c r="AV341" s="268"/>
    </row>
    <row r="342" spans="16:48" x14ac:dyDescent="0.25">
      <c r="AF342" s="268"/>
      <c r="AG342" s="268"/>
      <c r="AH342" s="268"/>
      <c r="AI342" s="268"/>
      <c r="AJ342" s="268"/>
      <c r="AK342" s="268"/>
      <c r="AL342" s="268"/>
      <c r="AM342" s="268"/>
      <c r="AN342" s="268"/>
      <c r="AO342" s="268"/>
      <c r="AP342" s="268"/>
      <c r="AQ342" s="268"/>
      <c r="AR342" s="268"/>
      <c r="AS342" s="268"/>
      <c r="AT342" s="268"/>
      <c r="AU342" s="268"/>
      <c r="AV342" s="268"/>
    </row>
    <row r="343" spans="16:48" x14ac:dyDescent="0.25">
      <c r="AF343" s="268"/>
      <c r="AG343" s="268"/>
      <c r="AH343" s="268"/>
      <c r="AI343" s="268"/>
      <c r="AJ343" s="268"/>
      <c r="AK343" s="268"/>
      <c r="AL343" s="268"/>
      <c r="AM343" s="268"/>
      <c r="AN343" s="268"/>
      <c r="AO343" s="268"/>
      <c r="AP343" s="268"/>
      <c r="AQ343" s="268"/>
      <c r="AR343" s="268"/>
      <c r="AS343" s="268"/>
      <c r="AT343" s="268"/>
      <c r="AU343" s="268"/>
      <c r="AV343" s="268"/>
    </row>
    <row r="344" spans="16:48" x14ac:dyDescent="0.25">
      <c r="AF344" s="268"/>
      <c r="AG344" s="268"/>
      <c r="AH344" s="268"/>
      <c r="AI344" s="268"/>
      <c r="AJ344" s="268"/>
      <c r="AK344" s="268"/>
      <c r="AL344" s="268"/>
      <c r="AM344" s="268"/>
      <c r="AN344" s="268"/>
      <c r="AO344" s="268"/>
      <c r="AP344" s="268"/>
      <c r="AQ344" s="268"/>
      <c r="AR344" s="268"/>
      <c r="AS344" s="268"/>
      <c r="AT344" s="268"/>
      <c r="AU344" s="268"/>
      <c r="AV344" s="268"/>
    </row>
    <row r="345" spans="16:48" x14ac:dyDescent="0.25">
      <c r="AV345" s="268"/>
    </row>
    <row r="346" spans="16:48" x14ac:dyDescent="0.25">
      <c r="AV346" s="268"/>
    </row>
    <row r="347" spans="16:48" x14ac:dyDescent="0.25">
      <c r="AV347" s="268"/>
    </row>
    <row r="348" spans="16:48" x14ac:dyDescent="0.25">
      <c r="AV348" s="268"/>
    </row>
    <row r="349" spans="16:48" x14ac:dyDescent="0.25">
      <c r="AV349" s="268"/>
    </row>
    <row r="350" spans="16:48" x14ac:dyDescent="0.25">
      <c r="AV350" s="268"/>
    </row>
    <row r="351" spans="16:48" x14ac:dyDescent="0.25">
      <c r="AV351" s="268"/>
    </row>
    <row r="352" spans="16:48" x14ac:dyDescent="0.25">
      <c r="AV352" s="268"/>
    </row>
    <row r="353" spans="48:48" x14ac:dyDescent="0.25">
      <c r="AV353" s="268"/>
    </row>
    <row r="354" spans="48:48" x14ac:dyDescent="0.25">
      <c r="AV354" s="268"/>
    </row>
    <row r="355" spans="48:48" x14ac:dyDescent="0.25">
      <c r="AV355" s="268"/>
    </row>
  </sheetData>
  <mergeCells count="1">
    <mergeCell ref="D4:O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S k z 4 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S k z 4 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p M + E 4 o i k e 4 D g A A A B E A A A A T A B w A R m 9 y b X V s Y X M v U 2 V j d G l v b j E u b S C i G A A o o B Q A A A A A A A A A A A A A A A A A A A A A A A A A A A A r T k 0 u y c z P U w i G 0 I b W A F B L A Q I t A B Q A A g A I A E p M + E 7 G r a w E p w A A A P g A A A A S A A A A A A A A A A A A A A A A A A A A A A B D b 2 5 m a W c v U G F j a 2 F n Z S 5 4 b W x Q S w E C L Q A U A A I A C A B K T P h O D 8 r p q 6 Q A A A D p A A A A E w A A A A A A A A A A A A A A A A D z A A A A W 0 N v b n R l b n R f V H l w Z X N d L n h t b F B L A Q I t A B Q A A g A I A E p M + 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y B T q 6 g s 9 d S 5 L Q e A O W / b C o A A A A A A I A A A A A A A N m A A D A A A A A E A A A A L 9 q B V b E e B U m j I J v 5 E V 7 z / Y A A A A A B I A A A K A A A A A Q A A A A q k 7 j o E n v 6 V o W f w X p + 3 p A y 1 A A A A C t g z R Q Z Y H F T B V w N o 1 Y 3 9 a 9 P J D I T 6 W 4 K C T n e 3 9 r b O Q q H E P m 7 5 q f o 7 P 3 I U Z e 9 J n 5 P h S z d q l z L q k B J o U 3 1 s y d c X h / s t 2 L M j R 9 v 4 z D o W i f r T c Q G R Q A A A D h q Q g Z 7 n y 8 X G O V l c J 5 N k / Z z 2 n a 7 g = = < / D a t a M a s h u p > 
</file>

<file path=customXml/itemProps1.xml><?xml version="1.0" encoding="utf-8"?>
<ds:datastoreItem xmlns:ds="http://schemas.openxmlformats.org/officeDocument/2006/customXml" ds:itemID="{A63C104A-70F8-4CD5-BBA4-D75A0B0331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Read the Instructions</vt:lpstr>
      <vt:lpstr>2020 PRT</vt:lpstr>
      <vt:lpstr>2024Comp&amp;Contr</vt:lpstr>
      <vt:lpstr>Collective NPL</vt:lpstr>
      <vt:lpstr>CCDDD List</vt:lpstr>
      <vt:lpstr>Total Contributions</vt:lpstr>
      <vt:lpstr>2024 ER Compensation</vt:lpstr>
      <vt:lpstr>Do not delete</vt:lpstr>
      <vt:lpstr>2024 PEFI ER Contributions</vt:lpstr>
      <vt:lpstr>Note Tables 1&amp;2</vt:lpstr>
      <vt:lpstr>'2020 PRT'!Print_Area</vt:lpstr>
      <vt:lpstr>'2024Comp&amp;Contr'!Print_Area</vt:lpstr>
      <vt:lpstr>'Read the Instructions'!Print_Area</vt:lpstr>
      <vt:lpstr>'Read the 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 Reporting Tool</dc:title>
  <dc:creator>Paul Stone</dc:creator>
  <cp:lastModifiedBy>Paul Stone</cp:lastModifiedBy>
  <cp:lastPrinted>2024-08-06T14:31:08Z</cp:lastPrinted>
  <dcterms:created xsi:type="dcterms:W3CDTF">2015-08-19T21:57:48Z</dcterms:created>
  <dcterms:modified xsi:type="dcterms:W3CDTF">2024-08-06T14:34:59Z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2024-08-05T16:30:54Z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1a841821-881b-4cf9-af28-9b898f180727</vt:lpwstr>
  </property>
  <property fmtid="{D5CDD505-2E9C-101B-9397-08002B2CF9AE}" pid="8" name="MSIP_Label_9145f431-4c8c-42c6-a5a5-ba6d3bdea585_ContentBits">
    <vt:lpwstr>0</vt:lpwstr>
  </property>
</Properties>
</file>