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defaultThemeVersion="124226"/>
  <mc:AlternateContent xmlns:mc="http://schemas.openxmlformats.org/markup-compatibility/2006">
    <mc:Choice Requires="x15">
      <x15ac:absPath xmlns:x15ac="http://schemas.microsoft.com/office/spreadsheetml/2010/11/ac" url="https://waospi-my.sharepoint.com/personal/carrie_hert_k12_wa_us/Documents/Desktop/Paul Docs to Post/"/>
    </mc:Choice>
  </mc:AlternateContent>
  <xr:revisionPtr revIDLastSave="0" documentId="8_{A02344A5-CF9F-4D5B-8603-5901A578F3F4}" xr6:coauthVersionLast="47" xr6:coauthVersionMax="47" xr10:uidLastSave="{00000000-0000-0000-0000-000000000000}"/>
  <bookViews>
    <workbookView xWindow="-108" yWindow="-108" windowWidth="23256" windowHeight="12576" tabRatio="935" firstSheet="2" activeTab="2" xr2:uid="{00000000-000D-0000-FFFF-FFFF00000000}"/>
  </bookViews>
  <sheets>
    <sheet name="Please Read Instructions" sheetId="29" r:id="rId1"/>
    <sheet name="CCDDD" sheetId="26" state="hidden" r:id="rId2"/>
    <sheet name="Fund Balance Summary" sheetId="24" r:id="rId3"/>
    <sheet name="ALLOC" sheetId="28" state="hidden" r:id="rId4"/>
    <sheet name="Indirects" sheetId="27" state="hidden" r:id="rId5"/>
    <sheet name="GL 810 Restricted" sheetId="2" r:id="rId6"/>
    <sheet name="GL 815 Restricted" sheetId="3" r:id="rId7"/>
    <sheet name="GL 819 Restricted" sheetId="34" r:id="rId8"/>
    <sheet name="GL 821 Restricted" sheetId="4" r:id="rId9"/>
    <sheet name="PLD Allocation" sheetId="50" state="hidden" r:id="rId10"/>
    <sheet name="1191 PLD 34 Annual Detail" sheetId="53" state="hidden" r:id="rId11"/>
    <sheet name="GL 823 Restricted" sheetId="56" r:id="rId12"/>
    <sheet name="GL 825 Restricted" sheetId="33" r:id="rId13"/>
    <sheet name="GL 828 Restricted" sheetId="31" r:id="rId14"/>
    <sheet name="23-24 SCA 619811" sheetId="58" state="hidden" r:id="rId15"/>
    <sheet name="SCA Illustration" sheetId="54" state="hidden" r:id="rId16"/>
    <sheet name="Food Svc Carryover" sheetId="32" state="hidden" r:id="rId17"/>
    <sheet name="GL 830 Restricted" sheetId="5" r:id="rId18"/>
    <sheet name="GL 835 Restricted" sheetId="6" r:id="rId19"/>
    <sheet name="GL 840 Nonspendable" sheetId="1" r:id="rId20"/>
    <sheet name="GL 845 Restricted" sheetId="7" r:id="rId21"/>
    <sheet name="GL 850 Restricted" sheetId="8" r:id="rId22"/>
    <sheet name="GL 855 Nonspendable" sheetId="9" r:id="rId23"/>
    <sheet name="GL 861 CPF Restricted" sheetId="10" r:id="rId24"/>
    <sheet name="GL 862 CPF Restricted" sheetId="11" r:id="rId25"/>
    <sheet name="GL 863 CPF Restricted" sheetId="12" r:id="rId26"/>
    <sheet name="GL 864 CPF Restricted" sheetId="13" r:id="rId27"/>
    <sheet name="GL 865 CPF Restricted" sheetId="14" r:id="rId28"/>
    <sheet name="GL 866 CPF Restricted" sheetId="15" r:id="rId29"/>
    <sheet name="GL 867 CPF Restricted" sheetId="16" r:id="rId30"/>
    <sheet name="GL 869 CPF Restricted" sheetId="17" r:id="rId31"/>
    <sheet name="GL 870 Committed" sheetId="18" r:id="rId32"/>
    <sheet name="GL 872 Committed" sheetId="19" r:id="rId33"/>
    <sheet name="GL 873 Committed" sheetId="55" r:id="rId34"/>
    <sheet name="GL 875 Assigned" sheetId="20" r:id="rId35"/>
    <sheet name="GL 884 Assigned" sheetId="21" r:id="rId36"/>
    <sheet name="GL 888 Assigned" sheetId="25" r:id="rId37"/>
    <sheet name="GL 889 Assigned" sheetId="22" r:id="rId38"/>
    <sheet name="GL 890 Unassigned" sheetId="23" r:id="rId39"/>
    <sheet name="GL 891 Unassigned MFBP" sheetId="38" r:id="rId40"/>
    <sheet name="Journal Entries" sheetId="30" r:id="rId41"/>
  </sheets>
  <definedNames>
    <definedName name="_xlnm._FilterDatabase" localSheetId="2" hidden="1">'Fund Balance Summary'!$A$1:$B$2</definedName>
    <definedName name="DISNAME">ALLOC!$C$7:$C$337</definedName>
    <definedName name="_xlnm.Print_Area" localSheetId="2">'Fund Balance Summary'!$A$1:$O$56</definedName>
    <definedName name="_xlnm.Print_Area" localSheetId="8">'GL 821 Restricted'!$A$70:$C$90</definedName>
    <definedName name="_xlnm.Print_Area" localSheetId="11">'GL 823 Restricted'!$A$1:$G$23</definedName>
    <definedName name="_xlnm.Print_Area" localSheetId="13">'GL 828 Restricted'!$A$1:$F$51</definedName>
    <definedName name="_xlnm.Print_Area" localSheetId="0">'Please Read Instructions'!#REF!</definedName>
    <definedName name="solver_eng" localSheetId="0" hidden="1">1</definedName>
    <definedName name="solver_neg" localSheetId="0" hidden="1">1</definedName>
    <definedName name="solver_num" localSheetId="0" hidden="1">0</definedName>
    <definedName name="solver_opt" localSheetId="0" hidden="1">'Please Read Instructions'!$B$2</definedName>
    <definedName name="solver_typ" localSheetId="0" hidden="1">1</definedName>
    <definedName name="solver_val" localSheetId="0" hidden="1">0</definedName>
    <definedName name="solver_ver" localSheetId="0" hidden="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58" l="1"/>
  <c r="E3" i="58"/>
  <c r="A338" i="58"/>
  <c r="C337" i="58"/>
  <c r="C336" i="58"/>
  <c r="C335" i="58"/>
  <c r="C334" i="58"/>
  <c r="C333" i="58"/>
  <c r="C332" i="58"/>
  <c r="C331" i="58"/>
  <c r="C330" i="58"/>
  <c r="C329" i="58"/>
  <c r="C328" i="58"/>
  <c r="C327" i="58"/>
  <c r="C326" i="58"/>
  <c r="C325" i="58"/>
  <c r="C324" i="58"/>
  <c r="C323" i="58"/>
  <c r="C322" i="58"/>
  <c r="C321" i="58"/>
  <c r="C320" i="58"/>
  <c r="C319" i="58"/>
  <c r="C318" i="58"/>
  <c r="C317" i="58"/>
  <c r="C316" i="58"/>
  <c r="C315" i="58"/>
  <c r="C314" i="58"/>
  <c r="C313" i="58"/>
  <c r="C312" i="58"/>
  <c r="C311" i="58"/>
  <c r="C310" i="58"/>
  <c r="C309" i="58"/>
  <c r="C308" i="58"/>
  <c r="C307" i="58"/>
  <c r="C306" i="58"/>
  <c r="C305" i="58"/>
  <c r="C304" i="58"/>
  <c r="C303" i="58"/>
  <c r="C302" i="58"/>
  <c r="C301" i="58"/>
  <c r="C300" i="58"/>
  <c r="C299" i="58"/>
  <c r="C298" i="58"/>
  <c r="C297" i="58"/>
  <c r="C296" i="58"/>
  <c r="C295" i="58"/>
  <c r="C294" i="58"/>
  <c r="C293" i="58"/>
  <c r="C292" i="58"/>
  <c r="C291" i="58"/>
  <c r="C290" i="58"/>
  <c r="C289" i="58"/>
  <c r="C288" i="58"/>
  <c r="C287" i="58"/>
  <c r="C286" i="58"/>
  <c r="C285" i="58"/>
  <c r="C284" i="58"/>
  <c r="C283" i="58"/>
  <c r="C282" i="58"/>
  <c r="C281" i="58"/>
  <c r="C280" i="58"/>
  <c r="C279" i="58"/>
  <c r="C278" i="58"/>
  <c r="C277" i="58"/>
  <c r="C276" i="58"/>
  <c r="C275" i="58"/>
  <c r="C274" i="58"/>
  <c r="C273" i="58"/>
  <c r="C272" i="58"/>
  <c r="C271" i="58"/>
  <c r="C270" i="58"/>
  <c r="C269" i="58"/>
  <c r="C268" i="58"/>
  <c r="C267" i="58"/>
  <c r="C266" i="58"/>
  <c r="C265" i="58"/>
  <c r="C264" i="58"/>
  <c r="C263" i="58"/>
  <c r="C262" i="58"/>
  <c r="C261" i="58"/>
  <c r="C260" i="58"/>
  <c r="C259" i="58"/>
  <c r="C258" i="58"/>
  <c r="C257" i="58"/>
  <c r="C256" i="58"/>
  <c r="C255" i="58"/>
  <c r="C254" i="58"/>
  <c r="C253" i="58"/>
  <c r="C252" i="58"/>
  <c r="C251" i="58"/>
  <c r="C250" i="58"/>
  <c r="C249" i="58"/>
  <c r="C248" i="58"/>
  <c r="C247" i="58"/>
  <c r="C246" i="58"/>
  <c r="C245" i="58"/>
  <c r="C244" i="58"/>
  <c r="C243" i="58"/>
  <c r="C242" i="58"/>
  <c r="C241" i="58"/>
  <c r="C240" i="58"/>
  <c r="C239" i="58"/>
  <c r="C238" i="58"/>
  <c r="C237" i="58"/>
  <c r="C236" i="58"/>
  <c r="C235" i="58"/>
  <c r="C234" i="58"/>
  <c r="C233" i="58"/>
  <c r="C232" i="58"/>
  <c r="C231" i="58"/>
  <c r="C230" i="58"/>
  <c r="C229" i="58"/>
  <c r="C228" i="58"/>
  <c r="C227" i="58"/>
  <c r="C226" i="58"/>
  <c r="C225" i="58"/>
  <c r="C224" i="58"/>
  <c r="C223" i="58"/>
  <c r="C222" i="58"/>
  <c r="C221" i="58"/>
  <c r="C220" i="58"/>
  <c r="C219" i="58"/>
  <c r="C218" i="58"/>
  <c r="C217" i="58"/>
  <c r="C216" i="58"/>
  <c r="C215" i="58"/>
  <c r="C214" i="58"/>
  <c r="C213" i="58"/>
  <c r="C212" i="58"/>
  <c r="C211" i="58"/>
  <c r="C210" i="58"/>
  <c r="C209" i="58"/>
  <c r="C208" i="58"/>
  <c r="C207" i="58"/>
  <c r="C206" i="58"/>
  <c r="C205" i="58"/>
  <c r="C204" i="58"/>
  <c r="C203" i="58"/>
  <c r="C202" i="58"/>
  <c r="C201" i="58"/>
  <c r="C200" i="58"/>
  <c r="C199" i="58"/>
  <c r="C198" i="58"/>
  <c r="C197" i="58"/>
  <c r="C196" i="58"/>
  <c r="C195" i="58"/>
  <c r="C194" i="58"/>
  <c r="C193" i="58"/>
  <c r="C192" i="58"/>
  <c r="C191" i="58"/>
  <c r="C190" i="58"/>
  <c r="C189" i="58"/>
  <c r="C188" i="58"/>
  <c r="C187" i="58"/>
  <c r="C186" i="58"/>
  <c r="C185" i="58"/>
  <c r="C184" i="58"/>
  <c r="C183" i="58"/>
  <c r="C182" i="58"/>
  <c r="C181" i="58"/>
  <c r="C180" i="58"/>
  <c r="C179" i="58"/>
  <c r="C178" i="58"/>
  <c r="C177" i="58"/>
  <c r="C176" i="58"/>
  <c r="C175" i="58"/>
  <c r="C174" i="58"/>
  <c r="C173" i="58"/>
  <c r="C172" i="58"/>
  <c r="C171" i="58"/>
  <c r="C170" i="58"/>
  <c r="C169" i="58"/>
  <c r="C168" i="58"/>
  <c r="C167" i="58"/>
  <c r="C166" i="58"/>
  <c r="C165" i="58"/>
  <c r="C164" i="58"/>
  <c r="C163" i="58"/>
  <c r="C162" i="58"/>
  <c r="C161" i="58"/>
  <c r="C160" i="58"/>
  <c r="C159" i="58"/>
  <c r="C158" i="58"/>
  <c r="C157" i="58"/>
  <c r="C156" i="58"/>
  <c r="C155" i="58"/>
  <c r="C154" i="58"/>
  <c r="C153" i="58"/>
  <c r="C152" i="58"/>
  <c r="C151" i="58"/>
  <c r="C150" i="58"/>
  <c r="C149" i="58"/>
  <c r="C148" i="58"/>
  <c r="C147" i="58"/>
  <c r="C146" i="58"/>
  <c r="C145" i="58"/>
  <c r="C144" i="58"/>
  <c r="C143" i="58"/>
  <c r="C142" i="58"/>
  <c r="C141" i="58"/>
  <c r="C140" i="58"/>
  <c r="C139" i="58"/>
  <c r="C138" i="58"/>
  <c r="C137" i="58"/>
  <c r="C136" i="58"/>
  <c r="C135" i="58"/>
  <c r="C134" i="58"/>
  <c r="C133" i="58"/>
  <c r="C132" i="58"/>
  <c r="C131" i="58"/>
  <c r="C130" i="58"/>
  <c r="C129" i="58"/>
  <c r="C128" i="58"/>
  <c r="C127" i="58"/>
  <c r="C126" i="58"/>
  <c r="C125" i="58"/>
  <c r="C124" i="58"/>
  <c r="C123" i="58"/>
  <c r="C122" i="58"/>
  <c r="C121" i="58"/>
  <c r="C120" i="58"/>
  <c r="C119" i="58"/>
  <c r="C118" i="58"/>
  <c r="C117" i="58"/>
  <c r="C116" i="58"/>
  <c r="C115" i="58"/>
  <c r="C114" i="58"/>
  <c r="C113" i="58"/>
  <c r="C112" i="58"/>
  <c r="C111" i="58"/>
  <c r="C110" i="58"/>
  <c r="C109" i="58"/>
  <c r="C108" i="58"/>
  <c r="C107" i="58"/>
  <c r="C106" i="58"/>
  <c r="C105" i="58"/>
  <c r="C104" i="58"/>
  <c r="C103" i="58"/>
  <c r="C102" i="58"/>
  <c r="C101" i="58"/>
  <c r="C100" i="58"/>
  <c r="C99" i="58"/>
  <c r="C98" i="58"/>
  <c r="C97" i="58"/>
  <c r="C96" i="58"/>
  <c r="C95" i="58"/>
  <c r="C94" i="58"/>
  <c r="C93" i="58"/>
  <c r="C92" i="58"/>
  <c r="C91" i="58"/>
  <c r="C90" i="58"/>
  <c r="C89" i="58"/>
  <c r="C88" i="58"/>
  <c r="C87" i="58"/>
  <c r="C86" i="58"/>
  <c r="C85" i="58"/>
  <c r="C84" i="58"/>
  <c r="C83" i="58"/>
  <c r="C82" i="58"/>
  <c r="C81" i="58"/>
  <c r="C80" i="58"/>
  <c r="C79" i="58"/>
  <c r="C78" i="58"/>
  <c r="C77" i="58"/>
  <c r="C76" i="58"/>
  <c r="C75" i="58"/>
  <c r="C74" i="58"/>
  <c r="C73" i="58"/>
  <c r="C72" i="58"/>
  <c r="C71" i="58"/>
  <c r="C70" i="58"/>
  <c r="C69" i="58"/>
  <c r="C68" i="58"/>
  <c r="C67" i="58"/>
  <c r="C66" i="58"/>
  <c r="C65" i="58"/>
  <c r="C64" i="58"/>
  <c r="C63" i="58"/>
  <c r="C62" i="58"/>
  <c r="C61" i="58"/>
  <c r="C60" i="58"/>
  <c r="C59" i="58"/>
  <c r="C58" i="58"/>
  <c r="C57" i="58"/>
  <c r="C56" i="58"/>
  <c r="C55" i="58"/>
  <c r="C54" i="58"/>
  <c r="C53" i="58"/>
  <c r="C52" i="58"/>
  <c r="C51" i="58"/>
  <c r="C50" i="58"/>
  <c r="C49" i="58"/>
  <c r="C48" i="58"/>
  <c r="C47" i="58"/>
  <c r="C46" i="58"/>
  <c r="C45" i="58"/>
  <c r="C44" i="58"/>
  <c r="C43" i="58"/>
  <c r="C42" i="58"/>
  <c r="C41" i="58"/>
  <c r="C40" i="58"/>
  <c r="C39" i="58"/>
  <c r="C38" i="58"/>
  <c r="C37" i="58"/>
  <c r="C36" i="58"/>
  <c r="C35" i="58"/>
  <c r="C34" i="58"/>
  <c r="C33" i="58"/>
  <c r="C32" i="58"/>
  <c r="C31" i="58"/>
  <c r="C30" i="58"/>
  <c r="C29" i="58"/>
  <c r="C28" i="58"/>
  <c r="C27" i="58"/>
  <c r="C26" i="58"/>
  <c r="C25" i="58"/>
  <c r="C24" i="58"/>
  <c r="C23" i="58"/>
  <c r="C22" i="58"/>
  <c r="C21" i="58"/>
  <c r="C20" i="58"/>
  <c r="C19" i="58"/>
  <c r="C18" i="58"/>
  <c r="C17" i="58"/>
  <c r="C16" i="58"/>
  <c r="C15" i="58"/>
  <c r="C14" i="58"/>
  <c r="C13" i="58"/>
  <c r="C12" i="58"/>
  <c r="C11" i="58"/>
  <c r="C10" i="58"/>
  <c r="C9" i="58"/>
  <c r="C8" i="58"/>
  <c r="C7" i="58"/>
  <c r="O2" i="53"/>
  <c r="AP335" i="50"/>
  <c r="AQ84" i="50"/>
  <c r="AP84" i="50"/>
  <c r="AQ171" i="50"/>
  <c r="AP171" i="50"/>
  <c r="AP322" i="50"/>
  <c r="AP314" i="50"/>
  <c r="AP338" i="50"/>
  <c r="AP107" i="50"/>
  <c r="AP114" i="50"/>
  <c r="AP298" i="50"/>
  <c r="AP288" i="50"/>
  <c r="AQ106" i="50"/>
  <c r="AP106" i="50"/>
  <c r="AP153" i="50"/>
  <c r="AP256" i="50"/>
  <c r="AP71" i="50"/>
  <c r="AP336" i="50"/>
  <c r="AP177" i="50"/>
  <c r="AP304" i="50"/>
  <c r="AP227" i="50"/>
  <c r="AQ193" i="50"/>
  <c r="AP193" i="50"/>
  <c r="AP274" i="50"/>
  <c r="AP250" i="50"/>
  <c r="AP78" i="50"/>
  <c r="AP50" i="50"/>
  <c r="AP280" i="50"/>
  <c r="AP102" i="50"/>
  <c r="AP211" i="50"/>
  <c r="AQ48" i="50"/>
  <c r="AP48" i="50"/>
  <c r="AP226" i="50"/>
  <c r="AP293" i="50"/>
  <c r="AP143" i="50"/>
  <c r="AP138" i="50"/>
  <c r="AP150" i="50"/>
  <c r="AP323" i="50"/>
  <c r="AP172" i="50"/>
  <c r="AQ183" i="50"/>
  <c r="AP183" i="50"/>
  <c r="AP163" i="50"/>
  <c r="AP152" i="50"/>
  <c r="AP22" i="50"/>
  <c r="AP97" i="50"/>
  <c r="AP18" i="50"/>
  <c r="AP223" i="50"/>
  <c r="AP312" i="50"/>
  <c r="AQ52" i="50"/>
  <c r="AP52" i="50"/>
  <c r="AP299" i="50"/>
  <c r="AP49" i="50"/>
  <c r="AP313" i="50"/>
  <c r="AP69" i="50"/>
  <c r="AP310" i="50"/>
  <c r="AP309" i="50"/>
  <c r="AQ86" i="50"/>
  <c r="AP86" i="50"/>
  <c r="AP294" i="50"/>
  <c r="AP247" i="50"/>
  <c r="AP112" i="50"/>
  <c r="AP235" i="50"/>
  <c r="AQ199" i="50"/>
  <c r="AP199" i="50"/>
  <c r="AP303" i="50"/>
  <c r="AP189" i="50"/>
  <c r="AP337" i="50"/>
  <c r="AP132" i="50"/>
  <c r="AP190" i="50"/>
  <c r="AP157" i="50"/>
  <c r="AP51" i="50"/>
  <c r="AQ95" i="50"/>
  <c r="AP95" i="50"/>
  <c r="AP283" i="50"/>
  <c r="AP147" i="50"/>
  <c r="AP53" i="50"/>
  <c r="AP306" i="50"/>
  <c r="AP319" i="50"/>
  <c r="AP42" i="50"/>
  <c r="AP202" i="50"/>
  <c r="AQ224" i="50"/>
  <c r="AP224" i="50"/>
  <c r="AP149" i="50"/>
  <c r="AP272" i="50"/>
  <c r="AQ83" i="50"/>
  <c r="AP83" i="50"/>
  <c r="AQ245" i="50"/>
  <c r="AP245" i="50"/>
  <c r="AP67" i="50"/>
  <c r="AP321" i="50"/>
  <c r="AP144" i="50"/>
  <c r="AQ70" i="50"/>
  <c r="AP70" i="50"/>
  <c r="AP41" i="50"/>
  <c r="AP101" i="50"/>
  <c r="AP38" i="50"/>
  <c r="AQ160" i="50"/>
  <c r="AP160" i="50"/>
  <c r="AP161" i="50"/>
  <c r="AP182" i="50"/>
  <c r="AP110" i="50"/>
  <c r="AQ204" i="50"/>
  <c r="AP204" i="50"/>
  <c r="AP271" i="50"/>
  <c r="AP275" i="50"/>
  <c r="AP108" i="50"/>
  <c r="AQ64" i="50"/>
  <c r="AP64" i="50"/>
  <c r="AP282" i="50"/>
  <c r="AP142" i="50"/>
  <c r="AP264" i="50"/>
  <c r="AQ166" i="50"/>
  <c r="AP166" i="50"/>
  <c r="AP124" i="50"/>
  <c r="AP158" i="50"/>
  <c r="AP12" i="50"/>
  <c r="AQ75" i="50"/>
  <c r="AP75" i="50"/>
  <c r="AP176" i="50"/>
  <c r="AP140" i="50"/>
  <c r="AP93" i="50"/>
  <c r="AQ281" i="50"/>
  <c r="AP281" i="50"/>
  <c r="AP165" i="50"/>
  <c r="AP173" i="50"/>
  <c r="AP262" i="50"/>
  <c r="AQ91" i="50"/>
  <c r="AP91" i="50"/>
  <c r="AP174" i="50"/>
  <c r="AP55" i="50"/>
  <c r="AP136" i="50"/>
  <c r="AP11" i="50"/>
  <c r="AP255" i="50"/>
  <c r="AP28" i="50"/>
  <c r="AP54" i="50"/>
  <c r="AQ252" i="50"/>
  <c r="AP252" i="50"/>
  <c r="AP148" i="50"/>
  <c r="AP203" i="50"/>
  <c r="AP259" i="50"/>
  <c r="AP285" i="50"/>
  <c r="AP120" i="50"/>
  <c r="AP43" i="50"/>
  <c r="AP98" i="50"/>
  <c r="AP325" i="50"/>
  <c r="AP74" i="50"/>
  <c r="AP20" i="50"/>
  <c r="AP100" i="50"/>
  <c r="AP217" i="50"/>
  <c r="AP47" i="50"/>
  <c r="AP208" i="50"/>
  <c r="AP68" i="50"/>
  <c r="AP287" i="50"/>
  <c r="AP305" i="50"/>
  <c r="AP31" i="50"/>
  <c r="AP290" i="50"/>
  <c r="AP228" i="50"/>
  <c r="AP279" i="50"/>
  <c r="AP257" i="50"/>
  <c r="AP62" i="50"/>
  <c r="AP181" i="50"/>
  <c r="AP188" i="50"/>
  <c r="AP329" i="50"/>
  <c r="AP179" i="50"/>
  <c r="AP267" i="50"/>
  <c r="AP238" i="50"/>
  <c r="AP195" i="50"/>
  <c r="AP212" i="50"/>
  <c r="AQ207" i="50"/>
  <c r="AP207" i="50"/>
  <c r="AP297" i="50"/>
  <c r="AP164" i="50"/>
  <c r="AP214" i="50"/>
  <c r="AP25" i="50"/>
  <c r="AP198" i="50"/>
  <c r="AP200" i="50"/>
  <c r="AP180" i="50"/>
  <c r="AP117" i="50"/>
  <c r="AP187" i="50"/>
  <c r="AP219" i="50"/>
  <c r="AP156" i="50"/>
  <c r="AP260" i="50"/>
  <c r="AP109" i="50"/>
  <c r="AP270" i="50"/>
  <c r="AP65" i="50"/>
  <c r="AP113" i="50"/>
  <c r="AP328" i="50"/>
  <c r="AP197" i="50"/>
  <c r="AP60" i="50"/>
  <c r="AP10" i="50"/>
  <c r="AP239" i="50"/>
  <c r="AP273" i="50"/>
  <c r="AP39" i="50"/>
  <c r="AP324" i="50"/>
  <c r="AP40" i="50"/>
  <c r="AP216" i="50"/>
  <c r="AP201" i="50"/>
  <c r="AP296" i="50"/>
  <c r="AP23" i="50"/>
  <c r="AP331" i="50"/>
  <c r="AP9" i="50"/>
  <c r="AQ168" i="50"/>
  <c r="AP168" i="50"/>
  <c r="AP170" i="50"/>
  <c r="AP92" i="50"/>
  <c r="AP178" i="50"/>
  <c r="AP151" i="50"/>
  <c r="AP326" i="50"/>
  <c r="AP104" i="50"/>
  <c r="AP248" i="50"/>
  <c r="AP135" i="50"/>
  <c r="AP103" i="50"/>
  <c r="AP301" i="50"/>
  <c r="AP36" i="50"/>
  <c r="AP21" i="50"/>
  <c r="AP333" i="50"/>
  <c r="AP46" i="50"/>
  <c r="AP134" i="50"/>
  <c r="AP76" i="50"/>
  <c r="AP295" i="50"/>
  <c r="AP73" i="50"/>
  <c r="AP63" i="50"/>
  <c r="AP289" i="50"/>
  <c r="AP35" i="50"/>
  <c r="AQ87" i="50"/>
  <c r="AP87" i="50"/>
  <c r="AP268" i="50"/>
  <c r="AQ37" i="50"/>
  <c r="AP37" i="50"/>
  <c r="AP186" i="50"/>
  <c r="AP15" i="50"/>
  <c r="AP24" i="50"/>
  <c r="AQ119" i="50"/>
  <c r="AP119" i="50"/>
  <c r="AP327" i="50"/>
  <c r="AP122" i="50"/>
  <c r="AP121" i="50"/>
  <c r="AP237" i="50"/>
  <c r="AP236" i="50"/>
  <c r="AP284" i="50"/>
  <c r="AP175" i="50"/>
  <c r="AQ286" i="50"/>
  <c r="AP286" i="50"/>
  <c r="AQ88" i="50"/>
  <c r="AP88" i="50"/>
  <c r="AP191" i="50"/>
  <c r="AP131" i="50"/>
  <c r="AQ141" i="50"/>
  <c r="AP141" i="50"/>
  <c r="AP261" i="50"/>
  <c r="AP125" i="50"/>
  <c r="AP265" i="50"/>
  <c r="AP292" i="50"/>
  <c r="AP14" i="50"/>
  <c r="AP246" i="50"/>
  <c r="AP302" i="50"/>
  <c r="AQ17" i="50"/>
  <c r="AP17" i="50"/>
  <c r="AP263" i="50"/>
  <c r="AP240" i="50"/>
  <c r="AP308" i="50"/>
  <c r="AP115" i="50"/>
  <c r="AP162" i="50"/>
  <c r="AP80" i="50"/>
  <c r="AP96" i="50"/>
  <c r="AQ254" i="50"/>
  <c r="AP254" i="50"/>
  <c r="AP222" i="50"/>
  <c r="AP44" i="50"/>
  <c r="AP230" i="50"/>
  <c r="AP27" i="50"/>
  <c r="AP229" i="50"/>
  <c r="AP269" i="50"/>
  <c r="AP58" i="50"/>
  <c r="AQ192" i="50"/>
  <c r="AP192" i="50"/>
  <c r="AP194" i="50"/>
  <c r="AP196" i="50"/>
  <c r="AP332" i="50"/>
  <c r="AP253" i="50"/>
  <c r="AP56" i="50"/>
  <c r="AP233" i="50"/>
  <c r="AP291" i="50"/>
  <c r="AQ77" i="50"/>
  <c r="AP77" i="50"/>
  <c r="AP167" i="50"/>
  <c r="AP159" i="50"/>
  <c r="AP184" i="50"/>
  <c r="AP118" i="50"/>
  <c r="AP8" i="50"/>
  <c r="AP105" i="50"/>
  <c r="AP330" i="50"/>
  <c r="AQ81" i="50"/>
  <c r="AP81" i="50"/>
  <c r="AP169" i="50"/>
  <c r="AP251" i="50"/>
  <c r="AP266" i="50"/>
  <c r="AP57" i="50"/>
  <c r="AP315" i="50"/>
  <c r="AP234" i="50"/>
  <c r="AP311" i="50"/>
  <c r="AQ220" i="50"/>
  <c r="AP220" i="50"/>
  <c r="AQ89" i="50"/>
  <c r="AP89" i="50"/>
  <c r="AP126" i="50"/>
  <c r="AP276" i="50"/>
  <c r="AQ185" i="50"/>
  <c r="AP185" i="50"/>
  <c r="AP213" i="50"/>
  <c r="AP241" i="50"/>
  <c r="AP123" i="50"/>
  <c r="AQ205" i="50"/>
  <c r="AP205" i="50"/>
  <c r="AP61" i="50"/>
  <c r="AP128" i="50"/>
  <c r="AP318" i="50"/>
  <c r="AQ154" i="50"/>
  <c r="AP154" i="50"/>
  <c r="AP72" i="50"/>
  <c r="AP210" i="50"/>
  <c r="AP26" i="50"/>
  <c r="AQ206" i="50"/>
  <c r="AP206" i="50"/>
  <c r="AP129" i="50"/>
  <c r="AP334" i="50"/>
  <c r="AP127" i="50"/>
  <c r="AQ34" i="50"/>
  <c r="AP34" i="50"/>
  <c r="AP300" i="50"/>
  <c r="AP146" i="50"/>
  <c r="AP277" i="50"/>
  <c r="AQ66" i="50"/>
  <c r="AP66" i="50"/>
  <c r="AP249" i="50"/>
  <c r="AP85" i="50"/>
  <c r="AQ82" i="50"/>
  <c r="AP82" i="50"/>
  <c r="AP243" i="50"/>
  <c r="AP16" i="50"/>
  <c r="AP29" i="50"/>
  <c r="AP94" i="50"/>
  <c r="AP316" i="50"/>
  <c r="AP111" i="50"/>
  <c r="AP137" i="50"/>
  <c r="AP116" i="50"/>
  <c r="AP307" i="50"/>
  <c r="AP231" i="50"/>
  <c r="AP232" i="50"/>
  <c r="AP30" i="50"/>
  <c r="AP258" i="50"/>
  <c r="AP59" i="50"/>
  <c r="AP221" i="50"/>
  <c r="AP218" i="50"/>
  <c r="AP90" i="50"/>
  <c r="AP320" i="50"/>
  <c r="AP32" i="50"/>
  <c r="AP33" i="50"/>
  <c r="AP139" i="50"/>
  <c r="AP79" i="50"/>
  <c r="AP278" i="50"/>
  <c r="AP155" i="50"/>
  <c r="AP242" i="50"/>
  <c r="AP225" i="50"/>
  <c r="AP99" i="50"/>
  <c r="AP133" i="50"/>
  <c r="AQ215" i="50"/>
  <c r="AP215" i="50"/>
  <c r="AP130" i="50"/>
  <c r="AP13" i="50"/>
  <c r="AP45" i="50"/>
  <c r="AP244" i="50"/>
  <c r="AP145" i="50"/>
  <c r="AP209" i="50"/>
  <c r="AP19" i="50"/>
  <c r="AA335" i="50"/>
  <c r="AA84" i="50"/>
  <c r="AA171" i="50"/>
  <c r="AA322" i="50"/>
  <c r="AA314" i="50"/>
  <c r="AA338" i="50"/>
  <c r="AA107" i="50"/>
  <c r="AA114" i="50"/>
  <c r="AA298" i="50"/>
  <c r="AA288" i="50"/>
  <c r="AA106" i="50"/>
  <c r="AA153" i="50"/>
  <c r="AA256" i="50"/>
  <c r="AA71" i="50"/>
  <c r="AA336" i="50"/>
  <c r="AA177" i="50"/>
  <c r="AA304" i="50"/>
  <c r="AA227" i="50"/>
  <c r="AA193" i="50"/>
  <c r="AA274" i="50"/>
  <c r="AA250" i="50"/>
  <c r="AA78" i="50"/>
  <c r="AA50" i="50"/>
  <c r="AA280" i="50"/>
  <c r="AA102" i="50"/>
  <c r="AA211" i="50"/>
  <c r="AA48" i="50"/>
  <c r="AA226" i="50"/>
  <c r="AA293" i="50"/>
  <c r="AA143" i="50"/>
  <c r="AA138" i="50"/>
  <c r="AA150" i="50"/>
  <c r="AA323" i="50"/>
  <c r="AA172" i="50"/>
  <c r="AA183" i="50"/>
  <c r="AA163" i="50"/>
  <c r="AA152" i="50"/>
  <c r="AA22" i="50"/>
  <c r="AA97" i="50"/>
  <c r="AA18" i="50"/>
  <c r="AA223" i="50"/>
  <c r="AA312" i="50"/>
  <c r="AA52" i="50"/>
  <c r="AA299" i="50"/>
  <c r="AA49" i="50"/>
  <c r="AA313" i="50"/>
  <c r="AA69" i="50"/>
  <c r="AA310" i="50"/>
  <c r="AA309" i="50"/>
  <c r="AA86" i="50"/>
  <c r="AA294" i="50"/>
  <c r="AA247" i="50"/>
  <c r="AA112" i="50"/>
  <c r="AA235" i="50"/>
  <c r="AA199" i="50"/>
  <c r="AA303" i="50"/>
  <c r="AA189" i="50"/>
  <c r="AA337" i="50"/>
  <c r="AA132" i="50"/>
  <c r="AA190" i="50"/>
  <c r="AA157" i="50"/>
  <c r="AA51" i="50"/>
  <c r="AA95" i="50"/>
  <c r="AA283" i="50"/>
  <c r="AA147" i="50"/>
  <c r="AA53" i="50"/>
  <c r="AA306" i="50"/>
  <c r="AA319" i="50"/>
  <c r="AA42" i="50"/>
  <c r="AA202" i="50"/>
  <c r="AA224" i="50"/>
  <c r="AA149" i="50"/>
  <c r="AA272" i="50"/>
  <c r="AA83" i="50"/>
  <c r="AA245" i="50"/>
  <c r="AA67" i="50"/>
  <c r="AA321" i="50"/>
  <c r="AA144" i="50"/>
  <c r="AA70" i="50"/>
  <c r="AA41" i="50"/>
  <c r="AA101" i="50"/>
  <c r="AA38" i="50"/>
  <c r="AA160" i="50"/>
  <c r="AA161" i="50"/>
  <c r="AA182" i="50"/>
  <c r="AA110" i="50"/>
  <c r="AA204" i="50"/>
  <c r="AA271" i="50"/>
  <c r="AA275" i="50"/>
  <c r="AA108" i="50"/>
  <c r="AA64" i="50"/>
  <c r="AA282" i="50"/>
  <c r="AA142" i="50"/>
  <c r="AA264" i="50"/>
  <c r="AA166" i="50"/>
  <c r="AA124" i="50"/>
  <c r="AA158" i="50"/>
  <c r="AA12" i="50"/>
  <c r="AA75" i="50"/>
  <c r="AA176" i="50"/>
  <c r="AA140" i="50"/>
  <c r="AA93" i="50"/>
  <c r="AA281" i="50"/>
  <c r="AA165" i="50"/>
  <c r="AA173" i="50"/>
  <c r="AA262" i="50"/>
  <c r="AA91" i="50"/>
  <c r="AA174" i="50"/>
  <c r="AA55" i="50"/>
  <c r="AA136" i="50"/>
  <c r="AA11" i="50"/>
  <c r="AA255" i="50"/>
  <c r="AA28" i="50"/>
  <c r="AA54" i="50"/>
  <c r="AA252" i="50"/>
  <c r="AA148" i="50"/>
  <c r="AA203" i="50"/>
  <c r="AA259" i="50"/>
  <c r="AA285" i="50"/>
  <c r="AA120" i="50"/>
  <c r="AA43" i="50"/>
  <c r="AA98" i="50"/>
  <c r="AA325" i="50"/>
  <c r="AA74" i="50"/>
  <c r="AA20" i="50"/>
  <c r="AA100" i="50"/>
  <c r="AA217" i="50"/>
  <c r="AA47" i="50"/>
  <c r="AA208" i="50"/>
  <c r="AA68" i="50"/>
  <c r="AA287" i="50"/>
  <c r="AA305" i="50"/>
  <c r="AA31" i="50"/>
  <c r="AA290" i="50"/>
  <c r="AA228" i="50"/>
  <c r="AA279" i="50"/>
  <c r="AA257" i="50"/>
  <c r="AA62" i="50"/>
  <c r="AA181" i="50"/>
  <c r="AA188" i="50"/>
  <c r="AA329" i="50"/>
  <c r="AA179" i="50"/>
  <c r="AA267" i="50"/>
  <c r="AA238" i="50"/>
  <c r="AA195" i="50"/>
  <c r="AA212" i="50"/>
  <c r="AA207" i="50"/>
  <c r="AA297" i="50"/>
  <c r="AA164" i="50"/>
  <c r="AA214" i="50"/>
  <c r="AA25" i="50"/>
  <c r="AA198" i="50"/>
  <c r="AA200" i="50"/>
  <c r="AA180" i="50"/>
  <c r="AA117" i="50"/>
  <c r="AA187" i="50"/>
  <c r="AA219" i="50"/>
  <c r="AA156" i="50"/>
  <c r="AA260" i="50"/>
  <c r="AA109" i="50"/>
  <c r="AA270" i="50"/>
  <c r="AA65" i="50"/>
  <c r="AA113" i="50"/>
  <c r="AA328" i="50"/>
  <c r="AA197" i="50"/>
  <c r="AA60" i="50"/>
  <c r="AA10" i="50"/>
  <c r="AA239" i="50"/>
  <c r="AA273" i="50"/>
  <c r="AA39" i="50"/>
  <c r="AA324" i="50"/>
  <c r="AA40" i="50"/>
  <c r="AA216" i="50"/>
  <c r="AA201" i="50"/>
  <c r="AA296" i="50"/>
  <c r="AA23" i="50"/>
  <c r="AA331" i="50"/>
  <c r="AA9" i="50"/>
  <c r="AA168" i="50"/>
  <c r="AA170" i="50"/>
  <c r="AA92" i="50"/>
  <c r="AA178" i="50"/>
  <c r="AA151" i="50"/>
  <c r="AA326" i="50"/>
  <c r="AA104" i="50"/>
  <c r="AA248" i="50"/>
  <c r="AA135" i="50"/>
  <c r="AA103" i="50"/>
  <c r="AA301" i="50"/>
  <c r="AA36" i="50"/>
  <c r="AA21" i="50"/>
  <c r="AA333" i="50"/>
  <c r="AA46" i="50"/>
  <c r="AA134" i="50"/>
  <c r="AA76" i="50"/>
  <c r="AA295" i="50"/>
  <c r="AA73" i="50"/>
  <c r="AA63" i="50"/>
  <c r="AA289" i="50"/>
  <c r="AA35" i="50"/>
  <c r="AA87" i="50"/>
  <c r="AA268" i="50"/>
  <c r="AA37" i="50"/>
  <c r="AA186" i="50"/>
  <c r="AA15" i="50"/>
  <c r="AA24" i="50"/>
  <c r="AA119" i="50"/>
  <c r="AA327" i="50"/>
  <c r="AA122" i="50"/>
  <c r="AA121" i="50"/>
  <c r="AA237" i="50"/>
  <c r="AA236" i="50"/>
  <c r="AA284" i="50"/>
  <c r="AA175" i="50"/>
  <c r="AA286" i="50"/>
  <c r="AA88" i="50"/>
  <c r="AA191" i="50"/>
  <c r="AA131" i="50"/>
  <c r="AA141" i="50"/>
  <c r="AA261" i="50"/>
  <c r="AA125" i="50"/>
  <c r="AA265" i="50"/>
  <c r="AA292" i="50"/>
  <c r="AA14" i="50"/>
  <c r="AA246" i="50"/>
  <c r="AA302" i="50"/>
  <c r="AA17" i="50"/>
  <c r="AA263" i="50"/>
  <c r="AA240" i="50"/>
  <c r="AA308" i="50"/>
  <c r="AA115" i="50"/>
  <c r="AA162" i="50"/>
  <c r="AA80" i="50"/>
  <c r="AA96" i="50"/>
  <c r="AA254" i="50"/>
  <c r="AA222" i="50"/>
  <c r="AA44" i="50"/>
  <c r="AA230" i="50"/>
  <c r="AA27" i="50"/>
  <c r="AA229" i="50"/>
  <c r="AA269" i="50"/>
  <c r="AA58" i="50"/>
  <c r="AA192" i="50"/>
  <c r="AA194" i="50"/>
  <c r="AA196" i="50"/>
  <c r="AA332" i="50"/>
  <c r="AA253" i="50"/>
  <c r="AA56" i="50"/>
  <c r="AA233" i="50"/>
  <c r="AA291" i="50"/>
  <c r="AA77" i="50"/>
  <c r="AA167" i="50"/>
  <c r="AA159" i="50"/>
  <c r="AA184" i="50"/>
  <c r="AA118" i="50"/>
  <c r="AA8" i="50"/>
  <c r="AA105" i="50"/>
  <c r="AA330" i="50"/>
  <c r="AA81" i="50"/>
  <c r="AA169" i="50"/>
  <c r="AA251" i="50"/>
  <c r="AA266" i="50"/>
  <c r="AA57" i="50"/>
  <c r="AA315" i="50"/>
  <c r="AA234" i="50"/>
  <c r="AA311" i="50"/>
  <c r="AA220" i="50"/>
  <c r="AA89" i="50"/>
  <c r="AA126" i="50"/>
  <c r="AA276" i="50"/>
  <c r="AA185" i="50"/>
  <c r="AA213" i="50"/>
  <c r="AA241" i="50"/>
  <c r="AA123" i="50"/>
  <c r="AA205" i="50"/>
  <c r="AA61" i="50"/>
  <c r="AA128" i="50"/>
  <c r="AA318" i="50"/>
  <c r="AA154" i="50"/>
  <c r="AA72" i="50"/>
  <c r="AA210" i="50"/>
  <c r="AA26" i="50"/>
  <c r="AA206" i="50"/>
  <c r="AA129" i="50"/>
  <c r="AA334" i="50"/>
  <c r="AA127" i="50"/>
  <c r="AA34" i="50"/>
  <c r="AA300" i="50"/>
  <c r="AA146" i="50"/>
  <c r="AA277" i="50"/>
  <c r="AA66" i="50"/>
  <c r="AA249" i="50"/>
  <c r="AA85" i="50"/>
  <c r="AA82" i="50"/>
  <c r="AA243" i="50"/>
  <c r="AA16" i="50"/>
  <c r="AA29" i="50"/>
  <c r="AA94" i="50"/>
  <c r="AA316" i="50"/>
  <c r="AA111" i="50"/>
  <c r="AA137" i="50"/>
  <c r="AA116" i="50"/>
  <c r="AA307" i="50"/>
  <c r="AA231" i="50"/>
  <c r="AA232" i="50"/>
  <c r="AA30" i="50"/>
  <c r="AA258" i="50"/>
  <c r="AA59" i="50"/>
  <c r="AA221" i="50"/>
  <c r="AA218" i="50"/>
  <c r="AA90" i="50"/>
  <c r="AA320" i="50"/>
  <c r="AA32" i="50"/>
  <c r="AA33" i="50"/>
  <c r="AA139" i="50"/>
  <c r="AA79" i="50"/>
  <c r="AA278" i="50"/>
  <c r="AA155" i="50"/>
  <c r="AA242" i="50"/>
  <c r="AA225" i="50"/>
  <c r="AA99" i="50"/>
  <c r="AA133" i="50"/>
  <c r="AA215" i="50"/>
  <c r="AA130" i="50"/>
  <c r="AA13" i="50"/>
  <c r="AA45" i="50"/>
  <c r="AA244" i="50"/>
  <c r="AA145" i="50"/>
  <c r="AA209" i="50"/>
  <c r="AA19" i="50"/>
  <c r="AA317" i="50"/>
  <c r="AE335" i="50"/>
  <c r="AQ335" i="50" s="1"/>
  <c r="AE171" i="50"/>
  <c r="AE322" i="50"/>
  <c r="AQ322" i="50" s="1"/>
  <c r="AE314" i="50"/>
  <c r="AQ314" i="50" s="1"/>
  <c r="AE338" i="50"/>
  <c r="AQ338" i="50" s="1"/>
  <c r="AE107" i="50"/>
  <c r="AQ107" i="50" s="1"/>
  <c r="AE114" i="50"/>
  <c r="AQ114" i="50" s="1"/>
  <c r="AE298" i="50"/>
  <c r="AQ298" i="50" s="1"/>
  <c r="AE288" i="50"/>
  <c r="AQ288" i="50" s="1"/>
  <c r="AE106" i="50"/>
  <c r="AE153" i="50"/>
  <c r="AQ153" i="50" s="1"/>
  <c r="AE256" i="50"/>
  <c r="AQ256" i="50" s="1"/>
  <c r="AE71" i="50"/>
  <c r="AQ71" i="50" s="1"/>
  <c r="AE336" i="50"/>
  <c r="AQ336" i="50" s="1"/>
  <c r="AE177" i="50"/>
  <c r="AQ177" i="50" s="1"/>
  <c r="AE304" i="50"/>
  <c r="AQ304" i="50" s="1"/>
  <c r="AE227" i="50"/>
  <c r="AQ227" i="50" s="1"/>
  <c r="AE193" i="50"/>
  <c r="AE274" i="50"/>
  <c r="AQ274" i="50" s="1"/>
  <c r="AE250" i="50"/>
  <c r="AQ250" i="50" s="1"/>
  <c r="AE78" i="50"/>
  <c r="AQ78" i="50" s="1"/>
  <c r="AE50" i="50"/>
  <c r="AQ50" i="50" s="1"/>
  <c r="AE280" i="50"/>
  <c r="AQ280" i="50" s="1"/>
  <c r="AE102" i="50"/>
  <c r="AQ102" i="50" s="1"/>
  <c r="AE211" i="50"/>
  <c r="AQ211" i="50" s="1"/>
  <c r="AE48" i="50"/>
  <c r="AE226" i="50"/>
  <c r="AQ226" i="50" s="1"/>
  <c r="AE293" i="50"/>
  <c r="AQ293" i="50" s="1"/>
  <c r="AE143" i="50"/>
  <c r="AQ143" i="50" s="1"/>
  <c r="AE138" i="50"/>
  <c r="AQ138" i="50" s="1"/>
  <c r="AE150" i="50"/>
  <c r="AQ150" i="50" s="1"/>
  <c r="AE323" i="50"/>
  <c r="AQ323" i="50" s="1"/>
  <c r="AE172" i="50"/>
  <c r="AQ172" i="50" s="1"/>
  <c r="AE183" i="50"/>
  <c r="AE163" i="50"/>
  <c r="AQ163" i="50" s="1"/>
  <c r="AE152" i="50"/>
  <c r="AQ152" i="50" s="1"/>
  <c r="AE22" i="50"/>
  <c r="AQ22" i="50" s="1"/>
  <c r="AE97" i="50"/>
  <c r="AQ97" i="50" s="1"/>
  <c r="AE18" i="50"/>
  <c r="AQ18" i="50" s="1"/>
  <c r="AE223" i="50"/>
  <c r="AQ223" i="50" s="1"/>
  <c r="AE312" i="50"/>
  <c r="AQ312" i="50" s="1"/>
  <c r="AE52" i="50"/>
  <c r="AE299" i="50"/>
  <c r="AQ299" i="50" s="1"/>
  <c r="AE49" i="50"/>
  <c r="AQ49" i="50" s="1"/>
  <c r="AE313" i="50"/>
  <c r="AQ313" i="50" s="1"/>
  <c r="AE69" i="50"/>
  <c r="AQ69" i="50" s="1"/>
  <c r="AE310" i="50"/>
  <c r="AQ310" i="50" s="1"/>
  <c r="AE309" i="50"/>
  <c r="AQ309" i="50" s="1"/>
  <c r="AE294" i="50"/>
  <c r="AQ294" i="50" s="1"/>
  <c r="AE247" i="50"/>
  <c r="AQ247" i="50" s="1"/>
  <c r="AE112" i="50"/>
  <c r="AQ112" i="50" s="1"/>
  <c r="AE235" i="50"/>
  <c r="AQ235" i="50" s="1"/>
  <c r="AE199" i="50"/>
  <c r="AE303" i="50"/>
  <c r="AQ303" i="50" s="1"/>
  <c r="AE189" i="50"/>
  <c r="AQ189" i="50" s="1"/>
  <c r="AE337" i="50"/>
  <c r="AQ337" i="50" s="1"/>
  <c r="AE132" i="50"/>
  <c r="AQ132" i="50" s="1"/>
  <c r="AE190" i="50"/>
  <c r="AQ190" i="50" s="1"/>
  <c r="AE157" i="50"/>
  <c r="AQ157" i="50" s="1"/>
  <c r="AE51" i="50"/>
  <c r="AQ51" i="50" s="1"/>
  <c r="AE95" i="50"/>
  <c r="AE283" i="50"/>
  <c r="AQ283" i="50" s="1"/>
  <c r="AE147" i="50"/>
  <c r="AQ147" i="50" s="1"/>
  <c r="AE53" i="50"/>
  <c r="AQ53" i="50" s="1"/>
  <c r="AE306" i="50"/>
  <c r="AQ306" i="50" s="1"/>
  <c r="AE319" i="50"/>
  <c r="AQ319" i="50" s="1"/>
  <c r="AE42" i="50"/>
  <c r="AQ42" i="50" s="1"/>
  <c r="AE202" i="50"/>
  <c r="AQ202" i="50" s="1"/>
  <c r="AE224" i="50"/>
  <c r="AE149" i="50"/>
  <c r="AQ149" i="50" s="1"/>
  <c r="AE272" i="50"/>
  <c r="AQ272" i="50" s="1"/>
  <c r="AE245" i="50"/>
  <c r="AE67" i="50"/>
  <c r="AQ67" i="50" s="1"/>
  <c r="AE321" i="50"/>
  <c r="AQ321" i="50" s="1"/>
  <c r="AE144" i="50"/>
  <c r="AQ144" i="50" s="1"/>
  <c r="AE70" i="50"/>
  <c r="AE41" i="50"/>
  <c r="AQ41" i="50" s="1"/>
  <c r="AE101" i="50"/>
  <c r="AQ101" i="50" s="1"/>
  <c r="AE38" i="50"/>
  <c r="AQ38" i="50" s="1"/>
  <c r="AE160" i="50"/>
  <c r="AE161" i="50"/>
  <c r="AQ161" i="50" s="1"/>
  <c r="AE182" i="50"/>
  <c r="AQ182" i="50" s="1"/>
  <c r="AE110" i="50"/>
  <c r="AQ110" i="50" s="1"/>
  <c r="AE204" i="50"/>
  <c r="AE271" i="50"/>
  <c r="AQ271" i="50" s="1"/>
  <c r="AE275" i="50"/>
  <c r="AQ275" i="50" s="1"/>
  <c r="AE108" i="50"/>
  <c r="AQ108" i="50" s="1"/>
  <c r="AE64" i="50"/>
  <c r="AE282" i="50"/>
  <c r="AQ282" i="50" s="1"/>
  <c r="AE142" i="50"/>
  <c r="AQ142" i="50" s="1"/>
  <c r="AE264" i="50"/>
  <c r="AQ264" i="50" s="1"/>
  <c r="AE166" i="50"/>
  <c r="AE124" i="50"/>
  <c r="AQ124" i="50" s="1"/>
  <c r="AE158" i="50"/>
  <c r="AQ158" i="50" s="1"/>
  <c r="AE12" i="50"/>
  <c r="AQ12" i="50" s="1"/>
  <c r="AE75" i="50"/>
  <c r="AE176" i="50"/>
  <c r="AQ176" i="50" s="1"/>
  <c r="AE140" i="50"/>
  <c r="AQ140" i="50" s="1"/>
  <c r="AE93" i="50"/>
  <c r="AQ93" i="50" s="1"/>
  <c r="AE281" i="50"/>
  <c r="AE165" i="50"/>
  <c r="AQ165" i="50" s="1"/>
  <c r="AE173" i="50"/>
  <c r="AQ173" i="50" s="1"/>
  <c r="AE262" i="50"/>
  <c r="AQ262" i="50" s="1"/>
  <c r="AE174" i="50"/>
  <c r="AQ174" i="50" s="1"/>
  <c r="AE55" i="50"/>
  <c r="AQ55" i="50" s="1"/>
  <c r="AE136" i="50"/>
  <c r="AQ136" i="50" s="1"/>
  <c r="AE11" i="50"/>
  <c r="AQ11" i="50" s="1"/>
  <c r="AE255" i="50"/>
  <c r="AQ255" i="50" s="1"/>
  <c r="AE28" i="50"/>
  <c r="AQ28" i="50" s="1"/>
  <c r="AE54" i="50"/>
  <c r="AQ54" i="50" s="1"/>
  <c r="AE252" i="50"/>
  <c r="AE148" i="50"/>
  <c r="AQ148" i="50" s="1"/>
  <c r="AE203" i="50"/>
  <c r="AQ203" i="50" s="1"/>
  <c r="AE259" i="50"/>
  <c r="AQ259" i="50" s="1"/>
  <c r="AE285" i="50"/>
  <c r="AQ285" i="50" s="1"/>
  <c r="AE120" i="50"/>
  <c r="AQ120" i="50" s="1"/>
  <c r="AE43" i="50"/>
  <c r="AQ43" i="50" s="1"/>
  <c r="AE98" i="50"/>
  <c r="AQ98" i="50" s="1"/>
  <c r="AE325" i="50"/>
  <c r="AQ325" i="50" s="1"/>
  <c r="AE74" i="50"/>
  <c r="AQ74" i="50" s="1"/>
  <c r="AE20" i="50"/>
  <c r="AQ20" i="50" s="1"/>
  <c r="AE100" i="50"/>
  <c r="AQ100" i="50" s="1"/>
  <c r="AE217" i="50"/>
  <c r="AQ217" i="50" s="1"/>
  <c r="AE47" i="50"/>
  <c r="AQ47" i="50" s="1"/>
  <c r="AE208" i="50"/>
  <c r="AQ208" i="50" s="1"/>
  <c r="AE68" i="50"/>
  <c r="AQ68" i="50" s="1"/>
  <c r="AE287" i="50"/>
  <c r="AQ287" i="50" s="1"/>
  <c r="AE305" i="50"/>
  <c r="AQ305" i="50" s="1"/>
  <c r="AE31" i="50"/>
  <c r="AQ31" i="50" s="1"/>
  <c r="AE290" i="50"/>
  <c r="AQ290" i="50" s="1"/>
  <c r="AE228" i="50"/>
  <c r="AQ228" i="50" s="1"/>
  <c r="AE279" i="50"/>
  <c r="AQ279" i="50" s="1"/>
  <c r="AE257" i="50"/>
  <c r="AQ257" i="50" s="1"/>
  <c r="AE62" i="50"/>
  <c r="AQ62" i="50" s="1"/>
  <c r="AE181" i="50"/>
  <c r="AQ181" i="50" s="1"/>
  <c r="AE188" i="50"/>
  <c r="AQ188" i="50" s="1"/>
  <c r="AE329" i="50"/>
  <c r="AQ329" i="50" s="1"/>
  <c r="AE179" i="50"/>
  <c r="AQ179" i="50" s="1"/>
  <c r="AE267" i="50"/>
  <c r="AQ267" i="50" s="1"/>
  <c r="AE238" i="50"/>
  <c r="AQ238" i="50" s="1"/>
  <c r="AE195" i="50"/>
  <c r="AQ195" i="50" s="1"/>
  <c r="AE212" i="50"/>
  <c r="AQ212" i="50" s="1"/>
  <c r="AE207" i="50"/>
  <c r="AE297" i="50"/>
  <c r="AQ297" i="50" s="1"/>
  <c r="AE164" i="50"/>
  <c r="AQ164" i="50" s="1"/>
  <c r="AE214" i="50"/>
  <c r="AQ214" i="50" s="1"/>
  <c r="AE25" i="50"/>
  <c r="AQ25" i="50" s="1"/>
  <c r="AE198" i="50"/>
  <c r="AQ198" i="50" s="1"/>
  <c r="AE200" i="50"/>
  <c r="AQ200" i="50" s="1"/>
  <c r="AE180" i="50"/>
  <c r="AQ180" i="50" s="1"/>
  <c r="AE117" i="50"/>
  <c r="AQ117" i="50" s="1"/>
  <c r="AE187" i="50"/>
  <c r="AQ187" i="50" s="1"/>
  <c r="AE219" i="50"/>
  <c r="AQ219" i="50" s="1"/>
  <c r="AE156" i="50"/>
  <c r="AQ156" i="50" s="1"/>
  <c r="AE260" i="50"/>
  <c r="AQ260" i="50" s="1"/>
  <c r="AE109" i="50"/>
  <c r="AQ109" i="50" s="1"/>
  <c r="AE270" i="50"/>
  <c r="AQ270" i="50" s="1"/>
  <c r="AE65" i="50"/>
  <c r="AQ65" i="50" s="1"/>
  <c r="AE113" i="50"/>
  <c r="AQ113" i="50" s="1"/>
  <c r="AE328" i="50"/>
  <c r="AQ328" i="50" s="1"/>
  <c r="AE197" i="50"/>
  <c r="AQ197" i="50" s="1"/>
  <c r="AE60" i="50"/>
  <c r="AQ60" i="50" s="1"/>
  <c r="AE10" i="50"/>
  <c r="AQ10" i="50" s="1"/>
  <c r="AE239" i="50"/>
  <c r="AQ239" i="50" s="1"/>
  <c r="AE273" i="50"/>
  <c r="AQ273" i="50" s="1"/>
  <c r="AE39" i="50"/>
  <c r="AQ39" i="50" s="1"/>
  <c r="AE324" i="50"/>
  <c r="AQ324" i="50" s="1"/>
  <c r="AE40" i="50"/>
  <c r="AQ40" i="50" s="1"/>
  <c r="AE216" i="50"/>
  <c r="AQ216" i="50" s="1"/>
  <c r="AE201" i="50"/>
  <c r="AQ201" i="50" s="1"/>
  <c r="AE296" i="50"/>
  <c r="AQ296" i="50" s="1"/>
  <c r="AE23" i="50"/>
  <c r="AQ23" i="50" s="1"/>
  <c r="AE331" i="50"/>
  <c r="AQ331" i="50" s="1"/>
  <c r="AE9" i="50"/>
  <c r="AQ9" i="50" s="1"/>
  <c r="AE168" i="50"/>
  <c r="AE170" i="50"/>
  <c r="AQ170" i="50" s="1"/>
  <c r="AE92" i="50"/>
  <c r="AQ92" i="50" s="1"/>
  <c r="AE178" i="50"/>
  <c r="AQ178" i="50" s="1"/>
  <c r="AE151" i="50"/>
  <c r="AQ151" i="50" s="1"/>
  <c r="AE326" i="50"/>
  <c r="AQ326" i="50" s="1"/>
  <c r="AE104" i="50"/>
  <c r="AQ104" i="50" s="1"/>
  <c r="AE248" i="50"/>
  <c r="AQ248" i="50" s="1"/>
  <c r="AE135" i="50"/>
  <c r="AQ135" i="50" s="1"/>
  <c r="AE103" i="50"/>
  <c r="AQ103" i="50" s="1"/>
  <c r="AE301" i="50"/>
  <c r="AQ301" i="50" s="1"/>
  <c r="AE36" i="50"/>
  <c r="AQ36" i="50" s="1"/>
  <c r="AE21" i="50"/>
  <c r="AQ21" i="50" s="1"/>
  <c r="AE333" i="50"/>
  <c r="AQ333" i="50" s="1"/>
  <c r="AE46" i="50"/>
  <c r="AQ46" i="50" s="1"/>
  <c r="AE134" i="50"/>
  <c r="AQ134" i="50" s="1"/>
  <c r="AE76" i="50"/>
  <c r="AQ76" i="50" s="1"/>
  <c r="AE295" i="50"/>
  <c r="AQ295" i="50" s="1"/>
  <c r="AE73" i="50"/>
  <c r="AQ73" i="50" s="1"/>
  <c r="AE63" i="50"/>
  <c r="AQ63" i="50" s="1"/>
  <c r="AE289" i="50"/>
  <c r="AQ289" i="50" s="1"/>
  <c r="AE35" i="50"/>
  <c r="AQ35" i="50" s="1"/>
  <c r="AE268" i="50"/>
  <c r="AQ268" i="50" s="1"/>
  <c r="AE37" i="50"/>
  <c r="AE186" i="50"/>
  <c r="AQ186" i="50" s="1"/>
  <c r="AE15" i="50"/>
  <c r="AQ15" i="50" s="1"/>
  <c r="AE24" i="50"/>
  <c r="AQ24" i="50" s="1"/>
  <c r="AE119" i="50"/>
  <c r="AE327" i="50"/>
  <c r="AQ327" i="50" s="1"/>
  <c r="AE122" i="50"/>
  <c r="AQ122" i="50" s="1"/>
  <c r="AE121" i="50"/>
  <c r="AQ121" i="50" s="1"/>
  <c r="AE237" i="50"/>
  <c r="AQ237" i="50" s="1"/>
  <c r="AE236" i="50"/>
  <c r="AQ236" i="50" s="1"/>
  <c r="AE284" i="50"/>
  <c r="AQ284" i="50" s="1"/>
  <c r="AE175" i="50"/>
  <c r="AQ175" i="50" s="1"/>
  <c r="AE286" i="50"/>
  <c r="AE191" i="50"/>
  <c r="AQ191" i="50" s="1"/>
  <c r="AE131" i="50"/>
  <c r="AQ131" i="50" s="1"/>
  <c r="AE141" i="50"/>
  <c r="AE261" i="50"/>
  <c r="AQ261" i="50" s="1"/>
  <c r="AE125" i="50"/>
  <c r="AQ125" i="50" s="1"/>
  <c r="AE265" i="50"/>
  <c r="AQ265" i="50" s="1"/>
  <c r="AE292" i="50"/>
  <c r="AQ292" i="50" s="1"/>
  <c r="AE14" i="50"/>
  <c r="AQ14" i="50" s="1"/>
  <c r="AE246" i="50"/>
  <c r="AQ246" i="50" s="1"/>
  <c r="AE302" i="50"/>
  <c r="AQ302" i="50" s="1"/>
  <c r="AE17" i="50"/>
  <c r="AE263" i="50"/>
  <c r="AQ263" i="50" s="1"/>
  <c r="AE240" i="50"/>
  <c r="AQ240" i="50" s="1"/>
  <c r="AE308" i="50"/>
  <c r="AQ308" i="50" s="1"/>
  <c r="AE115" i="50"/>
  <c r="AQ115" i="50" s="1"/>
  <c r="AE162" i="50"/>
  <c r="AQ162" i="50" s="1"/>
  <c r="AE80" i="50"/>
  <c r="AQ80" i="50" s="1"/>
  <c r="AE96" i="50"/>
  <c r="AQ96" i="50" s="1"/>
  <c r="AE254" i="50"/>
  <c r="AE222" i="50"/>
  <c r="AQ222" i="50" s="1"/>
  <c r="AE44" i="50"/>
  <c r="AQ44" i="50" s="1"/>
  <c r="AE230" i="50"/>
  <c r="AQ230" i="50" s="1"/>
  <c r="AE27" i="50"/>
  <c r="AQ27" i="50" s="1"/>
  <c r="AE229" i="50"/>
  <c r="AQ229" i="50" s="1"/>
  <c r="AE269" i="50"/>
  <c r="AQ269" i="50" s="1"/>
  <c r="AE58" i="50"/>
  <c r="AQ58" i="50" s="1"/>
  <c r="AE192" i="50"/>
  <c r="AE194" i="50"/>
  <c r="AQ194" i="50" s="1"/>
  <c r="AE196" i="50"/>
  <c r="AQ196" i="50" s="1"/>
  <c r="AE332" i="50"/>
  <c r="AQ332" i="50" s="1"/>
  <c r="AE253" i="50"/>
  <c r="AQ253" i="50" s="1"/>
  <c r="AE56" i="50"/>
  <c r="AQ56" i="50" s="1"/>
  <c r="AE233" i="50"/>
  <c r="AQ233" i="50" s="1"/>
  <c r="AE291" i="50"/>
  <c r="AQ291" i="50" s="1"/>
  <c r="AE77" i="50"/>
  <c r="AE167" i="50"/>
  <c r="AQ167" i="50" s="1"/>
  <c r="AE159" i="50"/>
  <c r="AQ159" i="50" s="1"/>
  <c r="AE184" i="50"/>
  <c r="AQ184" i="50" s="1"/>
  <c r="AE118" i="50"/>
  <c r="AQ118" i="50" s="1"/>
  <c r="AE8" i="50"/>
  <c r="AE105" i="50"/>
  <c r="AQ105" i="50" s="1"/>
  <c r="AE330" i="50"/>
  <c r="AQ330" i="50" s="1"/>
  <c r="AE81" i="50"/>
  <c r="AE169" i="50"/>
  <c r="AQ169" i="50" s="1"/>
  <c r="AE251" i="50"/>
  <c r="AQ251" i="50" s="1"/>
  <c r="AE266" i="50"/>
  <c r="AQ266" i="50" s="1"/>
  <c r="AE57" i="50"/>
  <c r="AQ57" i="50" s="1"/>
  <c r="AE315" i="50"/>
  <c r="AQ315" i="50" s="1"/>
  <c r="AE234" i="50"/>
  <c r="AQ234" i="50" s="1"/>
  <c r="AE311" i="50"/>
  <c r="AQ311" i="50" s="1"/>
  <c r="AE220" i="50"/>
  <c r="AE126" i="50"/>
  <c r="AQ126" i="50" s="1"/>
  <c r="AE276" i="50"/>
  <c r="AQ276" i="50" s="1"/>
  <c r="AE185" i="50"/>
  <c r="AE213" i="50"/>
  <c r="AQ213" i="50" s="1"/>
  <c r="AE241" i="50"/>
  <c r="AQ241" i="50" s="1"/>
  <c r="AE123" i="50"/>
  <c r="AQ123" i="50" s="1"/>
  <c r="AE205" i="50"/>
  <c r="AE61" i="50"/>
  <c r="AQ61" i="50" s="1"/>
  <c r="AE128" i="50"/>
  <c r="AQ128" i="50" s="1"/>
  <c r="AE318" i="50"/>
  <c r="AQ318" i="50" s="1"/>
  <c r="AE154" i="50"/>
  <c r="AE72" i="50"/>
  <c r="AQ72" i="50" s="1"/>
  <c r="AE210" i="50"/>
  <c r="AQ210" i="50" s="1"/>
  <c r="AE26" i="50"/>
  <c r="AQ26" i="50" s="1"/>
  <c r="AE206" i="50"/>
  <c r="AE129" i="50"/>
  <c r="AQ129" i="50" s="1"/>
  <c r="AE334" i="50"/>
  <c r="AQ334" i="50" s="1"/>
  <c r="AE127" i="50"/>
  <c r="AQ127" i="50" s="1"/>
  <c r="AE34" i="50"/>
  <c r="AE300" i="50"/>
  <c r="AQ300" i="50" s="1"/>
  <c r="AE146" i="50"/>
  <c r="AQ146" i="50" s="1"/>
  <c r="AE277" i="50"/>
  <c r="AQ277" i="50" s="1"/>
  <c r="AE66" i="50"/>
  <c r="AE249" i="50"/>
  <c r="AQ249" i="50" s="1"/>
  <c r="AE85" i="50"/>
  <c r="AQ85" i="50" s="1"/>
  <c r="AE243" i="50"/>
  <c r="AQ243" i="50" s="1"/>
  <c r="AE16" i="50"/>
  <c r="AQ16" i="50" s="1"/>
  <c r="AE29" i="50"/>
  <c r="AQ29" i="50" s="1"/>
  <c r="AE94" i="50"/>
  <c r="AQ94" i="50" s="1"/>
  <c r="AE316" i="50"/>
  <c r="AQ316" i="50" s="1"/>
  <c r="AE111" i="50"/>
  <c r="AQ111" i="50" s="1"/>
  <c r="AE137" i="50"/>
  <c r="AQ137" i="50" s="1"/>
  <c r="AE116" i="50"/>
  <c r="AQ116" i="50" s="1"/>
  <c r="AE307" i="50"/>
  <c r="AQ307" i="50" s="1"/>
  <c r="AE231" i="50"/>
  <c r="AQ231" i="50" s="1"/>
  <c r="AE232" i="50"/>
  <c r="AQ232" i="50" s="1"/>
  <c r="AE30" i="50"/>
  <c r="AQ30" i="50" s="1"/>
  <c r="AE258" i="50"/>
  <c r="AQ258" i="50" s="1"/>
  <c r="AE59" i="50"/>
  <c r="AQ59" i="50" s="1"/>
  <c r="AE221" i="50"/>
  <c r="AQ221" i="50" s="1"/>
  <c r="AE218" i="50"/>
  <c r="AQ218" i="50" s="1"/>
  <c r="AE90" i="50"/>
  <c r="AQ90" i="50" s="1"/>
  <c r="AE320" i="50"/>
  <c r="AQ320" i="50" s="1"/>
  <c r="AE32" i="50"/>
  <c r="AQ32" i="50" s="1"/>
  <c r="AE33" i="50"/>
  <c r="AQ33" i="50" s="1"/>
  <c r="AE139" i="50"/>
  <c r="AQ139" i="50" s="1"/>
  <c r="AE79" i="50"/>
  <c r="AQ79" i="50" s="1"/>
  <c r="AE278" i="50"/>
  <c r="AQ278" i="50" s="1"/>
  <c r="AE155" i="50"/>
  <c r="AQ155" i="50" s="1"/>
  <c r="AE242" i="50"/>
  <c r="AQ242" i="50" s="1"/>
  <c r="AE225" i="50"/>
  <c r="AQ225" i="50" s="1"/>
  <c r="AE99" i="50"/>
  <c r="AQ99" i="50" s="1"/>
  <c r="AE133" i="50"/>
  <c r="AQ133" i="50" s="1"/>
  <c r="AE215" i="50"/>
  <c r="AE130" i="50"/>
  <c r="AQ130" i="50" s="1"/>
  <c r="AE13" i="50"/>
  <c r="AQ13" i="50" s="1"/>
  <c r="AE45" i="50"/>
  <c r="AQ45" i="50" s="1"/>
  <c r="AE244" i="50"/>
  <c r="AQ244" i="50" s="1"/>
  <c r="AE145" i="50"/>
  <c r="AQ145" i="50" s="1"/>
  <c r="AE209" i="50"/>
  <c r="AQ209" i="50" s="1"/>
  <c r="AE19" i="50"/>
  <c r="AQ19" i="50" s="1"/>
  <c r="AP317" i="50"/>
  <c r="AE317" i="50"/>
  <c r="AQ317" i="50" s="1"/>
  <c r="L383" i="53"/>
  <c r="I383" i="53"/>
  <c r="M383" i="53" s="1"/>
  <c r="L382" i="53"/>
  <c r="I382" i="53"/>
  <c r="M382" i="53" s="1"/>
  <c r="L381" i="53"/>
  <c r="I381" i="53"/>
  <c r="M381" i="53" s="1"/>
  <c r="M380" i="53"/>
  <c r="L380" i="53"/>
  <c r="I380" i="53"/>
  <c r="M379" i="53"/>
  <c r="L379" i="53"/>
  <c r="I379" i="53"/>
  <c r="L378" i="53"/>
  <c r="I378" i="53"/>
  <c r="M378" i="53" s="1"/>
  <c r="M377" i="53"/>
  <c r="L377" i="53"/>
  <c r="I377" i="53"/>
  <c r="M376" i="53"/>
  <c r="L376" i="53"/>
  <c r="I376" i="53"/>
  <c r="L375" i="53"/>
  <c r="I375" i="53"/>
  <c r="M375" i="53" s="1"/>
  <c r="L374" i="53"/>
  <c r="I374" i="53"/>
  <c r="M374" i="53" s="1"/>
  <c r="L373" i="53"/>
  <c r="I373" i="53"/>
  <c r="M373" i="53" s="1"/>
  <c r="L372" i="53"/>
  <c r="I372" i="53"/>
  <c r="M372" i="53" s="1"/>
  <c r="M371" i="53"/>
  <c r="L371" i="53"/>
  <c r="I371" i="53"/>
  <c r="L370" i="53"/>
  <c r="I370" i="53"/>
  <c r="M370" i="53" s="1"/>
  <c r="M369" i="53"/>
  <c r="L369" i="53"/>
  <c r="I369" i="53"/>
  <c r="M368" i="53"/>
  <c r="L368" i="53"/>
  <c r="I368" i="53"/>
  <c r="L367" i="53"/>
  <c r="I367" i="53"/>
  <c r="M367" i="53" s="1"/>
  <c r="L366" i="53"/>
  <c r="I366" i="53"/>
  <c r="M366" i="53" s="1"/>
  <c r="M365" i="53"/>
  <c r="L365" i="53"/>
  <c r="I365" i="53"/>
  <c r="L364" i="53"/>
  <c r="I364" i="53"/>
  <c r="M364" i="53" s="1"/>
  <c r="M363" i="53"/>
  <c r="L363" i="53"/>
  <c r="I363" i="53"/>
  <c r="L362" i="53"/>
  <c r="I362" i="53"/>
  <c r="M362" i="53" s="1"/>
  <c r="M361" i="53"/>
  <c r="L361" i="53"/>
  <c r="I361" i="53"/>
  <c r="M360" i="53"/>
  <c r="L360" i="53"/>
  <c r="I360" i="53"/>
  <c r="L359" i="53"/>
  <c r="I359" i="53"/>
  <c r="M359" i="53" s="1"/>
  <c r="L358" i="53"/>
  <c r="I358" i="53"/>
  <c r="M358" i="53" s="1"/>
  <c r="M357" i="53"/>
  <c r="L357" i="53"/>
  <c r="I357" i="53"/>
  <c r="L356" i="53"/>
  <c r="I356" i="53"/>
  <c r="M356" i="53" s="1"/>
  <c r="M355" i="53"/>
  <c r="L355" i="53"/>
  <c r="I355" i="53"/>
  <c r="L354" i="53"/>
  <c r="I354" i="53"/>
  <c r="M354" i="53" s="1"/>
  <c r="M353" i="53"/>
  <c r="L353" i="53"/>
  <c r="I353" i="53"/>
  <c r="M352" i="53"/>
  <c r="L352" i="53"/>
  <c r="I352" i="53"/>
  <c r="L351" i="53"/>
  <c r="I351" i="53"/>
  <c r="M351" i="53" s="1"/>
  <c r="L350" i="53"/>
  <c r="I350" i="53"/>
  <c r="M350" i="53" s="1"/>
  <c r="M349" i="53"/>
  <c r="L349" i="53"/>
  <c r="I349" i="53"/>
  <c r="L348" i="53"/>
  <c r="I348" i="53"/>
  <c r="M348" i="53" s="1"/>
  <c r="M347" i="53"/>
  <c r="L347" i="53"/>
  <c r="I347" i="53"/>
  <c r="L346" i="53"/>
  <c r="I346" i="53"/>
  <c r="M346" i="53" s="1"/>
  <c r="M345" i="53"/>
  <c r="L345" i="53"/>
  <c r="I345" i="53"/>
  <c r="M344" i="53"/>
  <c r="L344" i="53"/>
  <c r="I344" i="53"/>
  <c r="L343" i="53"/>
  <c r="I343" i="53"/>
  <c r="M343" i="53" s="1"/>
  <c r="L342" i="53"/>
  <c r="I342" i="53"/>
  <c r="M342" i="53" s="1"/>
  <c r="M341" i="53"/>
  <c r="L341" i="53"/>
  <c r="I341" i="53"/>
  <c r="L340" i="53"/>
  <c r="I340" i="53"/>
  <c r="M340" i="53" s="1"/>
  <c r="M339" i="53"/>
  <c r="L339" i="53"/>
  <c r="I339" i="53"/>
  <c r="M338" i="53"/>
  <c r="L338" i="53"/>
  <c r="I338" i="53"/>
  <c r="M337" i="53"/>
  <c r="L337" i="53"/>
  <c r="I337" i="53"/>
  <c r="M336" i="53"/>
  <c r="L336" i="53"/>
  <c r="I336" i="53"/>
  <c r="L335" i="53"/>
  <c r="I335" i="53"/>
  <c r="M335" i="53" s="1"/>
  <c r="L334" i="53"/>
  <c r="I334" i="53"/>
  <c r="M334" i="53" s="1"/>
  <c r="M333" i="53"/>
  <c r="L333" i="53"/>
  <c r="I333" i="53"/>
  <c r="L332" i="53"/>
  <c r="I332" i="53"/>
  <c r="M332" i="53" s="1"/>
  <c r="M331" i="53"/>
  <c r="L331" i="53"/>
  <c r="I331" i="53"/>
  <c r="M330" i="53"/>
  <c r="L330" i="53"/>
  <c r="I330" i="53"/>
  <c r="M329" i="53"/>
  <c r="L329" i="53"/>
  <c r="I329" i="53"/>
  <c r="M328" i="53"/>
  <c r="L328" i="53"/>
  <c r="I328" i="53"/>
  <c r="L327" i="53"/>
  <c r="I327" i="53"/>
  <c r="M327" i="53" s="1"/>
  <c r="L326" i="53"/>
  <c r="I326" i="53"/>
  <c r="M326" i="53" s="1"/>
  <c r="M325" i="53"/>
  <c r="L325" i="53"/>
  <c r="I325" i="53"/>
  <c r="L324" i="53"/>
  <c r="I324" i="53"/>
  <c r="M324" i="53" s="1"/>
  <c r="M323" i="53"/>
  <c r="L323" i="53"/>
  <c r="I323" i="53"/>
  <c r="M322" i="53"/>
  <c r="L322" i="53"/>
  <c r="I322" i="53"/>
  <c r="M321" i="53"/>
  <c r="L321" i="53"/>
  <c r="I321" i="53"/>
  <c r="M320" i="53"/>
  <c r="L320" i="53"/>
  <c r="I320" i="53"/>
  <c r="L319" i="53"/>
  <c r="I319" i="53"/>
  <c r="M319" i="53" s="1"/>
  <c r="L318" i="53"/>
  <c r="I318" i="53"/>
  <c r="M318" i="53" s="1"/>
  <c r="M317" i="53"/>
  <c r="L317" i="53"/>
  <c r="I317" i="53"/>
  <c r="L316" i="53"/>
  <c r="I316" i="53"/>
  <c r="M316" i="53" s="1"/>
  <c r="M315" i="53"/>
  <c r="L315" i="53"/>
  <c r="I315" i="53"/>
  <c r="M314" i="53"/>
  <c r="L314" i="53"/>
  <c r="I314" i="53"/>
  <c r="M313" i="53"/>
  <c r="L313" i="53"/>
  <c r="I313" i="53"/>
  <c r="M312" i="53"/>
  <c r="L312" i="53"/>
  <c r="I312" i="53"/>
  <c r="L311" i="53"/>
  <c r="I311" i="53"/>
  <c r="M311" i="53" s="1"/>
  <c r="L310" i="53"/>
  <c r="I310" i="53"/>
  <c r="M310" i="53" s="1"/>
  <c r="M309" i="53"/>
  <c r="L309" i="53"/>
  <c r="I309" i="53"/>
  <c r="L308" i="53"/>
  <c r="I308" i="53"/>
  <c r="M308" i="53" s="1"/>
  <c r="M307" i="53"/>
  <c r="L307" i="53"/>
  <c r="I307" i="53"/>
  <c r="M306" i="53"/>
  <c r="L306" i="53"/>
  <c r="I306" i="53"/>
  <c r="M305" i="53"/>
  <c r="L305" i="53"/>
  <c r="I305" i="53"/>
  <c r="M304" i="53"/>
  <c r="L304" i="53"/>
  <c r="I304" i="53"/>
  <c r="L303" i="53"/>
  <c r="I303" i="53"/>
  <c r="M303" i="53" s="1"/>
  <c r="L302" i="53"/>
  <c r="I302" i="53"/>
  <c r="M302" i="53" s="1"/>
  <c r="M301" i="53"/>
  <c r="L301" i="53"/>
  <c r="I301" i="53"/>
  <c r="L300" i="53"/>
  <c r="I300" i="53"/>
  <c r="M300" i="53" s="1"/>
  <c r="M299" i="53"/>
  <c r="L299" i="53"/>
  <c r="I299" i="53"/>
  <c r="M298" i="53"/>
  <c r="L298" i="53"/>
  <c r="I298" i="53"/>
  <c r="M297" i="53"/>
  <c r="L297" i="53"/>
  <c r="I297" i="53"/>
  <c r="M296" i="53"/>
  <c r="L296" i="53"/>
  <c r="I296" i="53"/>
  <c r="L295" i="53"/>
  <c r="I295" i="53"/>
  <c r="M295" i="53" s="1"/>
  <c r="L294" i="53"/>
  <c r="I294" i="53"/>
  <c r="M294" i="53" s="1"/>
  <c r="L293" i="53"/>
  <c r="I293" i="53"/>
  <c r="M293" i="53" s="1"/>
  <c r="L292" i="53"/>
  <c r="I292" i="53"/>
  <c r="M292" i="53" s="1"/>
  <c r="M291" i="53"/>
  <c r="L291" i="53"/>
  <c r="I291" i="53"/>
  <c r="M290" i="53"/>
  <c r="L290" i="53"/>
  <c r="I290" i="53"/>
  <c r="M289" i="53"/>
  <c r="L289" i="53"/>
  <c r="I289" i="53"/>
  <c r="M288" i="53"/>
  <c r="L288" i="53"/>
  <c r="I288" i="53"/>
  <c r="L287" i="53"/>
  <c r="I287" i="53"/>
  <c r="M287" i="53" s="1"/>
  <c r="L286" i="53"/>
  <c r="I286" i="53"/>
  <c r="M286" i="53" s="1"/>
  <c r="L285" i="53"/>
  <c r="I285" i="53"/>
  <c r="M285" i="53" s="1"/>
  <c r="L284" i="53"/>
  <c r="I284" i="53"/>
  <c r="M284" i="53" s="1"/>
  <c r="M283" i="53"/>
  <c r="L283" i="53"/>
  <c r="I283" i="53"/>
  <c r="M282" i="53"/>
  <c r="L282" i="53"/>
  <c r="I282" i="53"/>
  <c r="M281" i="53"/>
  <c r="L281" i="53"/>
  <c r="I281" i="53"/>
  <c r="M280" i="53"/>
  <c r="L280" i="53"/>
  <c r="I280" i="53"/>
  <c r="L279" i="53"/>
  <c r="I279" i="53"/>
  <c r="M279" i="53" s="1"/>
  <c r="L278" i="53"/>
  <c r="I278" i="53"/>
  <c r="M278" i="53" s="1"/>
  <c r="L277" i="53"/>
  <c r="I277" i="53"/>
  <c r="M277" i="53" s="1"/>
  <c r="L276" i="53"/>
  <c r="I276" i="53"/>
  <c r="M276" i="53" s="1"/>
  <c r="M275" i="53"/>
  <c r="L275" i="53"/>
  <c r="I275" i="53"/>
  <c r="M274" i="53"/>
  <c r="L274" i="53"/>
  <c r="I274" i="53"/>
  <c r="M273" i="53"/>
  <c r="L273" i="53"/>
  <c r="I273" i="53"/>
  <c r="M272" i="53"/>
  <c r="L272" i="53"/>
  <c r="I272" i="53"/>
  <c r="L271" i="53"/>
  <c r="I271" i="53"/>
  <c r="M271" i="53" s="1"/>
  <c r="L270" i="53"/>
  <c r="I270" i="53"/>
  <c r="M270" i="53" s="1"/>
  <c r="L269" i="53"/>
  <c r="I269" i="53"/>
  <c r="M269" i="53" s="1"/>
  <c r="L268" i="53"/>
  <c r="I268" i="53"/>
  <c r="M268" i="53" s="1"/>
  <c r="M267" i="53"/>
  <c r="L267" i="53"/>
  <c r="I267" i="53"/>
  <c r="M266" i="53"/>
  <c r="L266" i="53"/>
  <c r="I266" i="53"/>
  <c r="M265" i="53"/>
  <c r="L265" i="53"/>
  <c r="I265" i="53"/>
  <c r="M264" i="53"/>
  <c r="L264" i="53"/>
  <c r="I264" i="53"/>
  <c r="L263" i="53"/>
  <c r="I263" i="53"/>
  <c r="M263" i="53" s="1"/>
  <c r="L262" i="53"/>
  <c r="I262" i="53"/>
  <c r="M262" i="53" s="1"/>
  <c r="L261" i="53"/>
  <c r="I261" i="53"/>
  <c r="M261" i="53" s="1"/>
  <c r="L260" i="53"/>
  <c r="I260" i="53"/>
  <c r="M260" i="53" s="1"/>
  <c r="M259" i="53"/>
  <c r="L259" i="53"/>
  <c r="I259" i="53"/>
  <c r="M258" i="53"/>
  <c r="L258" i="53"/>
  <c r="I258" i="53"/>
  <c r="M257" i="53"/>
  <c r="L257" i="53"/>
  <c r="I257" i="53"/>
  <c r="M256" i="53"/>
  <c r="L256" i="53"/>
  <c r="I256" i="53"/>
  <c r="L255" i="53"/>
  <c r="I255" i="53"/>
  <c r="M255" i="53" s="1"/>
  <c r="L254" i="53"/>
  <c r="I254" i="53"/>
  <c r="M254" i="53" s="1"/>
  <c r="L253" i="53"/>
  <c r="I253" i="53"/>
  <c r="M253" i="53" s="1"/>
  <c r="L252" i="53"/>
  <c r="I252" i="53"/>
  <c r="M252" i="53" s="1"/>
  <c r="M251" i="53"/>
  <c r="L251" i="53"/>
  <c r="I251" i="53"/>
  <c r="M250" i="53"/>
  <c r="L250" i="53"/>
  <c r="I250" i="53"/>
  <c r="M249" i="53"/>
  <c r="L249" i="53"/>
  <c r="I249" i="53"/>
  <c r="M248" i="53"/>
  <c r="L248" i="53"/>
  <c r="I248" i="53"/>
  <c r="L247" i="53"/>
  <c r="I247" i="53"/>
  <c r="M247" i="53" s="1"/>
  <c r="L246" i="53"/>
  <c r="I246" i="53"/>
  <c r="M246" i="53" s="1"/>
  <c r="L245" i="53"/>
  <c r="I245" i="53"/>
  <c r="M245" i="53" s="1"/>
  <c r="L244" i="53"/>
  <c r="I244" i="53"/>
  <c r="M244" i="53" s="1"/>
  <c r="M243" i="53"/>
  <c r="L243" i="53"/>
  <c r="I243" i="53"/>
  <c r="M242" i="53"/>
  <c r="L242" i="53"/>
  <c r="I242" i="53"/>
  <c r="M241" i="53"/>
  <c r="L241" i="53"/>
  <c r="I241" i="53"/>
  <c r="M240" i="53"/>
  <c r="L240" i="53"/>
  <c r="I240" i="53"/>
  <c r="L239" i="53"/>
  <c r="I239" i="53"/>
  <c r="M239" i="53" s="1"/>
  <c r="L238" i="53"/>
  <c r="I238" i="53"/>
  <c r="M238" i="53" s="1"/>
  <c r="L237" i="53"/>
  <c r="I237" i="53"/>
  <c r="M237" i="53" s="1"/>
  <c r="L236" i="53"/>
  <c r="I236" i="53"/>
  <c r="M236" i="53" s="1"/>
  <c r="M235" i="53"/>
  <c r="L235" i="53"/>
  <c r="I235" i="53"/>
  <c r="M234" i="53"/>
  <c r="L234" i="53"/>
  <c r="I234" i="53"/>
  <c r="M233" i="53"/>
  <c r="L233" i="53"/>
  <c r="I233" i="53"/>
  <c r="M232" i="53"/>
  <c r="L232" i="53"/>
  <c r="I232" i="53"/>
  <c r="L231" i="53"/>
  <c r="I231" i="53"/>
  <c r="M231" i="53" s="1"/>
  <c r="L230" i="53"/>
  <c r="I230" i="53"/>
  <c r="M230" i="53" s="1"/>
  <c r="L229" i="53"/>
  <c r="I229" i="53"/>
  <c r="M229" i="53" s="1"/>
  <c r="L228" i="53"/>
  <c r="I228" i="53"/>
  <c r="M228" i="53" s="1"/>
  <c r="M227" i="53"/>
  <c r="L227" i="53"/>
  <c r="I227" i="53"/>
  <c r="M226" i="53"/>
  <c r="L226" i="53"/>
  <c r="I226" i="53"/>
  <c r="M225" i="53"/>
  <c r="L225" i="53"/>
  <c r="I225" i="53"/>
  <c r="M224" i="53"/>
  <c r="L224" i="53"/>
  <c r="I224" i="53"/>
  <c r="L223" i="53"/>
  <c r="I223" i="53"/>
  <c r="M223" i="53" s="1"/>
  <c r="L222" i="53"/>
  <c r="I222" i="53"/>
  <c r="M222" i="53" s="1"/>
  <c r="M221" i="53"/>
  <c r="L221" i="53"/>
  <c r="I221" i="53"/>
  <c r="L220" i="53"/>
  <c r="I220" i="53"/>
  <c r="M220" i="53" s="1"/>
  <c r="M219" i="53"/>
  <c r="L219" i="53"/>
  <c r="I219" i="53"/>
  <c r="M218" i="53"/>
  <c r="L218" i="53"/>
  <c r="I218" i="53"/>
  <c r="M217" i="53"/>
  <c r="L217" i="53"/>
  <c r="I217" i="53"/>
  <c r="M216" i="53"/>
  <c r="L216" i="53"/>
  <c r="I216" i="53"/>
  <c r="L215" i="53"/>
  <c r="I215" i="53"/>
  <c r="M215" i="53" s="1"/>
  <c r="L214" i="53"/>
  <c r="I214" i="53"/>
  <c r="M214" i="53" s="1"/>
  <c r="M213" i="53"/>
  <c r="L213" i="53"/>
  <c r="I213" i="53"/>
  <c r="L212" i="53"/>
  <c r="I212" i="53"/>
  <c r="M212" i="53" s="1"/>
  <c r="M211" i="53"/>
  <c r="L211" i="53"/>
  <c r="I211" i="53"/>
  <c r="M210" i="53"/>
  <c r="L210" i="53"/>
  <c r="I210" i="53"/>
  <c r="M209" i="53"/>
  <c r="L209" i="53"/>
  <c r="I209" i="53"/>
  <c r="M208" i="53"/>
  <c r="L208" i="53"/>
  <c r="I208" i="53"/>
  <c r="L207" i="53"/>
  <c r="I207" i="53"/>
  <c r="M207" i="53" s="1"/>
  <c r="L206" i="53"/>
  <c r="I206" i="53"/>
  <c r="M206" i="53" s="1"/>
  <c r="M205" i="53"/>
  <c r="L205" i="53"/>
  <c r="I205" i="53"/>
  <c r="L204" i="53"/>
  <c r="I204" i="53"/>
  <c r="M204" i="53" s="1"/>
  <c r="M203" i="53"/>
  <c r="L203" i="53"/>
  <c r="I203" i="53"/>
  <c r="M202" i="53"/>
  <c r="L202" i="53"/>
  <c r="I202" i="53"/>
  <c r="M201" i="53"/>
  <c r="L201" i="53"/>
  <c r="I201" i="53"/>
  <c r="M200" i="53"/>
  <c r="L200" i="53"/>
  <c r="I200" i="53"/>
  <c r="L199" i="53"/>
  <c r="I199" i="53"/>
  <c r="M199" i="53" s="1"/>
  <c r="L198" i="53"/>
  <c r="I198" i="53"/>
  <c r="M198" i="53" s="1"/>
  <c r="M197" i="53"/>
  <c r="L197" i="53"/>
  <c r="I197" i="53"/>
  <c r="L196" i="53"/>
  <c r="I196" i="53"/>
  <c r="M196" i="53" s="1"/>
  <c r="M195" i="53"/>
  <c r="L195" i="53"/>
  <c r="I195" i="53"/>
  <c r="M194" i="53"/>
  <c r="L194" i="53"/>
  <c r="I194" i="53"/>
  <c r="M193" i="53"/>
  <c r="L193" i="53"/>
  <c r="I193" i="53"/>
  <c r="M192" i="53"/>
  <c r="L192" i="53"/>
  <c r="I192" i="53"/>
  <c r="L191" i="53"/>
  <c r="I191" i="53"/>
  <c r="M191" i="53" s="1"/>
  <c r="L190" i="53"/>
  <c r="I190" i="53"/>
  <c r="M190" i="53" s="1"/>
  <c r="M189" i="53"/>
  <c r="L189" i="53"/>
  <c r="I189" i="53"/>
  <c r="L188" i="53"/>
  <c r="I188" i="53"/>
  <c r="M188" i="53" s="1"/>
  <c r="M187" i="53"/>
  <c r="L187" i="53"/>
  <c r="I187" i="53"/>
  <c r="M186" i="53"/>
  <c r="L186" i="53"/>
  <c r="I186" i="53"/>
  <c r="M185" i="53"/>
  <c r="L185" i="53"/>
  <c r="I185" i="53"/>
  <c r="M184" i="53"/>
  <c r="L184" i="53"/>
  <c r="I184" i="53"/>
  <c r="L183" i="53"/>
  <c r="I183" i="53"/>
  <c r="M183" i="53" s="1"/>
  <c r="L182" i="53"/>
  <c r="I182" i="53"/>
  <c r="M182" i="53" s="1"/>
  <c r="M181" i="53"/>
  <c r="L181" i="53"/>
  <c r="I181" i="53"/>
  <c r="L180" i="53"/>
  <c r="I180" i="53"/>
  <c r="M180" i="53" s="1"/>
  <c r="M179" i="53"/>
  <c r="L179" i="53"/>
  <c r="I179" i="53"/>
  <c r="M178" i="53"/>
  <c r="L178" i="53"/>
  <c r="I178" i="53"/>
  <c r="M177" i="53"/>
  <c r="L177" i="53"/>
  <c r="I177" i="53"/>
  <c r="M176" i="53"/>
  <c r="L176" i="53"/>
  <c r="I176" i="53"/>
  <c r="L175" i="53"/>
  <c r="I175" i="53"/>
  <c r="M175" i="53" s="1"/>
  <c r="L174" i="53"/>
  <c r="I174" i="53"/>
  <c r="M174" i="53" s="1"/>
  <c r="M173" i="53"/>
  <c r="L173" i="53"/>
  <c r="I173" i="53"/>
  <c r="L172" i="53"/>
  <c r="I172" i="53"/>
  <c r="M172" i="53" s="1"/>
  <c r="M171" i="53"/>
  <c r="L171" i="53"/>
  <c r="I171" i="53"/>
  <c r="M170" i="53"/>
  <c r="L170" i="53"/>
  <c r="I170" i="53"/>
  <c r="M169" i="53"/>
  <c r="L169" i="53"/>
  <c r="I169" i="53"/>
  <c r="M168" i="53"/>
  <c r="L168" i="53"/>
  <c r="I168" i="53"/>
  <c r="L167" i="53"/>
  <c r="I167" i="53"/>
  <c r="M167" i="53" s="1"/>
  <c r="L166" i="53"/>
  <c r="I166" i="53"/>
  <c r="M166" i="53" s="1"/>
  <c r="M165" i="53"/>
  <c r="L165" i="53"/>
  <c r="I165" i="53"/>
  <c r="L164" i="53"/>
  <c r="I164" i="53"/>
  <c r="M164" i="53" s="1"/>
  <c r="M163" i="53"/>
  <c r="L163" i="53"/>
  <c r="I163" i="53"/>
  <c r="L162" i="53"/>
  <c r="I162" i="53"/>
  <c r="M162" i="53" s="1"/>
  <c r="M161" i="53"/>
  <c r="L161" i="53"/>
  <c r="I161" i="53"/>
  <c r="M160" i="53"/>
  <c r="L160" i="53"/>
  <c r="I160" i="53"/>
  <c r="L159" i="53"/>
  <c r="I159" i="53"/>
  <c r="M159" i="53" s="1"/>
  <c r="L158" i="53"/>
  <c r="I158" i="53"/>
  <c r="M158" i="53" s="1"/>
  <c r="L157" i="53"/>
  <c r="I157" i="53"/>
  <c r="M157" i="53" s="1"/>
  <c r="M156" i="53"/>
  <c r="L156" i="53"/>
  <c r="I156" i="53"/>
  <c r="M155" i="53"/>
  <c r="L155" i="53"/>
  <c r="I155" i="53"/>
  <c r="L154" i="53"/>
  <c r="I154" i="53"/>
  <c r="M154" i="53" s="1"/>
  <c r="M153" i="53"/>
  <c r="L153" i="53"/>
  <c r="I153" i="53"/>
  <c r="M152" i="53"/>
  <c r="L152" i="53"/>
  <c r="I152" i="53"/>
  <c r="L151" i="53"/>
  <c r="I151" i="53"/>
  <c r="M151" i="53" s="1"/>
  <c r="L150" i="53"/>
  <c r="I150" i="53"/>
  <c r="M150" i="53" s="1"/>
  <c r="L149" i="53"/>
  <c r="I149" i="53"/>
  <c r="M149" i="53" s="1"/>
  <c r="M148" i="53"/>
  <c r="L148" i="53"/>
  <c r="I148" i="53"/>
  <c r="M147" i="53"/>
  <c r="L147" i="53"/>
  <c r="I147" i="53"/>
  <c r="L146" i="53"/>
  <c r="I146" i="53"/>
  <c r="M146" i="53" s="1"/>
  <c r="M145" i="53"/>
  <c r="L145" i="53"/>
  <c r="I145" i="53"/>
  <c r="M144" i="53"/>
  <c r="L144" i="53"/>
  <c r="I144" i="53"/>
  <c r="L143" i="53"/>
  <c r="I143" i="53"/>
  <c r="M143" i="53" s="1"/>
  <c r="L142" i="53"/>
  <c r="I142" i="53"/>
  <c r="M142" i="53" s="1"/>
  <c r="L141" i="53"/>
  <c r="I141" i="53"/>
  <c r="M141" i="53" s="1"/>
  <c r="M140" i="53"/>
  <c r="L140" i="53"/>
  <c r="I140" i="53"/>
  <c r="M139" i="53"/>
  <c r="L139" i="53"/>
  <c r="I139" i="53"/>
  <c r="L138" i="53"/>
  <c r="I138" i="53"/>
  <c r="M138" i="53" s="1"/>
  <c r="M137" i="53"/>
  <c r="L137" i="53"/>
  <c r="I137" i="53"/>
  <c r="M136" i="53"/>
  <c r="L136" i="53"/>
  <c r="I136" i="53"/>
  <c r="L135" i="53"/>
  <c r="I135" i="53"/>
  <c r="M135" i="53" s="1"/>
  <c r="L134" i="53"/>
  <c r="I134" i="53"/>
  <c r="M134" i="53" s="1"/>
  <c r="L133" i="53"/>
  <c r="I133" i="53"/>
  <c r="M133" i="53" s="1"/>
  <c r="M132" i="53"/>
  <c r="L132" i="53"/>
  <c r="I132" i="53"/>
  <c r="M131" i="53"/>
  <c r="L131" i="53"/>
  <c r="I131" i="53"/>
  <c r="L130" i="53"/>
  <c r="I130" i="53"/>
  <c r="M130" i="53" s="1"/>
  <c r="M129" i="53"/>
  <c r="L129" i="53"/>
  <c r="I129" i="53"/>
  <c r="M128" i="53"/>
  <c r="L128" i="53"/>
  <c r="I128" i="53"/>
  <c r="L127" i="53"/>
  <c r="I127" i="53"/>
  <c r="M127" i="53" s="1"/>
  <c r="L126" i="53"/>
  <c r="I126" i="53"/>
  <c r="M126" i="53" s="1"/>
  <c r="L125" i="53"/>
  <c r="I125" i="53"/>
  <c r="M125" i="53" s="1"/>
  <c r="M124" i="53"/>
  <c r="L124" i="53"/>
  <c r="I124" i="53"/>
  <c r="M123" i="53"/>
  <c r="L123" i="53"/>
  <c r="I123" i="53"/>
  <c r="L122" i="53"/>
  <c r="I122" i="53"/>
  <c r="M122" i="53" s="1"/>
  <c r="M121" i="53"/>
  <c r="L121" i="53"/>
  <c r="I121" i="53"/>
  <c r="M120" i="53"/>
  <c r="L120" i="53"/>
  <c r="I120" i="53"/>
  <c r="L119" i="53"/>
  <c r="I119" i="53"/>
  <c r="M119" i="53" s="1"/>
  <c r="L118" i="53"/>
  <c r="I118" i="53"/>
  <c r="M118" i="53" s="1"/>
  <c r="L117" i="53"/>
  <c r="I117" i="53"/>
  <c r="M117" i="53" s="1"/>
  <c r="M116" i="53"/>
  <c r="L116" i="53"/>
  <c r="I116" i="53"/>
  <c r="M115" i="53"/>
  <c r="L115" i="53"/>
  <c r="I115" i="53"/>
  <c r="L114" i="53"/>
  <c r="I114" i="53"/>
  <c r="M114" i="53" s="1"/>
  <c r="M113" i="53"/>
  <c r="L113" i="53"/>
  <c r="I113" i="53"/>
  <c r="M112" i="53"/>
  <c r="L112" i="53"/>
  <c r="I112" i="53"/>
  <c r="L111" i="53"/>
  <c r="I111" i="53"/>
  <c r="M111" i="53" s="1"/>
  <c r="L110" i="53"/>
  <c r="I110" i="53"/>
  <c r="M110" i="53" s="1"/>
  <c r="L109" i="53"/>
  <c r="I109" i="53"/>
  <c r="M109" i="53" s="1"/>
  <c r="M108" i="53"/>
  <c r="L108" i="53"/>
  <c r="I108" i="53"/>
  <c r="M107" i="53"/>
  <c r="L107" i="53"/>
  <c r="I107" i="53"/>
  <c r="L106" i="53"/>
  <c r="I106" i="53"/>
  <c r="M106" i="53" s="1"/>
  <c r="M105" i="53"/>
  <c r="L105" i="53"/>
  <c r="I105" i="53"/>
  <c r="M104" i="53"/>
  <c r="L104" i="53"/>
  <c r="I104" i="53"/>
  <c r="L103" i="53"/>
  <c r="I103" i="53"/>
  <c r="M103" i="53" s="1"/>
  <c r="L102" i="53"/>
  <c r="I102" i="53"/>
  <c r="M102" i="53" s="1"/>
  <c r="L101" i="53"/>
  <c r="I101" i="53"/>
  <c r="M101" i="53" s="1"/>
  <c r="M100" i="53"/>
  <c r="L100" i="53"/>
  <c r="I100" i="53"/>
  <c r="M99" i="53"/>
  <c r="L99" i="53"/>
  <c r="I99" i="53"/>
  <c r="L98" i="53"/>
  <c r="I98" i="53"/>
  <c r="M98" i="53" s="1"/>
  <c r="M97" i="53"/>
  <c r="L97" i="53"/>
  <c r="I97" i="53"/>
  <c r="M96" i="53"/>
  <c r="L96" i="53"/>
  <c r="I96" i="53"/>
  <c r="L95" i="53"/>
  <c r="I95" i="53"/>
  <c r="M95" i="53" s="1"/>
  <c r="L94" i="53"/>
  <c r="I94" i="53"/>
  <c r="M94" i="53" s="1"/>
  <c r="L93" i="53"/>
  <c r="I93" i="53"/>
  <c r="M93" i="53" s="1"/>
  <c r="M92" i="53"/>
  <c r="L92" i="53"/>
  <c r="I92" i="53"/>
  <c r="M91" i="53"/>
  <c r="L91" i="53"/>
  <c r="I91" i="53"/>
  <c r="L90" i="53"/>
  <c r="I90" i="53"/>
  <c r="M90" i="53" s="1"/>
  <c r="M89" i="53"/>
  <c r="L89" i="53"/>
  <c r="I89" i="53"/>
  <c r="M88" i="53"/>
  <c r="L88" i="53"/>
  <c r="I88" i="53"/>
  <c r="L87" i="53"/>
  <c r="I87" i="53"/>
  <c r="M87" i="53" s="1"/>
  <c r="L86" i="53"/>
  <c r="I86" i="53"/>
  <c r="M86" i="53" s="1"/>
  <c r="L85" i="53"/>
  <c r="I85" i="53"/>
  <c r="M85" i="53" s="1"/>
  <c r="L84" i="53"/>
  <c r="I84" i="53"/>
  <c r="M84" i="53" s="1"/>
  <c r="M83" i="53"/>
  <c r="L83" i="53"/>
  <c r="I83" i="53"/>
  <c r="L82" i="53"/>
  <c r="I82" i="53"/>
  <c r="M82" i="53" s="1"/>
  <c r="M81" i="53"/>
  <c r="L81" i="53"/>
  <c r="I81" i="53"/>
  <c r="M80" i="53"/>
  <c r="L80" i="53"/>
  <c r="I80" i="53"/>
  <c r="L79" i="53"/>
  <c r="I79" i="53"/>
  <c r="M79" i="53" s="1"/>
  <c r="L78" i="53"/>
  <c r="I78" i="53"/>
  <c r="M78" i="53" s="1"/>
  <c r="L77" i="53"/>
  <c r="I77" i="53"/>
  <c r="M77" i="53" s="1"/>
  <c r="L76" i="53"/>
  <c r="I76" i="53"/>
  <c r="M76" i="53" s="1"/>
  <c r="M75" i="53"/>
  <c r="L75" i="53"/>
  <c r="I75" i="53"/>
  <c r="L74" i="53"/>
  <c r="I74" i="53"/>
  <c r="M74" i="53" s="1"/>
  <c r="M73" i="53"/>
  <c r="L73" i="53"/>
  <c r="I73" i="53"/>
  <c r="M72" i="53"/>
  <c r="L72" i="53"/>
  <c r="I72" i="53"/>
  <c r="L71" i="53"/>
  <c r="I71" i="53"/>
  <c r="M71" i="53" s="1"/>
  <c r="L70" i="53"/>
  <c r="I70" i="53"/>
  <c r="M70" i="53" s="1"/>
  <c r="L69" i="53"/>
  <c r="I69" i="53"/>
  <c r="M69" i="53" s="1"/>
  <c r="L68" i="53"/>
  <c r="I68" i="53"/>
  <c r="M68" i="53" s="1"/>
  <c r="M67" i="53"/>
  <c r="L67" i="53"/>
  <c r="I67" i="53"/>
  <c r="L66" i="53"/>
  <c r="I66" i="53"/>
  <c r="M66" i="53" s="1"/>
  <c r="M65" i="53"/>
  <c r="L65" i="53"/>
  <c r="I65" i="53"/>
  <c r="M64" i="53"/>
  <c r="L64" i="53"/>
  <c r="I64" i="53"/>
  <c r="L63" i="53"/>
  <c r="I63" i="53"/>
  <c r="M63" i="53" s="1"/>
  <c r="L62" i="53"/>
  <c r="I62" i="53"/>
  <c r="M62" i="53" s="1"/>
  <c r="L61" i="53"/>
  <c r="I61" i="53"/>
  <c r="M61" i="53" s="1"/>
  <c r="L60" i="53"/>
  <c r="I60" i="53"/>
  <c r="M60" i="53" s="1"/>
  <c r="M59" i="53"/>
  <c r="L59" i="53"/>
  <c r="I59" i="53"/>
  <c r="L58" i="53"/>
  <c r="I58" i="53"/>
  <c r="M58" i="53" s="1"/>
  <c r="M57" i="53"/>
  <c r="L57" i="53"/>
  <c r="I57" i="53"/>
  <c r="M56" i="53"/>
  <c r="L56" i="53"/>
  <c r="I56" i="53"/>
  <c r="L55" i="53"/>
  <c r="I55" i="53"/>
  <c r="M55" i="53" s="1"/>
  <c r="L54" i="53"/>
  <c r="I54" i="53"/>
  <c r="M54" i="53" s="1"/>
  <c r="L53" i="53"/>
  <c r="I53" i="53"/>
  <c r="M53" i="53" s="1"/>
  <c r="L52" i="53"/>
  <c r="I52" i="53"/>
  <c r="M52" i="53" s="1"/>
  <c r="M51" i="53"/>
  <c r="L51" i="53"/>
  <c r="I51" i="53"/>
  <c r="L50" i="53"/>
  <c r="I50" i="53"/>
  <c r="M50" i="53" s="1"/>
  <c r="M49" i="53"/>
  <c r="L49" i="53"/>
  <c r="I49" i="53"/>
  <c r="M48" i="53"/>
  <c r="L48" i="53"/>
  <c r="I48" i="53"/>
  <c r="L47" i="53"/>
  <c r="I47" i="53"/>
  <c r="M47" i="53" s="1"/>
  <c r="L46" i="53"/>
  <c r="I46" i="53"/>
  <c r="M46" i="53" s="1"/>
  <c r="L45" i="53"/>
  <c r="I45" i="53"/>
  <c r="M45" i="53" s="1"/>
  <c r="L44" i="53"/>
  <c r="I44" i="53"/>
  <c r="M44" i="53" s="1"/>
  <c r="M43" i="53"/>
  <c r="L43" i="53"/>
  <c r="I43" i="53"/>
  <c r="L42" i="53"/>
  <c r="I42" i="53"/>
  <c r="M42" i="53" s="1"/>
  <c r="M41" i="53"/>
  <c r="L41" i="53"/>
  <c r="I41" i="53"/>
  <c r="M40" i="53"/>
  <c r="L40" i="53"/>
  <c r="I40" i="53"/>
  <c r="L39" i="53"/>
  <c r="I39" i="53"/>
  <c r="M39" i="53" s="1"/>
  <c r="L38" i="53"/>
  <c r="I38" i="53"/>
  <c r="M38" i="53" s="1"/>
  <c r="L37" i="53"/>
  <c r="I37" i="53"/>
  <c r="M37" i="53" s="1"/>
  <c r="L36" i="53"/>
  <c r="I36" i="53"/>
  <c r="M36" i="53" s="1"/>
  <c r="M35" i="53"/>
  <c r="L35" i="53"/>
  <c r="I35" i="53"/>
  <c r="L34" i="53"/>
  <c r="I34" i="53"/>
  <c r="M34" i="53" s="1"/>
  <c r="M33" i="53"/>
  <c r="L33" i="53"/>
  <c r="I33" i="53"/>
  <c r="M32" i="53"/>
  <c r="L32" i="53"/>
  <c r="I32" i="53"/>
  <c r="L31" i="53"/>
  <c r="I31" i="53"/>
  <c r="M31" i="53" s="1"/>
  <c r="L30" i="53"/>
  <c r="I30" i="53"/>
  <c r="M30" i="53" s="1"/>
  <c r="L29" i="53"/>
  <c r="I29" i="53"/>
  <c r="M29" i="53" s="1"/>
  <c r="L28" i="53"/>
  <c r="I28" i="53"/>
  <c r="M28" i="53" s="1"/>
  <c r="M27" i="53"/>
  <c r="L27" i="53"/>
  <c r="I27" i="53"/>
  <c r="L26" i="53"/>
  <c r="I26" i="53"/>
  <c r="M26" i="53" s="1"/>
  <c r="M25" i="53"/>
  <c r="L25" i="53"/>
  <c r="I25" i="53"/>
  <c r="M24" i="53"/>
  <c r="L24" i="53"/>
  <c r="I24" i="53"/>
  <c r="L23" i="53"/>
  <c r="I23" i="53"/>
  <c r="M23" i="53" s="1"/>
  <c r="L22" i="53"/>
  <c r="I22" i="53"/>
  <c r="M22" i="53" s="1"/>
  <c r="L21" i="53"/>
  <c r="I21" i="53"/>
  <c r="M21" i="53" s="1"/>
  <c r="L20" i="53"/>
  <c r="I20" i="53"/>
  <c r="M20" i="53" s="1"/>
  <c r="M19" i="53"/>
  <c r="L19" i="53"/>
  <c r="I19" i="53"/>
  <c r="L18" i="53"/>
  <c r="I18" i="53"/>
  <c r="M18" i="53" s="1"/>
  <c r="M17" i="53"/>
  <c r="L17" i="53"/>
  <c r="I17" i="53"/>
  <c r="M16" i="53"/>
  <c r="L16" i="53"/>
  <c r="I16" i="53"/>
  <c r="L15" i="53"/>
  <c r="I15" i="53"/>
  <c r="M15" i="53" s="1"/>
  <c r="L14" i="53"/>
  <c r="I14" i="53"/>
  <c r="M14" i="53" s="1"/>
  <c r="L13" i="53"/>
  <c r="I13" i="53"/>
  <c r="M13" i="53" s="1"/>
  <c r="L12" i="53"/>
  <c r="I12" i="53"/>
  <c r="M12" i="53" s="1"/>
  <c r="M11" i="53"/>
  <c r="L11" i="53"/>
  <c r="I11" i="53"/>
  <c r="L10" i="53"/>
  <c r="I10" i="53"/>
  <c r="M10" i="53" s="1"/>
  <c r="M9" i="53"/>
  <c r="L9" i="53"/>
  <c r="I9" i="53"/>
  <c r="M8" i="53"/>
  <c r="L8" i="53"/>
  <c r="I8" i="53"/>
  <c r="L7" i="53"/>
  <c r="I7" i="53"/>
  <c r="M7" i="53" s="1"/>
  <c r="L6" i="53"/>
  <c r="I6" i="53"/>
  <c r="M6" i="53" s="1"/>
  <c r="L5" i="53"/>
  <c r="I5" i="53"/>
  <c r="M5" i="53" s="1"/>
  <c r="L4" i="53"/>
  <c r="I4" i="53"/>
  <c r="M4" i="53" s="1"/>
  <c r="H3" i="53"/>
  <c r="G3" i="53"/>
  <c r="F3" i="53"/>
  <c r="E3" i="53"/>
  <c r="D3" i="53"/>
  <c r="C3" i="53"/>
  <c r="I3" i="53" s="1"/>
  <c r="BJ323" i="28"/>
  <c r="BJ314" i="28"/>
  <c r="BJ310" i="28"/>
  <c r="BJ298" i="28"/>
  <c r="BJ286" i="28"/>
  <c r="BJ282" i="28"/>
  <c r="BJ270" i="28"/>
  <c r="BJ266" i="28"/>
  <c r="BJ254" i="28"/>
  <c r="BJ242" i="28"/>
  <c r="BJ238" i="28"/>
  <c r="BJ227" i="28"/>
  <c r="BK223" i="28"/>
  <c r="BJ214" i="28"/>
  <c r="BJ210" i="28"/>
  <c r="BJ195" i="28"/>
  <c r="BJ186" i="28"/>
  <c r="BJ182" i="28"/>
  <c r="BJ170" i="28"/>
  <c r="BJ158" i="28"/>
  <c r="BJ154" i="28"/>
  <c r="BJ142" i="28"/>
  <c r="BJ138" i="28"/>
  <c r="BJ126" i="28"/>
  <c r="BJ114" i="28"/>
  <c r="BJ110" i="28"/>
  <c r="BJ99" i="28"/>
  <c r="BK95" i="28"/>
  <c r="BJ86" i="28"/>
  <c r="BJ82" i="28"/>
  <c r="BJ67" i="28"/>
  <c r="BJ58" i="28"/>
  <c r="BJ54" i="28"/>
  <c r="BJ42" i="28"/>
  <c r="BJ30" i="28"/>
  <c r="BJ26" i="28"/>
  <c r="BJ14" i="28"/>
  <c r="BJ10" i="28"/>
  <c r="BH337" i="28"/>
  <c r="BK337" i="28" s="1"/>
  <c r="BG337" i="28"/>
  <c r="BJ337" i="28" s="1"/>
  <c r="BH336" i="28"/>
  <c r="BK336" i="28" s="1"/>
  <c r="BG336" i="28"/>
  <c r="BJ336" i="28" s="1"/>
  <c r="BH335" i="28"/>
  <c r="BK335" i="28" s="1"/>
  <c r="BG335" i="28"/>
  <c r="BJ335" i="28" s="1"/>
  <c r="BH334" i="28"/>
  <c r="BK334" i="28" s="1"/>
  <c r="BG334" i="28"/>
  <c r="BJ334" i="28" s="1"/>
  <c r="BH333" i="28"/>
  <c r="BK333" i="28" s="1"/>
  <c r="BG333" i="28"/>
  <c r="BJ333" i="28" s="1"/>
  <c r="BH332" i="28"/>
  <c r="BK332" i="28" s="1"/>
  <c r="BG332" i="28"/>
  <c r="BJ332" i="28" s="1"/>
  <c r="BH331" i="28"/>
  <c r="BK331" i="28" s="1"/>
  <c r="BG331" i="28"/>
  <c r="BJ331" i="28" s="1"/>
  <c r="BH330" i="28"/>
  <c r="BK330" i="28" s="1"/>
  <c r="BG330" i="28"/>
  <c r="BJ330" i="28" s="1"/>
  <c r="BH329" i="28"/>
  <c r="BK329" i="28" s="1"/>
  <c r="BG329" i="28"/>
  <c r="BJ329" i="28" s="1"/>
  <c r="BH328" i="28"/>
  <c r="BK328" i="28" s="1"/>
  <c r="BG328" i="28"/>
  <c r="BJ328" i="28" s="1"/>
  <c r="BH327" i="28"/>
  <c r="BK327" i="28" s="1"/>
  <c r="BG327" i="28"/>
  <c r="BJ327" i="28" s="1"/>
  <c r="BH326" i="28"/>
  <c r="BK326" i="28" s="1"/>
  <c r="BG326" i="28"/>
  <c r="BJ326" i="28" s="1"/>
  <c r="BH325" i="28"/>
  <c r="BK325" i="28" s="1"/>
  <c r="BG325" i="28"/>
  <c r="BJ325" i="28" s="1"/>
  <c r="BH324" i="28"/>
  <c r="BK324" i="28" s="1"/>
  <c r="BG324" i="28"/>
  <c r="BJ324" i="28" s="1"/>
  <c r="BH323" i="28"/>
  <c r="BK323" i="28" s="1"/>
  <c r="BG323" i="28"/>
  <c r="BH322" i="28"/>
  <c r="BK322" i="28" s="1"/>
  <c r="BG322" i="28"/>
  <c r="BJ322" i="28" s="1"/>
  <c r="BH321" i="28"/>
  <c r="BK321" i="28" s="1"/>
  <c r="BG321" i="28"/>
  <c r="BJ321" i="28" s="1"/>
  <c r="BH320" i="28"/>
  <c r="BK320" i="28" s="1"/>
  <c r="BG320" i="28"/>
  <c r="BJ320" i="28" s="1"/>
  <c r="BH319" i="28"/>
  <c r="BK319" i="28" s="1"/>
  <c r="BG319" i="28"/>
  <c r="BJ319" i="28" s="1"/>
  <c r="BH318" i="28"/>
  <c r="BK318" i="28" s="1"/>
  <c r="BG318" i="28"/>
  <c r="BJ318" i="28" s="1"/>
  <c r="BH317" i="28"/>
  <c r="BK317" i="28" s="1"/>
  <c r="BG317" i="28"/>
  <c r="BJ317" i="28" s="1"/>
  <c r="BH316" i="28"/>
  <c r="BK316" i="28" s="1"/>
  <c r="BG316" i="28"/>
  <c r="BJ316" i="28" s="1"/>
  <c r="BH315" i="28"/>
  <c r="BK315" i="28" s="1"/>
  <c r="BG315" i="28"/>
  <c r="BJ315" i="28" s="1"/>
  <c r="BH314" i="28"/>
  <c r="BK314" i="28" s="1"/>
  <c r="BG314" i="28"/>
  <c r="BH313" i="28"/>
  <c r="BK313" i="28" s="1"/>
  <c r="BG313" i="28"/>
  <c r="BJ313" i="28" s="1"/>
  <c r="BH312" i="28"/>
  <c r="BK312" i="28" s="1"/>
  <c r="BG312" i="28"/>
  <c r="BJ312" i="28" s="1"/>
  <c r="BH311" i="28"/>
  <c r="BK311" i="28" s="1"/>
  <c r="BG311" i="28"/>
  <c r="BJ311" i="28" s="1"/>
  <c r="BH310" i="28"/>
  <c r="BK310" i="28" s="1"/>
  <c r="BG310" i="28"/>
  <c r="BH309" i="28"/>
  <c r="BK309" i="28" s="1"/>
  <c r="BG309" i="28"/>
  <c r="BJ309" i="28" s="1"/>
  <c r="BH308" i="28"/>
  <c r="BK308" i="28" s="1"/>
  <c r="BG308" i="28"/>
  <c r="BJ308" i="28" s="1"/>
  <c r="BH307" i="28"/>
  <c r="BK307" i="28" s="1"/>
  <c r="BG307" i="28"/>
  <c r="BJ307" i="28" s="1"/>
  <c r="BH306" i="28"/>
  <c r="BK306" i="28" s="1"/>
  <c r="BG306" i="28"/>
  <c r="BJ306" i="28" s="1"/>
  <c r="BH305" i="28"/>
  <c r="BK305" i="28" s="1"/>
  <c r="BG305" i="28"/>
  <c r="BJ305" i="28" s="1"/>
  <c r="BH304" i="28"/>
  <c r="BK304" i="28" s="1"/>
  <c r="BG304" i="28"/>
  <c r="BJ304" i="28" s="1"/>
  <c r="BH303" i="28"/>
  <c r="BK303" i="28" s="1"/>
  <c r="BG303" i="28"/>
  <c r="BJ303" i="28" s="1"/>
  <c r="BH302" i="28"/>
  <c r="BK302" i="28" s="1"/>
  <c r="BG302" i="28"/>
  <c r="BJ302" i="28" s="1"/>
  <c r="BH301" i="28"/>
  <c r="BK301" i="28" s="1"/>
  <c r="BG301" i="28"/>
  <c r="BJ301" i="28" s="1"/>
  <c r="BH300" i="28"/>
  <c r="BK300" i="28" s="1"/>
  <c r="BG300" i="28"/>
  <c r="BJ300" i="28" s="1"/>
  <c r="BH299" i="28"/>
  <c r="BK299" i="28" s="1"/>
  <c r="BG299" i="28"/>
  <c r="BJ299" i="28" s="1"/>
  <c r="BH298" i="28"/>
  <c r="BK298" i="28" s="1"/>
  <c r="BG298" i="28"/>
  <c r="BH297" i="28"/>
  <c r="BK297" i="28" s="1"/>
  <c r="BG297" i="28"/>
  <c r="BJ297" i="28" s="1"/>
  <c r="BH296" i="28"/>
  <c r="BK296" i="28" s="1"/>
  <c r="BG296" i="28"/>
  <c r="BJ296" i="28" s="1"/>
  <c r="BH295" i="28"/>
  <c r="BK295" i="28" s="1"/>
  <c r="BG295" i="28"/>
  <c r="BJ295" i="28" s="1"/>
  <c r="BH294" i="28"/>
  <c r="BK294" i="28" s="1"/>
  <c r="BG294" i="28"/>
  <c r="BJ294" i="28" s="1"/>
  <c r="BH293" i="28"/>
  <c r="BK293" i="28" s="1"/>
  <c r="BG293" i="28"/>
  <c r="BJ293" i="28" s="1"/>
  <c r="BH292" i="28"/>
  <c r="BK292" i="28" s="1"/>
  <c r="BG292" i="28"/>
  <c r="BJ292" i="28" s="1"/>
  <c r="BH291" i="28"/>
  <c r="BK291" i="28" s="1"/>
  <c r="BG291" i="28"/>
  <c r="BJ291" i="28" s="1"/>
  <c r="BH290" i="28"/>
  <c r="BK290" i="28" s="1"/>
  <c r="BG290" i="28"/>
  <c r="BJ290" i="28" s="1"/>
  <c r="BH289" i="28"/>
  <c r="BK289" i="28" s="1"/>
  <c r="BG289" i="28"/>
  <c r="BJ289" i="28" s="1"/>
  <c r="BH288" i="28"/>
  <c r="BK288" i="28" s="1"/>
  <c r="BG288" i="28"/>
  <c r="BJ288" i="28" s="1"/>
  <c r="BH287" i="28"/>
  <c r="BK287" i="28" s="1"/>
  <c r="BG287" i="28"/>
  <c r="BJ287" i="28" s="1"/>
  <c r="BH286" i="28"/>
  <c r="BK286" i="28" s="1"/>
  <c r="BG286" i="28"/>
  <c r="BH285" i="28"/>
  <c r="BK285" i="28" s="1"/>
  <c r="BG285" i="28"/>
  <c r="BJ285" i="28" s="1"/>
  <c r="BH284" i="28"/>
  <c r="BK284" i="28" s="1"/>
  <c r="BG284" i="28"/>
  <c r="BJ284" i="28" s="1"/>
  <c r="BH283" i="28"/>
  <c r="BK283" i="28" s="1"/>
  <c r="BG283" i="28"/>
  <c r="BJ283" i="28" s="1"/>
  <c r="BH282" i="28"/>
  <c r="BK282" i="28" s="1"/>
  <c r="BG282" i="28"/>
  <c r="BH281" i="28"/>
  <c r="BK281" i="28" s="1"/>
  <c r="BG281" i="28"/>
  <c r="BJ281" i="28" s="1"/>
  <c r="BH280" i="28"/>
  <c r="BK280" i="28" s="1"/>
  <c r="BG280" i="28"/>
  <c r="BJ280" i="28" s="1"/>
  <c r="BH279" i="28"/>
  <c r="BK279" i="28" s="1"/>
  <c r="BG279" i="28"/>
  <c r="BJ279" i="28" s="1"/>
  <c r="BH278" i="28"/>
  <c r="BK278" i="28" s="1"/>
  <c r="BG278" i="28"/>
  <c r="BJ278" i="28" s="1"/>
  <c r="BH277" i="28"/>
  <c r="BK277" i="28" s="1"/>
  <c r="BG277" i="28"/>
  <c r="BJ277" i="28" s="1"/>
  <c r="BH276" i="28"/>
  <c r="BK276" i="28" s="1"/>
  <c r="BG276" i="28"/>
  <c r="BJ276" i="28" s="1"/>
  <c r="BH275" i="28"/>
  <c r="BK275" i="28" s="1"/>
  <c r="BG275" i="28"/>
  <c r="BJ275" i="28" s="1"/>
  <c r="BH274" i="28"/>
  <c r="BK274" i="28" s="1"/>
  <c r="BG274" i="28"/>
  <c r="BJ274" i="28" s="1"/>
  <c r="BH273" i="28"/>
  <c r="BK273" i="28" s="1"/>
  <c r="BG273" i="28"/>
  <c r="BJ273" i="28" s="1"/>
  <c r="BH272" i="28"/>
  <c r="BK272" i="28" s="1"/>
  <c r="BG272" i="28"/>
  <c r="BJ272" i="28" s="1"/>
  <c r="BH271" i="28"/>
  <c r="BK271" i="28" s="1"/>
  <c r="BG271" i="28"/>
  <c r="BJ271" i="28" s="1"/>
  <c r="BH270" i="28"/>
  <c r="BK270" i="28" s="1"/>
  <c r="BG270" i="28"/>
  <c r="BH269" i="28"/>
  <c r="BK269" i="28" s="1"/>
  <c r="BG269" i="28"/>
  <c r="BJ269" i="28" s="1"/>
  <c r="BH268" i="28"/>
  <c r="BK268" i="28" s="1"/>
  <c r="BG268" i="28"/>
  <c r="BJ268" i="28" s="1"/>
  <c r="BH267" i="28"/>
  <c r="BK267" i="28" s="1"/>
  <c r="BG267" i="28"/>
  <c r="BJ267" i="28" s="1"/>
  <c r="BH266" i="28"/>
  <c r="BK266" i="28" s="1"/>
  <c r="BG266" i="28"/>
  <c r="BH265" i="28"/>
  <c r="BK265" i="28" s="1"/>
  <c r="BG265" i="28"/>
  <c r="BJ265" i="28" s="1"/>
  <c r="BH264" i="28"/>
  <c r="BK264" i="28" s="1"/>
  <c r="BG264" i="28"/>
  <c r="BJ264" i="28" s="1"/>
  <c r="BH263" i="28"/>
  <c r="BK263" i="28" s="1"/>
  <c r="BG263" i="28"/>
  <c r="BJ263" i="28" s="1"/>
  <c r="BH262" i="28"/>
  <c r="BK262" i="28" s="1"/>
  <c r="BG262" i="28"/>
  <c r="BJ262" i="28" s="1"/>
  <c r="BH261" i="28"/>
  <c r="BK261" i="28" s="1"/>
  <c r="BG261" i="28"/>
  <c r="BJ261" i="28" s="1"/>
  <c r="BH260" i="28"/>
  <c r="BK260" i="28" s="1"/>
  <c r="BG260" i="28"/>
  <c r="BJ260" i="28" s="1"/>
  <c r="BH259" i="28"/>
  <c r="BK259" i="28" s="1"/>
  <c r="BG259" i="28"/>
  <c r="BJ259" i="28" s="1"/>
  <c r="BH258" i="28"/>
  <c r="BK258" i="28" s="1"/>
  <c r="BG258" i="28"/>
  <c r="BJ258" i="28" s="1"/>
  <c r="BH257" i="28"/>
  <c r="BK257" i="28" s="1"/>
  <c r="BG257" i="28"/>
  <c r="BJ257" i="28" s="1"/>
  <c r="BH256" i="28"/>
  <c r="BK256" i="28" s="1"/>
  <c r="BG256" i="28"/>
  <c r="BJ256" i="28" s="1"/>
  <c r="BH255" i="28"/>
  <c r="BK255" i="28" s="1"/>
  <c r="BG255" i="28"/>
  <c r="BJ255" i="28" s="1"/>
  <c r="BH254" i="28"/>
  <c r="BK254" i="28" s="1"/>
  <c r="BG254" i="28"/>
  <c r="BH253" i="28"/>
  <c r="BK253" i="28" s="1"/>
  <c r="BG253" i="28"/>
  <c r="BJ253" i="28" s="1"/>
  <c r="BH252" i="28"/>
  <c r="BK252" i="28" s="1"/>
  <c r="BG252" i="28"/>
  <c r="BJ252" i="28" s="1"/>
  <c r="BH251" i="28"/>
  <c r="BK251" i="28" s="1"/>
  <c r="BG251" i="28"/>
  <c r="BJ251" i="28" s="1"/>
  <c r="BH250" i="28"/>
  <c r="BK250" i="28" s="1"/>
  <c r="BG250" i="28"/>
  <c r="BJ250" i="28" s="1"/>
  <c r="BH249" i="28"/>
  <c r="BK249" i="28" s="1"/>
  <c r="BG249" i="28"/>
  <c r="BJ249" i="28" s="1"/>
  <c r="BH248" i="28"/>
  <c r="BK248" i="28" s="1"/>
  <c r="BG248" i="28"/>
  <c r="BJ248" i="28" s="1"/>
  <c r="BH247" i="28"/>
  <c r="BK247" i="28" s="1"/>
  <c r="BG247" i="28"/>
  <c r="BJ247" i="28" s="1"/>
  <c r="BH246" i="28"/>
  <c r="BK246" i="28" s="1"/>
  <c r="BG246" i="28"/>
  <c r="BJ246" i="28" s="1"/>
  <c r="BH245" i="28"/>
  <c r="BK245" i="28" s="1"/>
  <c r="BG245" i="28"/>
  <c r="BJ245" i="28" s="1"/>
  <c r="BH244" i="28"/>
  <c r="BK244" i="28" s="1"/>
  <c r="BG244" i="28"/>
  <c r="BJ244" i="28" s="1"/>
  <c r="BH243" i="28"/>
  <c r="BK243" i="28" s="1"/>
  <c r="BG243" i="28"/>
  <c r="BJ243" i="28" s="1"/>
  <c r="BH242" i="28"/>
  <c r="BK242" i="28" s="1"/>
  <c r="BG242" i="28"/>
  <c r="BH241" i="28"/>
  <c r="BK241" i="28" s="1"/>
  <c r="BG241" i="28"/>
  <c r="BJ241" i="28" s="1"/>
  <c r="BH240" i="28"/>
  <c r="BK240" i="28" s="1"/>
  <c r="BG240" i="28"/>
  <c r="BJ240" i="28" s="1"/>
  <c r="BH239" i="28"/>
  <c r="BK239" i="28" s="1"/>
  <c r="BG239" i="28"/>
  <c r="BJ239" i="28" s="1"/>
  <c r="BH238" i="28"/>
  <c r="BK238" i="28" s="1"/>
  <c r="BG238" i="28"/>
  <c r="BH237" i="28"/>
  <c r="BK237" i="28" s="1"/>
  <c r="BG237" i="28"/>
  <c r="BJ237" i="28" s="1"/>
  <c r="BH236" i="28"/>
  <c r="BK236" i="28" s="1"/>
  <c r="BG236" i="28"/>
  <c r="BJ236" i="28" s="1"/>
  <c r="BH235" i="28"/>
  <c r="BK235" i="28" s="1"/>
  <c r="BG235" i="28"/>
  <c r="BJ235" i="28" s="1"/>
  <c r="BH234" i="28"/>
  <c r="BK234" i="28" s="1"/>
  <c r="BG234" i="28"/>
  <c r="BJ234" i="28" s="1"/>
  <c r="BH233" i="28"/>
  <c r="BK233" i="28" s="1"/>
  <c r="BG233" i="28"/>
  <c r="BJ233" i="28" s="1"/>
  <c r="BH232" i="28"/>
  <c r="BK232" i="28" s="1"/>
  <c r="BG232" i="28"/>
  <c r="BJ232" i="28" s="1"/>
  <c r="BH231" i="28"/>
  <c r="BK231" i="28" s="1"/>
  <c r="BG231" i="28"/>
  <c r="BJ231" i="28" s="1"/>
  <c r="BH230" i="28"/>
  <c r="BK230" i="28" s="1"/>
  <c r="BG230" i="28"/>
  <c r="BJ230" i="28" s="1"/>
  <c r="BH229" i="28"/>
  <c r="BK229" i="28" s="1"/>
  <c r="BG229" i="28"/>
  <c r="BJ229" i="28" s="1"/>
  <c r="BH228" i="28"/>
  <c r="BK228" i="28" s="1"/>
  <c r="BG228" i="28"/>
  <c r="BJ228" i="28" s="1"/>
  <c r="BH227" i="28"/>
  <c r="BK227" i="28" s="1"/>
  <c r="BG227" i="28"/>
  <c r="BH226" i="28"/>
  <c r="BK226" i="28" s="1"/>
  <c r="BG226" i="28"/>
  <c r="BJ226" i="28" s="1"/>
  <c r="BH225" i="28"/>
  <c r="BK225" i="28" s="1"/>
  <c r="BG225" i="28"/>
  <c r="BJ225" i="28" s="1"/>
  <c r="BH224" i="28"/>
  <c r="BK224" i="28" s="1"/>
  <c r="BG224" i="28"/>
  <c r="BJ224" i="28" s="1"/>
  <c r="BH223" i="28"/>
  <c r="BG223" i="28"/>
  <c r="BJ223" i="28" s="1"/>
  <c r="BH222" i="28"/>
  <c r="BK222" i="28" s="1"/>
  <c r="BG222" i="28"/>
  <c r="BJ222" i="28" s="1"/>
  <c r="BH221" i="28"/>
  <c r="BK221" i="28" s="1"/>
  <c r="BG221" i="28"/>
  <c r="BJ221" i="28" s="1"/>
  <c r="BH220" i="28"/>
  <c r="BK220" i="28" s="1"/>
  <c r="BG220" i="28"/>
  <c r="BJ220" i="28" s="1"/>
  <c r="BH219" i="28"/>
  <c r="BK219" i="28" s="1"/>
  <c r="BG219" i="28"/>
  <c r="BJ219" i="28" s="1"/>
  <c r="BH218" i="28"/>
  <c r="BK218" i="28" s="1"/>
  <c r="BG218" i="28"/>
  <c r="BJ218" i="28" s="1"/>
  <c r="BH217" i="28"/>
  <c r="BK217" i="28" s="1"/>
  <c r="BG217" i="28"/>
  <c r="BJ217" i="28" s="1"/>
  <c r="BH216" i="28"/>
  <c r="BK216" i="28" s="1"/>
  <c r="BG216" i="28"/>
  <c r="BJ216" i="28" s="1"/>
  <c r="BH215" i="28"/>
  <c r="BK215" i="28" s="1"/>
  <c r="BG215" i="28"/>
  <c r="BJ215" i="28" s="1"/>
  <c r="BH214" i="28"/>
  <c r="BK214" i="28" s="1"/>
  <c r="BG214" i="28"/>
  <c r="BH213" i="28"/>
  <c r="BK213" i="28" s="1"/>
  <c r="BG213" i="28"/>
  <c r="BJ213" i="28" s="1"/>
  <c r="BH212" i="28"/>
  <c r="BK212" i="28" s="1"/>
  <c r="BG212" i="28"/>
  <c r="BJ212" i="28" s="1"/>
  <c r="BH211" i="28"/>
  <c r="BK211" i="28" s="1"/>
  <c r="BG211" i="28"/>
  <c r="BJ211" i="28" s="1"/>
  <c r="BH210" i="28"/>
  <c r="BK210" i="28" s="1"/>
  <c r="BG210" i="28"/>
  <c r="BH209" i="28"/>
  <c r="BK209" i="28" s="1"/>
  <c r="BG209" i="28"/>
  <c r="BJ209" i="28" s="1"/>
  <c r="BH208" i="28"/>
  <c r="BK208" i="28" s="1"/>
  <c r="BG208" i="28"/>
  <c r="BJ208" i="28" s="1"/>
  <c r="BH207" i="28"/>
  <c r="BK207" i="28" s="1"/>
  <c r="BG207" i="28"/>
  <c r="BJ207" i="28" s="1"/>
  <c r="BH206" i="28"/>
  <c r="BK206" i="28" s="1"/>
  <c r="BG206" i="28"/>
  <c r="BJ206" i="28" s="1"/>
  <c r="BH205" i="28"/>
  <c r="BK205" i="28" s="1"/>
  <c r="BG205" i="28"/>
  <c r="BJ205" i="28" s="1"/>
  <c r="BH204" i="28"/>
  <c r="BK204" i="28" s="1"/>
  <c r="BG204" i="28"/>
  <c r="BJ204" i="28" s="1"/>
  <c r="BH203" i="28"/>
  <c r="BK203" i="28" s="1"/>
  <c r="BG203" i="28"/>
  <c r="BJ203" i="28" s="1"/>
  <c r="BH202" i="28"/>
  <c r="BK202" i="28" s="1"/>
  <c r="BG202" i="28"/>
  <c r="BJ202" i="28" s="1"/>
  <c r="BH201" i="28"/>
  <c r="BK201" i="28" s="1"/>
  <c r="BG201" i="28"/>
  <c r="BJ201" i="28" s="1"/>
  <c r="BH200" i="28"/>
  <c r="BK200" i="28" s="1"/>
  <c r="BG200" i="28"/>
  <c r="BJ200" i="28" s="1"/>
  <c r="BH199" i="28"/>
  <c r="BK199" i="28" s="1"/>
  <c r="BG199" i="28"/>
  <c r="BJ199" i="28" s="1"/>
  <c r="BH198" i="28"/>
  <c r="BK198" i="28" s="1"/>
  <c r="BG198" i="28"/>
  <c r="BJ198" i="28" s="1"/>
  <c r="BH197" i="28"/>
  <c r="BK197" i="28" s="1"/>
  <c r="BG197" i="28"/>
  <c r="BJ197" i="28" s="1"/>
  <c r="BH196" i="28"/>
  <c r="BK196" i="28" s="1"/>
  <c r="BG196" i="28"/>
  <c r="BJ196" i="28" s="1"/>
  <c r="BH195" i="28"/>
  <c r="BK195" i="28" s="1"/>
  <c r="BG195" i="28"/>
  <c r="BH194" i="28"/>
  <c r="BK194" i="28" s="1"/>
  <c r="BG194" i="28"/>
  <c r="BJ194" i="28" s="1"/>
  <c r="BH193" i="28"/>
  <c r="BK193" i="28" s="1"/>
  <c r="BG193" i="28"/>
  <c r="BJ193" i="28" s="1"/>
  <c r="BH192" i="28"/>
  <c r="BK192" i="28" s="1"/>
  <c r="BG192" i="28"/>
  <c r="BJ192" i="28" s="1"/>
  <c r="BH191" i="28"/>
  <c r="BK191" i="28" s="1"/>
  <c r="BG191" i="28"/>
  <c r="BJ191" i="28" s="1"/>
  <c r="BH190" i="28"/>
  <c r="BK190" i="28" s="1"/>
  <c r="BG190" i="28"/>
  <c r="BJ190" i="28" s="1"/>
  <c r="BH189" i="28"/>
  <c r="BK189" i="28" s="1"/>
  <c r="BG189" i="28"/>
  <c r="BJ189" i="28" s="1"/>
  <c r="BH188" i="28"/>
  <c r="BK188" i="28" s="1"/>
  <c r="BG188" i="28"/>
  <c r="BJ188" i="28" s="1"/>
  <c r="BH187" i="28"/>
  <c r="BK187" i="28" s="1"/>
  <c r="BG187" i="28"/>
  <c r="BJ187" i="28" s="1"/>
  <c r="BH186" i="28"/>
  <c r="BK186" i="28" s="1"/>
  <c r="BG186" i="28"/>
  <c r="BH185" i="28"/>
  <c r="BK185" i="28" s="1"/>
  <c r="BG185" i="28"/>
  <c r="BJ185" i="28" s="1"/>
  <c r="BH184" i="28"/>
  <c r="BK184" i="28" s="1"/>
  <c r="BG184" i="28"/>
  <c r="BJ184" i="28" s="1"/>
  <c r="BH183" i="28"/>
  <c r="BK183" i="28" s="1"/>
  <c r="BG183" i="28"/>
  <c r="BJ183" i="28" s="1"/>
  <c r="BH182" i="28"/>
  <c r="BK182" i="28" s="1"/>
  <c r="BG182" i="28"/>
  <c r="BH181" i="28"/>
  <c r="BK181" i="28" s="1"/>
  <c r="BG181" i="28"/>
  <c r="BJ181" i="28" s="1"/>
  <c r="BH180" i="28"/>
  <c r="BK180" i="28" s="1"/>
  <c r="BG180" i="28"/>
  <c r="BJ180" i="28" s="1"/>
  <c r="BH179" i="28"/>
  <c r="BK179" i="28" s="1"/>
  <c r="BG179" i="28"/>
  <c r="BJ179" i="28" s="1"/>
  <c r="BH178" i="28"/>
  <c r="BK178" i="28" s="1"/>
  <c r="BG178" i="28"/>
  <c r="BJ178" i="28" s="1"/>
  <c r="BH177" i="28"/>
  <c r="BK177" i="28" s="1"/>
  <c r="BG177" i="28"/>
  <c r="BJ177" i="28" s="1"/>
  <c r="BH176" i="28"/>
  <c r="BK176" i="28" s="1"/>
  <c r="BG176" i="28"/>
  <c r="BJ176" i="28" s="1"/>
  <c r="BH175" i="28"/>
  <c r="BK175" i="28" s="1"/>
  <c r="BG175" i="28"/>
  <c r="BJ175" i="28" s="1"/>
  <c r="BH174" i="28"/>
  <c r="BK174" i="28" s="1"/>
  <c r="BG174" i="28"/>
  <c r="BJ174" i="28" s="1"/>
  <c r="BH173" i="28"/>
  <c r="BK173" i="28" s="1"/>
  <c r="BG173" i="28"/>
  <c r="BJ173" i="28" s="1"/>
  <c r="BH172" i="28"/>
  <c r="BK172" i="28" s="1"/>
  <c r="BG172" i="28"/>
  <c r="BJ172" i="28" s="1"/>
  <c r="BH171" i="28"/>
  <c r="BK171" i="28" s="1"/>
  <c r="BG171" i="28"/>
  <c r="BJ171" i="28" s="1"/>
  <c r="BH170" i="28"/>
  <c r="BK170" i="28" s="1"/>
  <c r="BG170" i="28"/>
  <c r="BH169" i="28"/>
  <c r="BK169" i="28" s="1"/>
  <c r="BG169" i="28"/>
  <c r="BJ169" i="28" s="1"/>
  <c r="BH168" i="28"/>
  <c r="BK168" i="28" s="1"/>
  <c r="BG168" i="28"/>
  <c r="BJ168" i="28" s="1"/>
  <c r="BH167" i="28"/>
  <c r="BK167" i="28" s="1"/>
  <c r="BG167" i="28"/>
  <c r="BJ167" i="28" s="1"/>
  <c r="BH166" i="28"/>
  <c r="BK166" i="28" s="1"/>
  <c r="BG166" i="28"/>
  <c r="BJ166" i="28" s="1"/>
  <c r="BH165" i="28"/>
  <c r="BK165" i="28" s="1"/>
  <c r="BG165" i="28"/>
  <c r="BJ165" i="28" s="1"/>
  <c r="BH164" i="28"/>
  <c r="BK164" i="28" s="1"/>
  <c r="BG164" i="28"/>
  <c r="BJ164" i="28" s="1"/>
  <c r="BH163" i="28"/>
  <c r="BK163" i="28" s="1"/>
  <c r="BG163" i="28"/>
  <c r="BJ163" i="28" s="1"/>
  <c r="BH162" i="28"/>
  <c r="BK162" i="28" s="1"/>
  <c r="BG162" i="28"/>
  <c r="BJ162" i="28" s="1"/>
  <c r="BH161" i="28"/>
  <c r="BK161" i="28" s="1"/>
  <c r="BG161" i="28"/>
  <c r="BJ161" i="28" s="1"/>
  <c r="BH160" i="28"/>
  <c r="BK160" i="28" s="1"/>
  <c r="BG160" i="28"/>
  <c r="BJ160" i="28" s="1"/>
  <c r="BH159" i="28"/>
  <c r="BK159" i="28" s="1"/>
  <c r="BG159" i="28"/>
  <c r="BJ159" i="28" s="1"/>
  <c r="BH158" i="28"/>
  <c r="BK158" i="28" s="1"/>
  <c r="BG158" i="28"/>
  <c r="BH157" i="28"/>
  <c r="BK157" i="28" s="1"/>
  <c r="BG157" i="28"/>
  <c r="BJ157" i="28" s="1"/>
  <c r="BH156" i="28"/>
  <c r="BK156" i="28" s="1"/>
  <c r="BG156" i="28"/>
  <c r="BJ156" i="28" s="1"/>
  <c r="BH155" i="28"/>
  <c r="BK155" i="28" s="1"/>
  <c r="BG155" i="28"/>
  <c r="BJ155" i="28" s="1"/>
  <c r="BH154" i="28"/>
  <c r="BK154" i="28" s="1"/>
  <c r="BG154" i="28"/>
  <c r="BH153" i="28"/>
  <c r="BK153" i="28" s="1"/>
  <c r="BG153" i="28"/>
  <c r="BJ153" i="28" s="1"/>
  <c r="BH152" i="28"/>
  <c r="BK152" i="28" s="1"/>
  <c r="BG152" i="28"/>
  <c r="BJ152" i="28" s="1"/>
  <c r="BH151" i="28"/>
  <c r="BK151" i="28" s="1"/>
  <c r="BG151" i="28"/>
  <c r="BJ151" i="28" s="1"/>
  <c r="BH150" i="28"/>
  <c r="BK150" i="28" s="1"/>
  <c r="BG150" i="28"/>
  <c r="BJ150" i="28" s="1"/>
  <c r="BH149" i="28"/>
  <c r="BK149" i="28" s="1"/>
  <c r="BG149" i="28"/>
  <c r="BJ149" i="28" s="1"/>
  <c r="BH148" i="28"/>
  <c r="BK148" i="28" s="1"/>
  <c r="BG148" i="28"/>
  <c r="BJ148" i="28" s="1"/>
  <c r="BH147" i="28"/>
  <c r="BK147" i="28" s="1"/>
  <c r="BG147" i="28"/>
  <c r="BJ147" i="28" s="1"/>
  <c r="BH146" i="28"/>
  <c r="BK146" i="28" s="1"/>
  <c r="BG146" i="28"/>
  <c r="BJ146" i="28" s="1"/>
  <c r="BH145" i="28"/>
  <c r="BK145" i="28" s="1"/>
  <c r="BG145" i="28"/>
  <c r="BJ145" i="28" s="1"/>
  <c r="BH144" i="28"/>
  <c r="BK144" i="28" s="1"/>
  <c r="BG144" i="28"/>
  <c r="BJ144" i="28" s="1"/>
  <c r="BH143" i="28"/>
  <c r="BK143" i="28" s="1"/>
  <c r="BG143" i="28"/>
  <c r="BJ143" i="28" s="1"/>
  <c r="BH142" i="28"/>
  <c r="BK142" i="28" s="1"/>
  <c r="BG142" i="28"/>
  <c r="BH141" i="28"/>
  <c r="BK141" i="28" s="1"/>
  <c r="BG141" i="28"/>
  <c r="BJ141" i="28" s="1"/>
  <c r="BH140" i="28"/>
  <c r="BK140" i="28" s="1"/>
  <c r="BG140" i="28"/>
  <c r="BJ140" i="28" s="1"/>
  <c r="BH139" i="28"/>
  <c r="BK139" i="28" s="1"/>
  <c r="BG139" i="28"/>
  <c r="BJ139" i="28" s="1"/>
  <c r="BH138" i="28"/>
  <c r="BK138" i="28" s="1"/>
  <c r="BG138" i="28"/>
  <c r="BH137" i="28"/>
  <c r="BK137" i="28" s="1"/>
  <c r="BG137" i="28"/>
  <c r="BJ137" i="28" s="1"/>
  <c r="BH136" i="28"/>
  <c r="BK136" i="28" s="1"/>
  <c r="BG136" i="28"/>
  <c r="BJ136" i="28" s="1"/>
  <c r="BH135" i="28"/>
  <c r="BK135" i="28" s="1"/>
  <c r="BG135" i="28"/>
  <c r="BJ135" i="28" s="1"/>
  <c r="BH134" i="28"/>
  <c r="BK134" i="28" s="1"/>
  <c r="BG134" i="28"/>
  <c r="BJ134" i="28" s="1"/>
  <c r="BH133" i="28"/>
  <c r="BK133" i="28" s="1"/>
  <c r="BG133" i="28"/>
  <c r="BJ133" i="28" s="1"/>
  <c r="BH132" i="28"/>
  <c r="BK132" i="28" s="1"/>
  <c r="BG132" i="28"/>
  <c r="BJ132" i="28" s="1"/>
  <c r="BH131" i="28"/>
  <c r="BK131" i="28" s="1"/>
  <c r="BG131" i="28"/>
  <c r="BJ131" i="28" s="1"/>
  <c r="BH130" i="28"/>
  <c r="BK130" i="28" s="1"/>
  <c r="BG130" i="28"/>
  <c r="BJ130" i="28" s="1"/>
  <c r="BH129" i="28"/>
  <c r="BK129" i="28" s="1"/>
  <c r="BG129" i="28"/>
  <c r="BJ129" i="28" s="1"/>
  <c r="BH128" i="28"/>
  <c r="BK128" i="28" s="1"/>
  <c r="BG128" i="28"/>
  <c r="BJ128" i="28" s="1"/>
  <c r="BH127" i="28"/>
  <c r="BK127" i="28" s="1"/>
  <c r="BG127" i="28"/>
  <c r="BJ127" i="28" s="1"/>
  <c r="BH126" i="28"/>
  <c r="BK126" i="28" s="1"/>
  <c r="BG126" i="28"/>
  <c r="BH125" i="28"/>
  <c r="BK125" i="28" s="1"/>
  <c r="BG125" i="28"/>
  <c r="BJ125" i="28" s="1"/>
  <c r="BH124" i="28"/>
  <c r="BK124" i="28" s="1"/>
  <c r="BG124" i="28"/>
  <c r="BJ124" i="28" s="1"/>
  <c r="BH123" i="28"/>
  <c r="BK123" i="28" s="1"/>
  <c r="BG123" i="28"/>
  <c r="BJ123" i="28" s="1"/>
  <c r="BH122" i="28"/>
  <c r="BK122" i="28" s="1"/>
  <c r="BG122" i="28"/>
  <c r="BJ122" i="28" s="1"/>
  <c r="BH121" i="28"/>
  <c r="BK121" i="28" s="1"/>
  <c r="BG121" i="28"/>
  <c r="BJ121" i="28" s="1"/>
  <c r="BH120" i="28"/>
  <c r="BK120" i="28" s="1"/>
  <c r="BG120" i="28"/>
  <c r="BJ120" i="28" s="1"/>
  <c r="BH119" i="28"/>
  <c r="BK119" i="28" s="1"/>
  <c r="BG119" i="28"/>
  <c r="BJ119" i="28" s="1"/>
  <c r="BH118" i="28"/>
  <c r="BK118" i="28" s="1"/>
  <c r="BG118" i="28"/>
  <c r="BJ118" i="28" s="1"/>
  <c r="BH117" i="28"/>
  <c r="BK117" i="28" s="1"/>
  <c r="BG117" i="28"/>
  <c r="BJ117" i="28" s="1"/>
  <c r="BH116" i="28"/>
  <c r="BK116" i="28" s="1"/>
  <c r="BG116" i="28"/>
  <c r="BJ116" i="28" s="1"/>
  <c r="BH115" i="28"/>
  <c r="BK115" i="28" s="1"/>
  <c r="BG115" i="28"/>
  <c r="BJ115" i="28" s="1"/>
  <c r="BH114" i="28"/>
  <c r="BK114" i="28" s="1"/>
  <c r="BG114" i="28"/>
  <c r="BH113" i="28"/>
  <c r="BK113" i="28" s="1"/>
  <c r="BG113" i="28"/>
  <c r="BJ113" i="28" s="1"/>
  <c r="BH112" i="28"/>
  <c r="BK112" i="28" s="1"/>
  <c r="BG112" i="28"/>
  <c r="BJ112" i="28" s="1"/>
  <c r="BH111" i="28"/>
  <c r="BK111" i="28" s="1"/>
  <c r="BG111" i="28"/>
  <c r="BJ111" i="28" s="1"/>
  <c r="BH110" i="28"/>
  <c r="BK110" i="28" s="1"/>
  <c r="BG110" i="28"/>
  <c r="BH109" i="28"/>
  <c r="BK109" i="28" s="1"/>
  <c r="BG109" i="28"/>
  <c r="BJ109" i="28" s="1"/>
  <c r="BH108" i="28"/>
  <c r="BK108" i="28" s="1"/>
  <c r="BG108" i="28"/>
  <c r="BJ108" i="28" s="1"/>
  <c r="BH107" i="28"/>
  <c r="BK107" i="28" s="1"/>
  <c r="BG107" i="28"/>
  <c r="BJ107" i="28" s="1"/>
  <c r="BH106" i="28"/>
  <c r="BK106" i="28" s="1"/>
  <c r="BG106" i="28"/>
  <c r="BJ106" i="28" s="1"/>
  <c r="BH105" i="28"/>
  <c r="BK105" i="28" s="1"/>
  <c r="BG105" i="28"/>
  <c r="BJ105" i="28" s="1"/>
  <c r="BH104" i="28"/>
  <c r="BK104" i="28" s="1"/>
  <c r="BG104" i="28"/>
  <c r="BJ104" i="28" s="1"/>
  <c r="BH103" i="28"/>
  <c r="BK103" i="28" s="1"/>
  <c r="BG103" i="28"/>
  <c r="BJ103" i="28" s="1"/>
  <c r="BH102" i="28"/>
  <c r="BK102" i="28" s="1"/>
  <c r="BG102" i="28"/>
  <c r="BJ102" i="28" s="1"/>
  <c r="BH101" i="28"/>
  <c r="BK101" i="28" s="1"/>
  <c r="BG101" i="28"/>
  <c r="BJ101" i="28" s="1"/>
  <c r="BH100" i="28"/>
  <c r="BK100" i="28" s="1"/>
  <c r="BG100" i="28"/>
  <c r="BJ100" i="28" s="1"/>
  <c r="BH99" i="28"/>
  <c r="BK99" i="28" s="1"/>
  <c r="BG99" i="28"/>
  <c r="BH98" i="28"/>
  <c r="BK98" i="28" s="1"/>
  <c r="BG98" i="28"/>
  <c r="BJ98" i="28" s="1"/>
  <c r="BH97" i="28"/>
  <c r="BK97" i="28" s="1"/>
  <c r="BG97" i="28"/>
  <c r="BJ97" i="28" s="1"/>
  <c r="BH96" i="28"/>
  <c r="BK96" i="28" s="1"/>
  <c r="BG96" i="28"/>
  <c r="BJ96" i="28" s="1"/>
  <c r="BH95" i="28"/>
  <c r="BG95" i="28"/>
  <c r="BJ95" i="28" s="1"/>
  <c r="BH94" i="28"/>
  <c r="BK94" i="28" s="1"/>
  <c r="BG94" i="28"/>
  <c r="BJ94" i="28" s="1"/>
  <c r="BH93" i="28"/>
  <c r="BK93" i="28" s="1"/>
  <c r="BG93" i="28"/>
  <c r="BJ93" i="28" s="1"/>
  <c r="BH92" i="28"/>
  <c r="BK92" i="28" s="1"/>
  <c r="BG92" i="28"/>
  <c r="BJ92" i="28" s="1"/>
  <c r="BH91" i="28"/>
  <c r="BK91" i="28" s="1"/>
  <c r="BG91" i="28"/>
  <c r="BJ91" i="28" s="1"/>
  <c r="BH90" i="28"/>
  <c r="BK90" i="28" s="1"/>
  <c r="BG90" i="28"/>
  <c r="BJ90" i="28" s="1"/>
  <c r="BH89" i="28"/>
  <c r="BK89" i="28" s="1"/>
  <c r="BG89" i="28"/>
  <c r="BJ89" i="28" s="1"/>
  <c r="BH88" i="28"/>
  <c r="BK88" i="28" s="1"/>
  <c r="BG88" i="28"/>
  <c r="BJ88" i="28" s="1"/>
  <c r="BH87" i="28"/>
  <c r="BK87" i="28" s="1"/>
  <c r="BG87" i="28"/>
  <c r="BJ87" i="28" s="1"/>
  <c r="BH86" i="28"/>
  <c r="BK86" i="28" s="1"/>
  <c r="BG86" i="28"/>
  <c r="BH85" i="28"/>
  <c r="BK85" i="28" s="1"/>
  <c r="BG85" i="28"/>
  <c r="BJ85" i="28" s="1"/>
  <c r="BH84" i="28"/>
  <c r="BK84" i="28" s="1"/>
  <c r="BG84" i="28"/>
  <c r="BJ84" i="28" s="1"/>
  <c r="BH83" i="28"/>
  <c r="BK83" i="28" s="1"/>
  <c r="BG83" i="28"/>
  <c r="BJ83" i="28" s="1"/>
  <c r="BH82" i="28"/>
  <c r="BK82" i="28" s="1"/>
  <c r="BG82" i="28"/>
  <c r="BH81" i="28"/>
  <c r="BK81" i="28" s="1"/>
  <c r="BG81" i="28"/>
  <c r="BJ81" i="28" s="1"/>
  <c r="BH80" i="28"/>
  <c r="BK80" i="28" s="1"/>
  <c r="BG80" i="28"/>
  <c r="BJ80" i="28" s="1"/>
  <c r="BH79" i="28"/>
  <c r="BK79" i="28" s="1"/>
  <c r="BG79" i="28"/>
  <c r="BJ79" i="28" s="1"/>
  <c r="BH78" i="28"/>
  <c r="BK78" i="28" s="1"/>
  <c r="BG78" i="28"/>
  <c r="BJ78" i="28" s="1"/>
  <c r="BH77" i="28"/>
  <c r="BK77" i="28" s="1"/>
  <c r="BG77" i="28"/>
  <c r="BJ77" i="28" s="1"/>
  <c r="BH76" i="28"/>
  <c r="BK76" i="28" s="1"/>
  <c r="BG76" i="28"/>
  <c r="BJ76" i="28" s="1"/>
  <c r="BH75" i="28"/>
  <c r="BK75" i="28" s="1"/>
  <c r="BG75" i="28"/>
  <c r="BJ75" i="28" s="1"/>
  <c r="BH74" i="28"/>
  <c r="BK74" i="28" s="1"/>
  <c r="BG74" i="28"/>
  <c r="BJ74" i="28" s="1"/>
  <c r="BH73" i="28"/>
  <c r="BK73" i="28" s="1"/>
  <c r="BG73" i="28"/>
  <c r="BJ73" i="28" s="1"/>
  <c r="BH72" i="28"/>
  <c r="BK72" i="28" s="1"/>
  <c r="BG72" i="28"/>
  <c r="BJ72" i="28" s="1"/>
  <c r="BH71" i="28"/>
  <c r="BK71" i="28" s="1"/>
  <c r="BG71" i="28"/>
  <c r="BJ71" i="28" s="1"/>
  <c r="BH70" i="28"/>
  <c r="BK70" i="28" s="1"/>
  <c r="BG70" i="28"/>
  <c r="BJ70" i="28" s="1"/>
  <c r="BH69" i="28"/>
  <c r="BK69" i="28" s="1"/>
  <c r="BG69" i="28"/>
  <c r="BJ69" i="28" s="1"/>
  <c r="BH68" i="28"/>
  <c r="BK68" i="28" s="1"/>
  <c r="BG68" i="28"/>
  <c r="BJ68" i="28" s="1"/>
  <c r="BH67" i="28"/>
  <c r="BK67" i="28" s="1"/>
  <c r="BG67" i="28"/>
  <c r="BH66" i="28"/>
  <c r="BK66" i="28" s="1"/>
  <c r="BG66" i="28"/>
  <c r="BJ66" i="28" s="1"/>
  <c r="BH65" i="28"/>
  <c r="BK65" i="28" s="1"/>
  <c r="BG65" i="28"/>
  <c r="BJ65" i="28" s="1"/>
  <c r="BH64" i="28"/>
  <c r="BK64" i="28" s="1"/>
  <c r="BG64" i="28"/>
  <c r="BJ64" i="28" s="1"/>
  <c r="BH63" i="28"/>
  <c r="BK63" i="28" s="1"/>
  <c r="BG63" i="28"/>
  <c r="BJ63" i="28" s="1"/>
  <c r="BH62" i="28"/>
  <c r="BK62" i="28" s="1"/>
  <c r="BG62" i="28"/>
  <c r="BJ62" i="28" s="1"/>
  <c r="BH61" i="28"/>
  <c r="BK61" i="28" s="1"/>
  <c r="BG61" i="28"/>
  <c r="BJ61" i="28" s="1"/>
  <c r="BH60" i="28"/>
  <c r="BK60" i="28" s="1"/>
  <c r="BG60" i="28"/>
  <c r="BJ60" i="28" s="1"/>
  <c r="BH59" i="28"/>
  <c r="BK59" i="28" s="1"/>
  <c r="BG59" i="28"/>
  <c r="BJ59" i="28" s="1"/>
  <c r="BH58" i="28"/>
  <c r="BK58" i="28" s="1"/>
  <c r="BG58" i="28"/>
  <c r="BH57" i="28"/>
  <c r="BK57" i="28" s="1"/>
  <c r="BG57" i="28"/>
  <c r="BJ57" i="28" s="1"/>
  <c r="BH56" i="28"/>
  <c r="BK56" i="28" s="1"/>
  <c r="BG56" i="28"/>
  <c r="BJ56" i="28" s="1"/>
  <c r="BH55" i="28"/>
  <c r="BK55" i="28" s="1"/>
  <c r="BG55" i="28"/>
  <c r="BJ55" i="28" s="1"/>
  <c r="BH54" i="28"/>
  <c r="BK54" i="28" s="1"/>
  <c r="BG54" i="28"/>
  <c r="BH53" i="28"/>
  <c r="BK53" i="28" s="1"/>
  <c r="BG53" i="28"/>
  <c r="BJ53" i="28" s="1"/>
  <c r="BH52" i="28"/>
  <c r="BK52" i="28" s="1"/>
  <c r="BG52" i="28"/>
  <c r="BJ52" i="28" s="1"/>
  <c r="BH51" i="28"/>
  <c r="BK51" i="28" s="1"/>
  <c r="BG51" i="28"/>
  <c r="BJ51" i="28" s="1"/>
  <c r="BH50" i="28"/>
  <c r="BK50" i="28" s="1"/>
  <c r="BG50" i="28"/>
  <c r="BJ50" i="28" s="1"/>
  <c r="BH49" i="28"/>
  <c r="BK49" i="28" s="1"/>
  <c r="BG49" i="28"/>
  <c r="BJ49" i="28" s="1"/>
  <c r="BH48" i="28"/>
  <c r="BK48" i="28" s="1"/>
  <c r="BG48" i="28"/>
  <c r="BJ48" i="28" s="1"/>
  <c r="BH47" i="28"/>
  <c r="BK47" i="28" s="1"/>
  <c r="BG47" i="28"/>
  <c r="BJ47" i="28" s="1"/>
  <c r="BH46" i="28"/>
  <c r="BK46" i="28" s="1"/>
  <c r="BG46" i="28"/>
  <c r="BJ46" i="28" s="1"/>
  <c r="BH45" i="28"/>
  <c r="BK45" i="28" s="1"/>
  <c r="BG45" i="28"/>
  <c r="BJ45" i="28" s="1"/>
  <c r="BH44" i="28"/>
  <c r="BK44" i="28" s="1"/>
  <c r="BG44" i="28"/>
  <c r="BJ44" i="28" s="1"/>
  <c r="BH43" i="28"/>
  <c r="BK43" i="28" s="1"/>
  <c r="BG43" i="28"/>
  <c r="BJ43" i="28" s="1"/>
  <c r="BH42" i="28"/>
  <c r="BK42" i="28" s="1"/>
  <c r="BG42" i="28"/>
  <c r="BH41" i="28"/>
  <c r="BK41" i="28" s="1"/>
  <c r="BG41" i="28"/>
  <c r="BJ41" i="28" s="1"/>
  <c r="BH40" i="28"/>
  <c r="BK40" i="28" s="1"/>
  <c r="BG40" i="28"/>
  <c r="BJ40" i="28" s="1"/>
  <c r="BH39" i="28"/>
  <c r="BK39" i="28" s="1"/>
  <c r="BG39" i="28"/>
  <c r="BJ39" i="28" s="1"/>
  <c r="BH38" i="28"/>
  <c r="BK38" i="28" s="1"/>
  <c r="BG38" i="28"/>
  <c r="BJ38" i="28" s="1"/>
  <c r="BH37" i="28"/>
  <c r="BK37" i="28" s="1"/>
  <c r="BG37" i="28"/>
  <c r="BJ37" i="28" s="1"/>
  <c r="BH36" i="28"/>
  <c r="BK36" i="28" s="1"/>
  <c r="BG36" i="28"/>
  <c r="BJ36" i="28" s="1"/>
  <c r="BH35" i="28"/>
  <c r="BK35" i="28" s="1"/>
  <c r="BG35" i="28"/>
  <c r="BJ35" i="28" s="1"/>
  <c r="BH34" i="28"/>
  <c r="BK34" i="28" s="1"/>
  <c r="BG34" i="28"/>
  <c r="BJ34" i="28" s="1"/>
  <c r="BH33" i="28"/>
  <c r="BK33" i="28" s="1"/>
  <c r="BG33" i="28"/>
  <c r="BJ33" i="28" s="1"/>
  <c r="BH32" i="28"/>
  <c r="BK32" i="28" s="1"/>
  <c r="BG32" i="28"/>
  <c r="BJ32" i="28" s="1"/>
  <c r="BH31" i="28"/>
  <c r="BK31" i="28" s="1"/>
  <c r="BG31" i="28"/>
  <c r="BJ31" i="28" s="1"/>
  <c r="BH30" i="28"/>
  <c r="BK30" i="28" s="1"/>
  <c r="BG30" i="28"/>
  <c r="BH29" i="28"/>
  <c r="BK29" i="28" s="1"/>
  <c r="BG29" i="28"/>
  <c r="BJ29" i="28" s="1"/>
  <c r="BH28" i="28"/>
  <c r="BK28" i="28" s="1"/>
  <c r="BG28" i="28"/>
  <c r="BJ28" i="28" s="1"/>
  <c r="BH27" i="28"/>
  <c r="BK27" i="28" s="1"/>
  <c r="BG27" i="28"/>
  <c r="BJ27" i="28" s="1"/>
  <c r="BH26" i="28"/>
  <c r="BK26" i="28" s="1"/>
  <c r="BG26" i="28"/>
  <c r="BH25" i="28"/>
  <c r="BK25" i="28" s="1"/>
  <c r="BG25" i="28"/>
  <c r="BJ25" i="28" s="1"/>
  <c r="BH24" i="28"/>
  <c r="BK24" i="28" s="1"/>
  <c r="BG24" i="28"/>
  <c r="BJ24" i="28" s="1"/>
  <c r="BH23" i="28"/>
  <c r="BK23" i="28" s="1"/>
  <c r="BG23" i="28"/>
  <c r="BJ23" i="28" s="1"/>
  <c r="BH22" i="28"/>
  <c r="BK22" i="28" s="1"/>
  <c r="BG22" i="28"/>
  <c r="BJ22" i="28" s="1"/>
  <c r="BH21" i="28"/>
  <c r="BK21" i="28" s="1"/>
  <c r="BG21" i="28"/>
  <c r="BJ21" i="28" s="1"/>
  <c r="BH20" i="28"/>
  <c r="BK20" i="28" s="1"/>
  <c r="BG20" i="28"/>
  <c r="BJ20" i="28" s="1"/>
  <c r="BH19" i="28"/>
  <c r="BK19" i="28" s="1"/>
  <c r="BG19" i="28"/>
  <c r="BJ19" i="28" s="1"/>
  <c r="BH18" i="28"/>
  <c r="BK18" i="28" s="1"/>
  <c r="BG18" i="28"/>
  <c r="BJ18" i="28" s="1"/>
  <c r="BH17" i="28"/>
  <c r="BK17" i="28" s="1"/>
  <c r="BG17" i="28"/>
  <c r="BJ17" i="28" s="1"/>
  <c r="BH16" i="28"/>
  <c r="BK16" i="28" s="1"/>
  <c r="BG16" i="28"/>
  <c r="BJ16" i="28" s="1"/>
  <c r="BH15" i="28"/>
  <c r="BK15" i="28" s="1"/>
  <c r="BG15" i="28"/>
  <c r="BJ15" i="28" s="1"/>
  <c r="BH14" i="28"/>
  <c r="BK14" i="28" s="1"/>
  <c r="BG14" i="28"/>
  <c r="BH13" i="28"/>
  <c r="BK13" i="28" s="1"/>
  <c r="BG13" i="28"/>
  <c r="BJ13" i="28" s="1"/>
  <c r="BH12" i="28"/>
  <c r="BK12" i="28" s="1"/>
  <c r="BG12" i="28"/>
  <c r="BJ12" i="28" s="1"/>
  <c r="BH11" i="28"/>
  <c r="BK11" i="28" s="1"/>
  <c r="BG11" i="28"/>
  <c r="BJ11" i="28" s="1"/>
  <c r="BH10" i="28"/>
  <c r="BK10" i="28" s="1"/>
  <c r="BG10" i="28"/>
  <c r="BH9" i="28"/>
  <c r="BK9" i="28" s="1"/>
  <c r="BG9" i="28"/>
  <c r="BJ9" i="28" s="1"/>
  <c r="BH8" i="28"/>
  <c r="BK8" i="28" s="1"/>
  <c r="BG8" i="28"/>
  <c r="BJ8" i="28" s="1"/>
  <c r="BH7" i="28"/>
  <c r="BK7" i="28" s="1"/>
  <c r="BG7" i="28"/>
  <c r="BJ7" i="28" s="1"/>
  <c r="AY337" i="28"/>
  <c r="AY336" i="28"/>
  <c r="AY335" i="28"/>
  <c r="AY334" i="28"/>
  <c r="AY333" i="28"/>
  <c r="AY332" i="28"/>
  <c r="AY331" i="28"/>
  <c r="AY330" i="28"/>
  <c r="AY329" i="28"/>
  <c r="AY328" i="28"/>
  <c r="AY327" i="28"/>
  <c r="AY326" i="28"/>
  <c r="AY325" i="28"/>
  <c r="AY324" i="28"/>
  <c r="AY323" i="28"/>
  <c r="AY322" i="28"/>
  <c r="AY321" i="28"/>
  <c r="AY320" i="28"/>
  <c r="AY319" i="28"/>
  <c r="AY318" i="28"/>
  <c r="AY317" i="28"/>
  <c r="AY316" i="28"/>
  <c r="AY315" i="28"/>
  <c r="AY314" i="28"/>
  <c r="AY313" i="28"/>
  <c r="AY312" i="28"/>
  <c r="AY311" i="28"/>
  <c r="AY310" i="28"/>
  <c r="AY309" i="28"/>
  <c r="AY308" i="28"/>
  <c r="AY307" i="28"/>
  <c r="AY306" i="28"/>
  <c r="AY305" i="28"/>
  <c r="AY304" i="28"/>
  <c r="AY303" i="28"/>
  <c r="AY302" i="28"/>
  <c r="AY301" i="28"/>
  <c r="AY300" i="28"/>
  <c r="AY299" i="28"/>
  <c r="AY298" i="28"/>
  <c r="AY297" i="28"/>
  <c r="AY296" i="28"/>
  <c r="AY295" i="28"/>
  <c r="AY294" i="28"/>
  <c r="AY293" i="28"/>
  <c r="AY292" i="28"/>
  <c r="AY291" i="28"/>
  <c r="AY290" i="28"/>
  <c r="AY289" i="28"/>
  <c r="AY288" i="28"/>
  <c r="AY287" i="28"/>
  <c r="AY286" i="28"/>
  <c r="AY285" i="28"/>
  <c r="AY284" i="28"/>
  <c r="AY283" i="28"/>
  <c r="AY282" i="28"/>
  <c r="AY281" i="28"/>
  <c r="AY280" i="28"/>
  <c r="AY279" i="28"/>
  <c r="AY278" i="28"/>
  <c r="AY277" i="28"/>
  <c r="AY276" i="28"/>
  <c r="AY275" i="28"/>
  <c r="AY274" i="28"/>
  <c r="AY273" i="28"/>
  <c r="AY272" i="28"/>
  <c r="AY271" i="28"/>
  <c r="AY270" i="28"/>
  <c r="AY269" i="28"/>
  <c r="AY268" i="28"/>
  <c r="AY267" i="28"/>
  <c r="AY266" i="28"/>
  <c r="AY265" i="28"/>
  <c r="AY264" i="28"/>
  <c r="AY263" i="28"/>
  <c r="AY262" i="28"/>
  <c r="AY261" i="28"/>
  <c r="AY260" i="28"/>
  <c r="AY259" i="28"/>
  <c r="AY258" i="28"/>
  <c r="AY257" i="28"/>
  <c r="AY256" i="28"/>
  <c r="AY255" i="28"/>
  <c r="AY254" i="28"/>
  <c r="AY253" i="28"/>
  <c r="AY252" i="28"/>
  <c r="AY251" i="28"/>
  <c r="AY250" i="28"/>
  <c r="AY249" i="28"/>
  <c r="AY248" i="28"/>
  <c r="AY247" i="28"/>
  <c r="AY246" i="28"/>
  <c r="AY245" i="28"/>
  <c r="AY244" i="28"/>
  <c r="AY243" i="28"/>
  <c r="AY242" i="28"/>
  <c r="AY241" i="28"/>
  <c r="AY240" i="28"/>
  <c r="AY239" i="28"/>
  <c r="AY238" i="28"/>
  <c r="AY237" i="28"/>
  <c r="AY236" i="28"/>
  <c r="AY235" i="28"/>
  <c r="AY234" i="28"/>
  <c r="AY233" i="28"/>
  <c r="AY232" i="28"/>
  <c r="AY231" i="28"/>
  <c r="AY230" i="28"/>
  <c r="AY229" i="28"/>
  <c r="AY228" i="28"/>
  <c r="AY227" i="28"/>
  <c r="AY226" i="28"/>
  <c r="AY225" i="28"/>
  <c r="AY224" i="28"/>
  <c r="AY223" i="28"/>
  <c r="AY222" i="28"/>
  <c r="AY221" i="28"/>
  <c r="AY220" i="28"/>
  <c r="AY219" i="28"/>
  <c r="AY218" i="28"/>
  <c r="AY217" i="28"/>
  <c r="AY216" i="28"/>
  <c r="AY215" i="28"/>
  <c r="AY214" i="28"/>
  <c r="AY213" i="28"/>
  <c r="AY212" i="28"/>
  <c r="AY211" i="28"/>
  <c r="AY210" i="28"/>
  <c r="AY209" i="28"/>
  <c r="AY208" i="28"/>
  <c r="AY207" i="28"/>
  <c r="AY206" i="28"/>
  <c r="AY205" i="28"/>
  <c r="AY204" i="28"/>
  <c r="AY203" i="28"/>
  <c r="AY202" i="28"/>
  <c r="AY201" i="28"/>
  <c r="AY200" i="28"/>
  <c r="AY199" i="28"/>
  <c r="AY198" i="28"/>
  <c r="AY197" i="28"/>
  <c r="AY196" i="28"/>
  <c r="AY195" i="28"/>
  <c r="AY194" i="28"/>
  <c r="AY193" i="28"/>
  <c r="AY192" i="28"/>
  <c r="AY191" i="28"/>
  <c r="AY190" i="28"/>
  <c r="AY189" i="28"/>
  <c r="AY188" i="28"/>
  <c r="AY187" i="28"/>
  <c r="AY186" i="28"/>
  <c r="AY185" i="28"/>
  <c r="AY184" i="28"/>
  <c r="AY183" i="28"/>
  <c r="AY182" i="28"/>
  <c r="AY181" i="28"/>
  <c r="AY180" i="28"/>
  <c r="AY179" i="28"/>
  <c r="AY178" i="28"/>
  <c r="AY177" i="28"/>
  <c r="AY176" i="28"/>
  <c r="AY175" i="28"/>
  <c r="AY174" i="28"/>
  <c r="AY173" i="28"/>
  <c r="AY172" i="28"/>
  <c r="AY171" i="28"/>
  <c r="AY170" i="28"/>
  <c r="AY169" i="28"/>
  <c r="AY168" i="28"/>
  <c r="AY167" i="28"/>
  <c r="AY166" i="28"/>
  <c r="AY165" i="28"/>
  <c r="AY164" i="28"/>
  <c r="AY163" i="28"/>
  <c r="AY162" i="28"/>
  <c r="AY161" i="28"/>
  <c r="AY160" i="28"/>
  <c r="AY159" i="28"/>
  <c r="AY158" i="28"/>
  <c r="AY157" i="28"/>
  <c r="AY156" i="28"/>
  <c r="AY155" i="28"/>
  <c r="AY154" i="28"/>
  <c r="AY153" i="28"/>
  <c r="AY152" i="28"/>
  <c r="AY151" i="28"/>
  <c r="AY150" i="28"/>
  <c r="AY149" i="28"/>
  <c r="AY148" i="28"/>
  <c r="AY147" i="28"/>
  <c r="AY146" i="28"/>
  <c r="AY145" i="28"/>
  <c r="AY144" i="28"/>
  <c r="AY143" i="28"/>
  <c r="AY142" i="28"/>
  <c r="AY141" i="28"/>
  <c r="AY140" i="28"/>
  <c r="AY139" i="28"/>
  <c r="AY138" i="28"/>
  <c r="AY137" i="28"/>
  <c r="AY136" i="28"/>
  <c r="AY135" i="28"/>
  <c r="AY134" i="28"/>
  <c r="AY133" i="28"/>
  <c r="AY132" i="28"/>
  <c r="AY131" i="28"/>
  <c r="AY130" i="28"/>
  <c r="AY129" i="28"/>
  <c r="AY128" i="28"/>
  <c r="AY127" i="28"/>
  <c r="AY126" i="28"/>
  <c r="AY125" i="28"/>
  <c r="AY124" i="28"/>
  <c r="AY123" i="28"/>
  <c r="AY122" i="28"/>
  <c r="AY121" i="28"/>
  <c r="AY120" i="28"/>
  <c r="AY119" i="28"/>
  <c r="AY118" i="28"/>
  <c r="AY117" i="28"/>
  <c r="AY116" i="28"/>
  <c r="AY115" i="28"/>
  <c r="AY114" i="28"/>
  <c r="AY113" i="28"/>
  <c r="AY112" i="28"/>
  <c r="AY111" i="28"/>
  <c r="AY110" i="28"/>
  <c r="AY109" i="28"/>
  <c r="AY108" i="28"/>
  <c r="AY107" i="28"/>
  <c r="AY106" i="28"/>
  <c r="AY105" i="28"/>
  <c r="AY104" i="28"/>
  <c r="AY103" i="28"/>
  <c r="AY102" i="28"/>
  <c r="AY101" i="28"/>
  <c r="AY100" i="28"/>
  <c r="AY99" i="28"/>
  <c r="AY98" i="28"/>
  <c r="AY97" i="28"/>
  <c r="AY96" i="28"/>
  <c r="AY95" i="28"/>
  <c r="AY94" i="28"/>
  <c r="AY93" i="28"/>
  <c r="AY92" i="28"/>
  <c r="AY91" i="28"/>
  <c r="AY90" i="28"/>
  <c r="AY89" i="28"/>
  <c r="AY88" i="28"/>
  <c r="AY87" i="28"/>
  <c r="AY86" i="28"/>
  <c r="AY85" i="28"/>
  <c r="AY84" i="28"/>
  <c r="AY83" i="28"/>
  <c r="AY82" i="28"/>
  <c r="AY81" i="28"/>
  <c r="AY80" i="28"/>
  <c r="AY79" i="28"/>
  <c r="AY78" i="28"/>
  <c r="AY77" i="28"/>
  <c r="AY76" i="28"/>
  <c r="AY75" i="28"/>
  <c r="AY74" i="28"/>
  <c r="AY73" i="28"/>
  <c r="AY72" i="28"/>
  <c r="AY71" i="28"/>
  <c r="AY70" i="28"/>
  <c r="AY69" i="28"/>
  <c r="AY68" i="28"/>
  <c r="AY67" i="28"/>
  <c r="AY66" i="28"/>
  <c r="AY65" i="28"/>
  <c r="AY64" i="28"/>
  <c r="AY63" i="28"/>
  <c r="AY62" i="28"/>
  <c r="AY61" i="28"/>
  <c r="AY60" i="28"/>
  <c r="AY59" i="28"/>
  <c r="AY58" i="28"/>
  <c r="AY57" i="28"/>
  <c r="AY56" i="28"/>
  <c r="AY55" i="28"/>
  <c r="AY54" i="28"/>
  <c r="AY53" i="28"/>
  <c r="AY52" i="28"/>
  <c r="AY51" i="28"/>
  <c r="AY50" i="28"/>
  <c r="AY49" i="28"/>
  <c r="AY48" i="28"/>
  <c r="AY47" i="28"/>
  <c r="AY46" i="28"/>
  <c r="AY45" i="28"/>
  <c r="AY44" i="28"/>
  <c r="AY43" i="28"/>
  <c r="AY42" i="28"/>
  <c r="AY41" i="28"/>
  <c r="AY40" i="28"/>
  <c r="AY39" i="28"/>
  <c r="AY38" i="28"/>
  <c r="AY37" i="28"/>
  <c r="AY36" i="28"/>
  <c r="AY35" i="28"/>
  <c r="AY34" i="28"/>
  <c r="AY33" i="28"/>
  <c r="AY32" i="28"/>
  <c r="AY31" i="28"/>
  <c r="AY30" i="28"/>
  <c r="AY29" i="28"/>
  <c r="AY28" i="28"/>
  <c r="AY27" i="28"/>
  <c r="AY26" i="28"/>
  <c r="AY25" i="28"/>
  <c r="AY24" i="28"/>
  <c r="AY23" i="28"/>
  <c r="AY22" i="28"/>
  <c r="AY21" i="28"/>
  <c r="AY20" i="28"/>
  <c r="AY19" i="28"/>
  <c r="AY18" i="28"/>
  <c r="AY17" i="28"/>
  <c r="AY16" i="28"/>
  <c r="AY15" i="28"/>
  <c r="AY14" i="28"/>
  <c r="AY13" i="28"/>
  <c r="AY12" i="28"/>
  <c r="AY11" i="28"/>
  <c r="AY10" i="28"/>
  <c r="AY9" i="28"/>
  <c r="AY8" i="28"/>
  <c r="AY7" i="28"/>
  <c r="X249" i="50"/>
  <c r="X212" i="50"/>
  <c r="X119" i="50"/>
  <c r="Y7" i="50"/>
  <c r="AE5" i="50" l="1"/>
  <c r="AQ8" i="50"/>
  <c r="AM318" i="32"/>
  <c r="AM311" i="32"/>
  <c r="AM307" i="32"/>
  <c r="AM283" i="32"/>
  <c r="AM256" i="32"/>
  <c r="AP256" i="32" s="1"/>
  <c r="AM252" i="32"/>
  <c r="AM210" i="32"/>
  <c r="AM199" i="32"/>
  <c r="AQ13" i="32"/>
  <c r="AQ23" i="32"/>
  <c r="AQ69" i="32"/>
  <c r="AQ71" i="32"/>
  <c r="AQ92" i="32"/>
  <c r="AQ93" i="32"/>
  <c r="AQ99" i="32"/>
  <c r="AQ114" i="32"/>
  <c r="AQ123" i="32"/>
  <c r="AQ129" i="32"/>
  <c r="AQ150" i="32"/>
  <c r="AQ151" i="32"/>
  <c r="AQ155" i="32"/>
  <c r="AQ169" i="32"/>
  <c r="AM92" i="32"/>
  <c r="AM71" i="32"/>
  <c r="AM72" i="32"/>
  <c r="AM13" i="32"/>
  <c r="AM23" i="32"/>
  <c r="AM69" i="32"/>
  <c r="AM93" i="32"/>
  <c r="AM99" i="32"/>
  <c r="AM114" i="32"/>
  <c r="AM123" i="32"/>
  <c r="AM129" i="32"/>
  <c r="AM150" i="32"/>
  <c r="AM151" i="32"/>
  <c r="AM155" i="32"/>
  <c r="AM169" i="32"/>
  <c r="AT334" i="32"/>
  <c r="AT333" i="32"/>
  <c r="AT332" i="32"/>
  <c r="AT331" i="32"/>
  <c r="AU331" i="32" s="1"/>
  <c r="AT330" i="32"/>
  <c r="AU330" i="32" s="1"/>
  <c r="AT329" i="32"/>
  <c r="AT328" i="32"/>
  <c r="AT327" i="32"/>
  <c r="AT326" i="32"/>
  <c r="AT325" i="32"/>
  <c r="AT324" i="32"/>
  <c r="AT323" i="32"/>
  <c r="AU323" i="32" s="1"/>
  <c r="AT322" i="32"/>
  <c r="AU322" i="32" s="1"/>
  <c r="AT321" i="32"/>
  <c r="AT320" i="32"/>
  <c r="AT319" i="32"/>
  <c r="AT318" i="32"/>
  <c r="AT317" i="32"/>
  <c r="AT316" i="32"/>
  <c r="AT315" i="32"/>
  <c r="AU315" i="32" s="1"/>
  <c r="AT314" i="32"/>
  <c r="AU314" i="32" s="1"/>
  <c r="AT313" i="32"/>
  <c r="AT312" i="32"/>
  <c r="AT310" i="32"/>
  <c r="AT309" i="32"/>
  <c r="AT308" i="32"/>
  <c r="AT307" i="32"/>
  <c r="AU307" i="32" s="1"/>
  <c r="AT306" i="32"/>
  <c r="AU306" i="32" s="1"/>
  <c r="AT305" i="32"/>
  <c r="AT304" i="32"/>
  <c r="AT303" i="32"/>
  <c r="AT302" i="32"/>
  <c r="AT301" i="32"/>
  <c r="AT300" i="32"/>
  <c r="AT299" i="32"/>
  <c r="AU299" i="32" s="1"/>
  <c r="AT298" i="32"/>
  <c r="AU298" i="32" s="1"/>
  <c r="AT297" i="32"/>
  <c r="AT296" i="32"/>
  <c r="AT295" i="32"/>
  <c r="AT294" i="32"/>
  <c r="AT293" i="32"/>
  <c r="AT292" i="32"/>
  <c r="AT291" i="32"/>
  <c r="AU291" i="32" s="1"/>
  <c r="AT290" i="32"/>
  <c r="AU290" i="32" s="1"/>
  <c r="AT289" i="32"/>
  <c r="AT288" i="32"/>
  <c r="AT287" i="32"/>
  <c r="AT286" i="32"/>
  <c r="AT285" i="32"/>
  <c r="AT284" i="32"/>
  <c r="AT283" i="32"/>
  <c r="AU283" i="32" s="1"/>
  <c r="AT282" i="32"/>
  <c r="AU282" i="32" s="1"/>
  <c r="AT281" i="32"/>
  <c r="AT280" i="32"/>
  <c r="AT279" i="32"/>
  <c r="AT278" i="32"/>
  <c r="AT277" i="32"/>
  <c r="AT276" i="32"/>
  <c r="AT275" i="32"/>
  <c r="AU275" i="32" s="1"/>
  <c r="AT274" i="32"/>
  <c r="AU274" i="32" s="1"/>
  <c r="AT273" i="32"/>
  <c r="AT272" i="32"/>
  <c r="AT271" i="32"/>
  <c r="AT270" i="32"/>
  <c r="AT269" i="32"/>
  <c r="AT268" i="32"/>
  <c r="AT267" i="32"/>
  <c r="AU267" i="32" s="1"/>
  <c r="AT266" i="32"/>
  <c r="AU266" i="32" s="1"/>
  <c r="AT265" i="32"/>
  <c r="AT264" i="32"/>
  <c r="AT263" i="32"/>
  <c r="AT262" i="32"/>
  <c r="AT261" i="32"/>
  <c r="AT260" i="32"/>
  <c r="AT259" i="32"/>
  <c r="AU259" i="32" s="1"/>
  <c r="AT258" i="32"/>
  <c r="AU258" i="32" s="1"/>
  <c r="AT257" i="32"/>
  <c r="AT255" i="32"/>
  <c r="AT254" i="32"/>
  <c r="AT253" i="32"/>
  <c r="AT251" i="32"/>
  <c r="AU251" i="32" s="1"/>
  <c r="AT250" i="32"/>
  <c r="AU250" i="32" s="1"/>
  <c r="AT249" i="32"/>
  <c r="AT248" i="32"/>
  <c r="AT247" i="32"/>
  <c r="AT246" i="32"/>
  <c r="AT245" i="32"/>
  <c r="AT244" i="32"/>
  <c r="AT243" i="32"/>
  <c r="AU243" i="32" s="1"/>
  <c r="AT242" i="32"/>
  <c r="AU242" i="32" s="1"/>
  <c r="AT241" i="32"/>
  <c r="AT240" i="32"/>
  <c r="AT239" i="32"/>
  <c r="AT238" i="32"/>
  <c r="AT237" i="32"/>
  <c r="AT236" i="32"/>
  <c r="AT235" i="32"/>
  <c r="AU235" i="32" s="1"/>
  <c r="AT234" i="32"/>
  <c r="AU234" i="32" s="1"/>
  <c r="AT233" i="32"/>
  <c r="AT232" i="32"/>
  <c r="AT231" i="32"/>
  <c r="AT230" i="32"/>
  <c r="AT229" i="32"/>
  <c r="AT228" i="32"/>
  <c r="AT227" i="32"/>
  <c r="AU227" i="32" s="1"/>
  <c r="AT226" i="32"/>
  <c r="AU226" i="32" s="1"/>
  <c r="AT225" i="32"/>
  <c r="AT224" i="32"/>
  <c r="AT223" i="32"/>
  <c r="AT222" i="32"/>
  <c r="AT221" i="32"/>
  <c r="AT220" i="32"/>
  <c r="AT219" i="32"/>
  <c r="AU219" i="32" s="1"/>
  <c r="AT218" i="32"/>
  <c r="AU218" i="32" s="1"/>
  <c r="AT217" i="32"/>
  <c r="AT216" i="32"/>
  <c r="AT215" i="32"/>
  <c r="AT214" i="32"/>
  <c r="AT213" i="32"/>
  <c r="AT212" i="32"/>
  <c r="AT211" i="32"/>
  <c r="AU211" i="32" s="1"/>
  <c r="AT209" i="32"/>
  <c r="AT208" i="32"/>
  <c r="AT207" i="32"/>
  <c r="AT206" i="32"/>
  <c r="AT205" i="32"/>
  <c r="AT204" i="32"/>
  <c r="AT203" i="32"/>
  <c r="AU203" i="32" s="1"/>
  <c r="AT202" i="32"/>
  <c r="AU202" i="32" s="1"/>
  <c r="AT201" i="32"/>
  <c r="AT200" i="32"/>
  <c r="AT199" i="32"/>
  <c r="AT198" i="32"/>
  <c r="AT197" i="32"/>
  <c r="AT196" i="32"/>
  <c r="AT195" i="32"/>
  <c r="AU195" i="32" s="1"/>
  <c r="AT194" i="32"/>
  <c r="AU194" i="32" s="1"/>
  <c r="AT193" i="32"/>
  <c r="AT192" i="32"/>
  <c r="AT191" i="32"/>
  <c r="AT190" i="32"/>
  <c r="AT189" i="32"/>
  <c r="AT188" i="32"/>
  <c r="AT187" i="32"/>
  <c r="AU187" i="32" s="1"/>
  <c r="AT186" i="32"/>
  <c r="AU186" i="32" s="1"/>
  <c r="AT185" i="32"/>
  <c r="AT184" i="32"/>
  <c r="AT183" i="32"/>
  <c r="AT182" i="32"/>
  <c r="AT181" i="32"/>
  <c r="AT180" i="32"/>
  <c r="AT179" i="32"/>
  <c r="AU179" i="32" s="1"/>
  <c r="AT178" i="32"/>
  <c r="AU178" i="32" s="1"/>
  <c r="AT177" i="32"/>
  <c r="AT176" i="32"/>
  <c r="AT175" i="32"/>
  <c r="AT174" i="32"/>
  <c r="AT173" i="32"/>
  <c r="AT172" i="32"/>
  <c r="AT171" i="32"/>
  <c r="AU171" i="32" s="1"/>
  <c r="AT170" i="32"/>
  <c r="AU170" i="32" s="1"/>
  <c r="AT168" i="32"/>
  <c r="AT167" i="32"/>
  <c r="AT166" i="32"/>
  <c r="AT165" i="32"/>
  <c r="AT164" i="32"/>
  <c r="AT163" i="32"/>
  <c r="AT162" i="32"/>
  <c r="AU162" i="32" s="1"/>
  <c r="AT161" i="32"/>
  <c r="AU161" i="32" s="1"/>
  <c r="AT160" i="32"/>
  <c r="AT159" i="32"/>
  <c r="AT158" i="32"/>
  <c r="AT157" i="32"/>
  <c r="AT156" i="32"/>
  <c r="AT154" i="32"/>
  <c r="AT153" i="32"/>
  <c r="AT152" i="32"/>
  <c r="AU152" i="32" s="1"/>
  <c r="AT150" i="32"/>
  <c r="AT149" i="32"/>
  <c r="AT148" i="32"/>
  <c r="AT147" i="32"/>
  <c r="AU147" i="32" s="1"/>
  <c r="AT146" i="32"/>
  <c r="AT145" i="32"/>
  <c r="AT144" i="32"/>
  <c r="AU144" i="32" s="1"/>
  <c r="AT143" i="32"/>
  <c r="AU143" i="32" s="1"/>
  <c r="AT142" i="32"/>
  <c r="AT141" i="32"/>
  <c r="AT140" i="32"/>
  <c r="AT139" i="32"/>
  <c r="AU139" i="32" s="1"/>
  <c r="AT138" i="32"/>
  <c r="AT137" i="32"/>
  <c r="AT136" i="32"/>
  <c r="AU136" i="32" s="1"/>
  <c r="AT135" i="32"/>
  <c r="AU135" i="32" s="1"/>
  <c r="AT134" i="32"/>
  <c r="AT133" i="32"/>
  <c r="AT132" i="32"/>
  <c r="AT131" i="32"/>
  <c r="AU131" i="32" s="1"/>
  <c r="AT130" i="32"/>
  <c r="AT128" i="32"/>
  <c r="AT127" i="32"/>
  <c r="AU127" i="32" s="1"/>
  <c r="AT126" i="32"/>
  <c r="AU126" i="32" s="1"/>
  <c r="AT125" i="32"/>
  <c r="AT124" i="32"/>
  <c r="AT122" i="32"/>
  <c r="AT121" i="32"/>
  <c r="AT120" i="32"/>
  <c r="AT119" i="32"/>
  <c r="AT118" i="32"/>
  <c r="AT117" i="32"/>
  <c r="AT116" i="32"/>
  <c r="AT115" i="32"/>
  <c r="AT113" i="32"/>
  <c r="AT112" i="32"/>
  <c r="AU112" i="32" s="1"/>
  <c r="AT111" i="32"/>
  <c r="AT110" i="32"/>
  <c r="AT109" i="32"/>
  <c r="AT108" i="32"/>
  <c r="AU108" i="32" s="1"/>
  <c r="AT107" i="32"/>
  <c r="AT106" i="32"/>
  <c r="AT105" i="32"/>
  <c r="AT104" i="32"/>
  <c r="AU104" i="32" s="1"/>
  <c r="AT103" i="32"/>
  <c r="AT102" i="32"/>
  <c r="AT101" i="32"/>
  <c r="AT100" i="32"/>
  <c r="AU100" i="32" s="1"/>
  <c r="AT98" i="32"/>
  <c r="AT97" i="32"/>
  <c r="AT96" i="32"/>
  <c r="AT95" i="32"/>
  <c r="AU95" i="32" s="1"/>
  <c r="AT94" i="32"/>
  <c r="AT93" i="32"/>
  <c r="AT91" i="32"/>
  <c r="AU91" i="32" s="1"/>
  <c r="AT90" i="32"/>
  <c r="AU90" i="32" s="1"/>
  <c r="AT89" i="32"/>
  <c r="AT88" i="32"/>
  <c r="AT87" i="32"/>
  <c r="AT86" i="32"/>
  <c r="AT85" i="32"/>
  <c r="AT84" i="32"/>
  <c r="AT83" i="32"/>
  <c r="AU83" i="32" s="1"/>
  <c r="AT82" i="32"/>
  <c r="AU82" i="32" s="1"/>
  <c r="AT81" i="32"/>
  <c r="AT80" i="32"/>
  <c r="AT79" i="32"/>
  <c r="AT78" i="32"/>
  <c r="AT77" i="32"/>
  <c r="AT76" i="32"/>
  <c r="AT75" i="32"/>
  <c r="AU75" i="32" s="1"/>
  <c r="AT74" i="32"/>
  <c r="AU74" i="32" s="1"/>
  <c r="AT73" i="32"/>
  <c r="AT70" i="32"/>
  <c r="AT68" i="32"/>
  <c r="AT67" i="32"/>
  <c r="AU67" i="32" s="1"/>
  <c r="AT66" i="32"/>
  <c r="AT65" i="32"/>
  <c r="AT64" i="32"/>
  <c r="AU64" i="32" s="1"/>
  <c r="AT63" i="32"/>
  <c r="AU63" i="32" s="1"/>
  <c r="AT62" i="32"/>
  <c r="AT61" i="32"/>
  <c r="AT60" i="32"/>
  <c r="AT59" i="32"/>
  <c r="AU59" i="32" s="1"/>
  <c r="AT58" i="32"/>
  <c r="AT57" i="32"/>
  <c r="AT56" i="32"/>
  <c r="AU56" i="32" s="1"/>
  <c r="AT55" i="32"/>
  <c r="AU55" i="32" s="1"/>
  <c r="AT54" i="32"/>
  <c r="AT53" i="32"/>
  <c r="AT52" i="32"/>
  <c r="AT51" i="32"/>
  <c r="AU51" i="32" s="1"/>
  <c r="AT50" i="32"/>
  <c r="AT49" i="32"/>
  <c r="AT48" i="32"/>
  <c r="AU48" i="32" s="1"/>
  <c r="AT47" i="32"/>
  <c r="AU47" i="32" s="1"/>
  <c r="AT46" i="32"/>
  <c r="AT45" i="32"/>
  <c r="AT44" i="32"/>
  <c r="AT43" i="32"/>
  <c r="AU43" i="32" s="1"/>
  <c r="AT42" i="32"/>
  <c r="AT41" i="32"/>
  <c r="AT40" i="32"/>
  <c r="AU40" i="32" s="1"/>
  <c r="AT39" i="32"/>
  <c r="AU39" i="32" s="1"/>
  <c r="AT38" i="32"/>
  <c r="AT37" i="32"/>
  <c r="AT36" i="32"/>
  <c r="AT35" i="32"/>
  <c r="AU35" i="32" s="1"/>
  <c r="AT34" i="32"/>
  <c r="AT33" i="32"/>
  <c r="AT32" i="32"/>
  <c r="AU32" i="32" s="1"/>
  <c r="AT31" i="32"/>
  <c r="AU31" i="32" s="1"/>
  <c r="AT30" i="32"/>
  <c r="AT29" i="32"/>
  <c r="AT28" i="32"/>
  <c r="AT27" i="32"/>
  <c r="AU27" i="32" s="1"/>
  <c r="AT26" i="32"/>
  <c r="AT25" i="32"/>
  <c r="AT24" i="32"/>
  <c r="AU24" i="32" s="1"/>
  <c r="AT23" i="32"/>
  <c r="AU23" i="32" s="1"/>
  <c r="AT22" i="32"/>
  <c r="AT21" i="32"/>
  <c r="AT20" i="32"/>
  <c r="AT19" i="32"/>
  <c r="AU19" i="32" s="1"/>
  <c r="AT18" i="32"/>
  <c r="AT17" i="32"/>
  <c r="AT16" i="32"/>
  <c r="AU16" i="32" s="1"/>
  <c r="AT15" i="32"/>
  <c r="AU15" i="32" s="1"/>
  <c r="AT14" i="32"/>
  <c r="AT12" i="32"/>
  <c r="AT11" i="32"/>
  <c r="AT10" i="32"/>
  <c r="AU10" i="32" s="1"/>
  <c r="AT9" i="32"/>
  <c r="AT8" i="32"/>
  <c r="G334" i="32"/>
  <c r="G333" i="32"/>
  <c r="G332" i="32"/>
  <c r="G331" i="32"/>
  <c r="G330" i="32"/>
  <c r="G329" i="32"/>
  <c r="G328" i="32"/>
  <c r="G327" i="32"/>
  <c r="G326" i="32"/>
  <c r="G325" i="32"/>
  <c r="G324" i="32"/>
  <c r="G323" i="32"/>
  <c r="G322" i="32"/>
  <c r="G321" i="32"/>
  <c r="G320" i="32"/>
  <c r="G319" i="32"/>
  <c r="G318" i="32"/>
  <c r="G317" i="32"/>
  <c r="G316" i="32"/>
  <c r="G315" i="32"/>
  <c r="G314" i="32"/>
  <c r="G313" i="32"/>
  <c r="G312" i="32"/>
  <c r="G311" i="32"/>
  <c r="G310" i="32"/>
  <c r="G309" i="32"/>
  <c r="G308" i="32"/>
  <c r="G307" i="32"/>
  <c r="G306" i="32"/>
  <c r="G305" i="32"/>
  <c r="G304" i="32"/>
  <c r="G303" i="32"/>
  <c r="G302" i="32"/>
  <c r="G301" i="32"/>
  <c r="G300" i="32"/>
  <c r="G299" i="32"/>
  <c r="G298" i="32"/>
  <c r="G297" i="32"/>
  <c r="G296" i="32"/>
  <c r="G295" i="32"/>
  <c r="G294" i="32"/>
  <c r="G293" i="32"/>
  <c r="G292" i="32"/>
  <c r="G291" i="32"/>
  <c r="G290" i="32"/>
  <c r="G289" i="32"/>
  <c r="G288" i="32"/>
  <c r="G287" i="32"/>
  <c r="G286" i="32"/>
  <c r="G285" i="32"/>
  <c r="G284" i="32"/>
  <c r="G283" i="32"/>
  <c r="G282" i="32"/>
  <c r="G281" i="32"/>
  <c r="G280" i="32"/>
  <c r="G279" i="32"/>
  <c r="G278" i="32"/>
  <c r="G277" i="32"/>
  <c r="G276" i="32"/>
  <c r="G275" i="32"/>
  <c r="G274" i="32"/>
  <c r="G273" i="32"/>
  <c r="G272" i="32"/>
  <c r="G271" i="32"/>
  <c r="G270" i="32"/>
  <c r="G269" i="32"/>
  <c r="G268" i="32"/>
  <c r="G267" i="32"/>
  <c r="G266" i="32"/>
  <c r="G265" i="32"/>
  <c r="G264" i="32"/>
  <c r="G263" i="32"/>
  <c r="G262" i="32"/>
  <c r="G261" i="32"/>
  <c r="G260" i="32"/>
  <c r="G259" i="32"/>
  <c r="G258" i="32"/>
  <c r="G257" i="32"/>
  <c r="G256" i="32"/>
  <c r="G255" i="32"/>
  <c r="G254" i="32"/>
  <c r="G253" i="32"/>
  <c r="G252" i="32"/>
  <c r="G251" i="32"/>
  <c r="G250" i="32"/>
  <c r="G249" i="32"/>
  <c r="G248" i="32"/>
  <c r="G247" i="32"/>
  <c r="G246" i="32"/>
  <c r="G245" i="32"/>
  <c r="G244" i="32"/>
  <c r="G243" i="32"/>
  <c r="G242" i="32"/>
  <c r="G241" i="32"/>
  <c r="G240" i="32"/>
  <c r="G239" i="32"/>
  <c r="G238" i="32"/>
  <c r="G237" i="32"/>
  <c r="G236" i="32"/>
  <c r="G235" i="32"/>
  <c r="G234" i="32"/>
  <c r="G233" i="32"/>
  <c r="G232" i="32"/>
  <c r="G231" i="32"/>
  <c r="G230" i="32"/>
  <c r="G229" i="32"/>
  <c r="G228" i="32"/>
  <c r="G227" i="32"/>
  <c r="G226" i="32"/>
  <c r="G225" i="32"/>
  <c r="G224" i="32"/>
  <c r="G223" i="32"/>
  <c r="G222" i="32"/>
  <c r="G221" i="32"/>
  <c r="G220" i="32"/>
  <c r="G219" i="32"/>
  <c r="G218" i="32"/>
  <c r="G217" i="32"/>
  <c r="G216" i="32"/>
  <c r="G215" i="32"/>
  <c r="G214" i="32"/>
  <c r="G213" i="32"/>
  <c r="G212" i="32"/>
  <c r="G211" i="32"/>
  <c r="G210" i="32"/>
  <c r="G209" i="32"/>
  <c r="G208" i="32"/>
  <c r="G207" i="32"/>
  <c r="G206" i="32"/>
  <c r="G205" i="32"/>
  <c r="G204" i="32"/>
  <c r="G203" i="32"/>
  <c r="G202" i="32"/>
  <c r="G201" i="32"/>
  <c r="G200" i="32"/>
  <c r="G199" i="32"/>
  <c r="G198" i="32"/>
  <c r="G197" i="32"/>
  <c r="G196" i="32"/>
  <c r="G195" i="32"/>
  <c r="G194" i="32"/>
  <c r="G193" i="32"/>
  <c r="G192" i="32"/>
  <c r="G191" i="32"/>
  <c r="G190" i="32"/>
  <c r="G189" i="32"/>
  <c r="G188" i="32"/>
  <c r="G187" i="32"/>
  <c r="G186" i="32"/>
  <c r="G185" i="32"/>
  <c r="G184" i="32"/>
  <c r="G183" i="32"/>
  <c r="G182" i="32"/>
  <c r="G181" i="32"/>
  <c r="G180" i="32"/>
  <c r="G179" i="32"/>
  <c r="G178" i="32"/>
  <c r="G177" i="32"/>
  <c r="G176" i="32"/>
  <c r="G175" i="32"/>
  <c r="G174" i="32"/>
  <c r="G173" i="32"/>
  <c r="G172" i="32"/>
  <c r="G171" i="32"/>
  <c r="G170" i="32"/>
  <c r="G169" i="32"/>
  <c r="G168" i="32"/>
  <c r="G167" i="32"/>
  <c r="G166" i="32"/>
  <c r="G165" i="32"/>
  <c r="G164" i="32"/>
  <c r="G163" i="32"/>
  <c r="G162" i="32"/>
  <c r="G161" i="32"/>
  <c r="G160" i="32"/>
  <c r="G159" i="32"/>
  <c r="G158" i="32"/>
  <c r="G157" i="32"/>
  <c r="G156" i="32"/>
  <c r="G155" i="32"/>
  <c r="G154" i="32"/>
  <c r="G153" i="32"/>
  <c r="G152" i="32"/>
  <c r="G151" i="32"/>
  <c r="G150" i="32"/>
  <c r="G149" i="32"/>
  <c r="G148" i="32"/>
  <c r="G147" i="32"/>
  <c r="G146" i="32"/>
  <c r="G145" i="32"/>
  <c r="G144" i="32"/>
  <c r="G143" i="32"/>
  <c r="G142" i="32"/>
  <c r="G141" i="32"/>
  <c r="G140" i="32"/>
  <c r="G139" i="32"/>
  <c r="G138" i="32"/>
  <c r="G137" i="32"/>
  <c r="G136" i="32"/>
  <c r="G135" i="32"/>
  <c r="G134" i="32"/>
  <c r="G133" i="32"/>
  <c r="G132" i="32"/>
  <c r="G131" i="32"/>
  <c r="G130" i="32"/>
  <c r="G129" i="32"/>
  <c r="G128" i="32"/>
  <c r="G127" i="32"/>
  <c r="G126" i="32"/>
  <c r="G125" i="32"/>
  <c r="G124" i="32"/>
  <c r="G123" i="32"/>
  <c r="G122" i="32"/>
  <c r="G121" i="32"/>
  <c r="G120" i="32"/>
  <c r="G119" i="32"/>
  <c r="G118" i="32"/>
  <c r="G117" i="32"/>
  <c r="G116" i="32"/>
  <c r="G115" i="32"/>
  <c r="G114" i="32"/>
  <c r="G113" i="32"/>
  <c r="G112" i="32"/>
  <c r="G111" i="32"/>
  <c r="G110" i="32"/>
  <c r="G109" i="32"/>
  <c r="G108" i="32"/>
  <c r="G107" i="32"/>
  <c r="G106" i="32"/>
  <c r="G105" i="32"/>
  <c r="G104" i="32"/>
  <c r="G103" i="32"/>
  <c r="G102" i="32"/>
  <c r="G101" i="32"/>
  <c r="G100" i="32"/>
  <c r="G99" i="32"/>
  <c r="G98" i="32"/>
  <c r="G97" i="32"/>
  <c r="G96" i="32"/>
  <c r="G95" i="32"/>
  <c r="G94" i="32"/>
  <c r="G93" i="32"/>
  <c r="G92" i="32"/>
  <c r="G91" i="32"/>
  <c r="G90" i="32"/>
  <c r="G89" i="32"/>
  <c r="G88" i="32"/>
  <c r="G87" i="32"/>
  <c r="G86" i="32"/>
  <c r="G85" i="32"/>
  <c r="G84" i="32"/>
  <c r="G83" i="32"/>
  <c r="G82" i="32"/>
  <c r="G81" i="32"/>
  <c r="G80" i="32"/>
  <c r="G79" i="32"/>
  <c r="G78" i="32"/>
  <c r="G77" i="32"/>
  <c r="G76" i="32"/>
  <c r="G75" i="32"/>
  <c r="G74" i="32"/>
  <c r="G73" i="32"/>
  <c r="G72" i="32"/>
  <c r="G71" i="32"/>
  <c r="G70" i="32"/>
  <c r="G69" i="32"/>
  <c r="G68" i="32"/>
  <c r="G67" i="32"/>
  <c r="G66" i="32"/>
  <c r="G65" i="32"/>
  <c r="G64" i="32"/>
  <c r="G63" i="32"/>
  <c r="G62" i="32"/>
  <c r="G61" i="32"/>
  <c r="G60" i="32"/>
  <c r="G59" i="32"/>
  <c r="G58" i="32"/>
  <c r="G57" i="32"/>
  <c r="G56" i="32"/>
  <c r="G55" i="32"/>
  <c r="G54" i="32"/>
  <c r="G53" i="32"/>
  <c r="G52" i="32"/>
  <c r="G51" i="32"/>
  <c r="G50" i="32"/>
  <c r="G49" i="32"/>
  <c r="G48" i="32"/>
  <c r="G47" i="32"/>
  <c r="G46" i="32"/>
  <c r="G45" i="32"/>
  <c r="G44" i="32"/>
  <c r="G43" i="32"/>
  <c r="G42" i="32"/>
  <c r="G41" i="32"/>
  <c r="G40" i="32"/>
  <c r="G39" i="32"/>
  <c r="G38" i="32"/>
  <c r="G37" i="32"/>
  <c r="G36" i="32"/>
  <c r="G35" i="32"/>
  <c r="G34" i="32"/>
  <c r="G33" i="32"/>
  <c r="G32" i="32"/>
  <c r="G31" i="32"/>
  <c r="G30" i="32"/>
  <c r="G29" i="32"/>
  <c r="G28" i="32"/>
  <c r="G27" i="32"/>
  <c r="G26" i="32"/>
  <c r="G25" i="32"/>
  <c r="G24" i="32"/>
  <c r="G23" i="32"/>
  <c r="G22" i="32"/>
  <c r="G21" i="32"/>
  <c r="G20" i="32"/>
  <c r="G19" i="32"/>
  <c r="G18" i="32"/>
  <c r="G17" i="32"/>
  <c r="G16" i="32"/>
  <c r="G15" i="32"/>
  <c r="G14" i="32"/>
  <c r="G13" i="32"/>
  <c r="G12" i="32"/>
  <c r="G11" i="32"/>
  <c r="G10" i="32"/>
  <c r="G9" i="32"/>
  <c r="G8" i="32"/>
  <c r="G7" i="32"/>
  <c r="AU7" i="32" s="1"/>
  <c r="AT7" i="32"/>
  <c r="AQ189" i="32"/>
  <c r="AP334" i="32"/>
  <c r="AQ334" i="32" s="1"/>
  <c r="AQ333" i="32"/>
  <c r="AP333" i="32"/>
  <c r="AP332" i="32"/>
  <c r="AQ332" i="32" s="1"/>
  <c r="AP331" i="32"/>
  <c r="AQ331" i="32" s="1"/>
  <c r="AP330" i="32"/>
  <c r="AQ330" i="32" s="1"/>
  <c r="AQ329" i="32"/>
  <c r="AP329" i="32"/>
  <c r="AP328" i="32"/>
  <c r="AQ328" i="32" s="1"/>
  <c r="AP327" i="32"/>
  <c r="AQ327" i="32" s="1"/>
  <c r="AP326" i="32"/>
  <c r="AQ326" i="32" s="1"/>
  <c r="AQ325" i="32"/>
  <c r="AP325" i="32"/>
  <c r="AP324" i="32"/>
  <c r="AQ324" i="32" s="1"/>
  <c r="AP323" i="32"/>
  <c r="AQ323" i="32" s="1"/>
  <c r="AP322" i="32"/>
  <c r="AQ322" i="32" s="1"/>
  <c r="AQ321" i="32"/>
  <c r="AP321" i="32"/>
  <c r="AP320" i="32"/>
  <c r="AQ320" i="32" s="1"/>
  <c r="AP319" i="32"/>
  <c r="AQ319" i="32" s="1"/>
  <c r="AP318" i="32"/>
  <c r="AQ318" i="32" s="1"/>
  <c r="AQ317" i="32"/>
  <c r="AP317" i="32"/>
  <c r="AP316" i="32"/>
  <c r="AQ316" i="32" s="1"/>
  <c r="AP315" i="32"/>
  <c r="AQ315" i="32" s="1"/>
  <c r="AP314" i="32"/>
  <c r="AQ314" i="32" s="1"/>
  <c r="AQ313" i="32"/>
  <c r="AP313" i="32"/>
  <c r="AP312" i="32"/>
  <c r="AQ312" i="32" s="1"/>
  <c r="AP311" i="32"/>
  <c r="AT311" i="32" s="1"/>
  <c r="AP310" i="32"/>
  <c r="AQ310" i="32" s="1"/>
  <c r="AQ309" i="32"/>
  <c r="AP309" i="32"/>
  <c r="AP308" i="32"/>
  <c r="AQ308" i="32" s="1"/>
  <c r="AP307" i="32"/>
  <c r="AQ307" i="32" s="1"/>
  <c r="AP306" i="32"/>
  <c r="AQ306" i="32" s="1"/>
  <c r="AQ305" i="32"/>
  <c r="AP305" i="32"/>
  <c r="AP304" i="32"/>
  <c r="AQ304" i="32" s="1"/>
  <c r="AP303" i="32"/>
  <c r="AQ303" i="32" s="1"/>
  <c r="AP302" i="32"/>
  <c r="AQ302" i="32" s="1"/>
  <c r="AQ301" i="32"/>
  <c r="AP301" i="32"/>
  <c r="AP300" i="32"/>
  <c r="AQ300" i="32" s="1"/>
  <c r="AP299" i="32"/>
  <c r="AQ299" i="32" s="1"/>
  <c r="AP298" i="32"/>
  <c r="AQ298" i="32" s="1"/>
  <c r="AQ297" i="32"/>
  <c r="AP297" i="32"/>
  <c r="AP296" i="32"/>
  <c r="AQ296" i="32" s="1"/>
  <c r="AP295" i="32"/>
  <c r="AQ295" i="32" s="1"/>
  <c r="AP294" i="32"/>
  <c r="AQ294" i="32" s="1"/>
  <c r="AQ293" i="32"/>
  <c r="AP293" i="32"/>
  <c r="AP292" i="32"/>
  <c r="AQ292" i="32" s="1"/>
  <c r="AP291" i="32"/>
  <c r="AQ291" i="32" s="1"/>
  <c r="AP290" i="32"/>
  <c r="AQ290" i="32" s="1"/>
  <c r="AQ289" i="32"/>
  <c r="AP289" i="32"/>
  <c r="AP288" i="32"/>
  <c r="AQ288" i="32" s="1"/>
  <c r="AP287" i="32"/>
  <c r="AQ287" i="32" s="1"/>
  <c r="AP286" i="32"/>
  <c r="AQ286" i="32" s="1"/>
  <c r="AQ285" i="32"/>
  <c r="AP285" i="32"/>
  <c r="AP284" i="32"/>
  <c r="AQ284" i="32" s="1"/>
  <c r="AP283" i="32"/>
  <c r="AQ283" i="32" s="1"/>
  <c r="AP282" i="32"/>
  <c r="AQ282" i="32" s="1"/>
  <c r="AQ281" i="32"/>
  <c r="AP281" i="32"/>
  <c r="AP280" i="32"/>
  <c r="AQ280" i="32" s="1"/>
  <c r="AP279" i="32"/>
  <c r="AQ279" i="32" s="1"/>
  <c r="AP278" i="32"/>
  <c r="AQ278" i="32" s="1"/>
  <c r="AQ277" i="32"/>
  <c r="AP277" i="32"/>
  <c r="AP276" i="32"/>
  <c r="AQ276" i="32" s="1"/>
  <c r="AP275" i="32"/>
  <c r="AQ275" i="32" s="1"/>
  <c r="AP274" i="32"/>
  <c r="AQ274" i="32" s="1"/>
  <c r="AQ273" i="32"/>
  <c r="AP273" i="32"/>
  <c r="AP272" i="32"/>
  <c r="AQ272" i="32" s="1"/>
  <c r="AP271" i="32"/>
  <c r="AQ271" i="32" s="1"/>
  <c r="AP270" i="32"/>
  <c r="AQ270" i="32" s="1"/>
  <c r="AQ269" i="32"/>
  <c r="AP269" i="32"/>
  <c r="AP268" i="32"/>
  <c r="AQ268" i="32" s="1"/>
  <c r="AP267" i="32"/>
  <c r="AQ267" i="32" s="1"/>
  <c r="AP266" i="32"/>
  <c r="AQ266" i="32" s="1"/>
  <c r="AQ265" i="32"/>
  <c r="AP265" i="32"/>
  <c r="AP264" i="32"/>
  <c r="AQ264" i="32" s="1"/>
  <c r="AP263" i="32"/>
  <c r="AQ263" i="32" s="1"/>
  <c r="AP262" i="32"/>
  <c r="AQ262" i="32" s="1"/>
  <c r="AQ261" i="32"/>
  <c r="AP261" i="32"/>
  <c r="AP260" i="32"/>
  <c r="AQ260" i="32" s="1"/>
  <c r="AP259" i="32"/>
  <c r="AQ259" i="32" s="1"/>
  <c r="AP258" i="32"/>
  <c r="AQ258" i="32" s="1"/>
  <c r="AQ257" i="32"/>
  <c r="AP257" i="32"/>
  <c r="AP255" i="32"/>
  <c r="AQ255" i="32" s="1"/>
  <c r="AP254" i="32"/>
  <c r="AQ254" i="32" s="1"/>
  <c r="AQ253" i="32"/>
  <c r="AP253" i="32"/>
  <c r="AP252" i="32"/>
  <c r="AT252" i="32" s="1"/>
  <c r="AP251" i="32"/>
  <c r="AQ251" i="32" s="1"/>
  <c r="AP250" i="32"/>
  <c r="AQ250" i="32" s="1"/>
  <c r="AQ249" i="32"/>
  <c r="AP249" i="32"/>
  <c r="AP248" i="32"/>
  <c r="AQ248" i="32" s="1"/>
  <c r="AP247" i="32"/>
  <c r="AQ247" i="32" s="1"/>
  <c r="AP246" i="32"/>
  <c r="AQ246" i="32" s="1"/>
  <c r="AQ245" i="32"/>
  <c r="AP245" i="32"/>
  <c r="AP244" i="32"/>
  <c r="AQ244" i="32" s="1"/>
  <c r="AP243" i="32"/>
  <c r="AQ243" i="32" s="1"/>
  <c r="AP242" i="32"/>
  <c r="AQ242" i="32" s="1"/>
  <c r="AQ241" i="32"/>
  <c r="AP241" i="32"/>
  <c r="AP240" i="32"/>
  <c r="AQ240" i="32" s="1"/>
  <c r="AP239" i="32"/>
  <c r="AQ239" i="32" s="1"/>
  <c r="AP238" i="32"/>
  <c r="AQ238" i="32" s="1"/>
  <c r="AQ237" i="32"/>
  <c r="AP237" i="32"/>
  <c r="AP236" i="32"/>
  <c r="AQ236" i="32" s="1"/>
  <c r="AP235" i="32"/>
  <c r="AQ235" i="32" s="1"/>
  <c r="AP234" i="32"/>
  <c r="AQ234" i="32" s="1"/>
  <c r="AQ233" i="32"/>
  <c r="AP233" i="32"/>
  <c r="AP232" i="32"/>
  <c r="AQ232" i="32" s="1"/>
  <c r="AP231" i="32"/>
  <c r="AQ231" i="32" s="1"/>
  <c r="AP230" i="32"/>
  <c r="AQ230" i="32" s="1"/>
  <c r="AQ229" i="32"/>
  <c r="AP229" i="32"/>
  <c r="AP228" i="32"/>
  <c r="AQ228" i="32" s="1"/>
  <c r="AP227" i="32"/>
  <c r="AQ227" i="32" s="1"/>
  <c r="AP226" i="32"/>
  <c r="AQ226" i="32" s="1"/>
  <c r="AQ225" i="32"/>
  <c r="AP225" i="32"/>
  <c r="AP224" i="32"/>
  <c r="AQ224" i="32" s="1"/>
  <c r="AP223" i="32"/>
  <c r="AQ223" i="32" s="1"/>
  <c r="AP222" i="32"/>
  <c r="AQ222" i="32" s="1"/>
  <c r="AQ221" i="32"/>
  <c r="AP221" i="32"/>
  <c r="AP220" i="32"/>
  <c r="AQ220" i="32" s="1"/>
  <c r="AP219" i="32"/>
  <c r="AQ219" i="32" s="1"/>
  <c r="AP218" i="32"/>
  <c r="AQ218" i="32" s="1"/>
  <c r="AQ217" i="32"/>
  <c r="AP217" i="32"/>
  <c r="AP216" i="32"/>
  <c r="AQ216" i="32" s="1"/>
  <c r="AP215" i="32"/>
  <c r="AQ215" i="32" s="1"/>
  <c r="AP214" i="32"/>
  <c r="AQ214" i="32" s="1"/>
  <c r="AQ213" i="32"/>
  <c r="AP213" i="32"/>
  <c r="AP212" i="32"/>
  <c r="AQ212" i="32" s="1"/>
  <c r="AP211" i="32"/>
  <c r="AQ211" i="32" s="1"/>
  <c r="AP210" i="32"/>
  <c r="AT210" i="32" s="1"/>
  <c r="AU210" i="32" s="1"/>
  <c r="AQ209" i="32"/>
  <c r="AP209" i="32"/>
  <c r="AP208" i="32"/>
  <c r="AQ208" i="32" s="1"/>
  <c r="AP207" i="32"/>
  <c r="AQ207" i="32" s="1"/>
  <c r="AP206" i="32"/>
  <c r="AQ206" i="32" s="1"/>
  <c r="AQ205" i="32"/>
  <c r="AP205" i="32"/>
  <c r="AP204" i="32"/>
  <c r="AQ204" i="32" s="1"/>
  <c r="AP203" i="32"/>
  <c r="AQ203" i="32" s="1"/>
  <c r="AP202" i="32"/>
  <c r="AQ202" i="32" s="1"/>
  <c r="AQ201" i="32"/>
  <c r="AP201" i="32"/>
  <c r="AP200" i="32"/>
  <c r="AQ200" i="32" s="1"/>
  <c r="AP199" i="32"/>
  <c r="AQ199" i="32" s="1"/>
  <c r="AP198" i="32"/>
  <c r="AQ198" i="32" s="1"/>
  <c r="AQ197" i="32"/>
  <c r="AP197" i="32"/>
  <c r="AP196" i="32"/>
  <c r="AQ196" i="32" s="1"/>
  <c r="AP195" i="32"/>
  <c r="AQ195" i="32" s="1"/>
  <c r="AP194" i="32"/>
  <c r="AQ194" i="32" s="1"/>
  <c r="AQ193" i="32"/>
  <c r="AP193" i="32"/>
  <c r="AP192" i="32"/>
  <c r="AQ192" i="32" s="1"/>
  <c r="AP191" i="32"/>
  <c r="AQ191" i="32" s="1"/>
  <c r="AP190" i="32"/>
  <c r="AQ190" i="32" s="1"/>
  <c r="AP189" i="32"/>
  <c r="AP188" i="32"/>
  <c r="AQ188" i="32" s="1"/>
  <c r="AP187" i="32"/>
  <c r="AQ187" i="32" s="1"/>
  <c r="AP186" i="32"/>
  <c r="AQ186" i="32" s="1"/>
  <c r="AQ185" i="32"/>
  <c r="AP185" i="32"/>
  <c r="AP184" i="32"/>
  <c r="AQ184" i="32" s="1"/>
  <c r="AP183" i="32"/>
  <c r="AQ183" i="32" s="1"/>
  <c r="AP182" i="32"/>
  <c r="AQ182" i="32" s="1"/>
  <c r="AQ181" i="32"/>
  <c r="AP181" i="32"/>
  <c r="AP180" i="32"/>
  <c r="AQ180" i="32" s="1"/>
  <c r="AP179" i="32"/>
  <c r="AQ179" i="32" s="1"/>
  <c r="AP178" i="32"/>
  <c r="AQ178" i="32" s="1"/>
  <c r="AQ177" i="32"/>
  <c r="AP177" i="32"/>
  <c r="AP176" i="32"/>
  <c r="AQ176" i="32" s="1"/>
  <c r="AP175" i="32"/>
  <c r="AQ175" i="32" s="1"/>
  <c r="AP174" i="32"/>
  <c r="AQ174" i="32" s="1"/>
  <c r="AQ173" i="32"/>
  <c r="AP173" i="32"/>
  <c r="AP172" i="32"/>
  <c r="AQ172" i="32" s="1"/>
  <c r="AP171" i="32"/>
  <c r="AQ171" i="32" s="1"/>
  <c r="AP170" i="32"/>
  <c r="AQ170" i="32" s="1"/>
  <c r="AP169" i="32"/>
  <c r="AP168" i="32"/>
  <c r="AQ168" i="32" s="1"/>
  <c r="AP167" i="32"/>
  <c r="AQ167" i="32" s="1"/>
  <c r="AP166" i="32"/>
  <c r="AQ166" i="32" s="1"/>
  <c r="AQ165" i="32"/>
  <c r="AP165" i="32"/>
  <c r="AP164" i="32"/>
  <c r="AQ164" i="32" s="1"/>
  <c r="AP163" i="32"/>
  <c r="AQ163" i="32" s="1"/>
  <c r="AP162" i="32"/>
  <c r="AQ162" i="32" s="1"/>
  <c r="AQ161" i="32"/>
  <c r="AP161" i="32"/>
  <c r="AP160" i="32"/>
  <c r="AQ160" i="32" s="1"/>
  <c r="AP159" i="32"/>
  <c r="AQ159" i="32" s="1"/>
  <c r="AP158" i="32"/>
  <c r="AQ158" i="32" s="1"/>
  <c r="AQ157" i="32"/>
  <c r="AP157" i="32"/>
  <c r="AP156" i="32"/>
  <c r="AQ156" i="32" s="1"/>
  <c r="AP155" i="32"/>
  <c r="AP154" i="32"/>
  <c r="AQ154" i="32" s="1"/>
  <c r="AQ153" i="32"/>
  <c r="AP153" i="32"/>
  <c r="AP152" i="32"/>
  <c r="AQ152" i="32" s="1"/>
  <c r="AP151" i="32"/>
  <c r="AP150" i="32"/>
  <c r="AQ149" i="32"/>
  <c r="AP149" i="32"/>
  <c r="AP148" i="32"/>
  <c r="AQ148" i="32" s="1"/>
  <c r="AP147" i="32"/>
  <c r="AQ147" i="32" s="1"/>
  <c r="AP146" i="32"/>
  <c r="AQ146" i="32" s="1"/>
  <c r="AQ145" i="32"/>
  <c r="AP145" i="32"/>
  <c r="AP144" i="32"/>
  <c r="AQ144" i="32" s="1"/>
  <c r="AP143" i="32"/>
  <c r="AQ143" i="32" s="1"/>
  <c r="AP142" i="32"/>
  <c r="AQ142" i="32" s="1"/>
  <c r="AQ141" i="32"/>
  <c r="AP141" i="32"/>
  <c r="AP140" i="32"/>
  <c r="AQ140" i="32" s="1"/>
  <c r="AP139" i="32"/>
  <c r="AQ139" i="32" s="1"/>
  <c r="AP138" i="32"/>
  <c r="AQ138" i="32" s="1"/>
  <c r="AQ137" i="32"/>
  <c r="AP137" i="32"/>
  <c r="AP136" i="32"/>
  <c r="AQ136" i="32" s="1"/>
  <c r="AP135" i="32"/>
  <c r="AQ135" i="32" s="1"/>
  <c r="AP134" i="32"/>
  <c r="AQ134" i="32" s="1"/>
  <c r="AQ133" i="32"/>
  <c r="AP133" i="32"/>
  <c r="AP132" i="32"/>
  <c r="AQ132" i="32" s="1"/>
  <c r="AP131" i="32"/>
  <c r="AQ131" i="32" s="1"/>
  <c r="AP130" i="32"/>
  <c r="AQ130" i="32" s="1"/>
  <c r="AP129" i="32"/>
  <c r="AT129" i="32" s="1"/>
  <c r="AU129" i="32" s="1"/>
  <c r="AP128" i="32"/>
  <c r="AQ128" i="32" s="1"/>
  <c r="AP127" i="32"/>
  <c r="AQ127" i="32" s="1"/>
  <c r="AP126" i="32"/>
  <c r="AQ126" i="32" s="1"/>
  <c r="AQ125" i="32"/>
  <c r="AP125" i="32"/>
  <c r="AP124" i="32"/>
  <c r="AQ124" i="32" s="1"/>
  <c r="AP123" i="32"/>
  <c r="AP122" i="32"/>
  <c r="AQ122" i="32" s="1"/>
  <c r="AQ121" i="32"/>
  <c r="AP121" i="32"/>
  <c r="AP120" i="32"/>
  <c r="AQ120" i="32" s="1"/>
  <c r="AP119" i="32"/>
  <c r="AQ119" i="32" s="1"/>
  <c r="AP118" i="32"/>
  <c r="AQ118" i="32" s="1"/>
  <c r="AQ117" i="32"/>
  <c r="AP117" i="32"/>
  <c r="AP116" i="32"/>
  <c r="AQ116" i="32" s="1"/>
  <c r="AP115" i="32"/>
  <c r="AQ115" i="32" s="1"/>
  <c r="AP114" i="32"/>
  <c r="AQ113" i="32"/>
  <c r="AP113" i="32"/>
  <c r="AP112" i="32"/>
  <c r="AQ112" i="32" s="1"/>
  <c r="AP111" i="32"/>
  <c r="AQ111" i="32" s="1"/>
  <c r="AP110" i="32"/>
  <c r="AQ110" i="32" s="1"/>
  <c r="AQ109" i="32"/>
  <c r="AP109" i="32"/>
  <c r="AP108" i="32"/>
  <c r="AQ108" i="32" s="1"/>
  <c r="AP107" i="32"/>
  <c r="AQ107" i="32" s="1"/>
  <c r="AP106" i="32"/>
  <c r="AQ106" i="32" s="1"/>
  <c r="AQ105" i="32"/>
  <c r="AP105" i="32"/>
  <c r="AP104" i="32"/>
  <c r="AQ104" i="32" s="1"/>
  <c r="AP103" i="32"/>
  <c r="AQ103" i="32" s="1"/>
  <c r="AP102" i="32"/>
  <c r="AQ102" i="32" s="1"/>
  <c r="AQ101" i="32"/>
  <c r="AP101" i="32"/>
  <c r="AP100" i="32"/>
  <c r="AQ100" i="32" s="1"/>
  <c r="AP99" i="32"/>
  <c r="AP98" i="32"/>
  <c r="AQ98" i="32" s="1"/>
  <c r="AQ97" i="32"/>
  <c r="AP97" i="32"/>
  <c r="AP96" i="32"/>
  <c r="AQ96" i="32" s="1"/>
  <c r="AP95" i="32"/>
  <c r="AQ95" i="32" s="1"/>
  <c r="AP94" i="32"/>
  <c r="AQ94" i="32" s="1"/>
  <c r="AP93" i="32"/>
  <c r="AP92" i="32"/>
  <c r="AP91" i="32"/>
  <c r="AQ91" i="32" s="1"/>
  <c r="AP90" i="32"/>
  <c r="AQ90" i="32" s="1"/>
  <c r="AQ89" i="32"/>
  <c r="AP89" i="32"/>
  <c r="AP88" i="32"/>
  <c r="AQ88" i="32" s="1"/>
  <c r="AP87" i="32"/>
  <c r="AQ87" i="32" s="1"/>
  <c r="AP86" i="32"/>
  <c r="AQ86" i="32" s="1"/>
  <c r="AQ85" i="32"/>
  <c r="AP85" i="32"/>
  <c r="AP84" i="32"/>
  <c r="AQ84" i="32" s="1"/>
  <c r="AP83" i="32"/>
  <c r="AQ83" i="32" s="1"/>
  <c r="AP82" i="32"/>
  <c r="AQ82" i="32" s="1"/>
  <c r="AQ81" i="32"/>
  <c r="AP81" i="32"/>
  <c r="AP80" i="32"/>
  <c r="AQ80" i="32" s="1"/>
  <c r="AP79" i="32"/>
  <c r="AQ79" i="32" s="1"/>
  <c r="AP78" i="32"/>
  <c r="AQ78" i="32" s="1"/>
  <c r="AQ77" i="32"/>
  <c r="AP77" i="32"/>
  <c r="AP76" i="32"/>
  <c r="AQ76" i="32" s="1"/>
  <c r="AP75" i="32"/>
  <c r="AQ75" i="32" s="1"/>
  <c r="AP74" i="32"/>
  <c r="AQ74" i="32" s="1"/>
  <c r="AQ73" i="32"/>
  <c r="AP73" i="32"/>
  <c r="AP72" i="32"/>
  <c r="AQ72" i="32" s="1"/>
  <c r="AP71" i="32"/>
  <c r="AP70" i="32"/>
  <c r="AQ70" i="32" s="1"/>
  <c r="AP69" i="32"/>
  <c r="AP68" i="32"/>
  <c r="AQ68" i="32" s="1"/>
  <c r="AP67" i="32"/>
  <c r="AQ67" i="32" s="1"/>
  <c r="AP66" i="32"/>
  <c r="AQ66" i="32" s="1"/>
  <c r="AQ65" i="32"/>
  <c r="AP65" i="32"/>
  <c r="AP64" i="32"/>
  <c r="AQ64" i="32" s="1"/>
  <c r="AP63" i="32"/>
  <c r="AQ63" i="32" s="1"/>
  <c r="AP62" i="32"/>
  <c r="AQ62" i="32" s="1"/>
  <c r="AQ61" i="32"/>
  <c r="AP61" i="32"/>
  <c r="AP60" i="32"/>
  <c r="AQ60" i="32" s="1"/>
  <c r="AP59" i="32"/>
  <c r="AQ59" i="32" s="1"/>
  <c r="AP58" i="32"/>
  <c r="AQ58" i="32" s="1"/>
  <c r="AQ57" i="32"/>
  <c r="AP57" i="32"/>
  <c r="AP56" i="32"/>
  <c r="AQ56" i="32" s="1"/>
  <c r="AP55" i="32"/>
  <c r="AQ55" i="32" s="1"/>
  <c r="AP54" i="32"/>
  <c r="AQ54" i="32" s="1"/>
  <c r="AQ53" i="32"/>
  <c r="AP53" i="32"/>
  <c r="AP52" i="32"/>
  <c r="AQ52" i="32" s="1"/>
  <c r="AP51" i="32"/>
  <c r="AQ51" i="32" s="1"/>
  <c r="AP50" i="32"/>
  <c r="AQ50" i="32" s="1"/>
  <c r="AQ49" i="32"/>
  <c r="AP49" i="32"/>
  <c r="AP48" i="32"/>
  <c r="AQ48" i="32" s="1"/>
  <c r="AP47" i="32"/>
  <c r="AQ47" i="32" s="1"/>
  <c r="AP46" i="32"/>
  <c r="AQ46" i="32" s="1"/>
  <c r="AQ45" i="32"/>
  <c r="AP45" i="32"/>
  <c r="AP44" i="32"/>
  <c r="AQ44" i="32" s="1"/>
  <c r="AP43" i="32"/>
  <c r="AQ43" i="32" s="1"/>
  <c r="AP42" i="32"/>
  <c r="AQ42" i="32" s="1"/>
  <c r="AQ41" i="32"/>
  <c r="AP41" i="32"/>
  <c r="AP40" i="32"/>
  <c r="AQ40" i="32" s="1"/>
  <c r="AP39" i="32"/>
  <c r="AQ39" i="32" s="1"/>
  <c r="AP38" i="32"/>
  <c r="AQ38" i="32" s="1"/>
  <c r="AQ37" i="32"/>
  <c r="AP37" i="32"/>
  <c r="AP36" i="32"/>
  <c r="AQ36" i="32" s="1"/>
  <c r="AP35" i="32"/>
  <c r="AQ35" i="32" s="1"/>
  <c r="AP34" i="32"/>
  <c r="AQ34" i="32" s="1"/>
  <c r="AQ33" i="32"/>
  <c r="AP33" i="32"/>
  <c r="AP32" i="32"/>
  <c r="AQ32" i="32" s="1"/>
  <c r="AP31" i="32"/>
  <c r="AQ31" i="32" s="1"/>
  <c r="AP30" i="32"/>
  <c r="AQ30" i="32" s="1"/>
  <c r="AQ29" i="32"/>
  <c r="AP29" i="32"/>
  <c r="AP28" i="32"/>
  <c r="AQ28" i="32" s="1"/>
  <c r="AP27" i="32"/>
  <c r="AQ27" i="32" s="1"/>
  <c r="AP26" i="32"/>
  <c r="AQ26" i="32" s="1"/>
  <c r="AQ25" i="32"/>
  <c r="AP25" i="32"/>
  <c r="AP24" i="32"/>
  <c r="AQ24" i="32" s="1"/>
  <c r="AP23" i="32"/>
  <c r="AP22" i="32"/>
  <c r="AQ22" i="32" s="1"/>
  <c r="AQ21" i="32"/>
  <c r="AP21" i="32"/>
  <c r="AP20" i="32"/>
  <c r="AQ20" i="32" s="1"/>
  <c r="AP19" i="32"/>
  <c r="AQ19" i="32" s="1"/>
  <c r="AP18" i="32"/>
  <c r="AQ18" i="32" s="1"/>
  <c r="AQ17" i="32"/>
  <c r="AP17" i="32"/>
  <c r="AP16" i="32"/>
  <c r="AQ16" i="32" s="1"/>
  <c r="AP15" i="32"/>
  <c r="AQ15" i="32" s="1"/>
  <c r="AP14" i="32"/>
  <c r="AQ14" i="32" s="1"/>
  <c r="AP13" i="32"/>
  <c r="AT13" i="32" s="1"/>
  <c r="AP12" i="32"/>
  <c r="AQ12" i="32" s="1"/>
  <c r="AP11" i="32"/>
  <c r="AQ11" i="32" s="1"/>
  <c r="AP10" i="32"/>
  <c r="AQ10" i="32" s="1"/>
  <c r="AQ9" i="32"/>
  <c r="AP9" i="32"/>
  <c r="AP8" i="32"/>
  <c r="AQ8" i="32" s="1"/>
  <c r="AQ7" i="32"/>
  <c r="AP7" i="32"/>
  <c r="AM189" i="32"/>
  <c r="AM334" i="32"/>
  <c r="AM333" i="32"/>
  <c r="AM332" i="32"/>
  <c r="AM331" i="32"/>
  <c r="AM330" i="32"/>
  <c r="AM329" i="32"/>
  <c r="AM328" i="32"/>
  <c r="AM327" i="32"/>
  <c r="AM326" i="32"/>
  <c r="AM325" i="32"/>
  <c r="AM324" i="32"/>
  <c r="AM323" i="32"/>
  <c r="AM322" i="32"/>
  <c r="AM321" i="32"/>
  <c r="AM320" i="32"/>
  <c r="AM319" i="32"/>
  <c r="AM317" i="32"/>
  <c r="AM316" i="32"/>
  <c r="AM315" i="32"/>
  <c r="AM314" i="32"/>
  <c r="AM313" i="32"/>
  <c r="AM312" i="32"/>
  <c r="AM310" i="32"/>
  <c r="AM309" i="32"/>
  <c r="AM308" i="32"/>
  <c r="AM306" i="32"/>
  <c r="AM305" i="32"/>
  <c r="AM304" i="32"/>
  <c r="AM303" i="32"/>
  <c r="AM302" i="32"/>
  <c r="AM301" i="32"/>
  <c r="AM300" i="32"/>
  <c r="AM299" i="32"/>
  <c r="AM298" i="32"/>
  <c r="AM297" i="32"/>
  <c r="AM296" i="32"/>
  <c r="AM295" i="32"/>
  <c r="AM294" i="32"/>
  <c r="AM293" i="32"/>
  <c r="AM292" i="32"/>
  <c r="AM291" i="32"/>
  <c r="AM290" i="32"/>
  <c r="AM289" i="32"/>
  <c r="AM288" i="32"/>
  <c r="AM287" i="32"/>
  <c r="AM286" i="32"/>
  <c r="AM285" i="32"/>
  <c r="AM284" i="32"/>
  <c r="AM282" i="32"/>
  <c r="AM281" i="32"/>
  <c r="AM280" i="32"/>
  <c r="AM279" i="32"/>
  <c r="AM278" i="32"/>
  <c r="AM277" i="32"/>
  <c r="AM276" i="32"/>
  <c r="AM275" i="32"/>
  <c r="AM274" i="32"/>
  <c r="AM273" i="32"/>
  <c r="AM272" i="32"/>
  <c r="AM271" i="32"/>
  <c r="AM270" i="32"/>
  <c r="AM269" i="32"/>
  <c r="AM268" i="32"/>
  <c r="AM267" i="32"/>
  <c r="AM266" i="32"/>
  <c r="AM265" i="32"/>
  <c r="AM264" i="32"/>
  <c r="AM263" i="32"/>
  <c r="AM262" i="32"/>
  <c r="AM261" i="32"/>
  <c r="AM260" i="32"/>
  <c r="AM259" i="32"/>
  <c r="AM258" i="32"/>
  <c r="AM257" i="32"/>
  <c r="AM255" i="32"/>
  <c r="AM254" i="32"/>
  <c r="AM253" i="32"/>
  <c r="AM251" i="32"/>
  <c r="AM250" i="32"/>
  <c r="AM249" i="32"/>
  <c r="AM248" i="32"/>
  <c r="AM247" i="32"/>
  <c r="AM246" i="32"/>
  <c r="AM245" i="32"/>
  <c r="AM244" i="32"/>
  <c r="AM243" i="32"/>
  <c r="AM242" i="32"/>
  <c r="AM241" i="32"/>
  <c r="AM240" i="32"/>
  <c r="AM239" i="32"/>
  <c r="AM238" i="32"/>
  <c r="AM237" i="32"/>
  <c r="AM236" i="32"/>
  <c r="AM235" i="32"/>
  <c r="AM234" i="32"/>
  <c r="AM233" i="32"/>
  <c r="AM232" i="32"/>
  <c r="AM231" i="32"/>
  <c r="AM230" i="32"/>
  <c r="AM229" i="32"/>
  <c r="AM228" i="32"/>
  <c r="AM227" i="32"/>
  <c r="AM226" i="32"/>
  <c r="AM225" i="32"/>
  <c r="AM224" i="32"/>
  <c r="AM223" i="32"/>
  <c r="AM222" i="32"/>
  <c r="AM221" i="32"/>
  <c r="AM220" i="32"/>
  <c r="AM219" i="32"/>
  <c r="AM218" i="32"/>
  <c r="AM217" i="32"/>
  <c r="AM216" i="32"/>
  <c r="AM215" i="32"/>
  <c r="AM214" i="32"/>
  <c r="AM213" i="32"/>
  <c r="AM212" i="32"/>
  <c r="AM211" i="32"/>
  <c r="AM209" i="32"/>
  <c r="AM208" i="32"/>
  <c r="AM207" i="32"/>
  <c r="AM206" i="32"/>
  <c r="AM205" i="32"/>
  <c r="AM204" i="32"/>
  <c r="AM203" i="32"/>
  <c r="AM202" i="32"/>
  <c r="AM201" i="32"/>
  <c r="AM200" i="32"/>
  <c r="AM198" i="32"/>
  <c r="AM197" i="32"/>
  <c r="AM196" i="32"/>
  <c r="AM195" i="32"/>
  <c r="AM194" i="32"/>
  <c r="AM193" i="32"/>
  <c r="AM192" i="32"/>
  <c r="AM191" i="32"/>
  <c r="AM190" i="32"/>
  <c r="AM188" i="32"/>
  <c r="AM187" i="32"/>
  <c r="AM186" i="32"/>
  <c r="AM185" i="32"/>
  <c r="AM184" i="32"/>
  <c r="AM183" i="32"/>
  <c r="AM182" i="32"/>
  <c r="AM181" i="32"/>
  <c r="AM180" i="32"/>
  <c r="AM179" i="32"/>
  <c r="AM178" i="32"/>
  <c r="AM177" i="32"/>
  <c r="AM176" i="32"/>
  <c r="AM175" i="32"/>
  <c r="AM174" i="32"/>
  <c r="AM173" i="32"/>
  <c r="AM172" i="32"/>
  <c r="AM171" i="32"/>
  <c r="AM170" i="32"/>
  <c r="AM168" i="32"/>
  <c r="AM167" i="32"/>
  <c r="AM166" i="32"/>
  <c r="AM165" i="32"/>
  <c r="AM164" i="32"/>
  <c r="AM163" i="32"/>
  <c r="AM162" i="32"/>
  <c r="AM161" i="32"/>
  <c r="AM160" i="32"/>
  <c r="AM159" i="32"/>
  <c r="AM158" i="32"/>
  <c r="AM157" i="32"/>
  <c r="AM156" i="32"/>
  <c r="AM154" i="32"/>
  <c r="AM153" i="32"/>
  <c r="AM152" i="32"/>
  <c r="AM149" i="32"/>
  <c r="AM148" i="32"/>
  <c r="AM147" i="32"/>
  <c r="AM146" i="32"/>
  <c r="AM145" i="32"/>
  <c r="AM144" i="32"/>
  <c r="AM143" i="32"/>
  <c r="AM142" i="32"/>
  <c r="AM141" i="32"/>
  <c r="AM140" i="32"/>
  <c r="AM139" i="32"/>
  <c r="AM138" i="32"/>
  <c r="AM137" i="32"/>
  <c r="AM136" i="32"/>
  <c r="AM135" i="32"/>
  <c r="AM134" i="32"/>
  <c r="AM133" i="32"/>
  <c r="AM132" i="32"/>
  <c r="AM131" i="32"/>
  <c r="AM130" i="32"/>
  <c r="AM128" i="32"/>
  <c r="AM127" i="32"/>
  <c r="AM126" i="32"/>
  <c r="AM125" i="32"/>
  <c r="AM124" i="32"/>
  <c r="AM122" i="32"/>
  <c r="AM121" i="32"/>
  <c r="AM120" i="32"/>
  <c r="AM119" i="32"/>
  <c r="AM118" i="32"/>
  <c r="AM117" i="32"/>
  <c r="AM116" i="32"/>
  <c r="AM115" i="32"/>
  <c r="AM113" i="32"/>
  <c r="AM112" i="32"/>
  <c r="AM111" i="32"/>
  <c r="AM110" i="32"/>
  <c r="AM109" i="32"/>
  <c r="AM108" i="32"/>
  <c r="AM107" i="32"/>
  <c r="AM106" i="32"/>
  <c r="AM105" i="32"/>
  <c r="AM104" i="32"/>
  <c r="AM103" i="32"/>
  <c r="AM102" i="32"/>
  <c r="AM101" i="32"/>
  <c r="AM100" i="32"/>
  <c r="AM98" i="32"/>
  <c r="AM97" i="32"/>
  <c r="AM96" i="32"/>
  <c r="AM95" i="32"/>
  <c r="AM94" i="32"/>
  <c r="AM91" i="32"/>
  <c r="AM90" i="32"/>
  <c r="AM89" i="32"/>
  <c r="AM88" i="32"/>
  <c r="AM87" i="32"/>
  <c r="AM86" i="32"/>
  <c r="AM85" i="32"/>
  <c r="AM84" i="32"/>
  <c r="AM83" i="32"/>
  <c r="AM82" i="32"/>
  <c r="AM81" i="32"/>
  <c r="AM80" i="32"/>
  <c r="AM79" i="32"/>
  <c r="AM78" i="32"/>
  <c r="AM77" i="32"/>
  <c r="AM76" i="32"/>
  <c r="AM75" i="32"/>
  <c r="AM74" i="32"/>
  <c r="AM73" i="32"/>
  <c r="AM70" i="32"/>
  <c r="AM68" i="32"/>
  <c r="AM67" i="32"/>
  <c r="AM66" i="32"/>
  <c r="AM65" i="32"/>
  <c r="AM64" i="32"/>
  <c r="AM63" i="32"/>
  <c r="AM62" i="32"/>
  <c r="AM61" i="32"/>
  <c r="AM60" i="32"/>
  <c r="AM59" i="32"/>
  <c r="AM58" i="32"/>
  <c r="AM57" i="32"/>
  <c r="AM56" i="32"/>
  <c r="AM55" i="32"/>
  <c r="AM54" i="32"/>
  <c r="AM53" i="32"/>
  <c r="AM52" i="32"/>
  <c r="AM51" i="32"/>
  <c r="AM50" i="32"/>
  <c r="AM49" i="32"/>
  <c r="AM48" i="32"/>
  <c r="AM47" i="32"/>
  <c r="AM46" i="32"/>
  <c r="AM45" i="32"/>
  <c r="AM44" i="32"/>
  <c r="AM43" i="32"/>
  <c r="AM42" i="32"/>
  <c r="AM41" i="32"/>
  <c r="AM40" i="32"/>
  <c r="AM39" i="32"/>
  <c r="AM38" i="32"/>
  <c r="AM37" i="32"/>
  <c r="AM36" i="32"/>
  <c r="AM35" i="32"/>
  <c r="AM34" i="32"/>
  <c r="AM33" i="32"/>
  <c r="AM32" i="32"/>
  <c r="AM31" i="32"/>
  <c r="AM30" i="32"/>
  <c r="AM29" i="32"/>
  <c r="AM28" i="32"/>
  <c r="AM27" i="32"/>
  <c r="AM26" i="32"/>
  <c r="AM25" i="32"/>
  <c r="AM24" i="32"/>
  <c r="AM22" i="32"/>
  <c r="AM21" i="32"/>
  <c r="AM20" i="32"/>
  <c r="AM19" i="32"/>
  <c r="AM18" i="32"/>
  <c r="AM17" i="32"/>
  <c r="AM16" i="32"/>
  <c r="AM15" i="32"/>
  <c r="AM14" i="32"/>
  <c r="AM12" i="32"/>
  <c r="AM11" i="32"/>
  <c r="AM10" i="32"/>
  <c r="AM9" i="32"/>
  <c r="AM8" i="32"/>
  <c r="AM7" i="32"/>
  <c r="AJ334" i="32"/>
  <c r="AJ333" i="32"/>
  <c r="AJ332" i="32"/>
  <c r="AJ331" i="32"/>
  <c r="AJ330" i="32"/>
  <c r="AJ329" i="32"/>
  <c r="AJ328" i="32"/>
  <c r="AJ327" i="32"/>
  <c r="AJ326" i="32"/>
  <c r="AJ325" i="32"/>
  <c r="AJ324" i="32"/>
  <c r="AJ323" i="32"/>
  <c r="AJ322" i="32"/>
  <c r="AJ321" i="32"/>
  <c r="AJ320" i="32"/>
  <c r="AJ319" i="32"/>
  <c r="AJ318" i="32"/>
  <c r="AJ317" i="32"/>
  <c r="AJ316" i="32"/>
  <c r="AJ315" i="32"/>
  <c r="AJ314" i="32"/>
  <c r="AJ313" i="32"/>
  <c r="AJ312" i="32"/>
  <c r="AJ311" i="32"/>
  <c r="AJ310" i="32"/>
  <c r="AJ309" i="32"/>
  <c r="AJ308" i="32"/>
  <c r="AJ307" i="32"/>
  <c r="AJ306" i="32"/>
  <c r="AJ305" i="32"/>
  <c r="AJ304" i="32"/>
  <c r="AJ303" i="32"/>
  <c r="AJ302" i="32"/>
  <c r="AJ301" i="32"/>
  <c r="AJ300" i="32"/>
  <c r="AJ299" i="32"/>
  <c r="AJ298" i="32"/>
  <c r="AJ297" i="32"/>
  <c r="AJ296" i="32"/>
  <c r="AJ295" i="32"/>
  <c r="AJ294" i="32"/>
  <c r="AJ293" i="32"/>
  <c r="AJ292" i="32"/>
  <c r="AJ291" i="32"/>
  <c r="AJ290" i="32"/>
  <c r="AJ289" i="32"/>
  <c r="AJ288" i="32"/>
  <c r="AJ287" i="32"/>
  <c r="AJ286" i="32"/>
  <c r="AJ285" i="32"/>
  <c r="AJ284" i="32"/>
  <c r="AJ283" i="32"/>
  <c r="AJ282" i="32"/>
  <c r="AJ281" i="32"/>
  <c r="AJ280" i="32"/>
  <c r="AJ279" i="32"/>
  <c r="AJ278" i="32"/>
  <c r="AJ277" i="32"/>
  <c r="AJ276" i="32"/>
  <c r="AJ275" i="32"/>
  <c r="AJ274" i="32"/>
  <c r="AJ273" i="32"/>
  <c r="AJ272" i="32"/>
  <c r="AJ271" i="32"/>
  <c r="AJ270" i="32"/>
  <c r="AJ269" i="32"/>
  <c r="AJ268" i="32"/>
  <c r="AJ267" i="32"/>
  <c r="AJ266" i="32"/>
  <c r="AJ265" i="32"/>
  <c r="AJ264" i="32"/>
  <c r="AJ263" i="32"/>
  <c r="AJ262" i="32"/>
  <c r="AJ261" i="32"/>
  <c r="AJ260" i="32"/>
  <c r="AJ259" i="32"/>
  <c r="AJ258" i="32"/>
  <c r="AJ257" i="32"/>
  <c r="AJ256" i="32"/>
  <c r="AJ255" i="32"/>
  <c r="AJ254" i="32"/>
  <c r="AJ253" i="32"/>
  <c r="AJ252" i="32"/>
  <c r="AJ251" i="32"/>
  <c r="AJ250" i="32"/>
  <c r="AJ249" i="32"/>
  <c r="AJ248" i="32"/>
  <c r="AJ247" i="32"/>
  <c r="AJ246" i="32"/>
  <c r="AJ245" i="32"/>
  <c r="AJ244" i="32"/>
  <c r="AJ243" i="32"/>
  <c r="AJ242" i="32"/>
  <c r="AJ241" i="32"/>
  <c r="AJ240" i="32"/>
  <c r="AJ239" i="32"/>
  <c r="AJ238" i="32"/>
  <c r="AJ237" i="32"/>
  <c r="AJ236" i="32"/>
  <c r="AJ235" i="32"/>
  <c r="AJ234" i="32"/>
  <c r="AJ233" i="32"/>
  <c r="AJ232" i="32"/>
  <c r="AJ231" i="32"/>
  <c r="AJ230" i="32"/>
  <c r="AJ229" i="32"/>
  <c r="AJ228" i="32"/>
  <c r="AJ227" i="32"/>
  <c r="AJ226" i="32"/>
  <c r="AJ225" i="32"/>
  <c r="AJ224" i="32"/>
  <c r="AJ223" i="32"/>
  <c r="AJ222" i="32"/>
  <c r="AJ221" i="32"/>
  <c r="AJ220" i="32"/>
  <c r="AJ219" i="32"/>
  <c r="AJ218" i="32"/>
  <c r="AJ217" i="32"/>
  <c r="AJ216" i="32"/>
  <c r="AJ215" i="32"/>
  <c r="AJ214" i="32"/>
  <c r="AJ213" i="32"/>
  <c r="AJ212" i="32"/>
  <c r="AJ211" i="32"/>
  <c r="AJ210" i="32"/>
  <c r="AJ209" i="32"/>
  <c r="AJ208" i="32"/>
  <c r="AJ207" i="32"/>
  <c r="AJ206" i="32"/>
  <c r="AJ205" i="32"/>
  <c r="AJ204" i="32"/>
  <c r="AJ203" i="32"/>
  <c r="AJ202" i="32"/>
  <c r="AJ201" i="32"/>
  <c r="AJ200" i="32"/>
  <c r="AJ199" i="32"/>
  <c r="AJ198" i="32"/>
  <c r="AJ197" i="32"/>
  <c r="AJ196" i="32"/>
  <c r="AJ195" i="32"/>
  <c r="AJ194" i="32"/>
  <c r="AJ193" i="32"/>
  <c r="AJ192" i="32"/>
  <c r="AJ191" i="32"/>
  <c r="AJ190" i="32"/>
  <c r="AJ189" i="32"/>
  <c r="AJ188" i="32"/>
  <c r="AJ187" i="32"/>
  <c r="AJ186" i="32"/>
  <c r="AJ185" i="32"/>
  <c r="AJ184" i="32"/>
  <c r="AJ183" i="32"/>
  <c r="AJ182" i="32"/>
  <c r="AJ181" i="32"/>
  <c r="AJ180" i="32"/>
  <c r="AJ179" i="32"/>
  <c r="AJ178" i="32"/>
  <c r="AJ177" i="32"/>
  <c r="AJ176" i="32"/>
  <c r="AJ175" i="32"/>
  <c r="AJ174" i="32"/>
  <c r="AJ173" i="32"/>
  <c r="AJ172" i="32"/>
  <c r="AJ171" i="32"/>
  <c r="AJ170" i="32"/>
  <c r="AJ169" i="32"/>
  <c r="AJ168" i="32"/>
  <c r="AJ167" i="32"/>
  <c r="AJ166" i="32"/>
  <c r="AJ165" i="32"/>
  <c r="AJ164" i="32"/>
  <c r="AJ163" i="32"/>
  <c r="AJ162" i="32"/>
  <c r="AJ161" i="32"/>
  <c r="AJ160" i="32"/>
  <c r="AJ159" i="32"/>
  <c r="AJ158" i="32"/>
  <c r="AJ157" i="32"/>
  <c r="AJ156" i="32"/>
  <c r="AJ155" i="32"/>
  <c r="AJ154" i="32"/>
  <c r="AJ153" i="32"/>
  <c r="AJ152" i="32"/>
  <c r="AJ151" i="32"/>
  <c r="AJ150" i="32"/>
  <c r="AJ149" i="32"/>
  <c r="AJ148" i="32"/>
  <c r="AJ147" i="32"/>
  <c r="AJ146" i="32"/>
  <c r="AJ145" i="32"/>
  <c r="AJ144" i="32"/>
  <c r="AJ143" i="32"/>
  <c r="AJ142" i="32"/>
  <c r="AJ141" i="32"/>
  <c r="AJ140" i="32"/>
  <c r="AJ139" i="32"/>
  <c r="AJ138" i="32"/>
  <c r="AJ137" i="32"/>
  <c r="AJ136" i="32"/>
  <c r="AJ135" i="32"/>
  <c r="AJ134" i="32"/>
  <c r="AJ133" i="32"/>
  <c r="AJ132" i="32"/>
  <c r="AJ131" i="32"/>
  <c r="AJ130" i="32"/>
  <c r="AJ129" i="32"/>
  <c r="AJ128" i="32"/>
  <c r="AJ127" i="32"/>
  <c r="AJ126" i="32"/>
  <c r="AJ125" i="32"/>
  <c r="AJ124" i="32"/>
  <c r="AJ123" i="32"/>
  <c r="AJ122" i="32"/>
  <c r="AJ121" i="32"/>
  <c r="AJ120" i="32"/>
  <c r="AJ119" i="32"/>
  <c r="AJ118" i="32"/>
  <c r="AJ117" i="32"/>
  <c r="AJ116" i="32"/>
  <c r="AJ115" i="32"/>
  <c r="AJ114" i="32"/>
  <c r="AJ113" i="32"/>
  <c r="AJ112" i="32"/>
  <c r="AJ111" i="32"/>
  <c r="AJ110" i="32"/>
  <c r="AJ109" i="32"/>
  <c r="AJ108" i="32"/>
  <c r="AJ107" i="32"/>
  <c r="AJ106" i="32"/>
  <c r="AJ105" i="32"/>
  <c r="AJ104" i="32"/>
  <c r="AJ103" i="32"/>
  <c r="AJ102" i="32"/>
  <c r="AJ101" i="32"/>
  <c r="AJ100" i="32"/>
  <c r="AJ99" i="32"/>
  <c r="AJ98" i="32"/>
  <c r="AJ97" i="32"/>
  <c r="AJ96" i="32"/>
  <c r="AJ95" i="32"/>
  <c r="AJ94" i="32"/>
  <c r="AJ93" i="32"/>
  <c r="AJ92" i="32"/>
  <c r="AJ91" i="32"/>
  <c r="AJ90" i="32"/>
  <c r="AJ89" i="32"/>
  <c r="AJ88" i="32"/>
  <c r="AJ87" i="32"/>
  <c r="AJ86" i="32"/>
  <c r="AJ85" i="32"/>
  <c r="AJ84" i="32"/>
  <c r="AJ83" i="32"/>
  <c r="AJ82" i="32"/>
  <c r="AJ81" i="32"/>
  <c r="AJ80" i="32"/>
  <c r="AJ79" i="32"/>
  <c r="AJ78" i="32"/>
  <c r="AJ77" i="32"/>
  <c r="AJ76" i="32"/>
  <c r="AJ75" i="32"/>
  <c r="AJ74" i="32"/>
  <c r="AJ73" i="32"/>
  <c r="AJ72" i="32"/>
  <c r="AJ71" i="32"/>
  <c r="AJ70" i="32"/>
  <c r="AJ69" i="32"/>
  <c r="AJ68" i="32"/>
  <c r="AJ67" i="32"/>
  <c r="AJ66" i="32"/>
  <c r="AJ65" i="32"/>
  <c r="AJ64" i="32"/>
  <c r="AJ63" i="32"/>
  <c r="AJ62" i="32"/>
  <c r="AJ61" i="32"/>
  <c r="AJ60" i="32"/>
  <c r="AJ59" i="32"/>
  <c r="AJ58" i="32"/>
  <c r="AJ57" i="32"/>
  <c r="AJ56" i="32"/>
  <c r="AJ55" i="32"/>
  <c r="AJ54" i="32"/>
  <c r="AJ53" i="32"/>
  <c r="AJ52" i="32"/>
  <c r="AJ51" i="32"/>
  <c r="AJ50" i="32"/>
  <c r="AJ49" i="32"/>
  <c r="AJ48" i="32"/>
  <c r="AJ47" i="32"/>
  <c r="AJ46" i="32"/>
  <c r="AJ45" i="32"/>
  <c r="AJ44" i="32"/>
  <c r="AJ43" i="32"/>
  <c r="AJ42" i="32"/>
  <c r="AJ41" i="32"/>
  <c r="AJ40" i="32"/>
  <c r="AJ39" i="32"/>
  <c r="AJ38" i="32"/>
  <c r="AJ37" i="32"/>
  <c r="AJ36" i="32"/>
  <c r="AJ35" i="32"/>
  <c r="AJ34" i="32"/>
  <c r="AJ33" i="32"/>
  <c r="AJ32" i="32"/>
  <c r="AJ31" i="32"/>
  <c r="AJ30" i="32"/>
  <c r="AJ29" i="32"/>
  <c r="AJ28" i="32"/>
  <c r="AJ27" i="32"/>
  <c r="AJ26" i="32"/>
  <c r="AJ25" i="32"/>
  <c r="AJ24" i="32"/>
  <c r="AJ23" i="32"/>
  <c r="AJ22" i="32"/>
  <c r="AJ21" i="32"/>
  <c r="AJ20" i="32"/>
  <c r="AJ19" i="32"/>
  <c r="AJ18" i="32"/>
  <c r="AJ17" i="32"/>
  <c r="AJ16" i="32"/>
  <c r="AJ15" i="32"/>
  <c r="AJ14" i="32"/>
  <c r="AJ13" i="32"/>
  <c r="AJ12" i="32"/>
  <c r="AJ11" i="32"/>
  <c r="AJ10" i="32"/>
  <c r="AJ9" i="32"/>
  <c r="AJ8" i="32"/>
  <c r="AJ7" i="32"/>
  <c r="Z334" i="32"/>
  <c r="Z333" i="32"/>
  <c r="Z332" i="32"/>
  <c r="Z331" i="32"/>
  <c r="Z330" i="32"/>
  <c r="Z329" i="32"/>
  <c r="Z328" i="32"/>
  <c r="Z327" i="32"/>
  <c r="Z326" i="32"/>
  <c r="Z325" i="32"/>
  <c r="Z324" i="32"/>
  <c r="Z323" i="32"/>
  <c r="Z322" i="32"/>
  <c r="Z321" i="32"/>
  <c r="Z320" i="32"/>
  <c r="Z319" i="32"/>
  <c r="Z318" i="32"/>
  <c r="Z317" i="32"/>
  <c r="Z316" i="32"/>
  <c r="Z315" i="32"/>
  <c r="Z314" i="32"/>
  <c r="Z313" i="32"/>
  <c r="Z312" i="32"/>
  <c r="Z311" i="32"/>
  <c r="Z310" i="32"/>
  <c r="Z309" i="32"/>
  <c r="Z308" i="32"/>
  <c r="Z307" i="32"/>
  <c r="Z306" i="32"/>
  <c r="Z305" i="32"/>
  <c r="Z304" i="32"/>
  <c r="Z303" i="32"/>
  <c r="Z302" i="32"/>
  <c r="Z301" i="32"/>
  <c r="Z300" i="32"/>
  <c r="Z299" i="32"/>
  <c r="Z298" i="32"/>
  <c r="Z297" i="32"/>
  <c r="Z296" i="32"/>
  <c r="Z295" i="32"/>
  <c r="Z294" i="32"/>
  <c r="Z293" i="32"/>
  <c r="Z292" i="32"/>
  <c r="Z291" i="32"/>
  <c r="Z290" i="32"/>
  <c r="Z289" i="32"/>
  <c r="Z288" i="32"/>
  <c r="Z287" i="32"/>
  <c r="Z286" i="32"/>
  <c r="Z285" i="32"/>
  <c r="Z284" i="32"/>
  <c r="Z283" i="32"/>
  <c r="Z282" i="32"/>
  <c r="Z281" i="32"/>
  <c r="Z280" i="32"/>
  <c r="Z279" i="32"/>
  <c r="Z278" i="32"/>
  <c r="Z277" i="32"/>
  <c r="Z276" i="32"/>
  <c r="Z275" i="32"/>
  <c r="Z274" i="32"/>
  <c r="Z273" i="32"/>
  <c r="Z272" i="32"/>
  <c r="Z271" i="32"/>
  <c r="Z270" i="32"/>
  <c r="Z269" i="32"/>
  <c r="Z268" i="32"/>
  <c r="Z267" i="32"/>
  <c r="Z266" i="32"/>
  <c r="Z265" i="32"/>
  <c r="Z264" i="32"/>
  <c r="Z263" i="32"/>
  <c r="Z262" i="32"/>
  <c r="Z261" i="32"/>
  <c r="Z260" i="32"/>
  <c r="Z259" i="32"/>
  <c r="Z258" i="32"/>
  <c r="Z257" i="32"/>
  <c r="Z256" i="32"/>
  <c r="Z255" i="32"/>
  <c r="Z254" i="32"/>
  <c r="Z253" i="32"/>
  <c r="Z252" i="32"/>
  <c r="Z251" i="32"/>
  <c r="Z250" i="32"/>
  <c r="Z249" i="32"/>
  <c r="Z248" i="32"/>
  <c r="Z247" i="32"/>
  <c r="Z246" i="32"/>
  <c r="Z245" i="32"/>
  <c r="Z244" i="32"/>
  <c r="Z243" i="32"/>
  <c r="Z242" i="32"/>
  <c r="Z241" i="32"/>
  <c r="Z240" i="32"/>
  <c r="Z239" i="32"/>
  <c r="Z238" i="32"/>
  <c r="Z237" i="32"/>
  <c r="Z236" i="32"/>
  <c r="Z235" i="32"/>
  <c r="Z234" i="32"/>
  <c r="Z233" i="32"/>
  <c r="Z232" i="32"/>
  <c r="Z231" i="32"/>
  <c r="Z230" i="32"/>
  <c r="Z229" i="32"/>
  <c r="Z228" i="32"/>
  <c r="Z227" i="32"/>
  <c r="Z226" i="32"/>
  <c r="Z225" i="32"/>
  <c r="Z224" i="32"/>
  <c r="Z223" i="32"/>
  <c r="Z222" i="32"/>
  <c r="Z221" i="32"/>
  <c r="Z220" i="32"/>
  <c r="Z219" i="32"/>
  <c r="Z218" i="32"/>
  <c r="Z217" i="32"/>
  <c r="Z216" i="32"/>
  <c r="Z215" i="32"/>
  <c r="Z214" i="32"/>
  <c r="Z213" i="32"/>
  <c r="Z212" i="32"/>
  <c r="Z211" i="32"/>
  <c r="Z210" i="32"/>
  <c r="Z209" i="32"/>
  <c r="Z208" i="32"/>
  <c r="Z207" i="32"/>
  <c r="Z206" i="32"/>
  <c r="Z205" i="32"/>
  <c r="Z204" i="32"/>
  <c r="Z203" i="32"/>
  <c r="Z202" i="32"/>
  <c r="Z201" i="32"/>
  <c r="Z200" i="32"/>
  <c r="Z199" i="32"/>
  <c r="Z198" i="32"/>
  <c r="Z197" i="32"/>
  <c r="Z196" i="32"/>
  <c r="Z195" i="32"/>
  <c r="Z194" i="32"/>
  <c r="Z193" i="32"/>
  <c r="Z192" i="32"/>
  <c r="Z191" i="32"/>
  <c r="Z190" i="32"/>
  <c r="Z189" i="32"/>
  <c r="Z188" i="32"/>
  <c r="Z187" i="32"/>
  <c r="Z186" i="32"/>
  <c r="Z185" i="32"/>
  <c r="Z184" i="32"/>
  <c r="Z183" i="32"/>
  <c r="Z182" i="32"/>
  <c r="Z181" i="32"/>
  <c r="Z180" i="32"/>
  <c r="Z179" i="32"/>
  <c r="Z178" i="32"/>
  <c r="Z177" i="32"/>
  <c r="Z176" i="32"/>
  <c r="Z175" i="32"/>
  <c r="Z174" i="32"/>
  <c r="Z173" i="32"/>
  <c r="Z172" i="32"/>
  <c r="Z171" i="32"/>
  <c r="Z170" i="32"/>
  <c r="Z169" i="32"/>
  <c r="Z168" i="32"/>
  <c r="Z167" i="32"/>
  <c r="Z166" i="32"/>
  <c r="Z165" i="32"/>
  <c r="Z164" i="32"/>
  <c r="Z163" i="32"/>
  <c r="Z162" i="32"/>
  <c r="Z161" i="32"/>
  <c r="Z160" i="32"/>
  <c r="Z159" i="32"/>
  <c r="Z158" i="32"/>
  <c r="Z157" i="32"/>
  <c r="Z156" i="32"/>
  <c r="Z155" i="32"/>
  <c r="Z154" i="32"/>
  <c r="Z153" i="32"/>
  <c r="Z152" i="32"/>
  <c r="Z151" i="32"/>
  <c r="Z150" i="32"/>
  <c r="Z149" i="32"/>
  <c r="Z148" i="32"/>
  <c r="Z147" i="32"/>
  <c r="Z146" i="32"/>
  <c r="Z145" i="32"/>
  <c r="Z144" i="32"/>
  <c r="Z143" i="32"/>
  <c r="Z142" i="32"/>
  <c r="Z141" i="32"/>
  <c r="Z140" i="32"/>
  <c r="Z139" i="32"/>
  <c r="Z138" i="32"/>
  <c r="Z137" i="32"/>
  <c r="Z136" i="32"/>
  <c r="Z135" i="32"/>
  <c r="Z134" i="32"/>
  <c r="Z133" i="32"/>
  <c r="Z132" i="32"/>
  <c r="Z131" i="32"/>
  <c r="Z130" i="32"/>
  <c r="Z129" i="32"/>
  <c r="Z128" i="32"/>
  <c r="Z127" i="32"/>
  <c r="Z126" i="32"/>
  <c r="Z125" i="32"/>
  <c r="Z124" i="32"/>
  <c r="Z123" i="32"/>
  <c r="Z122" i="32"/>
  <c r="Z121" i="32"/>
  <c r="Z120" i="32"/>
  <c r="Z119" i="32"/>
  <c r="Z118" i="32"/>
  <c r="Z117" i="32"/>
  <c r="Z116" i="32"/>
  <c r="Z115" i="32"/>
  <c r="Z114" i="32"/>
  <c r="Z113" i="32"/>
  <c r="Z112" i="32"/>
  <c r="Z111" i="32"/>
  <c r="Z110" i="32"/>
  <c r="Z109" i="32"/>
  <c r="Z108" i="32"/>
  <c r="Z107" i="32"/>
  <c r="Z106" i="32"/>
  <c r="Z105" i="32"/>
  <c r="Z104" i="32"/>
  <c r="Z103" i="32"/>
  <c r="Z102" i="32"/>
  <c r="Z101" i="32"/>
  <c r="Z100" i="32"/>
  <c r="Z99" i="32"/>
  <c r="Z98" i="32"/>
  <c r="Z97" i="32"/>
  <c r="Z96" i="32"/>
  <c r="Z95" i="32"/>
  <c r="Z94" i="32"/>
  <c r="Z93" i="32"/>
  <c r="Z92" i="32"/>
  <c r="Z91" i="32"/>
  <c r="Z90" i="32"/>
  <c r="Z89" i="32"/>
  <c r="Z88" i="32"/>
  <c r="Z87" i="32"/>
  <c r="Z86" i="32"/>
  <c r="Z85" i="32"/>
  <c r="Z84" i="32"/>
  <c r="Z83" i="32"/>
  <c r="Z82" i="32"/>
  <c r="Z81" i="32"/>
  <c r="Z80" i="32"/>
  <c r="Z79" i="32"/>
  <c r="Z78" i="32"/>
  <c r="Z77" i="32"/>
  <c r="Z76" i="32"/>
  <c r="Z75" i="32"/>
  <c r="Z74" i="32"/>
  <c r="Z73" i="32"/>
  <c r="Z72" i="32"/>
  <c r="Z71" i="32"/>
  <c r="Z70" i="32"/>
  <c r="Z69" i="32"/>
  <c r="Z68" i="32"/>
  <c r="Z67" i="32"/>
  <c r="Z66" i="32"/>
  <c r="Z65" i="32"/>
  <c r="Z64" i="32"/>
  <c r="Z63" i="32"/>
  <c r="Z62" i="32"/>
  <c r="Z61" i="32"/>
  <c r="Z60" i="32"/>
  <c r="Z59" i="32"/>
  <c r="Z58" i="32"/>
  <c r="Z57" i="32"/>
  <c r="Z56" i="32"/>
  <c r="Z55" i="32"/>
  <c r="Z54" i="32"/>
  <c r="Z53" i="32"/>
  <c r="Z52" i="32"/>
  <c r="Z51" i="32"/>
  <c r="Z50" i="32"/>
  <c r="Z49" i="32"/>
  <c r="Z48" i="32"/>
  <c r="Z47" i="32"/>
  <c r="Z46" i="32"/>
  <c r="Z45" i="32"/>
  <c r="Z44" i="32"/>
  <c r="Z43" i="32"/>
  <c r="Z42" i="32"/>
  <c r="Z41" i="32"/>
  <c r="Z40" i="32"/>
  <c r="Z39" i="32"/>
  <c r="Z38" i="32"/>
  <c r="Z37" i="32"/>
  <c r="Z36" i="32"/>
  <c r="Z35" i="32"/>
  <c r="Z34" i="32"/>
  <c r="Z33" i="32"/>
  <c r="Z32" i="32"/>
  <c r="Z31" i="32"/>
  <c r="Z30" i="32"/>
  <c r="Z29" i="32"/>
  <c r="Z28" i="32"/>
  <c r="Z27" i="32"/>
  <c r="Z26" i="32"/>
  <c r="Z25" i="32"/>
  <c r="Z24" i="32"/>
  <c r="Z23" i="32"/>
  <c r="Z22" i="32"/>
  <c r="Z21" i="32"/>
  <c r="Z20" i="32"/>
  <c r="Z19" i="32"/>
  <c r="Z18" i="32"/>
  <c r="Z17" i="32"/>
  <c r="Z16" i="32"/>
  <c r="Z15" i="32"/>
  <c r="Z14" i="32"/>
  <c r="Z13" i="32"/>
  <c r="Z12" i="32"/>
  <c r="Z11" i="32"/>
  <c r="Z10" i="32"/>
  <c r="Z9" i="32"/>
  <c r="Z8" i="32"/>
  <c r="Z7" i="32"/>
  <c r="AQ311" i="32" l="1"/>
  <c r="AQ256" i="32"/>
  <c r="AT256" i="32"/>
  <c r="AQ252" i="32"/>
  <c r="AQ210" i="32"/>
  <c r="AU109" i="32"/>
  <c r="AU153" i="32"/>
  <c r="AU8" i="32"/>
  <c r="AU17" i="32"/>
  <c r="AU25" i="32"/>
  <c r="AU33" i="32"/>
  <c r="AU41" i="32"/>
  <c r="AU49" i="32"/>
  <c r="AU57" i="32"/>
  <c r="AU65" i="32"/>
  <c r="AU76" i="32"/>
  <c r="AU84" i="32"/>
  <c r="AU93" i="32"/>
  <c r="AU102" i="32"/>
  <c r="AU110" i="32"/>
  <c r="AU119" i="32"/>
  <c r="AU128" i="32"/>
  <c r="AU137" i="32"/>
  <c r="AU145" i="32"/>
  <c r="AU154" i="32"/>
  <c r="AU163" i="32"/>
  <c r="AU172" i="32"/>
  <c r="AU180" i="32"/>
  <c r="AU188" i="32"/>
  <c r="AU196" i="32"/>
  <c r="AU204" i="32"/>
  <c r="AU212" i="32"/>
  <c r="AU220" i="32"/>
  <c r="AU228" i="32"/>
  <c r="AU236" i="32"/>
  <c r="AU244" i="32"/>
  <c r="AU252" i="32"/>
  <c r="AU260" i="32"/>
  <c r="AU268" i="32"/>
  <c r="AU276" i="32"/>
  <c r="AU284" i="32"/>
  <c r="AU292" i="32"/>
  <c r="AU300" i="32"/>
  <c r="AU308" i="32"/>
  <c r="AU316" i="32"/>
  <c r="AU324" i="32"/>
  <c r="AU332" i="32"/>
  <c r="AU101" i="32"/>
  <c r="AU118" i="32"/>
  <c r="AU13" i="32"/>
  <c r="AU9" i="32"/>
  <c r="AU18" i="32"/>
  <c r="AU26" i="32"/>
  <c r="AU34" i="32"/>
  <c r="AU42" i="32"/>
  <c r="AU50" i="32"/>
  <c r="AU58" i="32"/>
  <c r="AU66" i="32"/>
  <c r="AU77" i="32"/>
  <c r="AU85" i="32"/>
  <c r="AU94" i="32"/>
  <c r="AU103" i="32"/>
  <c r="AU111" i="32"/>
  <c r="AU120" i="32"/>
  <c r="AU130" i="32"/>
  <c r="AU138" i="32"/>
  <c r="AU146" i="32"/>
  <c r="AU156" i="32"/>
  <c r="AU164" i="32"/>
  <c r="AU173" i="32"/>
  <c r="AU181" i="32"/>
  <c r="AU189" i="32"/>
  <c r="AU197" i="32"/>
  <c r="AU205" i="32"/>
  <c r="AU213" i="32"/>
  <c r="AU221" i="32"/>
  <c r="AU229" i="32"/>
  <c r="AU237" i="32"/>
  <c r="AU245" i="32"/>
  <c r="AU253" i="32"/>
  <c r="AU261" i="32"/>
  <c r="AU269" i="32"/>
  <c r="AU277" i="32"/>
  <c r="AU285" i="32"/>
  <c r="AU293" i="32"/>
  <c r="AU301" i="32"/>
  <c r="AU309" i="32"/>
  <c r="AU317" i="32"/>
  <c r="AU325" i="32"/>
  <c r="AU333" i="32"/>
  <c r="AU121" i="32"/>
  <c r="AU157" i="32"/>
  <c r="AU182" i="32"/>
  <c r="AU198" i="32"/>
  <c r="AU214" i="32"/>
  <c r="AU238" i="32"/>
  <c r="AU262" i="32"/>
  <c r="AU278" i="32"/>
  <c r="AU294" i="32"/>
  <c r="AU318" i="32"/>
  <c r="AU334" i="32"/>
  <c r="AU11" i="32"/>
  <c r="AU20" i="32"/>
  <c r="AU28" i="32"/>
  <c r="AU36" i="32"/>
  <c r="AU44" i="32"/>
  <c r="AU52" i="32"/>
  <c r="AU60" i="32"/>
  <c r="AU68" i="32"/>
  <c r="AU79" i="32"/>
  <c r="AU87" i="32"/>
  <c r="AU96" i="32"/>
  <c r="AU105" i="32"/>
  <c r="AU113" i="32"/>
  <c r="AU122" i="32"/>
  <c r="AU132" i="32"/>
  <c r="AU140" i="32"/>
  <c r="AU148" i="32"/>
  <c r="AU158" i="32"/>
  <c r="AU166" i="32"/>
  <c r="AU175" i="32"/>
  <c r="AU183" i="32"/>
  <c r="AU191" i="32"/>
  <c r="AU199" i="32"/>
  <c r="AU207" i="32"/>
  <c r="AU215" i="32"/>
  <c r="AU223" i="32"/>
  <c r="AU231" i="32"/>
  <c r="AU239" i="32"/>
  <c r="AU247" i="32"/>
  <c r="AU255" i="32"/>
  <c r="AU263" i="32"/>
  <c r="AU271" i="32"/>
  <c r="AU279" i="32"/>
  <c r="AU287" i="32"/>
  <c r="AU295" i="32"/>
  <c r="AU303" i="32"/>
  <c r="AU311" i="32"/>
  <c r="AU319" i="32"/>
  <c r="AU327" i="32"/>
  <c r="AU78" i="32"/>
  <c r="AU165" i="32"/>
  <c r="AU190" i="32"/>
  <c r="AU222" i="32"/>
  <c r="AU254" i="32"/>
  <c r="AU286" i="32"/>
  <c r="AU310" i="32"/>
  <c r="AU12" i="32"/>
  <c r="AU21" i="32"/>
  <c r="AU29" i="32"/>
  <c r="AU37" i="32"/>
  <c r="AU45" i="32"/>
  <c r="AU53" i="32"/>
  <c r="AU61" i="32"/>
  <c r="AU70" i="32"/>
  <c r="AU80" i="32"/>
  <c r="AU88" i="32"/>
  <c r="AU97" i="32"/>
  <c r="AU106" i="32"/>
  <c r="AU115" i="32"/>
  <c r="AU124" i="32"/>
  <c r="AU133" i="32"/>
  <c r="AU141" i="32"/>
  <c r="AU149" i="32"/>
  <c r="AU159" i="32"/>
  <c r="AU167" i="32"/>
  <c r="AU176" i="32"/>
  <c r="AU184" i="32"/>
  <c r="AU192" i="32"/>
  <c r="AU200" i="32"/>
  <c r="AU208" i="32"/>
  <c r="AU216" i="32"/>
  <c r="AU224" i="32"/>
  <c r="AU232" i="32"/>
  <c r="AU240" i="32"/>
  <c r="AU248" i="32"/>
  <c r="AU256" i="32"/>
  <c r="AU264" i="32"/>
  <c r="AU272" i="32"/>
  <c r="AU280" i="32"/>
  <c r="AU288" i="32"/>
  <c r="AU296" i="32"/>
  <c r="AU304" i="32"/>
  <c r="AU312" i="32"/>
  <c r="AU320" i="32"/>
  <c r="AU328" i="32"/>
  <c r="AU117" i="32"/>
  <c r="AU86" i="32"/>
  <c r="AU174" i="32"/>
  <c r="AU206" i="32"/>
  <c r="AU230" i="32"/>
  <c r="AU246" i="32"/>
  <c r="AU270" i="32"/>
  <c r="AU302" i="32"/>
  <c r="AU326" i="32"/>
  <c r="AU14" i="32"/>
  <c r="AU22" i="32"/>
  <c r="AU30" i="32"/>
  <c r="AU38" i="32"/>
  <c r="AU46" i="32"/>
  <c r="AU54" i="32"/>
  <c r="AU62" i="32"/>
  <c r="AU73" i="32"/>
  <c r="AU81" i="32"/>
  <c r="AU89" i="32"/>
  <c r="AU98" i="32"/>
  <c r="AU107" i="32"/>
  <c r="AU116" i="32"/>
  <c r="AU125" i="32"/>
  <c r="AU134" i="32"/>
  <c r="AU142" i="32"/>
  <c r="AU150" i="32"/>
  <c r="AU160" i="32"/>
  <c r="AU168" i="32"/>
  <c r="AU177" i="32"/>
  <c r="AU185" i="32"/>
  <c r="AU193" i="32"/>
  <c r="AU201" i="32"/>
  <c r="AU209" i="32"/>
  <c r="AU217" i="32"/>
  <c r="AU225" i="32"/>
  <c r="AU233" i="32"/>
  <c r="AU241" i="32"/>
  <c r="AU249" i="32"/>
  <c r="AU257" i="32"/>
  <c r="AU265" i="32"/>
  <c r="AU273" i="32"/>
  <c r="AU281" i="32"/>
  <c r="AU289" i="32"/>
  <c r="AU297" i="32"/>
  <c r="AU305" i="32"/>
  <c r="AU313" i="32"/>
  <c r="AU321" i="32"/>
  <c r="AU329" i="32"/>
  <c r="AT92" i="32"/>
  <c r="AU92" i="32" s="1"/>
  <c r="AT71" i="32"/>
  <c r="AU71" i="32" s="1"/>
  <c r="AT72" i="32"/>
  <c r="AU72" i="32" s="1"/>
  <c r="AT69" i="32"/>
  <c r="AU69" i="32" s="1"/>
  <c r="AT99" i="32"/>
  <c r="AU99" i="32" s="1"/>
  <c r="AT114" i="32"/>
  <c r="AU114" i="32" s="1"/>
  <c r="AT123" i="32"/>
  <c r="AU123" i="32" s="1"/>
  <c r="AT151" i="32"/>
  <c r="AU151" i="32" s="1"/>
  <c r="AT155" i="32"/>
  <c r="AU155" i="32" s="1"/>
  <c r="AT169" i="32"/>
  <c r="AU169" i="32" s="1"/>
  <c r="N18" i="24" l="1"/>
  <c r="I334" i="32"/>
  <c r="I333" i="32"/>
  <c r="I332" i="32"/>
  <c r="I331" i="32"/>
  <c r="I330" i="32"/>
  <c r="I329" i="32"/>
  <c r="I328" i="32"/>
  <c r="I327" i="32"/>
  <c r="I326" i="32"/>
  <c r="I325" i="32"/>
  <c r="I324" i="32"/>
  <c r="I323" i="32"/>
  <c r="I322" i="32"/>
  <c r="I321" i="32"/>
  <c r="I320" i="32"/>
  <c r="I319" i="32"/>
  <c r="I318" i="32"/>
  <c r="I317" i="32"/>
  <c r="I316" i="32"/>
  <c r="I315" i="32"/>
  <c r="I314" i="32"/>
  <c r="I313" i="32"/>
  <c r="I312" i="32"/>
  <c r="I311" i="32"/>
  <c r="I310" i="32"/>
  <c r="I309" i="32"/>
  <c r="I308" i="32"/>
  <c r="I307" i="32"/>
  <c r="I306" i="32"/>
  <c r="I305" i="32"/>
  <c r="I304" i="32"/>
  <c r="I303" i="32"/>
  <c r="I302" i="32"/>
  <c r="I301" i="32"/>
  <c r="I300" i="32"/>
  <c r="I299" i="32"/>
  <c r="I298" i="32"/>
  <c r="I297" i="32"/>
  <c r="I296" i="32"/>
  <c r="I295" i="32"/>
  <c r="I294" i="32"/>
  <c r="I293" i="32"/>
  <c r="I292" i="32"/>
  <c r="I291" i="32"/>
  <c r="I290" i="32"/>
  <c r="I289" i="32"/>
  <c r="I288" i="32"/>
  <c r="I287" i="32"/>
  <c r="I286" i="32"/>
  <c r="I285" i="32"/>
  <c r="I284" i="32"/>
  <c r="I283" i="32"/>
  <c r="I282" i="32"/>
  <c r="I281" i="32"/>
  <c r="I280" i="32"/>
  <c r="I279" i="32"/>
  <c r="I278" i="32"/>
  <c r="I277" i="32"/>
  <c r="I276" i="32"/>
  <c r="I275" i="32"/>
  <c r="I274" i="32"/>
  <c r="I273" i="32"/>
  <c r="I272" i="32"/>
  <c r="I271" i="32"/>
  <c r="I270" i="32"/>
  <c r="I269" i="32"/>
  <c r="I268" i="32"/>
  <c r="I267" i="32"/>
  <c r="I266" i="32"/>
  <c r="I265" i="32"/>
  <c r="I264" i="32"/>
  <c r="I263" i="32"/>
  <c r="I262" i="32"/>
  <c r="I261" i="32"/>
  <c r="I260" i="32"/>
  <c r="I259" i="32"/>
  <c r="I258" i="32"/>
  <c r="I257" i="32"/>
  <c r="I256" i="32"/>
  <c r="I255" i="32"/>
  <c r="I254" i="32"/>
  <c r="I253" i="32"/>
  <c r="I252" i="32"/>
  <c r="I251" i="32"/>
  <c r="I250" i="32"/>
  <c r="I249" i="32"/>
  <c r="I248" i="32"/>
  <c r="I247" i="32"/>
  <c r="I246" i="32"/>
  <c r="I245" i="32"/>
  <c r="I244" i="32"/>
  <c r="I243" i="32"/>
  <c r="I242" i="32"/>
  <c r="I241" i="32"/>
  <c r="I240" i="32"/>
  <c r="I239" i="32"/>
  <c r="I238" i="32"/>
  <c r="I237" i="32"/>
  <c r="I236" i="32"/>
  <c r="I235" i="32"/>
  <c r="I234" i="32"/>
  <c r="I233" i="32"/>
  <c r="I232" i="32"/>
  <c r="I231" i="32"/>
  <c r="I230" i="32"/>
  <c r="I229" i="32"/>
  <c r="I228" i="32"/>
  <c r="I227" i="32"/>
  <c r="I226" i="32"/>
  <c r="I225" i="32"/>
  <c r="I224" i="32"/>
  <c r="I223" i="32"/>
  <c r="I222" i="32"/>
  <c r="I221" i="32"/>
  <c r="I220" i="32"/>
  <c r="I219" i="32"/>
  <c r="I218" i="32"/>
  <c r="I217" i="32"/>
  <c r="I216" i="32"/>
  <c r="I215" i="32"/>
  <c r="I214" i="32"/>
  <c r="I213" i="32"/>
  <c r="I212" i="32"/>
  <c r="I211" i="32"/>
  <c r="I210" i="32"/>
  <c r="I209" i="32"/>
  <c r="I208" i="32"/>
  <c r="I207" i="32"/>
  <c r="I206" i="32"/>
  <c r="I205" i="32"/>
  <c r="I204" i="32"/>
  <c r="I203" i="32"/>
  <c r="I202" i="32"/>
  <c r="I201" i="32"/>
  <c r="I200" i="32"/>
  <c r="I199" i="32"/>
  <c r="I198" i="32"/>
  <c r="I197" i="32"/>
  <c r="I196" i="32"/>
  <c r="I195" i="32"/>
  <c r="I194" i="32"/>
  <c r="I193" i="32"/>
  <c r="I192" i="32"/>
  <c r="I191" i="32"/>
  <c r="I190" i="32"/>
  <c r="I189" i="32"/>
  <c r="I188" i="32"/>
  <c r="I187" i="32"/>
  <c r="I186" i="32"/>
  <c r="I185" i="32"/>
  <c r="I184" i="32"/>
  <c r="I183" i="32"/>
  <c r="I182" i="32"/>
  <c r="I181" i="32"/>
  <c r="I180" i="32"/>
  <c r="I179" i="32"/>
  <c r="I178" i="32"/>
  <c r="I177" i="32"/>
  <c r="I176" i="32"/>
  <c r="I175" i="32"/>
  <c r="I174" i="32"/>
  <c r="I173" i="32"/>
  <c r="I172" i="32"/>
  <c r="I171" i="32"/>
  <c r="I170" i="32"/>
  <c r="I169" i="32"/>
  <c r="I168" i="32"/>
  <c r="I167" i="32"/>
  <c r="I166" i="32"/>
  <c r="I165" i="32"/>
  <c r="I164" i="32"/>
  <c r="I163" i="32"/>
  <c r="I162" i="32"/>
  <c r="I161" i="32"/>
  <c r="I160" i="32"/>
  <c r="I159" i="32"/>
  <c r="I158" i="32"/>
  <c r="I157" i="32"/>
  <c r="I156" i="32"/>
  <c r="I155" i="32"/>
  <c r="I154" i="32"/>
  <c r="I153" i="32"/>
  <c r="I152" i="32"/>
  <c r="I151" i="32"/>
  <c r="I150" i="32"/>
  <c r="I149" i="32"/>
  <c r="I148" i="32"/>
  <c r="I147" i="32"/>
  <c r="I146" i="32"/>
  <c r="I145" i="32"/>
  <c r="I144" i="32"/>
  <c r="I143" i="32"/>
  <c r="I142" i="32"/>
  <c r="I141" i="32"/>
  <c r="I140" i="32"/>
  <c r="I139" i="32"/>
  <c r="I138" i="32"/>
  <c r="I137" i="32"/>
  <c r="I136" i="32"/>
  <c r="I135" i="32"/>
  <c r="I134" i="32"/>
  <c r="I133" i="32"/>
  <c r="I132" i="32"/>
  <c r="I131" i="32"/>
  <c r="I130" i="32"/>
  <c r="I129" i="32"/>
  <c r="I128" i="32"/>
  <c r="I127" i="32"/>
  <c r="I126" i="32"/>
  <c r="I125" i="32"/>
  <c r="I124" i="32"/>
  <c r="I123" i="32"/>
  <c r="I122" i="32"/>
  <c r="I121" i="32"/>
  <c r="I120" i="32"/>
  <c r="I119" i="32"/>
  <c r="I118" i="32"/>
  <c r="I117" i="32"/>
  <c r="I116" i="32"/>
  <c r="I115" i="32"/>
  <c r="I114" i="32"/>
  <c r="I113" i="32"/>
  <c r="I112" i="32"/>
  <c r="I111" i="32"/>
  <c r="I110" i="32"/>
  <c r="I109" i="32"/>
  <c r="I108" i="32"/>
  <c r="I107" i="32"/>
  <c r="I106" i="32"/>
  <c r="I105" i="32"/>
  <c r="I104" i="32"/>
  <c r="I103" i="32"/>
  <c r="I102" i="32"/>
  <c r="I101" i="32"/>
  <c r="I100" i="32"/>
  <c r="I99" i="32"/>
  <c r="I98" i="32"/>
  <c r="I97" i="32"/>
  <c r="I96" i="32"/>
  <c r="I95" i="32"/>
  <c r="I94" i="32"/>
  <c r="I93" i="32"/>
  <c r="I92" i="32"/>
  <c r="I91" i="32"/>
  <c r="I90" i="32"/>
  <c r="I89" i="32"/>
  <c r="I88" i="32"/>
  <c r="I87" i="32"/>
  <c r="I86" i="32"/>
  <c r="I85" i="32"/>
  <c r="I84" i="32"/>
  <c r="I83" i="32"/>
  <c r="I82" i="32"/>
  <c r="I81" i="32"/>
  <c r="I80" i="32"/>
  <c r="I79" i="32"/>
  <c r="I78" i="32"/>
  <c r="I77" i="32"/>
  <c r="I76" i="32"/>
  <c r="I75" i="32"/>
  <c r="I74" i="32"/>
  <c r="I73" i="32"/>
  <c r="I72" i="32"/>
  <c r="I71" i="32"/>
  <c r="I70" i="32"/>
  <c r="I69" i="32"/>
  <c r="I68" i="32"/>
  <c r="I67" i="32"/>
  <c r="I66" i="32"/>
  <c r="I65" i="32"/>
  <c r="I64" i="32"/>
  <c r="I63" i="32"/>
  <c r="I62" i="32"/>
  <c r="I61" i="32"/>
  <c r="I60" i="32"/>
  <c r="I59" i="32"/>
  <c r="I58" i="32"/>
  <c r="I57" i="32"/>
  <c r="I56" i="32"/>
  <c r="I55" i="32"/>
  <c r="I54" i="32"/>
  <c r="I53" i="32"/>
  <c r="I52" i="32"/>
  <c r="I51" i="32"/>
  <c r="I50" i="32"/>
  <c r="I49" i="32"/>
  <c r="I48" i="32"/>
  <c r="I47" i="32"/>
  <c r="I46" i="32"/>
  <c r="I45" i="32"/>
  <c r="I44" i="32"/>
  <c r="I43" i="32"/>
  <c r="I42" i="32"/>
  <c r="I41" i="32"/>
  <c r="I40" i="32"/>
  <c r="I39" i="32"/>
  <c r="I38" i="32"/>
  <c r="I37" i="32"/>
  <c r="I36" i="32"/>
  <c r="I35" i="32"/>
  <c r="I34" i="32"/>
  <c r="I33" i="32"/>
  <c r="I32" i="32"/>
  <c r="I31" i="32"/>
  <c r="I30" i="32"/>
  <c r="I29" i="32"/>
  <c r="I28" i="32"/>
  <c r="I27" i="32"/>
  <c r="I26" i="32"/>
  <c r="I25" i="32"/>
  <c r="I24" i="32"/>
  <c r="I23" i="32"/>
  <c r="I22" i="32"/>
  <c r="I21" i="32"/>
  <c r="I20" i="32"/>
  <c r="I19" i="32"/>
  <c r="I18" i="32"/>
  <c r="I17" i="32"/>
  <c r="I16" i="32"/>
  <c r="I15" i="32"/>
  <c r="I14" i="32"/>
  <c r="I13" i="32"/>
  <c r="I12" i="32"/>
  <c r="I11" i="32"/>
  <c r="I10" i="32"/>
  <c r="I9" i="32"/>
  <c r="I8" i="32"/>
  <c r="I7" i="32"/>
  <c r="B1" i="24" l="1"/>
  <c r="C1" i="55" s="1"/>
  <c r="B5" i="55" s="1"/>
  <c r="C25" i="55" l="1"/>
  <c r="C17" i="55"/>
  <c r="C9" i="55"/>
  <c r="C6" i="55"/>
  <c r="C10" i="55"/>
  <c r="C24" i="55"/>
  <c r="C16" i="55"/>
  <c r="C8" i="55"/>
  <c r="C14" i="55"/>
  <c r="C23" i="55"/>
  <c r="C15" i="55"/>
  <c r="C7" i="55"/>
  <c r="C22" i="55"/>
  <c r="C11" i="55"/>
  <c r="C18" i="55"/>
  <c r="C21" i="55"/>
  <c r="C13" i="55"/>
  <c r="C20" i="55"/>
  <c r="C12" i="55"/>
  <c r="C19" i="55"/>
  <c r="G17" i="56"/>
  <c r="AR6" i="28"/>
  <c r="AQ6" i="28"/>
  <c r="V333" i="50"/>
  <c r="X333" i="50" s="1"/>
  <c r="V325" i="50"/>
  <c r="X325" i="50" s="1"/>
  <c r="V317" i="50"/>
  <c r="X317" i="50" s="1"/>
  <c r="V309" i="50"/>
  <c r="X309" i="50" s="1"/>
  <c r="V301" i="50"/>
  <c r="X301" i="50" s="1"/>
  <c r="V293" i="50"/>
  <c r="X293" i="50" s="1"/>
  <c r="V285" i="50"/>
  <c r="X285" i="50" s="1"/>
  <c r="V277" i="50"/>
  <c r="X277" i="50" s="1"/>
  <c r="V269" i="50"/>
  <c r="X269" i="50" s="1"/>
  <c r="V261" i="50"/>
  <c r="X261" i="50" s="1"/>
  <c r="V253" i="50"/>
  <c r="X253" i="50" s="1"/>
  <c r="V245" i="50"/>
  <c r="X245" i="50" s="1"/>
  <c r="V237" i="50"/>
  <c r="X237" i="50" s="1"/>
  <c r="V229" i="50"/>
  <c r="X229" i="50" s="1"/>
  <c r="V221" i="50"/>
  <c r="X221" i="50" s="1"/>
  <c r="V213" i="50"/>
  <c r="X213" i="50" s="1"/>
  <c r="V205" i="50"/>
  <c r="X205" i="50" s="1"/>
  <c r="V197" i="50"/>
  <c r="X197" i="50" s="1"/>
  <c r="V189" i="50"/>
  <c r="X189" i="50" s="1"/>
  <c r="V181" i="50"/>
  <c r="X181" i="50" s="1"/>
  <c r="V173" i="50"/>
  <c r="X173" i="50" s="1"/>
  <c r="V165" i="50"/>
  <c r="X165" i="50" s="1"/>
  <c r="V157" i="50"/>
  <c r="X157" i="50" s="1"/>
  <c r="V149" i="50"/>
  <c r="X149" i="50" s="1"/>
  <c r="V141" i="50"/>
  <c r="X141" i="50" s="1"/>
  <c r="V133" i="50"/>
  <c r="X133" i="50" s="1"/>
  <c r="V125" i="50"/>
  <c r="X125" i="50" s="1"/>
  <c r="V117" i="50"/>
  <c r="X117" i="50" s="1"/>
  <c r="V113" i="50"/>
  <c r="X113" i="50" s="1"/>
  <c r="V109" i="50"/>
  <c r="X109" i="50" s="1"/>
  <c r="V105" i="50"/>
  <c r="X105" i="50" s="1"/>
  <c r="V101" i="50"/>
  <c r="X101" i="50" s="1"/>
  <c r="V97" i="50"/>
  <c r="X97" i="50" s="1"/>
  <c r="V93" i="50"/>
  <c r="X93" i="50" s="1"/>
  <c r="V89" i="50"/>
  <c r="X89" i="50" s="1"/>
  <c r="V85" i="50"/>
  <c r="X85" i="50" s="1"/>
  <c r="V81" i="50"/>
  <c r="X81" i="50" s="1"/>
  <c r="V77" i="50"/>
  <c r="X77" i="50" s="1"/>
  <c r="V73" i="50"/>
  <c r="X73" i="50" s="1"/>
  <c r="V69" i="50"/>
  <c r="X69" i="50" s="1"/>
  <c r="V65" i="50"/>
  <c r="X65" i="50" s="1"/>
  <c r="V61" i="50"/>
  <c r="X61" i="50" s="1"/>
  <c r="V57" i="50"/>
  <c r="X57" i="50" s="1"/>
  <c r="V53" i="50"/>
  <c r="X53" i="50" s="1"/>
  <c r="V49" i="50"/>
  <c r="X49" i="50" s="1"/>
  <c r="V45" i="50"/>
  <c r="X45" i="50" s="1"/>
  <c r="V41" i="50"/>
  <c r="X41" i="50" s="1"/>
  <c r="V37" i="50"/>
  <c r="X37" i="50" s="1"/>
  <c r="V33" i="50"/>
  <c r="X33" i="50" s="1"/>
  <c r="V29" i="50"/>
  <c r="X29" i="50" s="1"/>
  <c r="V25" i="50"/>
  <c r="X25" i="50" s="1"/>
  <c r="V21" i="50"/>
  <c r="X21" i="50" s="1"/>
  <c r="V17" i="50"/>
  <c r="X17" i="50" s="1"/>
  <c r="V13" i="50"/>
  <c r="X13" i="50" s="1"/>
  <c r="V9" i="50"/>
  <c r="X9" i="50" s="1"/>
  <c r="V8" i="50"/>
  <c r="X8" i="50" s="1"/>
  <c r="V338" i="50"/>
  <c r="X338" i="50" s="1"/>
  <c r="V337" i="50"/>
  <c r="X337" i="50" s="1"/>
  <c r="V336" i="50"/>
  <c r="X336" i="50" s="1"/>
  <c r="V335" i="50"/>
  <c r="X335" i="50" s="1"/>
  <c r="V334" i="50"/>
  <c r="X334" i="50" s="1"/>
  <c r="V332" i="50"/>
  <c r="X332" i="50" s="1"/>
  <c r="V331" i="50"/>
  <c r="X331" i="50" s="1"/>
  <c r="V330" i="50"/>
  <c r="X330" i="50" s="1"/>
  <c r="V329" i="50"/>
  <c r="X329" i="50" s="1"/>
  <c r="V328" i="50"/>
  <c r="X328" i="50" s="1"/>
  <c r="V327" i="50"/>
  <c r="X327" i="50" s="1"/>
  <c r="V326" i="50"/>
  <c r="X326" i="50" s="1"/>
  <c r="V324" i="50"/>
  <c r="X324" i="50" s="1"/>
  <c r="V323" i="50"/>
  <c r="X323" i="50" s="1"/>
  <c r="V322" i="50"/>
  <c r="X322" i="50" s="1"/>
  <c r="V321" i="50"/>
  <c r="X321" i="50" s="1"/>
  <c r="V320" i="50"/>
  <c r="X320" i="50" s="1"/>
  <c r="V319" i="50"/>
  <c r="X319" i="50" s="1"/>
  <c r="V318" i="50"/>
  <c r="X318" i="50" s="1"/>
  <c r="V316" i="50"/>
  <c r="X316" i="50" s="1"/>
  <c r="V315" i="50"/>
  <c r="X315" i="50" s="1"/>
  <c r="V314" i="50"/>
  <c r="X314" i="50" s="1"/>
  <c r="V313" i="50"/>
  <c r="X313" i="50" s="1"/>
  <c r="V312" i="50"/>
  <c r="X312" i="50" s="1"/>
  <c r="V311" i="50"/>
  <c r="X311" i="50" s="1"/>
  <c r="V310" i="50"/>
  <c r="X310" i="50" s="1"/>
  <c r="V308" i="50"/>
  <c r="X308" i="50" s="1"/>
  <c r="V307" i="50"/>
  <c r="X307" i="50" s="1"/>
  <c r="V306" i="50"/>
  <c r="X306" i="50" s="1"/>
  <c r="V305" i="50"/>
  <c r="X305" i="50" s="1"/>
  <c r="V304" i="50"/>
  <c r="X304" i="50" s="1"/>
  <c r="V303" i="50"/>
  <c r="X303" i="50" s="1"/>
  <c r="V302" i="50"/>
  <c r="X302" i="50" s="1"/>
  <c r="V300" i="50"/>
  <c r="X300" i="50" s="1"/>
  <c r="V299" i="50"/>
  <c r="X299" i="50" s="1"/>
  <c r="V298" i="50"/>
  <c r="X298" i="50" s="1"/>
  <c r="V297" i="50"/>
  <c r="X297" i="50" s="1"/>
  <c r="V296" i="50"/>
  <c r="X296" i="50" s="1"/>
  <c r="V295" i="50"/>
  <c r="X295" i="50" s="1"/>
  <c r="V294" i="50"/>
  <c r="X294" i="50" s="1"/>
  <c r="V292" i="50"/>
  <c r="X292" i="50" s="1"/>
  <c r="V291" i="50"/>
  <c r="X291" i="50" s="1"/>
  <c r="V290" i="50"/>
  <c r="X290" i="50" s="1"/>
  <c r="V289" i="50"/>
  <c r="X289" i="50" s="1"/>
  <c r="V288" i="50"/>
  <c r="X288" i="50" s="1"/>
  <c r="V287" i="50"/>
  <c r="X287" i="50" s="1"/>
  <c r="V286" i="50"/>
  <c r="X286" i="50" s="1"/>
  <c r="V284" i="50"/>
  <c r="X284" i="50" s="1"/>
  <c r="V283" i="50"/>
  <c r="X283" i="50" s="1"/>
  <c r="V282" i="50"/>
  <c r="X282" i="50" s="1"/>
  <c r="V281" i="50"/>
  <c r="X281" i="50" s="1"/>
  <c r="V280" i="50"/>
  <c r="X280" i="50" s="1"/>
  <c r="V279" i="50"/>
  <c r="X279" i="50" s="1"/>
  <c r="V278" i="50"/>
  <c r="X278" i="50" s="1"/>
  <c r="V276" i="50"/>
  <c r="X276" i="50" s="1"/>
  <c r="V275" i="50"/>
  <c r="X275" i="50" s="1"/>
  <c r="V274" i="50"/>
  <c r="X274" i="50" s="1"/>
  <c r="V273" i="50"/>
  <c r="X273" i="50" s="1"/>
  <c r="V272" i="50"/>
  <c r="X272" i="50" s="1"/>
  <c r="V271" i="50"/>
  <c r="X271" i="50" s="1"/>
  <c r="V270" i="50"/>
  <c r="X270" i="50" s="1"/>
  <c r="V268" i="50"/>
  <c r="X268" i="50" s="1"/>
  <c r="V267" i="50"/>
  <c r="X267" i="50" s="1"/>
  <c r="V266" i="50"/>
  <c r="X266" i="50" s="1"/>
  <c r="V265" i="50"/>
  <c r="X265" i="50" s="1"/>
  <c r="V264" i="50"/>
  <c r="X264" i="50" s="1"/>
  <c r="V263" i="50"/>
  <c r="X263" i="50" s="1"/>
  <c r="V262" i="50"/>
  <c r="X262" i="50" s="1"/>
  <c r="V260" i="50"/>
  <c r="X260" i="50" s="1"/>
  <c r="V259" i="50"/>
  <c r="X259" i="50" s="1"/>
  <c r="V258" i="50"/>
  <c r="X258" i="50" s="1"/>
  <c r="V257" i="50"/>
  <c r="X257" i="50" s="1"/>
  <c r="V256" i="50"/>
  <c r="X256" i="50" s="1"/>
  <c r="V255" i="50"/>
  <c r="X255" i="50" s="1"/>
  <c r="V254" i="50"/>
  <c r="X254" i="50" s="1"/>
  <c r="V252" i="50"/>
  <c r="X252" i="50" s="1"/>
  <c r="V251" i="50"/>
  <c r="X251" i="50" s="1"/>
  <c r="V250" i="50"/>
  <c r="X250" i="50" s="1"/>
  <c r="V248" i="50"/>
  <c r="X248" i="50" s="1"/>
  <c r="V247" i="50"/>
  <c r="X247" i="50" s="1"/>
  <c r="V246" i="50"/>
  <c r="X246" i="50" s="1"/>
  <c r="V244" i="50"/>
  <c r="X244" i="50" s="1"/>
  <c r="V243" i="50"/>
  <c r="X243" i="50" s="1"/>
  <c r="V242" i="50"/>
  <c r="X242" i="50" s="1"/>
  <c r="V241" i="50"/>
  <c r="X241" i="50" s="1"/>
  <c r="V240" i="50"/>
  <c r="X240" i="50" s="1"/>
  <c r="V239" i="50"/>
  <c r="X239" i="50" s="1"/>
  <c r="V238" i="50"/>
  <c r="X238" i="50" s="1"/>
  <c r="V236" i="50"/>
  <c r="X236" i="50" s="1"/>
  <c r="V235" i="50"/>
  <c r="X235" i="50" s="1"/>
  <c r="V234" i="50"/>
  <c r="X234" i="50" s="1"/>
  <c r="V233" i="50"/>
  <c r="X233" i="50" s="1"/>
  <c r="V232" i="50"/>
  <c r="X232" i="50" s="1"/>
  <c r="V231" i="50"/>
  <c r="X231" i="50" s="1"/>
  <c r="V230" i="50"/>
  <c r="X230" i="50" s="1"/>
  <c r="V228" i="50"/>
  <c r="X228" i="50" s="1"/>
  <c r="V227" i="50"/>
  <c r="X227" i="50" s="1"/>
  <c r="V226" i="50"/>
  <c r="X226" i="50" s="1"/>
  <c r="V225" i="50"/>
  <c r="X225" i="50" s="1"/>
  <c r="V224" i="50"/>
  <c r="X224" i="50" s="1"/>
  <c r="V223" i="50"/>
  <c r="X223" i="50" s="1"/>
  <c r="V222" i="50"/>
  <c r="X222" i="50" s="1"/>
  <c r="V220" i="50"/>
  <c r="X220" i="50" s="1"/>
  <c r="V219" i="50"/>
  <c r="X219" i="50" s="1"/>
  <c r="V218" i="50"/>
  <c r="X218" i="50" s="1"/>
  <c r="V217" i="50"/>
  <c r="X217" i="50" s="1"/>
  <c r="V216" i="50"/>
  <c r="X216" i="50" s="1"/>
  <c r="V215" i="50"/>
  <c r="X215" i="50" s="1"/>
  <c r="V214" i="50"/>
  <c r="X214" i="50" s="1"/>
  <c r="V211" i="50"/>
  <c r="X211" i="50" s="1"/>
  <c r="V210" i="50"/>
  <c r="X210" i="50" s="1"/>
  <c r="V209" i="50"/>
  <c r="X209" i="50" s="1"/>
  <c r="V208" i="50"/>
  <c r="X208" i="50" s="1"/>
  <c r="V207" i="50"/>
  <c r="X207" i="50" s="1"/>
  <c r="V206" i="50"/>
  <c r="X206" i="50" s="1"/>
  <c r="V204" i="50"/>
  <c r="X204" i="50" s="1"/>
  <c r="V203" i="50"/>
  <c r="X203" i="50" s="1"/>
  <c r="V202" i="50"/>
  <c r="X202" i="50" s="1"/>
  <c r="V201" i="50"/>
  <c r="X201" i="50" s="1"/>
  <c r="V200" i="50"/>
  <c r="X200" i="50" s="1"/>
  <c r="V199" i="50"/>
  <c r="X199" i="50" s="1"/>
  <c r="V198" i="50"/>
  <c r="X198" i="50" s="1"/>
  <c r="V196" i="50"/>
  <c r="X196" i="50" s="1"/>
  <c r="V195" i="50"/>
  <c r="X195" i="50" s="1"/>
  <c r="V194" i="50"/>
  <c r="X194" i="50" s="1"/>
  <c r="V193" i="50"/>
  <c r="X193" i="50" s="1"/>
  <c r="V192" i="50"/>
  <c r="X192" i="50" s="1"/>
  <c r="V191" i="50"/>
  <c r="X191" i="50" s="1"/>
  <c r="V190" i="50"/>
  <c r="X190" i="50" s="1"/>
  <c r="V188" i="50"/>
  <c r="X188" i="50" s="1"/>
  <c r="V187" i="50"/>
  <c r="X187" i="50" s="1"/>
  <c r="V186" i="50"/>
  <c r="X186" i="50" s="1"/>
  <c r="V185" i="50"/>
  <c r="X185" i="50" s="1"/>
  <c r="V184" i="50"/>
  <c r="X184" i="50" s="1"/>
  <c r="V183" i="50"/>
  <c r="X183" i="50" s="1"/>
  <c r="V182" i="50"/>
  <c r="X182" i="50" s="1"/>
  <c r="V180" i="50"/>
  <c r="X180" i="50" s="1"/>
  <c r="V179" i="50"/>
  <c r="X179" i="50" s="1"/>
  <c r="V178" i="50"/>
  <c r="X178" i="50" s="1"/>
  <c r="V177" i="50"/>
  <c r="X177" i="50" s="1"/>
  <c r="V176" i="50"/>
  <c r="X176" i="50" s="1"/>
  <c r="V175" i="50"/>
  <c r="X175" i="50" s="1"/>
  <c r="V174" i="50"/>
  <c r="X174" i="50" s="1"/>
  <c r="V172" i="50"/>
  <c r="X172" i="50" s="1"/>
  <c r="V171" i="50"/>
  <c r="X171" i="50" s="1"/>
  <c r="V170" i="50"/>
  <c r="X170" i="50" s="1"/>
  <c r="V169" i="50"/>
  <c r="X169" i="50" s="1"/>
  <c r="V168" i="50"/>
  <c r="X168" i="50" s="1"/>
  <c r="V167" i="50"/>
  <c r="X167" i="50" s="1"/>
  <c r="V166" i="50"/>
  <c r="X166" i="50" s="1"/>
  <c r="V164" i="50"/>
  <c r="X164" i="50" s="1"/>
  <c r="V163" i="50"/>
  <c r="X163" i="50" s="1"/>
  <c r="V162" i="50"/>
  <c r="X162" i="50" s="1"/>
  <c r="V161" i="50"/>
  <c r="X161" i="50" s="1"/>
  <c r="V160" i="50"/>
  <c r="X160" i="50" s="1"/>
  <c r="V159" i="50"/>
  <c r="X159" i="50" s="1"/>
  <c r="V158" i="50"/>
  <c r="X158" i="50" s="1"/>
  <c r="V156" i="50"/>
  <c r="X156" i="50" s="1"/>
  <c r="V155" i="50"/>
  <c r="X155" i="50" s="1"/>
  <c r="V154" i="50"/>
  <c r="X154" i="50" s="1"/>
  <c r="V153" i="50"/>
  <c r="X153" i="50" s="1"/>
  <c r="V152" i="50"/>
  <c r="X152" i="50" s="1"/>
  <c r="V151" i="50"/>
  <c r="X151" i="50" s="1"/>
  <c r="V150" i="50"/>
  <c r="X150" i="50" s="1"/>
  <c r="V148" i="50"/>
  <c r="X148" i="50" s="1"/>
  <c r="V147" i="50"/>
  <c r="X147" i="50" s="1"/>
  <c r="V146" i="50"/>
  <c r="X146" i="50" s="1"/>
  <c r="V145" i="50"/>
  <c r="X145" i="50" s="1"/>
  <c r="V144" i="50"/>
  <c r="X144" i="50" s="1"/>
  <c r="V143" i="50"/>
  <c r="X143" i="50" s="1"/>
  <c r="V142" i="50"/>
  <c r="X142" i="50" s="1"/>
  <c r="V140" i="50"/>
  <c r="X140" i="50" s="1"/>
  <c r="V139" i="50"/>
  <c r="X139" i="50" s="1"/>
  <c r="V138" i="50"/>
  <c r="X138" i="50" s="1"/>
  <c r="V137" i="50"/>
  <c r="X137" i="50" s="1"/>
  <c r="V136" i="50"/>
  <c r="X136" i="50" s="1"/>
  <c r="V135" i="50"/>
  <c r="X135" i="50" s="1"/>
  <c r="V134" i="50"/>
  <c r="X134" i="50" s="1"/>
  <c r="V132" i="50"/>
  <c r="X132" i="50" s="1"/>
  <c r="V131" i="50"/>
  <c r="X131" i="50" s="1"/>
  <c r="V130" i="50"/>
  <c r="X130" i="50" s="1"/>
  <c r="V129" i="50"/>
  <c r="X129" i="50" s="1"/>
  <c r="V128" i="50"/>
  <c r="X128" i="50" s="1"/>
  <c r="V127" i="50"/>
  <c r="X127" i="50" s="1"/>
  <c r="V126" i="50"/>
  <c r="X126" i="50" s="1"/>
  <c r="V124" i="50"/>
  <c r="X124" i="50" s="1"/>
  <c r="V123" i="50"/>
  <c r="X123" i="50" s="1"/>
  <c r="V122" i="50"/>
  <c r="X122" i="50" s="1"/>
  <c r="V121" i="50"/>
  <c r="X121" i="50" s="1"/>
  <c r="V120" i="50"/>
  <c r="X120" i="50" s="1"/>
  <c r="V118" i="50"/>
  <c r="X118" i="50" s="1"/>
  <c r="V116" i="50"/>
  <c r="X116" i="50" s="1"/>
  <c r="V115" i="50"/>
  <c r="X115" i="50" s="1"/>
  <c r="V114" i="50"/>
  <c r="X114" i="50" s="1"/>
  <c r="V112" i="50"/>
  <c r="X112" i="50" s="1"/>
  <c r="V111" i="50"/>
  <c r="X111" i="50" s="1"/>
  <c r="V110" i="50"/>
  <c r="X110" i="50" s="1"/>
  <c r="V108" i="50"/>
  <c r="X108" i="50" s="1"/>
  <c r="V107" i="50"/>
  <c r="X107" i="50" s="1"/>
  <c r="V106" i="50"/>
  <c r="X106" i="50" s="1"/>
  <c r="V104" i="50"/>
  <c r="X104" i="50" s="1"/>
  <c r="V103" i="50"/>
  <c r="X103" i="50" s="1"/>
  <c r="V102" i="50"/>
  <c r="X102" i="50" s="1"/>
  <c r="V100" i="50"/>
  <c r="X100" i="50" s="1"/>
  <c r="V99" i="50"/>
  <c r="X99" i="50" s="1"/>
  <c r="V98" i="50"/>
  <c r="X98" i="50" s="1"/>
  <c r="V96" i="50"/>
  <c r="X96" i="50" s="1"/>
  <c r="V95" i="50"/>
  <c r="X95" i="50" s="1"/>
  <c r="V94" i="50"/>
  <c r="X94" i="50" s="1"/>
  <c r="V92" i="50"/>
  <c r="X92" i="50" s="1"/>
  <c r="V91" i="50"/>
  <c r="X91" i="50" s="1"/>
  <c r="V90" i="50"/>
  <c r="X90" i="50" s="1"/>
  <c r="V88" i="50"/>
  <c r="X88" i="50" s="1"/>
  <c r="V87" i="50"/>
  <c r="X87" i="50" s="1"/>
  <c r="V86" i="50"/>
  <c r="X86" i="50" s="1"/>
  <c r="V84" i="50"/>
  <c r="X84" i="50" s="1"/>
  <c r="V83" i="50"/>
  <c r="X83" i="50" s="1"/>
  <c r="V82" i="50"/>
  <c r="X82" i="50" s="1"/>
  <c r="V80" i="50"/>
  <c r="X80" i="50" s="1"/>
  <c r="V79" i="50"/>
  <c r="X79" i="50" s="1"/>
  <c r="V78" i="50"/>
  <c r="X78" i="50" s="1"/>
  <c r="V76" i="50"/>
  <c r="X76" i="50" s="1"/>
  <c r="V75" i="50"/>
  <c r="X75" i="50" s="1"/>
  <c r="V74" i="50"/>
  <c r="X74" i="50" s="1"/>
  <c r="V72" i="50"/>
  <c r="X72" i="50" s="1"/>
  <c r="V71" i="50"/>
  <c r="X71" i="50" s="1"/>
  <c r="V70" i="50"/>
  <c r="X70" i="50" s="1"/>
  <c r="V68" i="50"/>
  <c r="X68" i="50" s="1"/>
  <c r="V67" i="50"/>
  <c r="X67" i="50" s="1"/>
  <c r="V66" i="50"/>
  <c r="X66" i="50" s="1"/>
  <c r="V64" i="50"/>
  <c r="X64" i="50" s="1"/>
  <c r="V63" i="50"/>
  <c r="X63" i="50" s="1"/>
  <c r="V62" i="50"/>
  <c r="X62" i="50" s="1"/>
  <c r="V60" i="50"/>
  <c r="X60" i="50" s="1"/>
  <c r="V59" i="50"/>
  <c r="X59" i="50" s="1"/>
  <c r="V58" i="50"/>
  <c r="X58" i="50" s="1"/>
  <c r="V56" i="50"/>
  <c r="X56" i="50" s="1"/>
  <c r="V55" i="50"/>
  <c r="X55" i="50" s="1"/>
  <c r="V54" i="50"/>
  <c r="X54" i="50" s="1"/>
  <c r="V52" i="50"/>
  <c r="X52" i="50" s="1"/>
  <c r="V51" i="50"/>
  <c r="X51" i="50" s="1"/>
  <c r="V50" i="50"/>
  <c r="X50" i="50" s="1"/>
  <c r="V48" i="50"/>
  <c r="X48" i="50" s="1"/>
  <c r="V47" i="50"/>
  <c r="X47" i="50" s="1"/>
  <c r="V46" i="50"/>
  <c r="X46" i="50" s="1"/>
  <c r="V44" i="50"/>
  <c r="X44" i="50" s="1"/>
  <c r="V43" i="50"/>
  <c r="X43" i="50" s="1"/>
  <c r="V42" i="50"/>
  <c r="X42" i="50" s="1"/>
  <c r="V40" i="50"/>
  <c r="X40" i="50" s="1"/>
  <c r="V39" i="50"/>
  <c r="X39" i="50" s="1"/>
  <c r="V38" i="50"/>
  <c r="X38" i="50" s="1"/>
  <c r="V36" i="50"/>
  <c r="X36" i="50" s="1"/>
  <c r="V35" i="50"/>
  <c r="X35" i="50" s="1"/>
  <c r="V34" i="50"/>
  <c r="X34" i="50" s="1"/>
  <c r="V32" i="50"/>
  <c r="X32" i="50" s="1"/>
  <c r="V31" i="50"/>
  <c r="X31" i="50" s="1"/>
  <c r="V30" i="50"/>
  <c r="X30" i="50" s="1"/>
  <c r="V28" i="50"/>
  <c r="X28" i="50" s="1"/>
  <c r="V27" i="50"/>
  <c r="X27" i="50" s="1"/>
  <c r="V26" i="50"/>
  <c r="X26" i="50" s="1"/>
  <c r="V24" i="50"/>
  <c r="X24" i="50" s="1"/>
  <c r="V23" i="50"/>
  <c r="X23" i="50" s="1"/>
  <c r="V22" i="50"/>
  <c r="X22" i="50" s="1"/>
  <c r="V20" i="50"/>
  <c r="X20" i="50" s="1"/>
  <c r="V19" i="50"/>
  <c r="X19" i="50" s="1"/>
  <c r="V18" i="50"/>
  <c r="X18" i="50" s="1"/>
  <c r="V16" i="50"/>
  <c r="X16" i="50" s="1"/>
  <c r="V15" i="50"/>
  <c r="X15" i="50" s="1"/>
  <c r="V14" i="50"/>
  <c r="X14" i="50" s="1"/>
  <c r="V12" i="50"/>
  <c r="X12" i="50" s="1"/>
  <c r="V11" i="50"/>
  <c r="X11" i="50" s="1"/>
  <c r="V10" i="50"/>
  <c r="X10" i="50" s="1"/>
  <c r="W7" i="50"/>
  <c r="U7" i="50"/>
  <c r="H1" i="26"/>
  <c r="P1" i="26"/>
  <c r="F1" i="26"/>
  <c r="P332" i="26"/>
  <c r="P331" i="26"/>
  <c r="P330" i="26"/>
  <c r="F332" i="26"/>
  <c r="F331" i="26"/>
  <c r="F330" i="26"/>
  <c r="F329" i="26"/>
  <c r="F328" i="26"/>
  <c r="F327" i="26"/>
  <c r="F326" i="26"/>
  <c r="F325" i="26"/>
  <c r="F324" i="26"/>
  <c r="F323" i="26"/>
  <c r="F322" i="26"/>
  <c r="F321" i="26"/>
  <c r="F320" i="26"/>
  <c r="F319" i="26"/>
  <c r="F318" i="26"/>
  <c r="F317" i="26"/>
  <c r="F316" i="26"/>
  <c r="F315" i="26"/>
  <c r="F314" i="26"/>
  <c r="F313" i="26"/>
  <c r="F312" i="26"/>
  <c r="F311" i="26"/>
  <c r="F310" i="26"/>
  <c r="F309" i="26"/>
  <c r="F308" i="26"/>
  <c r="F307" i="26"/>
  <c r="F306" i="26"/>
  <c r="F305" i="26"/>
  <c r="F304" i="26"/>
  <c r="F303" i="26"/>
  <c r="F302" i="26"/>
  <c r="F301" i="26"/>
  <c r="F300" i="26"/>
  <c r="F299" i="26"/>
  <c r="F298" i="26"/>
  <c r="F297" i="26"/>
  <c r="F296" i="26"/>
  <c r="F295" i="26"/>
  <c r="F294" i="26"/>
  <c r="F293" i="26"/>
  <c r="F292" i="26"/>
  <c r="F291" i="26"/>
  <c r="F290" i="26"/>
  <c r="F289" i="26"/>
  <c r="F288" i="26"/>
  <c r="F287" i="26"/>
  <c r="F286" i="26"/>
  <c r="F285" i="26"/>
  <c r="F284" i="26"/>
  <c r="F283" i="26"/>
  <c r="F282" i="26"/>
  <c r="F281" i="26"/>
  <c r="F280" i="26"/>
  <c r="F279" i="26"/>
  <c r="F278" i="26"/>
  <c r="F277" i="26"/>
  <c r="F276" i="26"/>
  <c r="F275" i="26"/>
  <c r="F274" i="26"/>
  <c r="F273" i="26"/>
  <c r="F272" i="26"/>
  <c r="F271" i="26"/>
  <c r="F270" i="26"/>
  <c r="F269" i="26"/>
  <c r="F268" i="26"/>
  <c r="F267" i="26"/>
  <c r="F266" i="26"/>
  <c r="F265" i="26"/>
  <c r="F264" i="26"/>
  <c r="F263" i="26"/>
  <c r="F262" i="26"/>
  <c r="F261" i="26"/>
  <c r="F260" i="26"/>
  <c r="F259" i="26"/>
  <c r="F258" i="26"/>
  <c r="F257" i="26"/>
  <c r="F256" i="26"/>
  <c r="F255" i="26"/>
  <c r="F254" i="26"/>
  <c r="F253" i="26"/>
  <c r="F252" i="26"/>
  <c r="F251" i="26"/>
  <c r="F250" i="26"/>
  <c r="F249" i="26"/>
  <c r="F248" i="26"/>
  <c r="F247" i="26"/>
  <c r="F246" i="26"/>
  <c r="F245" i="26"/>
  <c r="F244" i="26"/>
  <c r="F243" i="26"/>
  <c r="F242" i="26"/>
  <c r="F241" i="26"/>
  <c r="F240" i="26"/>
  <c r="F239" i="26"/>
  <c r="F238" i="26"/>
  <c r="F237" i="26"/>
  <c r="F236" i="26"/>
  <c r="F235" i="26"/>
  <c r="F234" i="26"/>
  <c r="F233" i="26"/>
  <c r="F232" i="26"/>
  <c r="F231" i="26"/>
  <c r="F230" i="26"/>
  <c r="F229" i="26"/>
  <c r="F228" i="26"/>
  <c r="F227" i="26"/>
  <c r="F226" i="26"/>
  <c r="F225" i="26"/>
  <c r="F224" i="26"/>
  <c r="F223" i="26"/>
  <c r="F222" i="26"/>
  <c r="F221" i="26"/>
  <c r="F220" i="26"/>
  <c r="F219" i="26"/>
  <c r="F218" i="26"/>
  <c r="F217" i="26"/>
  <c r="F216" i="26"/>
  <c r="F215" i="26"/>
  <c r="F214" i="26"/>
  <c r="F213" i="26"/>
  <c r="F212" i="26"/>
  <c r="F211" i="26"/>
  <c r="F210" i="26"/>
  <c r="F209" i="26"/>
  <c r="F208" i="26"/>
  <c r="F207" i="26"/>
  <c r="F206" i="26"/>
  <c r="F205" i="26"/>
  <c r="F204" i="26"/>
  <c r="F203" i="26"/>
  <c r="F202" i="26"/>
  <c r="F201" i="26"/>
  <c r="F200" i="26"/>
  <c r="F199" i="26"/>
  <c r="F198" i="26"/>
  <c r="F197" i="26"/>
  <c r="F196" i="26"/>
  <c r="F195" i="26"/>
  <c r="F194" i="26"/>
  <c r="F193" i="26"/>
  <c r="F192" i="26"/>
  <c r="F191" i="26"/>
  <c r="F190" i="26"/>
  <c r="F189" i="26"/>
  <c r="F188" i="26"/>
  <c r="F187" i="26"/>
  <c r="F186" i="26"/>
  <c r="F185" i="26"/>
  <c r="F184" i="26"/>
  <c r="F183" i="26"/>
  <c r="F182" i="26"/>
  <c r="F181" i="26"/>
  <c r="F180" i="26"/>
  <c r="F179" i="26"/>
  <c r="F178" i="26"/>
  <c r="F177" i="26"/>
  <c r="F176" i="26"/>
  <c r="F175" i="26"/>
  <c r="F174" i="26"/>
  <c r="F173" i="26"/>
  <c r="F172" i="26"/>
  <c r="F171" i="26"/>
  <c r="F170" i="26"/>
  <c r="F169" i="26"/>
  <c r="F168" i="26"/>
  <c r="F167" i="26"/>
  <c r="F166" i="26"/>
  <c r="F165" i="26"/>
  <c r="F164" i="26"/>
  <c r="F163" i="26"/>
  <c r="F162" i="26"/>
  <c r="F161" i="26"/>
  <c r="F160" i="26"/>
  <c r="F159" i="26"/>
  <c r="F158" i="26"/>
  <c r="F157" i="26"/>
  <c r="F156" i="26"/>
  <c r="F155" i="26"/>
  <c r="F154" i="26"/>
  <c r="F153" i="26"/>
  <c r="F152" i="26"/>
  <c r="F151" i="26"/>
  <c r="F150" i="26"/>
  <c r="F149" i="26"/>
  <c r="F148" i="26"/>
  <c r="F147" i="26"/>
  <c r="F146" i="26"/>
  <c r="F145" i="26"/>
  <c r="F144" i="26"/>
  <c r="F143" i="26"/>
  <c r="F142" i="26"/>
  <c r="F141" i="26"/>
  <c r="F140" i="26"/>
  <c r="F139" i="26"/>
  <c r="F138" i="26"/>
  <c r="F137" i="26"/>
  <c r="F136" i="26"/>
  <c r="F135" i="26"/>
  <c r="F134" i="26"/>
  <c r="F133" i="26"/>
  <c r="F132" i="26"/>
  <c r="F131" i="26"/>
  <c r="F130" i="26"/>
  <c r="F129" i="26"/>
  <c r="F128" i="26"/>
  <c r="F127" i="26"/>
  <c r="F126" i="26"/>
  <c r="F125" i="26"/>
  <c r="F124" i="26"/>
  <c r="F123" i="26"/>
  <c r="F122" i="26"/>
  <c r="F121" i="26"/>
  <c r="F120" i="26"/>
  <c r="F119" i="26"/>
  <c r="F118" i="26"/>
  <c r="F117" i="26"/>
  <c r="F116" i="26"/>
  <c r="F115" i="26"/>
  <c r="F114" i="26"/>
  <c r="F113" i="26"/>
  <c r="F112" i="26"/>
  <c r="F111" i="26"/>
  <c r="F110" i="26"/>
  <c r="F109" i="26"/>
  <c r="F108" i="26"/>
  <c r="F107" i="26"/>
  <c r="F106" i="26"/>
  <c r="F105" i="26"/>
  <c r="F104" i="26"/>
  <c r="F103" i="26"/>
  <c r="F102" i="26"/>
  <c r="F101" i="26"/>
  <c r="F100" i="26"/>
  <c r="F99" i="26"/>
  <c r="F98" i="26"/>
  <c r="F97" i="26"/>
  <c r="F96" i="26"/>
  <c r="F95" i="26"/>
  <c r="F94" i="26"/>
  <c r="F93" i="26"/>
  <c r="F92" i="26"/>
  <c r="F91" i="26"/>
  <c r="F90" i="26"/>
  <c r="F89" i="26"/>
  <c r="F88" i="26"/>
  <c r="F87" i="26"/>
  <c r="F86" i="26"/>
  <c r="F85" i="26"/>
  <c r="F84" i="26"/>
  <c r="F83" i="26"/>
  <c r="F82" i="26"/>
  <c r="F81" i="26"/>
  <c r="F80" i="26"/>
  <c r="F79"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0" i="26"/>
  <c r="F9" i="26"/>
  <c r="F8" i="26"/>
  <c r="F7" i="26"/>
  <c r="F6" i="26"/>
  <c r="F5" i="26"/>
  <c r="F4" i="26"/>
  <c r="F3" i="26"/>
  <c r="F2" i="26"/>
  <c r="X7" i="50" l="1"/>
  <c r="V7" i="50"/>
  <c r="C337" i="28" l="1"/>
  <c r="C336" i="28"/>
  <c r="C335" i="28"/>
  <c r="C334" i="28"/>
  <c r="C333" i="28"/>
  <c r="C332" i="28"/>
  <c r="C331" i="28"/>
  <c r="C330" i="28"/>
  <c r="C329" i="28"/>
  <c r="C328" i="28"/>
  <c r="C327" i="28"/>
  <c r="C326" i="28"/>
  <c r="C325" i="28"/>
  <c r="C324" i="28"/>
  <c r="C323" i="28"/>
  <c r="C322" i="28"/>
  <c r="C321" i="28"/>
  <c r="C320" i="28"/>
  <c r="C319" i="28"/>
  <c r="C318" i="28"/>
  <c r="C317" i="28"/>
  <c r="C316" i="28"/>
  <c r="C315" i="28"/>
  <c r="C314" i="28"/>
  <c r="C313" i="28"/>
  <c r="C312" i="28"/>
  <c r="C311" i="28"/>
  <c r="C310" i="28"/>
  <c r="C309" i="28"/>
  <c r="C308" i="28"/>
  <c r="C307" i="28"/>
  <c r="C306" i="28"/>
  <c r="C305" i="28"/>
  <c r="C304" i="28"/>
  <c r="C303" i="28"/>
  <c r="C302" i="28"/>
  <c r="C301" i="28"/>
  <c r="C300" i="28"/>
  <c r="C299" i="28"/>
  <c r="C298" i="28"/>
  <c r="C297" i="28"/>
  <c r="C296" i="28"/>
  <c r="C295" i="28"/>
  <c r="C294" i="28"/>
  <c r="C293" i="28"/>
  <c r="C292" i="28"/>
  <c r="C291" i="28"/>
  <c r="C290" i="28"/>
  <c r="C289" i="28"/>
  <c r="C288" i="28"/>
  <c r="C287" i="28"/>
  <c r="C286" i="28"/>
  <c r="C285" i="28"/>
  <c r="C284" i="28"/>
  <c r="C283" i="28"/>
  <c r="C282" i="28"/>
  <c r="C281" i="28"/>
  <c r="C280" i="28"/>
  <c r="C279" i="28"/>
  <c r="C278" i="28"/>
  <c r="C277" i="28"/>
  <c r="C276" i="28"/>
  <c r="C275" i="28"/>
  <c r="C274" i="28"/>
  <c r="C273" i="28"/>
  <c r="C272" i="28"/>
  <c r="C271" i="28"/>
  <c r="C270" i="28"/>
  <c r="C269" i="28"/>
  <c r="C268" i="28"/>
  <c r="C267" i="28"/>
  <c r="C266" i="28"/>
  <c r="C265" i="28"/>
  <c r="C264" i="28"/>
  <c r="C263" i="28"/>
  <c r="C262" i="28"/>
  <c r="C261" i="28"/>
  <c r="C260" i="28"/>
  <c r="C259" i="28"/>
  <c r="C258" i="28"/>
  <c r="C257" i="28"/>
  <c r="C256" i="28"/>
  <c r="C255" i="28"/>
  <c r="C254" i="28"/>
  <c r="C253" i="28"/>
  <c r="C252" i="28"/>
  <c r="C251" i="28"/>
  <c r="C250" i="28"/>
  <c r="C249" i="28"/>
  <c r="C247" i="28"/>
  <c r="C248" i="28"/>
  <c r="C246" i="28"/>
  <c r="C245" i="28"/>
  <c r="C244" i="28"/>
  <c r="C243" i="28"/>
  <c r="C242" i="28"/>
  <c r="C241" i="28"/>
  <c r="C240" i="28"/>
  <c r="C239" i="28"/>
  <c r="C238" i="28"/>
  <c r="C237" i="28"/>
  <c r="C236" i="28"/>
  <c r="C235" i="28"/>
  <c r="C234" i="28"/>
  <c r="C233" i="28"/>
  <c r="C232" i="28"/>
  <c r="C231" i="28"/>
  <c r="C230" i="28"/>
  <c r="C229" i="28"/>
  <c r="C228" i="28"/>
  <c r="C227" i="28"/>
  <c r="C226" i="28"/>
  <c r="C225" i="28"/>
  <c r="C224" i="28"/>
  <c r="C223" i="28"/>
  <c r="C222" i="28"/>
  <c r="C221" i="28"/>
  <c r="C220" i="28"/>
  <c r="C219" i="28"/>
  <c r="C218" i="28"/>
  <c r="C217" i="28"/>
  <c r="C216" i="28"/>
  <c r="C215" i="28"/>
  <c r="C214" i="28"/>
  <c r="C213" i="28"/>
  <c r="C212" i="28"/>
  <c r="C211" i="28"/>
  <c r="C210" i="28"/>
  <c r="C209" i="28"/>
  <c r="C208" i="28"/>
  <c r="C207" i="28"/>
  <c r="C206" i="28"/>
  <c r="C205" i="28"/>
  <c r="C204" i="28"/>
  <c r="C203" i="28"/>
  <c r="C202" i="28"/>
  <c r="C201" i="28"/>
  <c r="C200" i="28"/>
  <c r="C199" i="28"/>
  <c r="C198" i="28"/>
  <c r="C197" i="28"/>
  <c r="C196" i="28"/>
  <c r="C195" i="28"/>
  <c r="C194" i="28"/>
  <c r="C193" i="28"/>
  <c r="C192" i="28"/>
  <c r="C191" i="28"/>
  <c r="C190" i="28"/>
  <c r="C189" i="28"/>
  <c r="C188" i="28"/>
  <c r="C187" i="28"/>
  <c r="C186" i="28"/>
  <c r="C185" i="28"/>
  <c r="C184" i="28"/>
  <c r="C183" i="28"/>
  <c r="C182" i="28"/>
  <c r="C181" i="28"/>
  <c r="C180" i="28"/>
  <c r="C179" i="28"/>
  <c r="C178" i="28"/>
  <c r="C177" i="28"/>
  <c r="C176" i="28"/>
  <c r="C175" i="28"/>
  <c r="C174" i="28"/>
  <c r="C173" i="28"/>
  <c r="C172" i="28"/>
  <c r="C171" i="28"/>
  <c r="C170" i="28"/>
  <c r="C169" i="28"/>
  <c r="C168" i="28"/>
  <c r="C167" i="28"/>
  <c r="C166" i="28"/>
  <c r="C165" i="28"/>
  <c r="C164" i="28"/>
  <c r="C163" i="28"/>
  <c r="C162" i="28"/>
  <c r="C161" i="28"/>
  <c r="C160" i="28"/>
  <c r="C159" i="28"/>
  <c r="C158" i="28"/>
  <c r="C157" i="28"/>
  <c r="C156" i="28"/>
  <c r="C155" i="28"/>
  <c r="C154" i="28"/>
  <c r="C153" i="28"/>
  <c r="C152" i="28"/>
  <c r="C151" i="28"/>
  <c r="C150" i="28"/>
  <c r="C149" i="28"/>
  <c r="C148" i="28"/>
  <c r="C147" i="28"/>
  <c r="C146" i="28"/>
  <c r="C145" i="28"/>
  <c r="C144" i="28"/>
  <c r="C143" i="28"/>
  <c r="C142" i="28"/>
  <c r="C141" i="28"/>
  <c r="C140" i="28"/>
  <c r="C139" i="28"/>
  <c r="C138" i="28"/>
  <c r="C137" i="28"/>
  <c r="C136" i="28"/>
  <c r="C135" i="28"/>
  <c r="C134" i="28"/>
  <c r="C133" i="28"/>
  <c r="C132" i="28"/>
  <c r="C131" i="28"/>
  <c r="C130" i="28"/>
  <c r="C129" i="28"/>
  <c r="C128" i="28"/>
  <c r="C127" i="28"/>
  <c r="C126" i="28"/>
  <c r="C125" i="28"/>
  <c r="C124" i="28"/>
  <c r="C123" i="28"/>
  <c r="C122" i="28"/>
  <c r="C120" i="28"/>
  <c r="C119" i="28"/>
  <c r="C121" i="28"/>
  <c r="C118" i="28"/>
  <c r="C117" i="28"/>
  <c r="C116" i="28"/>
  <c r="C115" i="28"/>
  <c r="C114" i="28"/>
  <c r="C113" i="28"/>
  <c r="C112" i="28"/>
  <c r="C111" i="28"/>
  <c r="C110" i="28"/>
  <c r="C109" i="28"/>
  <c r="C108" i="28"/>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C16" i="28"/>
  <c r="C15" i="28"/>
  <c r="C14" i="28"/>
  <c r="C13" i="28"/>
  <c r="C12" i="28"/>
  <c r="C11" i="28"/>
  <c r="C10" i="28"/>
  <c r="C9" i="28"/>
  <c r="C8" i="28"/>
  <c r="C7" i="28"/>
  <c r="AO6" i="28"/>
  <c r="AN6" i="28"/>
  <c r="AJ6" i="28"/>
  <c r="AI6" i="28"/>
  <c r="AE6" i="28"/>
  <c r="AD6" i="28"/>
  <c r="AC6" i="28"/>
  <c r="AB6" i="28"/>
  <c r="AA6" i="28"/>
  <c r="Z6" i="28"/>
  <c r="Y6" i="28"/>
  <c r="X6" i="28"/>
  <c r="W6" i="28"/>
  <c r="V6" i="28"/>
  <c r="U6" i="28"/>
  <c r="T6" i="28"/>
  <c r="S6" i="28"/>
  <c r="R6" i="28"/>
  <c r="Q6" i="28"/>
  <c r="P6" i="28"/>
  <c r="M6" i="28"/>
  <c r="L6" i="28"/>
  <c r="K6" i="28"/>
  <c r="J6" i="28"/>
  <c r="I6" i="28"/>
  <c r="H6" i="28"/>
  <c r="G6" i="28"/>
  <c r="F6" i="28"/>
  <c r="E6" i="28"/>
  <c r="D6" i="28"/>
  <c r="C1" i="28"/>
  <c r="D1" i="28" s="1"/>
  <c r="E1" i="28" s="1"/>
  <c r="F1" i="28" s="1"/>
  <c r="G1" i="28" s="1"/>
  <c r="H1" i="28" s="1"/>
  <c r="I1" i="28" s="1"/>
  <c r="J1" i="28" s="1"/>
  <c r="K1" i="28" s="1"/>
  <c r="L1" i="28" s="1"/>
  <c r="M1" i="28" s="1"/>
  <c r="N1" i="28" s="1"/>
  <c r="O1" i="28" s="1"/>
  <c r="P1" i="28" s="1"/>
  <c r="Q1" i="28" s="1"/>
  <c r="R1" i="28" s="1"/>
  <c r="S1" i="28" s="1"/>
  <c r="T1" i="28" s="1"/>
  <c r="U1" i="28" s="1"/>
  <c r="V1" i="28" s="1"/>
  <c r="W1" i="28" s="1"/>
  <c r="X1" i="28" s="1"/>
  <c r="Y1" i="28" s="1"/>
  <c r="Z1" i="28" s="1"/>
  <c r="AA1" i="28" s="1"/>
  <c r="AB1" i="28" s="1"/>
  <c r="AC1" i="28" s="1"/>
  <c r="AD1" i="28" s="1"/>
  <c r="AE1" i="28" s="1"/>
  <c r="AF1" i="28" s="1"/>
  <c r="AG1" i="28" s="1"/>
  <c r="AH1" i="28" s="1"/>
  <c r="AI1" i="28" s="1"/>
  <c r="AJ1" i="28" s="1"/>
  <c r="AK1" i="28" s="1"/>
  <c r="AL1" i="28" s="1"/>
  <c r="AM1" i="28" s="1"/>
  <c r="AN1" i="28" s="1"/>
  <c r="AO1" i="28" s="1"/>
  <c r="A4" i="28" l="1"/>
  <c r="AG6" i="28"/>
  <c r="AF6" i="28"/>
  <c r="AL6" i="28"/>
  <c r="AK6" i="28"/>
  <c r="A338" i="28"/>
  <c r="E10" i="56"/>
  <c r="E14" i="56" s="1"/>
  <c r="E19" i="56" s="1"/>
  <c r="D10" i="56"/>
  <c r="D14" i="56" s="1"/>
  <c r="C10" i="56"/>
  <c r="C14" i="56" s="1"/>
  <c r="C19" i="56" s="1"/>
  <c r="C21" i="56" s="1"/>
  <c r="F11" i="56"/>
  <c r="F12" i="56"/>
  <c r="B14" i="56"/>
  <c r="B19" i="56" s="1"/>
  <c r="F6" i="56"/>
  <c r="V334" i="32"/>
  <c r="V333" i="32"/>
  <c r="V332" i="32"/>
  <c r="V330" i="32"/>
  <c r="V329" i="32"/>
  <c r="V328" i="32"/>
  <c r="V327" i="32"/>
  <c r="V326" i="32"/>
  <c r="V325" i="32"/>
  <c r="V324" i="32"/>
  <c r="V322" i="32"/>
  <c r="V321" i="32"/>
  <c r="V320" i="32"/>
  <c r="V318" i="32"/>
  <c r="V317" i="32"/>
  <c r="V316" i="32"/>
  <c r="V315" i="32"/>
  <c r="V314" i="32"/>
  <c r="V313" i="32"/>
  <c r="V312" i="32"/>
  <c r="V311" i="32"/>
  <c r="V310" i="32"/>
  <c r="V309" i="32"/>
  <c r="V308" i="32"/>
  <c r="V307" i="32"/>
  <c r="V306" i="32"/>
  <c r="V304" i="32"/>
  <c r="V303" i="32"/>
  <c r="V302" i="32"/>
  <c r="V301" i="32"/>
  <c r="V300" i="32"/>
  <c r="V299" i="32"/>
  <c r="V298" i="32"/>
  <c r="V296" i="32"/>
  <c r="V295" i="32"/>
  <c r="V294" i="32"/>
  <c r="V293" i="32"/>
  <c r="V292" i="32"/>
  <c r="V291" i="32"/>
  <c r="V290" i="32"/>
  <c r="V289" i="32"/>
  <c r="V288" i="32"/>
  <c r="V287" i="32"/>
  <c r="V286" i="32"/>
  <c r="V284" i="32"/>
  <c r="V283" i="32"/>
  <c r="V282" i="32"/>
  <c r="V281" i="32"/>
  <c r="V280" i="32"/>
  <c r="V279" i="32"/>
  <c r="V278" i="32"/>
  <c r="V277" i="32"/>
  <c r="V275" i="32"/>
  <c r="V273" i="32"/>
  <c r="V271" i="32"/>
  <c r="V270" i="32"/>
  <c r="V269" i="32"/>
  <c r="V268" i="32"/>
  <c r="V267" i="32"/>
  <c r="V266" i="32"/>
  <c r="V265" i="32"/>
  <c r="V264" i="32"/>
  <c r="V263" i="32"/>
  <c r="V262" i="32"/>
  <c r="V261" i="32"/>
  <c r="V260" i="32"/>
  <c r="V259" i="32"/>
  <c r="V258" i="32"/>
  <c r="V257" i="32"/>
  <c r="V256" i="32"/>
  <c r="V254" i="32"/>
  <c r="V253" i="32"/>
  <c r="V252" i="32"/>
  <c r="V251" i="32"/>
  <c r="V250" i="32"/>
  <c r="V249" i="32"/>
  <c r="V248" i="32"/>
  <c r="V247" i="32"/>
  <c r="V246" i="32"/>
  <c r="V244" i="32"/>
  <c r="V243" i="32"/>
  <c r="V242" i="32"/>
  <c r="V241" i="32"/>
  <c r="V240" i="32"/>
  <c r="V239" i="32"/>
  <c r="V238" i="32"/>
  <c r="V237" i="32"/>
  <c r="V236" i="32"/>
  <c r="V235" i="32"/>
  <c r="V234" i="32"/>
  <c r="V233" i="32"/>
  <c r="V232" i="32"/>
  <c r="V231" i="32"/>
  <c r="V230" i="32"/>
  <c r="V229" i="32"/>
  <c r="V228" i="32"/>
  <c r="V227" i="32"/>
  <c r="V226" i="32"/>
  <c r="V225" i="32"/>
  <c r="V224" i="32"/>
  <c r="V223" i="32"/>
  <c r="V222" i="32"/>
  <c r="V221" i="32"/>
  <c r="V220" i="32"/>
  <c r="V219" i="32"/>
  <c r="V218" i="32"/>
  <c r="V217" i="32"/>
  <c r="V216" i="32"/>
  <c r="V215" i="32"/>
  <c r="V214" i="32"/>
  <c r="V213" i="32"/>
  <c r="V212" i="32"/>
  <c r="V211" i="32"/>
  <c r="V210" i="32"/>
  <c r="V209" i="32"/>
  <c r="V208" i="32"/>
  <c r="V207" i="32"/>
  <c r="V206" i="32"/>
  <c r="V205" i="32"/>
  <c r="V204" i="32"/>
  <c r="V203" i="32"/>
  <c r="V201" i="32"/>
  <c r="V200" i="32"/>
  <c r="V199" i="32"/>
  <c r="V198" i="32"/>
  <c r="V197" i="32"/>
  <c r="V196" i="32"/>
  <c r="V195" i="32"/>
  <c r="V194" i="32"/>
  <c r="V193" i="32"/>
  <c r="V192" i="32"/>
  <c r="V190" i="32"/>
  <c r="V189" i="32"/>
  <c r="V188" i="32"/>
  <c r="V187" i="32"/>
  <c r="V186" i="32"/>
  <c r="V185" i="32"/>
  <c r="V184" i="32"/>
  <c r="V183" i="32"/>
  <c r="V182" i="32"/>
  <c r="V181" i="32"/>
  <c r="V180" i="32"/>
  <c r="V179" i="32"/>
  <c r="V178" i="32"/>
  <c r="V177" i="32"/>
  <c r="V176" i="32"/>
  <c r="V175" i="32"/>
  <c r="V174" i="32"/>
  <c r="V172" i="32"/>
  <c r="V170" i="32"/>
  <c r="V169" i="32"/>
  <c r="V168" i="32"/>
  <c r="V167" i="32"/>
  <c r="V166" i="32"/>
  <c r="V165" i="32"/>
  <c r="V164" i="32"/>
  <c r="V163" i="32"/>
  <c r="V162" i="32"/>
  <c r="V161" i="32"/>
  <c r="V160" i="32"/>
  <c r="V159" i="32"/>
  <c r="V158" i="32"/>
  <c r="V157" i="32"/>
  <c r="V156" i="32"/>
  <c r="V155" i="32"/>
  <c r="V154" i="32"/>
  <c r="V153" i="32"/>
  <c r="V152" i="32"/>
  <c r="V151" i="32"/>
  <c r="V150" i="32"/>
  <c r="V149" i="32"/>
  <c r="V148" i="32"/>
  <c r="V147" i="32"/>
  <c r="V146" i="32"/>
  <c r="V145" i="32"/>
  <c r="V144" i="32"/>
  <c r="V143" i="32"/>
  <c r="V142" i="32"/>
  <c r="V141" i="32"/>
  <c r="V140" i="32"/>
  <c r="V139" i="32"/>
  <c r="V138" i="32"/>
  <c r="V137" i="32"/>
  <c r="V135" i="32"/>
  <c r="V134" i="32"/>
  <c r="V133" i="32"/>
  <c r="V132" i="32"/>
  <c r="V131" i="32"/>
  <c r="V130" i="32"/>
  <c r="V129" i="32"/>
  <c r="V128" i="32"/>
  <c r="V127" i="32"/>
  <c r="V126" i="32"/>
  <c r="V125" i="32"/>
  <c r="V124" i="32"/>
  <c r="V123" i="32"/>
  <c r="V122" i="32"/>
  <c r="V121" i="32"/>
  <c r="V120" i="32"/>
  <c r="V119" i="32"/>
  <c r="V118" i="32"/>
  <c r="V117" i="32"/>
  <c r="V116" i="32"/>
  <c r="V115" i="32"/>
  <c r="V114" i="32"/>
  <c r="V113" i="32"/>
  <c r="V112" i="32"/>
  <c r="V111" i="32"/>
  <c r="V110" i="32"/>
  <c r="V109" i="32"/>
  <c r="V108" i="32"/>
  <c r="V107" i="32"/>
  <c r="V106" i="32"/>
  <c r="V105" i="32"/>
  <c r="V104" i="32"/>
  <c r="V103" i="32"/>
  <c r="V102" i="32"/>
  <c r="V101" i="32"/>
  <c r="V100" i="32"/>
  <c r="V99" i="32"/>
  <c r="V98" i="32"/>
  <c r="V97" i="32"/>
  <c r="V96" i="32"/>
  <c r="V95" i="32"/>
  <c r="V94" i="32"/>
  <c r="V93" i="32"/>
  <c r="V92" i="32"/>
  <c r="V80" i="32"/>
  <c r="V79" i="32"/>
  <c r="V78" i="32"/>
  <c r="V77" i="32"/>
  <c r="V76" i="32"/>
  <c r="V75" i="32"/>
  <c r="V74" i="32"/>
  <c r="V73" i="32"/>
  <c r="V72" i="32"/>
  <c r="V71" i="32"/>
  <c r="V70" i="32"/>
  <c r="V69" i="32"/>
  <c r="V68" i="32"/>
  <c r="V67" i="32"/>
  <c r="V66" i="32"/>
  <c r="V65" i="32"/>
  <c r="V64" i="32"/>
  <c r="V63" i="32"/>
  <c r="V61" i="32"/>
  <c r="V60" i="32"/>
  <c r="V59" i="32"/>
  <c r="V58" i="32"/>
  <c r="V57" i="32"/>
  <c r="V56" i="32"/>
  <c r="V55" i="32"/>
  <c r="V54" i="32"/>
  <c r="V53" i="32"/>
  <c r="V52" i="32"/>
  <c r="V51" i="32"/>
  <c r="V50" i="32"/>
  <c r="V49" i="32"/>
  <c r="V48" i="32"/>
  <c r="V47" i="32"/>
  <c r="V46" i="32"/>
  <c r="V45" i="32"/>
  <c r="V44" i="32"/>
  <c r="V43" i="32"/>
  <c r="V41" i="32"/>
  <c r="V40" i="32"/>
  <c r="V39" i="32"/>
  <c r="V38" i="32"/>
  <c r="V37" i="32"/>
  <c r="V36" i="32"/>
  <c r="V35" i="32"/>
  <c r="V34" i="32"/>
  <c r="V33" i="32"/>
  <c r="V32" i="32"/>
  <c r="V31" i="32"/>
  <c r="V30" i="32"/>
  <c r="V29" i="32"/>
  <c r="V28" i="32"/>
  <c r="V27" i="32"/>
  <c r="V26" i="32"/>
  <c r="V25" i="32"/>
  <c r="V24" i="32"/>
  <c r="V23" i="32"/>
  <c r="V22" i="32"/>
  <c r="V21" i="32"/>
  <c r="V19" i="32"/>
  <c r="V17" i="32"/>
  <c r="V16" i="32"/>
  <c r="V15" i="32"/>
  <c r="V14" i="32"/>
  <c r="V13" i="32"/>
  <c r="V12" i="32"/>
  <c r="V11" i="32"/>
  <c r="V10" i="32"/>
  <c r="V9" i="32"/>
  <c r="V8" i="32"/>
  <c r="V7" i="32"/>
  <c r="O3" i="58"/>
  <c r="S7" i="50"/>
  <c r="O7" i="50"/>
  <c r="R338" i="50"/>
  <c r="R337" i="50"/>
  <c r="R336" i="50"/>
  <c r="R335" i="50"/>
  <c r="R334" i="50"/>
  <c r="R333" i="50"/>
  <c r="R332" i="50"/>
  <c r="R331" i="50"/>
  <c r="R330" i="50"/>
  <c r="R329" i="50"/>
  <c r="R328" i="50"/>
  <c r="R327" i="50"/>
  <c r="R326" i="50"/>
  <c r="R325" i="50"/>
  <c r="R324" i="50"/>
  <c r="R323" i="50"/>
  <c r="R322" i="50"/>
  <c r="R321" i="50"/>
  <c r="R320" i="50"/>
  <c r="R319" i="50"/>
  <c r="R318" i="50"/>
  <c r="R317" i="50"/>
  <c r="R316" i="50"/>
  <c r="R315" i="50"/>
  <c r="R314" i="50"/>
  <c r="R313" i="50"/>
  <c r="R312" i="50"/>
  <c r="R311" i="50"/>
  <c r="R310" i="50"/>
  <c r="R309" i="50"/>
  <c r="R308" i="50"/>
  <c r="R307" i="50"/>
  <c r="R306" i="50"/>
  <c r="R305" i="50"/>
  <c r="R304" i="50"/>
  <c r="R303" i="50"/>
  <c r="R302" i="50"/>
  <c r="R301" i="50"/>
  <c r="R300" i="50"/>
  <c r="R299" i="50"/>
  <c r="R298" i="50"/>
  <c r="R297" i="50"/>
  <c r="R296" i="50"/>
  <c r="R295" i="50"/>
  <c r="R294" i="50"/>
  <c r="R293" i="50"/>
  <c r="R292" i="50"/>
  <c r="R291" i="50"/>
  <c r="R290" i="50"/>
  <c r="R289" i="50"/>
  <c r="R288" i="50"/>
  <c r="R287" i="50"/>
  <c r="R286" i="50"/>
  <c r="R285" i="50"/>
  <c r="R284" i="50"/>
  <c r="R283" i="50"/>
  <c r="R282" i="50"/>
  <c r="R281" i="50"/>
  <c r="R280" i="50"/>
  <c r="R279" i="50"/>
  <c r="R278" i="50"/>
  <c r="R277" i="50"/>
  <c r="R276" i="50"/>
  <c r="R275" i="50"/>
  <c r="R274" i="50"/>
  <c r="R273" i="50"/>
  <c r="R272" i="50"/>
  <c r="R271" i="50"/>
  <c r="R270" i="50"/>
  <c r="R269" i="50"/>
  <c r="R268" i="50"/>
  <c r="R267" i="50"/>
  <c r="R266" i="50"/>
  <c r="R265" i="50"/>
  <c r="R264" i="50"/>
  <c r="R263" i="50"/>
  <c r="R262" i="50"/>
  <c r="R261" i="50"/>
  <c r="R260" i="50"/>
  <c r="R259" i="50"/>
  <c r="R258" i="50"/>
  <c r="R257" i="50"/>
  <c r="R256" i="50"/>
  <c r="R255" i="50"/>
  <c r="R254" i="50"/>
  <c r="R253" i="50"/>
  <c r="R252" i="50"/>
  <c r="R251" i="50"/>
  <c r="R250" i="50"/>
  <c r="R248" i="50"/>
  <c r="R247" i="50"/>
  <c r="R246" i="50"/>
  <c r="R245" i="50"/>
  <c r="R244" i="50"/>
  <c r="R243" i="50"/>
  <c r="R242" i="50"/>
  <c r="R241" i="50"/>
  <c r="R240" i="50"/>
  <c r="R239" i="50"/>
  <c r="R238" i="50"/>
  <c r="R237" i="50"/>
  <c r="R236" i="50"/>
  <c r="R235" i="50"/>
  <c r="R234" i="50"/>
  <c r="R233" i="50"/>
  <c r="R232" i="50"/>
  <c r="R231" i="50"/>
  <c r="R230" i="50"/>
  <c r="R229" i="50"/>
  <c r="R228" i="50"/>
  <c r="R227" i="50"/>
  <c r="R226" i="50"/>
  <c r="R225" i="50"/>
  <c r="R224" i="50"/>
  <c r="R223" i="50"/>
  <c r="R222" i="50"/>
  <c r="R221" i="50"/>
  <c r="R220" i="50"/>
  <c r="R219" i="50"/>
  <c r="R218" i="50"/>
  <c r="R217" i="50"/>
  <c r="R216" i="50"/>
  <c r="R215" i="50"/>
  <c r="R214" i="50"/>
  <c r="R213" i="50"/>
  <c r="R211" i="50"/>
  <c r="R210" i="50"/>
  <c r="R209" i="50"/>
  <c r="R208" i="50"/>
  <c r="R207" i="50"/>
  <c r="R206" i="50"/>
  <c r="R205" i="50"/>
  <c r="R204" i="50"/>
  <c r="R203" i="50"/>
  <c r="R202" i="50"/>
  <c r="R201" i="50"/>
  <c r="R200" i="50"/>
  <c r="R199" i="50"/>
  <c r="R198" i="50"/>
  <c r="R197" i="50"/>
  <c r="R196" i="50"/>
  <c r="R195" i="50"/>
  <c r="R194" i="50"/>
  <c r="R193" i="50"/>
  <c r="R192" i="50"/>
  <c r="R191" i="50"/>
  <c r="R190" i="50"/>
  <c r="R189" i="50"/>
  <c r="R188" i="50"/>
  <c r="R187" i="50"/>
  <c r="R186" i="50"/>
  <c r="R185" i="50"/>
  <c r="R184" i="50"/>
  <c r="R183" i="50"/>
  <c r="R182" i="50"/>
  <c r="R181" i="50"/>
  <c r="R180" i="50"/>
  <c r="R179" i="50"/>
  <c r="R178" i="50"/>
  <c r="R177" i="50"/>
  <c r="R176" i="50"/>
  <c r="R175" i="50"/>
  <c r="R174" i="50"/>
  <c r="R173" i="50"/>
  <c r="R172" i="50"/>
  <c r="R171" i="50"/>
  <c r="R170" i="50"/>
  <c r="R169" i="50"/>
  <c r="R168" i="50"/>
  <c r="R167" i="50"/>
  <c r="R166" i="50"/>
  <c r="R165" i="50"/>
  <c r="R164" i="50"/>
  <c r="R163" i="50"/>
  <c r="R162" i="50"/>
  <c r="R161" i="50"/>
  <c r="R160" i="50"/>
  <c r="R159" i="50"/>
  <c r="R158" i="50"/>
  <c r="R157" i="50"/>
  <c r="R156" i="50"/>
  <c r="R155" i="50"/>
  <c r="R154" i="50"/>
  <c r="R153" i="50"/>
  <c r="R152" i="50"/>
  <c r="R151" i="50"/>
  <c r="R150" i="50"/>
  <c r="R149" i="50"/>
  <c r="R148" i="50"/>
  <c r="R147" i="50"/>
  <c r="R146" i="50"/>
  <c r="R145" i="50"/>
  <c r="R144" i="50"/>
  <c r="R143" i="50"/>
  <c r="R142" i="50"/>
  <c r="R141" i="50"/>
  <c r="R140" i="50"/>
  <c r="R139" i="50"/>
  <c r="R138" i="50"/>
  <c r="R137" i="50"/>
  <c r="R136" i="50"/>
  <c r="R135" i="50"/>
  <c r="R134" i="50"/>
  <c r="R133" i="50"/>
  <c r="R132" i="50"/>
  <c r="R131" i="50"/>
  <c r="R130" i="50"/>
  <c r="R129" i="50"/>
  <c r="R128" i="50"/>
  <c r="R127" i="50"/>
  <c r="R126" i="50"/>
  <c r="R125" i="50"/>
  <c r="R124" i="50"/>
  <c r="R123" i="50"/>
  <c r="R122" i="50"/>
  <c r="R121" i="50"/>
  <c r="R120" i="50"/>
  <c r="R118" i="50"/>
  <c r="R117" i="50"/>
  <c r="R116" i="50"/>
  <c r="R115" i="50"/>
  <c r="R114" i="50"/>
  <c r="R113" i="50"/>
  <c r="R112" i="50"/>
  <c r="R111" i="50"/>
  <c r="R110" i="50"/>
  <c r="R109" i="50"/>
  <c r="R108" i="50"/>
  <c r="R107" i="50"/>
  <c r="R106" i="50"/>
  <c r="R105" i="50"/>
  <c r="R104" i="50"/>
  <c r="R103" i="50"/>
  <c r="R102" i="50"/>
  <c r="R101" i="50"/>
  <c r="R100" i="50"/>
  <c r="R99" i="50"/>
  <c r="R98" i="50"/>
  <c r="R97" i="50"/>
  <c r="R96" i="50"/>
  <c r="R95" i="50"/>
  <c r="R94" i="50"/>
  <c r="R93" i="50"/>
  <c r="R92" i="50"/>
  <c r="R91" i="50"/>
  <c r="R90" i="50"/>
  <c r="R89" i="50"/>
  <c r="R88" i="50"/>
  <c r="R87" i="50"/>
  <c r="R86" i="50"/>
  <c r="R85" i="50"/>
  <c r="R84" i="50"/>
  <c r="R83" i="50"/>
  <c r="R82" i="50"/>
  <c r="R81" i="50"/>
  <c r="R80" i="50"/>
  <c r="R79" i="50"/>
  <c r="R78" i="50"/>
  <c r="R77" i="50"/>
  <c r="R76" i="50"/>
  <c r="R75" i="50"/>
  <c r="R74" i="50"/>
  <c r="R73" i="50"/>
  <c r="R72" i="50"/>
  <c r="R71" i="50"/>
  <c r="R70" i="50"/>
  <c r="R69" i="50"/>
  <c r="R68" i="50"/>
  <c r="R67" i="50"/>
  <c r="R66" i="50"/>
  <c r="R65" i="50"/>
  <c r="R64" i="50"/>
  <c r="R63" i="50"/>
  <c r="R62" i="50"/>
  <c r="R61" i="50"/>
  <c r="R60" i="50"/>
  <c r="R59" i="50"/>
  <c r="R58" i="50"/>
  <c r="R57" i="50"/>
  <c r="R56" i="50"/>
  <c r="R55" i="50"/>
  <c r="R54" i="50"/>
  <c r="R53" i="50"/>
  <c r="R52" i="50"/>
  <c r="R51" i="50"/>
  <c r="R50" i="50"/>
  <c r="R49" i="50"/>
  <c r="R48" i="50"/>
  <c r="R47" i="50"/>
  <c r="R46" i="50"/>
  <c r="R45" i="50"/>
  <c r="R44" i="50"/>
  <c r="R43" i="50"/>
  <c r="R42" i="50"/>
  <c r="R41" i="50"/>
  <c r="R40" i="50"/>
  <c r="R39" i="50"/>
  <c r="R38" i="50"/>
  <c r="R37" i="50"/>
  <c r="R36" i="50"/>
  <c r="R35" i="50"/>
  <c r="R34" i="50"/>
  <c r="R33" i="50"/>
  <c r="R32" i="50"/>
  <c r="R31" i="50"/>
  <c r="R30" i="50"/>
  <c r="R29" i="50"/>
  <c r="R28" i="50"/>
  <c r="R27" i="50"/>
  <c r="R26" i="50"/>
  <c r="R25" i="50"/>
  <c r="R24" i="50"/>
  <c r="R23" i="50"/>
  <c r="R22" i="50"/>
  <c r="R21" i="50"/>
  <c r="R20" i="50"/>
  <c r="R19" i="50"/>
  <c r="R18" i="50"/>
  <c r="R17" i="50"/>
  <c r="R16" i="50"/>
  <c r="R15" i="50"/>
  <c r="R14" i="50"/>
  <c r="R13" i="50"/>
  <c r="R12" i="50"/>
  <c r="R11" i="50"/>
  <c r="R10" i="50"/>
  <c r="R9" i="50"/>
  <c r="R8" i="50"/>
  <c r="AS6" i="28"/>
  <c r="N338" i="50"/>
  <c r="J338" i="50"/>
  <c r="F338" i="50"/>
  <c r="N337" i="50"/>
  <c r="J337" i="50"/>
  <c r="F337" i="50"/>
  <c r="N336" i="50"/>
  <c r="J336" i="50"/>
  <c r="F336" i="50"/>
  <c r="N335" i="50"/>
  <c r="J335" i="50"/>
  <c r="F335" i="50"/>
  <c r="N334" i="50"/>
  <c r="J334" i="50"/>
  <c r="F334" i="50"/>
  <c r="N333" i="50"/>
  <c r="J333" i="50"/>
  <c r="F333" i="50"/>
  <c r="N332" i="50"/>
  <c r="J332" i="50"/>
  <c r="F332" i="50"/>
  <c r="N331" i="50"/>
  <c r="J331" i="50"/>
  <c r="F331" i="50"/>
  <c r="N330" i="50"/>
  <c r="J330" i="50"/>
  <c r="F330" i="50"/>
  <c r="N329" i="50"/>
  <c r="J329" i="50"/>
  <c r="F329" i="50"/>
  <c r="N328" i="50"/>
  <c r="J328" i="50"/>
  <c r="F328" i="50"/>
  <c r="N327" i="50"/>
  <c r="N326" i="50"/>
  <c r="J326" i="50"/>
  <c r="F326" i="50"/>
  <c r="N325" i="50"/>
  <c r="J325" i="50"/>
  <c r="F325" i="50"/>
  <c r="N324" i="50"/>
  <c r="J324" i="50"/>
  <c r="F324" i="50"/>
  <c r="N323" i="50"/>
  <c r="N322" i="50"/>
  <c r="J322" i="50"/>
  <c r="F322" i="50"/>
  <c r="N321" i="50"/>
  <c r="J321" i="50"/>
  <c r="F321" i="50"/>
  <c r="N320" i="50"/>
  <c r="J320" i="50"/>
  <c r="F320" i="50"/>
  <c r="N319" i="50"/>
  <c r="J319" i="50"/>
  <c r="F319" i="50"/>
  <c r="N318" i="50"/>
  <c r="J318" i="50"/>
  <c r="F318" i="50"/>
  <c r="N317" i="50"/>
  <c r="J317" i="50"/>
  <c r="F317" i="50"/>
  <c r="N316" i="50"/>
  <c r="J316" i="50"/>
  <c r="F316" i="50"/>
  <c r="N315" i="50"/>
  <c r="J315" i="50"/>
  <c r="F315" i="50"/>
  <c r="N314" i="50"/>
  <c r="J314" i="50"/>
  <c r="F314" i="50"/>
  <c r="N313" i="50"/>
  <c r="J313" i="50"/>
  <c r="F313" i="50"/>
  <c r="N312" i="50"/>
  <c r="J312" i="50"/>
  <c r="F312" i="50"/>
  <c r="N311" i="50"/>
  <c r="J311" i="50"/>
  <c r="F311" i="50"/>
  <c r="N310" i="50"/>
  <c r="J310" i="50"/>
  <c r="F310" i="50"/>
  <c r="N309" i="50"/>
  <c r="J309" i="50"/>
  <c r="F309" i="50"/>
  <c r="N308" i="50"/>
  <c r="J308" i="50"/>
  <c r="F308" i="50"/>
  <c r="N307" i="50"/>
  <c r="J307" i="50"/>
  <c r="F307" i="50"/>
  <c r="N306" i="50"/>
  <c r="J306" i="50"/>
  <c r="F306" i="50"/>
  <c r="N305" i="50"/>
  <c r="J305" i="50"/>
  <c r="F305" i="50"/>
  <c r="N304" i="50"/>
  <c r="J304" i="50"/>
  <c r="F304" i="50"/>
  <c r="N303" i="50"/>
  <c r="J303" i="50"/>
  <c r="F303" i="50"/>
  <c r="N302" i="50"/>
  <c r="J302" i="50"/>
  <c r="F302" i="50"/>
  <c r="N301" i="50"/>
  <c r="J301" i="50"/>
  <c r="F301" i="50"/>
  <c r="N300" i="50"/>
  <c r="J300" i="50"/>
  <c r="F300" i="50"/>
  <c r="N299" i="50"/>
  <c r="J299" i="50"/>
  <c r="F299" i="50"/>
  <c r="N298" i="50"/>
  <c r="J298" i="50"/>
  <c r="F298" i="50"/>
  <c r="N297" i="50"/>
  <c r="J297" i="50"/>
  <c r="F297" i="50"/>
  <c r="N296" i="50"/>
  <c r="J296" i="50"/>
  <c r="F296" i="50"/>
  <c r="N295" i="50"/>
  <c r="J295" i="50"/>
  <c r="F295" i="50"/>
  <c r="N294" i="50"/>
  <c r="J294" i="50"/>
  <c r="F294" i="50"/>
  <c r="N293" i="50"/>
  <c r="J293" i="50"/>
  <c r="F293" i="50"/>
  <c r="N292" i="50"/>
  <c r="J292" i="50"/>
  <c r="F292" i="50"/>
  <c r="N291" i="50"/>
  <c r="J291" i="50"/>
  <c r="F291" i="50"/>
  <c r="N290" i="50"/>
  <c r="J290" i="50"/>
  <c r="F290" i="50"/>
  <c r="N289" i="50"/>
  <c r="J289" i="50"/>
  <c r="F289" i="50"/>
  <c r="N288" i="50"/>
  <c r="J288" i="50"/>
  <c r="F288" i="50"/>
  <c r="N287" i="50"/>
  <c r="J287" i="50"/>
  <c r="F287" i="50"/>
  <c r="N286" i="50"/>
  <c r="J286" i="50"/>
  <c r="F286" i="50"/>
  <c r="N285" i="50"/>
  <c r="J285" i="50"/>
  <c r="F285" i="50"/>
  <c r="N284" i="50"/>
  <c r="J284" i="50"/>
  <c r="F284" i="50"/>
  <c r="N283" i="50"/>
  <c r="J283" i="50"/>
  <c r="F283" i="50"/>
  <c r="N282" i="50"/>
  <c r="J282" i="50"/>
  <c r="F282" i="50"/>
  <c r="N281" i="50"/>
  <c r="J281" i="50"/>
  <c r="F281" i="50"/>
  <c r="N280" i="50"/>
  <c r="J280" i="50"/>
  <c r="F280" i="50"/>
  <c r="N279" i="50"/>
  <c r="J279" i="50"/>
  <c r="F279" i="50"/>
  <c r="N278" i="50"/>
  <c r="J278" i="50"/>
  <c r="F278" i="50"/>
  <c r="N277" i="50"/>
  <c r="J277" i="50"/>
  <c r="F277" i="50"/>
  <c r="N276" i="50"/>
  <c r="J276" i="50"/>
  <c r="F276" i="50"/>
  <c r="N275" i="50"/>
  <c r="J275" i="50"/>
  <c r="F275" i="50"/>
  <c r="N274" i="50"/>
  <c r="J274" i="50"/>
  <c r="F274" i="50"/>
  <c r="N273" i="50"/>
  <c r="J273" i="50"/>
  <c r="F273" i="50"/>
  <c r="N272" i="50"/>
  <c r="J272" i="50"/>
  <c r="F272" i="50"/>
  <c r="N271" i="50"/>
  <c r="J271" i="50"/>
  <c r="F271" i="50"/>
  <c r="N270" i="50"/>
  <c r="J270" i="50"/>
  <c r="F270" i="50"/>
  <c r="N269" i="50"/>
  <c r="J269" i="50"/>
  <c r="F269" i="50"/>
  <c r="N268" i="50"/>
  <c r="J268" i="50"/>
  <c r="F268" i="50"/>
  <c r="N267" i="50"/>
  <c r="J267" i="50"/>
  <c r="F267" i="50"/>
  <c r="N266" i="50"/>
  <c r="J266" i="50"/>
  <c r="F266" i="50"/>
  <c r="N265" i="50"/>
  <c r="J265" i="50"/>
  <c r="F265" i="50"/>
  <c r="N264" i="50"/>
  <c r="J264" i="50"/>
  <c r="F264" i="50"/>
  <c r="N263" i="50"/>
  <c r="J263" i="50"/>
  <c r="F263" i="50"/>
  <c r="N262" i="50"/>
  <c r="J262" i="50"/>
  <c r="F262" i="50"/>
  <c r="N261" i="50"/>
  <c r="J261" i="50"/>
  <c r="F261" i="50"/>
  <c r="N260" i="50"/>
  <c r="J260" i="50"/>
  <c r="F260" i="50"/>
  <c r="N259" i="50"/>
  <c r="J259" i="50"/>
  <c r="F259" i="50"/>
  <c r="N258" i="50"/>
  <c r="J258" i="50"/>
  <c r="F258" i="50"/>
  <c r="N257" i="50"/>
  <c r="J257" i="50"/>
  <c r="F257" i="50"/>
  <c r="N256" i="50"/>
  <c r="J256" i="50"/>
  <c r="F256" i="50"/>
  <c r="N255" i="50"/>
  <c r="J255" i="50"/>
  <c r="F255" i="50"/>
  <c r="N254" i="50"/>
  <c r="J254" i="50"/>
  <c r="F254" i="50"/>
  <c r="N253" i="50"/>
  <c r="J253" i="50"/>
  <c r="F253" i="50"/>
  <c r="N252" i="50"/>
  <c r="J252" i="50"/>
  <c r="F252" i="50"/>
  <c r="N251" i="50"/>
  <c r="J251" i="50"/>
  <c r="F251" i="50"/>
  <c r="N250" i="50"/>
  <c r="J250" i="50"/>
  <c r="F250" i="50"/>
  <c r="N248" i="50"/>
  <c r="J248" i="50"/>
  <c r="F248" i="50"/>
  <c r="N247" i="50"/>
  <c r="J247" i="50"/>
  <c r="F247" i="50"/>
  <c r="N246" i="50"/>
  <c r="J246" i="50"/>
  <c r="F246" i="50"/>
  <c r="N245" i="50"/>
  <c r="J245" i="50"/>
  <c r="F245" i="50"/>
  <c r="N244" i="50"/>
  <c r="J244" i="50"/>
  <c r="F244" i="50"/>
  <c r="N243" i="50"/>
  <c r="J243" i="50"/>
  <c r="F243" i="50"/>
  <c r="N242" i="50"/>
  <c r="J242" i="50"/>
  <c r="F242" i="50"/>
  <c r="N241" i="50"/>
  <c r="J241" i="50"/>
  <c r="F241" i="50"/>
  <c r="N240" i="50"/>
  <c r="J240" i="50"/>
  <c r="F240" i="50"/>
  <c r="N239" i="50"/>
  <c r="J239" i="50"/>
  <c r="F239" i="50"/>
  <c r="N238" i="50"/>
  <c r="J238" i="50"/>
  <c r="F238" i="50"/>
  <c r="N237" i="50"/>
  <c r="J237" i="50"/>
  <c r="F237" i="50"/>
  <c r="N236" i="50"/>
  <c r="J236" i="50"/>
  <c r="F236" i="50"/>
  <c r="N235" i="50"/>
  <c r="J235" i="50"/>
  <c r="F235" i="50"/>
  <c r="N234" i="50"/>
  <c r="J234" i="50"/>
  <c r="F234" i="50"/>
  <c r="N233" i="50"/>
  <c r="J233" i="50"/>
  <c r="F233" i="50"/>
  <c r="N232" i="50"/>
  <c r="J232" i="50"/>
  <c r="F232" i="50"/>
  <c r="N231" i="50"/>
  <c r="J231" i="50"/>
  <c r="F231" i="50"/>
  <c r="N230" i="50"/>
  <c r="J230" i="50"/>
  <c r="F230" i="50"/>
  <c r="N229" i="50"/>
  <c r="J229" i="50"/>
  <c r="F229" i="50"/>
  <c r="N228" i="50"/>
  <c r="J228" i="50"/>
  <c r="F228" i="50"/>
  <c r="N227" i="50"/>
  <c r="N226" i="50"/>
  <c r="J226" i="50"/>
  <c r="F226" i="50"/>
  <c r="N225" i="50"/>
  <c r="J225" i="50"/>
  <c r="F225" i="50"/>
  <c r="N224" i="50"/>
  <c r="J224" i="50"/>
  <c r="F224" i="50"/>
  <c r="N223" i="50"/>
  <c r="J223" i="50"/>
  <c r="F223" i="50"/>
  <c r="N222" i="50"/>
  <c r="J222" i="50"/>
  <c r="F222" i="50"/>
  <c r="N221" i="50"/>
  <c r="J221" i="50"/>
  <c r="F221" i="50"/>
  <c r="N220" i="50"/>
  <c r="J220" i="50"/>
  <c r="F220" i="50"/>
  <c r="N219" i="50"/>
  <c r="J219" i="50"/>
  <c r="F219" i="50"/>
  <c r="N218" i="50"/>
  <c r="N217" i="50"/>
  <c r="J217" i="50"/>
  <c r="F217" i="50"/>
  <c r="N216" i="50"/>
  <c r="J216" i="50"/>
  <c r="F216" i="50"/>
  <c r="N215" i="50"/>
  <c r="J215" i="50"/>
  <c r="F215" i="50"/>
  <c r="N214" i="50"/>
  <c r="J214" i="50"/>
  <c r="F214" i="50"/>
  <c r="N213" i="50"/>
  <c r="J213" i="50"/>
  <c r="F213" i="50"/>
  <c r="N211" i="50"/>
  <c r="J211" i="50"/>
  <c r="F211" i="50"/>
  <c r="N210" i="50"/>
  <c r="J210" i="50"/>
  <c r="F210" i="50"/>
  <c r="N209" i="50"/>
  <c r="J209" i="50"/>
  <c r="F209" i="50"/>
  <c r="N208" i="50"/>
  <c r="J208" i="50"/>
  <c r="F208" i="50"/>
  <c r="N207" i="50"/>
  <c r="J207" i="50"/>
  <c r="F207" i="50"/>
  <c r="N206" i="50"/>
  <c r="J206" i="50"/>
  <c r="F206" i="50"/>
  <c r="N205" i="50"/>
  <c r="J205" i="50"/>
  <c r="F205" i="50"/>
  <c r="N204" i="50"/>
  <c r="J204" i="50"/>
  <c r="F204" i="50"/>
  <c r="N203" i="50"/>
  <c r="J203" i="50"/>
  <c r="F203" i="50"/>
  <c r="N202" i="50"/>
  <c r="J202" i="50"/>
  <c r="F202" i="50"/>
  <c r="N201" i="50"/>
  <c r="J201" i="50"/>
  <c r="F201" i="50"/>
  <c r="N200" i="50"/>
  <c r="J200" i="50"/>
  <c r="F200" i="50"/>
  <c r="N199" i="50"/>
  <c r="J199" i="50"/>
  <c r="F199" i="50"/>
  <c r="N198" i="50"/>
  <c r="J198" i="50"/>
  <c r="F198" i="50"/>
  <c r="N197" i="50"/>
  <c r="J197" i="50"/>
  <c r="F197" i="50"/>
  <c r="N196" i="50"/>
  <c r="J196" i="50"/>
  <c r="F196" i="50"/>
  <c r="N195" i="50"/>
  <c r="J195" i="50"/>
  <c r="F195" i="50"/>
  <c r="N194" i="50"/>
  <c r="J194" i="50"/>
  <c r="F194" i="50"/>
  <c r="N193" i="50"/>
  <c r="J193" i="50"/>
  <c r="F193" i="50"/>
  <c r="N192" i="50"/>
  <c r="J192" i="50"/>
  <c r="F192" i="50"/>
  <c r="N191" i="50"/>
  <c r="J191" i="50"/>
  <c r="F191" i="50"/>
  <c r="N190" i="50"/>
  <c r="J190" i="50"/>
  <c r="F190" i="50"/>
  <c r="N189" i="50"/>
  <c r="J189" i="50"/>
  <c r="F189" i="50"/>
  <c r="N188" i="50"/>
  <c r="J188" i="50"/>
  <c r="F188" i="50"/>
  <c r="N187" i="50"/>
  <c r="J187" i="50"/>
  <c r="F187" i="50"/>
  <c r="N186" i="50"/>
  <c r="J186" i="50"/>
  <c r="F186" i="50"/>
  <c r="N185" i="50"/>
  <c r="J185" i="50"/>
  <c r="F185" i="50"/>
  <c r="N184" i="50"/>
  <c r="J184" i="50"/>
  <c r="F184" i="50"/>
  <c r="N183" i="50"/>
  <c r="J183" i="50"/>
  <c r="F183" i="50"/>
  <c r="N182" i="50"/>
  <c r="J182" i="50"/>
  <c r="F182" i="50"/>
  <c r="N181" i="50"/>
  <c r="J181" i="50"/>
  <c r="F181" i="50"/>
  <c r="N180" i="50"/>
  <c r="J180" i="50"/>
  <c r="F180" i="50"/>
  <c r="N179" i="50"/>
  <c r="J179" i="50"/>
  <c r="F179" i="50"/>
  <c r="N178" i="50"/>
  <c r="J178" i="50"/>
  <c r="F178" i="50"/>
  <c r="N177" i="50"/>
  <c r="J177" i="50"/>
  <c r="F177" i="50"/>
  <c r="N176" i="50"/>
  <c r="J176" i="50"/>
  <c r="F176" i="50"/>
  <c r="N175" i="50"/>
  <c r="J175" i="50"/>
  <c r="F175" i="50"/>
  <c r="N174" i="50"/>
  <c r="J174" i="50"/>
  <c r="F174" i="50"/>
  <c r="N173" i="50"/>
  <c r="J173" i="50"/>
  <c r="F173" i="50"/>
  <c r="N172" i="50"/>
  <c r="J172" i="50"/>
  <c r="F172" i="50"/>
  <c r="N171" i="50"/>
  <c r="J171" i="50"/>
  <c r="F171" i="50"/>
  <c r="N170" i="50"/>
  <c r="J170" i="50"/>
  <c r="F170" i="50"/>
  <c r="N169" i="50"/>
  <c r="J169" i="50"/>
  <c r="F169" i="50"/>
  <c r="N168" i="50"/>
  <c r="J168" i="50"/>
  <c r="F168" i="50"/>
  <c r="N167" i="50"/>
  <c r="J167" i="50"/>
  <c r="F167" i="50"/>
  <c r="N166" i="50"/>
  <c r="J166" i="50"/>
  <c r="F166" i="50"/>
  <c r="N165" i="50"/>
  <c r="J165" i="50"/>
  <c r="F165" i="50"/>
  <c r="N164" i="50"/>
  <c r="J164" i="50"/>
  <c r="F164" i="50"/>
  <c r="N163" i="50"/>
  <c r="J163" i="50"/>
  <c r="F163" i="50"/>
  <c r="N162" i="50"/>
  <c r="J162" i="50"/>
  <c r="F162" i="50"/>
  <c r="N161" i="50"/>
  <c r="J161" i="50"/>
  <c r="F161" i="50"/>
  <c r="N160" i="50"/>
  <c r="J160" i="50"/>
  <c r="F160" i="50"/>
  <c r="N159" i="50"/>
  <c r="J159" i="50"/>
  <c r="F159" i="50"/>
  <c r="N158" i="50"/>
  <c r="J158" i="50"/>
  <c r="F158" i="50"/>
  <c r="N157" i="50"/>
  <c r="J157" i="50"/>
  <c r="F157" i="50"/>
  <c r="N156" i="50"/>
  <c r="J156" i="50"/>
  <c r="F156" i="50"/>
  <c r="N155" i="50"/>
  <c r="J155" i="50"/>
  <c r="F155" i="50"/>
  <c r="N154" i="50"/>
  <c r="J154" i="50"/>
  <c r="F154" i="50"/>
  <c r="N153" i="50"/>
  <c r="J153" i="50"/>
  <c r="F153" i="50"/>
  <c r="N152" i="50"/>
  <c r="J152" i="50"/>
  <c r="F152" i="50"/>
  <c r="N151" i="50"/>
  <c r="J151" i="50"/>
  <c r="F151" i="50"/>
  <c r="N150" i="50"/>
  <c r="J150" i="50"/>
  <c r="F150" i="50"/>
  <c r="N149" i="50"/>
  <c r="J149" i="50"/>
  <c r="F149" i="50"/>
  <c r="N148" i="50"/>
  <c r="J148" i="50"/>
  <c r="F148" i="50"/>
  <c r="N147" i="50"/>
  <c r="J147" i="50"/>
  <c r="F147" i="50"/>
  <c r="N146" i="50"/>
  <c r="J146" i="50"/>
  <c r="F146" i="50"/>
  <c r="N145" i="50"/>
  <c r="J145" i="50"/>
  <c r="F145" i="50"/>
  <c r="N144" i="50"/>
  <c r="J144" i="50"/>
  <c r="F144" i="50"/>
  <c r="N143" i="50"/>
  <c r="J143" i="50"/>
  <c r="F143" i="50"/>
  <c r="N142" i="50"/>
  <c r="J142" i="50"/>
  <c r="F142" i="50"/>
  <c r="N141" i="50"/>
  <c r="J141" i="50"/>
  <c r="F141" i="50"/>
  <c r="N140" i="50"/>
  <c r="J140" i="50"/>
  <c r="F140" i="50"/>
  <c r="N139" i="50"/>
  <c r="J139" i="50"/>
  <c r="F139" i="50"/>
  <c r="N138" i="50"/>
  <c r="J138" i="50"/>
  <c r="F138" i="50"/>
  <c r="N137" i="50"/>
  <c r="J137" i="50"/>
  <c r="F137" i="50"/>
  <c r="N136" i="50"/>
  <c r="J136" i="50"/>
  <c r="F136" i="50"/>
  <c r="N135" i="50"/>
  <c r="J135" i="50"/>
  <c r="F135" i="50"/>
  <c r="N134" i="50"/>
  <c r="J134" i="50"/>
  <c r="F134" i="50"/>
  <c r="N133" i="50"/>
  <c r="J133" i="50"/>
  <c r="F133" i="50"/>
  <c r="N132" i="50"/>
  <c r="J132" i="50"/>
  <c r="F132" i="50"/>
  <c r="N131" i="50"/>
  <c r="J131" i="50"/>
  <c r="F131" i="50"/>
  <c r="N130" i="50"/>
  <c r="J130" i="50"/>
  <c r="F130" i="50"/>
  <c r="N129" i="50"/>
  <c r="J129" i="50"/>
  <c r="F129" i="50"/>
  <c r="N128" i="50"/>
  <c r="J128" i="50"/>
  <c r="F128" i="50"/>
  <c r="N127" i="50"/>
  <c r="J127" i="50"/>
  <c r="F127" i="50"/>
  <c r="N126" i="50"/>
  <c r="J126" i="50"/>
  <c r="F126" i="50"/>
  <c r="N125" i="50"/>
  <c r="J125" i="50"/>
  <c r="F125" i="50"/>
  <c r="N124" i="50"/>
  <c r="J124" i="50"/>
  <c r="F124" i="50"/>
  <c r="N123" i="50"/>
  <c r="J123" i="50"/>
  <c r="F123" i="50"/>
  <c r="N122" i="50"/>
  <c r="J122" i="50"/>
  <c r="F122" i="50"/>
  <c r="N121" i="50"/>
  <c r="J121" i="50"/>
  <c r="F121" i="50"/>
  <c r="N120" i="50"/>
  <c r="N118" i="50"/>
  <c r="J118" i="50"/>
  <c r="F118" i="50"/>
  <c r="N117" i="50"/>
  <c r="J117" i="50"/>
  <c r="F117" i="50"/>
  <c r="N116" i="50"/>
  <c r="J116" i="50"/>
  <c r="F116" i="50"/>
  <c r="N115" i="50"/>
  <c r="J115" i="50"/>
  <c r="F115" i="50"/>
  <c r="N114" i="50"/>
  <c r="J114" i="50"/>
  <c r="F114" i="50"/>
  <c r="N113" i="50"/>
  <c r="J113" i="50"/>
  <c r="F113" i="50"/>
  <c r="N112" i="50"/>
  <c r="J112" i="50"/>
  <c r="F112" i="50"/>
  <c r="N111" i="50"/>
  <c r="J111" i="50"/>
  <c r="F111" i="50"/>
  <c r="N110" i="50"/>
  <c r="J110" i="50"/>
  <c r="F110" i="50"/>
  <c r="N109" i="50"/>
  <c r="J109" i="50"/>
  <c r="F109" i="50"/>
  <c r="N108" i="50"/>
  <c r="J108" i="50"/>
  <c r="F108" i="50"/>
  <c r="N107" i="50"/>
  <c r="J107" i="50"/>
  <c r="F107" i="50"/>
  <c r="N106" i="50"/>
  <c r="J106" i="50"/>
  <c r="F106" i="50"/>
  <c r="N105" i="50"/>
  <c r="J105" i="50"/>
  <c r="F105" i="50"/>
  <c r="N104" i="50"/>
  <c r="J104" i="50"/>
  <c r="F104" i="50"/>
  <c r="N103" i="50"/>
  <c r="J103" i="50"/>
  <c r="F103" i="50"/>
  <c r="N102" i="50"/>
  <c r="J102" i="50"/>
  <c r="F102" i="50"/>
  <c r="N101" i="50"/>
  <c r="J101" i="50"/>
  <c r="F101" i="50"/>
  <c r="N100" i="50"/>
  <c r="J100" i="50"/>
  <c r="F100" i="50"/>
  <c r="N99" i="50"/>
  <c r="J99" i="50"/>
  <c r="F99" i="50"/>
  <c r="N98" i="50"/>
  <c r="J98" i="50"/>
  <c r="F98" i="50"/>
  <c r="N97" i="50"/>
  <c r="J97" i="50"/>
  <c r="F97" i="50"/>
  <c r="N96" i="50"/>
  <c r="J96" i="50"/>
  <c r="F96" i="50"/>
  <c r="N95" i="50"/>
  <c r="J95" i="50"/>
  <c r="F95" i="50"/>
  <c r="N94" i="50"/>
  <c r="J94" i="50"/>
  <c r="F94" i="50"/>
  <c r="N93" i="50"/>
  <c r="J93" i="50"/>
  <c r="F93" i="50"/>
  <c r="N92" i="50"/>
  <c r="J92" i="50"/>
  <c r="F92" i="50"/>
  <c r="N91" i="50"/>
  <c r="N90" i="50"/>
  <c r="N89" i="50"/>
  <c r="N88" i="50"/>
  <c r="N87" i="50"/>
  <c r="J87" i="50"/>
  <c r="F87" i="50"/>
  <c r="N86" i="50"/>
  <c r="J86" i="50"/>
  <c r="F86" i="50"/>
  <c r="N85" i="50"/>
  <c r="J85" i="50"/>
  <c r="F85" i="50"/>
  <c r="N84" i="50"/>
  <c r="J84" i="50"/>
  <c r="F84" i="50"/>
  <c r="N83" i="50"/>
  <c r="J83" i="50"/>
  <c r="F83" i="50"/>
  <c r="N82" i="50"/>
  <c r="J82" i="50"/>
  <c r="F82" i="50"/>
  <c r="N81" i="50"/>
  <c r="J81" i="50"/>
  <c r="F81" i="50"/>
  <c r="N80" i="50"/>
  <c r="J80" i="50"/>
  <c r="F80" i="50"/>
  <c r="N79" i="50"/>
  <c r="J79" i="50"/>
  <c r="F79" i="50"/>
  <c r="N78" i="50"/>
  <c r="J78" i="50"/>
  <c r="F78" i="50"/>
  <c r="N77" i="50"/>
  <c r="J77" i="50"/>
  <c r="F77" i="50"/>
  <c r="N76" i="50"/>
  <c r="J76" i="50"/>
  <c r="F76" i="50"/>
  <c r="N75" i="50"/>
  <c r="J75" i="50"/>
  <c r="F75" i="50"/>
  <c r="N74" i="50"/>
  <c r="J74" i="50"/>
  <c r="F74" i="50"/>
  <c r="N73" i="50"/>
  <c r="J73" i="50"/>
  <c r="F73" i="50"/>
  <c r="N72" i="50"/>
  <c r="J72" i="50"/>
  <c r="F72" i="50"/>
  <c r="N71" i="50"/>
  <c r="J71" i="50"/>
  <c r="F71" i="50"/>
  <c r="N70" i="50"/>
  <c r="J70" i="50"/>
  <c r="F70" i="50"/>
  <c r="N69" i="50"/>
  <c r="J69" i="50"/>
  <c r="F69" i="50"/>
  <c r="N68" i="50"/>
  <c r="J68" i="50"/>
  <c r="F68" i="50"/>
  <c r="N67" i="50"/>
  <c r="J67" i="50"/>
  <c r="F67" i="50"/>
  <c r="N66" i="50"/>
  <c r="J66" i="50"/>
  <c r="F66" i="50"/>
  <c r="N65" i="50"/>
  <c r="J65" i="50"/>
  <c r="F65" i="50"/>
  <c r="N64" i="50"/>
  <c r="J64" i="50"/>
  <c r="F64" i="50"/>
  <c r="N63" i="50"/>
  <c r="J63" i="50"/>
  <c r="F63" i="50"/>
  <c r="N62" i="50"/>
  <c r="J62" i="50"/>
  <c r="F62" i="50"/>
  <c r="N61" i="50"/>
  <c r="J61" i="50"/>
  <c r="F61" i="50"/>
  <c r="N60" i="50"/>
  <c r="J60" i="50"/>
  <c r="F60" i="50"/>
  <c r="N59" i="50"/>
  <c r="J59" i="50"/>
  <c r="F59" i="50"/>
  <c r="N58" i="50"/>
  <c r="J58" i="50"/>
  <c r="F58" i="50"/>
  <c r="N57" i="50"/>
  <c r="J57" i="50"/>
  <c r="F57" i="50"/>
  <c r="N56" i="50"/>
  <c r="J56" i="50"/>
  <c r="F56" i="50"/>
  <c r="N55" i="50"/>
  <c r="J55" i="50"/>
  <c r="F55" i="50"/>
  <c r="N54" i="50"/>
  <c r="J54" i="50"/>
  <c r="F54" i="50"/>
  <c r="N53" i="50"/>
  <c r="J53" i="50"/>
  <c r="F53" i="50"/>
  <c r="N52" i="50"/>
  <c r="J52" i="50"/>
  <c r="F52" i="50"/>
  <c r="N51" i="50"/>
  <c r="J51" i="50"/>
  <c r="F51" i="50"/>
  <c r="N50" i="50"/>
  <c r="J50" i="50"/>
  <c r="F50" i="50"/>
  <c r="N49" i="50"/>
  <c r="J49" i="50"/>
  <c r="F49" i="50"/>
  <c r="N48" i="50"/>
  <c r="J48" i="50"/>
  <c r="F48" i="50"/>
  <c r="N47" i="50"/>
  <c r="J47" i="50"/>
  <c r="F47" i="50"/>
  <c r="N46" i="50"/>
  <c r="J46" i="50"/>
  <c r="F46" i="50"/>
  <c r="N45" i="50"/>
  <c r="J45" i="50"/>
  <c r="F45" i="50"/>
  <c r="N44" i="50"/>
  <c r="J44" i="50"/>
  <c r="F44" i="50"/>
  <c r="N43" i="50"/>
  <c r="J43" i="50"/>
  <c r="F43" i="50"/>
  <c r="N42" i="50"/>
  <c r="J42" i="50"/>
  <c r="F42" i="50"/>
  <c r="N41" i="50"/>
  <c r="J41" i="50"/>
  <c r="F41" i="50"/>
  <c r="N40" i="50"/>
  <c r="J40" i="50"/>
  <c r="F40" i="50"/>
  <c r="N39" i="50"/>
  <c r="J39" i="50"/>
  <c r="F39" i="50"/>
  <c r="N38" i="50"/>
  <c r="J38" i="50"/>
  <c r="F38" i="50"/>
  <c r="N37" i="50"/>
  <c r="J37" i="50"/>
  <c r="F37" i="50"/>
  <c r="N36" i="50"/>
  <c r="J36" i="50"/>
  <c r="F36" i="50"/>
  <c r="N35" i="50"/>
  <c r="J35" i="50"/>
  <c r="F35" i="50"/>
  <c r="N34" i="50"/>
  <c r="J34" i="50"/>
  <c r="F34" i="50"/>
  <c r="N33" i="50"/>
  <c r="J33" i="50"/>
  <c r="F33" i="50"/>
  <c r="N32" i="50"/>
  <c r="J32" i="50"/>
  <c r="F32" i="50"/>
  <c r="N31" i="50"/>
  <c r="J31" i="50"/>
  <c r="F31" i="50"/>
  <c r="N30" i="50"/>
  <c r="J30" i="50"/>
  <c r="F30" i="50"/>
  <c r="N29" i="50"/>
  <c r="J29" i="50"/>
  <c r="F29" i="50"/>
  <c r="N28" i="50"/>
  <c r="J28" i="50"/>
  <c r="F28" i="50"/>
  <c r="N27" i="50"/>
  <c r="J27" i="50"/>
  <c r="F27" i="50"/>
  <c r="N26" i="50"/>
  <c r="J26" i="50"/>
  <c r="F26" i="50"/>
  <c r="N25" i="50"/>
  <c r="J25" i="50"/>
  <c r="F25" i="50"/>
  <c r="N24" i="50"/>
  <c r="J24" i="50"/>
  <c r="F24" i="50"/>
  <c r="N23" i="50"/>
  <c r="J23" i="50"/>
  <c r="F23" i="50"/>
  <c r="N22" i="50"/>
  <c r="J22" i="50"/>
  <c r="F22" i="50"/>
  <c r="N21" i="50"/>
  <c r="J21" i="50"/>
  <c r="F21" i="50"/>
  <c r="N20" i="50"/>
  <c r="J20" i="50"/>
  <c r="F20" i="50"/>
  <c r="N19" i="50"/>
  <c r="J19" i="50"/>
  <c r="F19" i="50"/>
  <c r="N18" i="50"/>
  <c r="J18" i="50"/>
  <c r="F18" i="50"/>
  <c r="N17" i="50"/>
  <c r="J17" i="50"/>
  <c r="F17" i="50"/>
  <c r="N16" i="50"/>
  <c r="J16" i="50"/>
  <c r="F16" i="50"/>
  <c r="N15" i="50"/>
  <c r="J15" i="50"/>
  <c r="F15" i="50"/>
  <c r="N14" i="50"/>
  <c r="J14" i="50"/>
  <c r="F14" i="50"/>
  <c r="N13" i="50"/>
  <c r="J13" i="50"/>
  <c r="F13" i="50"/>
  <c r="N12" i="50"/>
  <c r="J12" i="50"/>
  <c r="F12" i="50"/>
  <c r="N11" i="50"/>
  <c r="J11" i="50"/>
  <c r="F11" i="50"/>
  <c r="N10" i="50"/>
  <c r="J10" i="50"/>
  <c r="F10" i="50"/>
  <c r="N9" i="50"/>
  <c r="J9" i="50"/>
  <c r="F9" i="50"/>
  <c r="N8" i="50"/>
  <c r="P7" i="50" s="1"/>
  <c r="J8" i="50"/>
  <c r="F8" i="50"/>
  <c r="H7" i="50" s="1"/>
  <c r="Q7" i="50"/>
  <c r="M7" i="50"/>
  <c r="L7" i="50"/>
  <c r="K7" i="50"/>
  <c r="I7" i="50"/>
  <c r="G7" i="50"/>
  <c r="E7" i="50"/>
  <c r="T7" i="50" l="1"/>
  <c r="F7" i="50"/>
  <c r="N7" i="50"/>
  <c r="R7" i="50"/>
  <c r="J7" i="50"/>
  <c r="AH6" i="28"/>
  <c r="AM6" i="28"/>
  <c r="F14" i="56"/>
  <c r="F10" i="56"/>
  <c r="B21" i="56"/>
  <c r="F23" i="56" s="1"/>
  <c r="B18" i="24" s="1"/>
  <c r="O18" i="24" s="1"/>
  <c r="E21" i="56"/>
  <c r="D19" i="56"/>
  <c r="D21" i="56" s="1"/>
  <c r="F21" i="56" l="1"/>
  <c r="B36" i="24" l="1"/>
  <c r="N36" i="24"/>
  <c r="B37" i="24"/>
  <c r="N37" i="24"/>
  <c r="O36" i="24" l="1"/>
  <c r="P318" i="26" l="1"/>
  <c r="P314" i="26"/>
  <c r="P219" i="26"/>
  <c r="P210" i="26"/>
  <c r="P113" i="26"/>
  <c r="B24" i="1" l="1"/>
  <c r="I1" i="56" l="1"/>
  <c r="AP6" i="28"/>
  <c r="P83" i="26"/>
  <c r="P80" i="26"/>
  <c r="P79" i="26"/>
  <c r="P78" i="26"/>
  <c r="P77" i="26"/>
  <c r="P76" i="26"/>
  <c r="P84" i="26"/>
  <c r="P85" i="26"/>
  <c r="P81" i="26"/>
  <c r="P82" i="26"/>
  <c r="P29" i="26"/>
  <c r="P142" i="26"/>
  <c r="P115" i="26"/>
  <c r="E10" i="24" l="1"/>
  <c r="P329" i="26" l="1"/>
  <c r="P328" i="26"/>
  <c r="P327" i="26"/>
  <c r="P326" i="26"/>
  <c r="P325" i="26"/>
  <c r="P324" i="26"/>
  <c r="P323" i="26"/>
  <c r="P322" i="26"/>
  <c r="P321" i="26"/>
  <c r="P320" i="26"/>
  <c r="P319" i="26"/>
  <c r="P317" i="26"/>
  <c r="P316" i="26"/>
  <c r="P315" i="26"/>
  <c r="P313" i="26"/>
  <c r="P312" i="26"/>
  <c r="P311" i="26"/>
  <c r="P310" i="26"/>
  <c r="P309" i="26"/>
  <c r="P308" i="26"/>
  <c r="P307" i="26"/>
  <c r="P306" i="26"/>
  <c r="P305" i="26"/>
  <c r="P304" i="26"/>
  <c r="P303" i="26"/>
  <c r="P302" i="26"/>
  <c r="P301" i="26"/>
  <c r="P300" i="26"/>
  <c r="P299" i="26"/>
  <c r="P298" i="26"/>
  <c r="P297" i="26"/>
  <c r="P296" i="26"/>
  <c r="P295" i="26"/>
  <c r="P294" i="26"/>
  <c r="P293" i="26"/>
  <c r="P292" i="26"/>
  <c r="P291" i="26"/>
  <c r="P290" i="26"/>
  <c r="P289" i="26"/>
  <c r="P288" i="26"/>
  <c r="P287" i="26"/>
  <c r="P286" i="26"/>
  <c r="P285" i="26"/>
  <c r="P284" i="26"/>
  <c r="P283" i="26"/>
  <c r="P282" i="26"/>
  <c r="P281" i="26"/>
  <c r="P280" i="26"/>
  <c r="P279" i="26"/>
  <c r="P278" i="26"/>
  <c r="P277" i="26"/>
  <c r="P276" i="26"/>
  <c r="P275" i="26"/>
  <c r="P274" i="26"/>
  <c r="P273" i="26"/>
  <c r="P272" i="26"/>
  <c r="P271" i="26"/>
  <c r="P270" i="26"/>
  <c r="P269" i="26"/>
  <c r="P268" i="26"/>
  <c r="P267" i="26"/>
  <c r="P266" i="26"/>
  <c r="P265" i="26"/>
  <c r="P264" i="26"/>
  <c r="P263" i="26"/>
  <c r="P262" i="26"/>
  <c r="P261" i="26"/>
  <c r="P260" i="26"/>
  <c r="P259" i="26"/>
  <c r="P258" i="26"/>
  <c r="P257" i="26"/>
  <c r="P256" i="26"/>
  <c r="P255" i="26"/>
  <c r="P254" i="26"/>
  <c r="P253" i="26"/>
  <c r="P252" i="26"/>
  <c r="P251" i="26"/>
  <c r="P250" i="26"/>
  <c r="P249" i="26"/>
  <c r="P248" i="26"/>
  <c r="P247" i="26"/>
  <c r="P246" i="26"/>
  <c r="P245" i="26"/>
  <c r="P244" i="26"/>
  <c r="P243" i="26"/>
  <c r="P242" i="26"/>
  <c r="P241" i="26"/>
  <c r="P240" i="26"/>
  <c r="P239" i="26"/>
  <c r="P238" i="26"/>
  <c r="P237" i="26"/>
  <c r="P236" i="26"/>
  <c r="P235" i="26"/>
  <c r="P234" i="26"/>
  <c r="P233" i="26"/>
  <c r="P232" i="26"/>
  <c r="P231" i="26"/>
  <c r="P230" i="26"/>
  <c r="P228" i="26"/>
  <c r="P227" i="26"/>
  <c r="P226" i="26"/>
  <c r="P224" i="26"/>
  <c r="P223" i="26"/>
  <c r="P222" i="26"/>
  <c r="P221" i="26"/>
  <c r="P220" i="26"/>
  <c r="P218" i="26"/>
  <c r="P217" i="26"/>
  <c r="P216" i="26"/>
  <c r="P215" i="26"/>
  <c r="P214" i="26"/>
  <c r="P213" i="26"/>
  <c r="P212" i="26"/>
  <c r="P211" i="26"/>
  <c r="P209" i="26"/>
  <c r="P208" i="26"/>
  <c r="P207" i="26"/>
  <c r="P206" i="26"/>
  <c r="P205" i="26"/>
  <c r="P204" i="26"/>
  <c r="P203" i="26"/>
  <c r="P202" i="26"/>
  <c r="P201" i="26"/>
  <c r="P200" i="26"/>
  <c r="P199" i="26"/>
  <c r="P198" i="26"/>
  <c r="P197" i="26"/>
  <c r="P196" i="26"/>
  <c r="P195" i="26"/>
  <c r="P194" i="26"/>
  <c r="P193" i="26"/>
  <c r="P192" i="26"/>
  <c r="P191" i="26"/>
  <c r="P190" i="26"/>
  <c r="P189" i="26"/>
  <c r="P188" i="26"/>
  <c r="P187" i="26"/>
  <c r="P186" i="26"/>
  <c r="P185" i="26"/>
  <c r="P184" i="26"/>
  <c r="P183" i="26"/>
  <c r="P182" i="26"/>
  <c r="P181" i="26"/>
  <c r="P180" i="26"/>
  <c r="P179" i="26"/>
  <c r="P178" i="26"/>
  <c r="P177" i="26"/>
  <c r="P176" i="26"/>
  <c r="P175" i="26"/>
  <c r="P174" i="26"/>
  <c r="P173" i="26"/>
  <c r="P172" i="26"/>
  <c r="P171" i="26"/>
  <c r="P170" i="26"/>
  <c r="P169" i="26"/>
  <c r="P168" i="26"/>
  <c r="P167" i="26"/>
  <c r="P166" i="26"/>
  <c r="P165" i="26"/>
  <c r="P164" i="26"/>
  <c r="P163" i="26"/>
  <c r="P162" i="26"/>
  <c r="P161" i="26"/>
  <c r="P160" i="26"/>
  <c r="P159" i="26"/>
  <c r="P158" i="26"/>
  <c r="P157" i="26"/>
  <c r="P156" i="26"/>
  <c r="P155" i="26"/>
  <c r="P154" i="26"/>
  <c r="P153" i="26"/>
  <c r="P152" i="26"/>
  <c r="P151" i="26"/>
  <c r="P150" i="26"/>
  <c r="P149" i="26"/>
  <c r="P148" i="26"/>
  <c r="P147" i="26"/>
  <c r="P146" i="26"/>
  <c r="P145" i="26"/>
  <c r="P144" i="26"/>
  <c r="P143" i="26"/>
  <c r="P141" i="26"/>
  <c r="P140" i="26"/>
  <c r="P139" i="26"/>
  <c r="P138" i="26"/>
  <c r="P137" i="26"/>
  <c r="P136" i="26"/>
  <c r="P135" i="26"/>
  <c r="P134" i="26"/>
  <c r="P133" i="26"/>
  <c r="P225" i="26"/>
  <c r="P132" i="26"/>
  <c r="P131" i="26"/>
  <c r="P130" i="26"/>
  <c r="P129" i="26"/>
  <c r="P128" i="26"/>
  <c r="P127" i="26"/>
  <c r="P126" i="26"/>
  <c r="P125" i="26"/>
  <c r="P124" i="26"/>
  <c r="P123" i="26"/>
  <c r="P122" i="26"/>
  <c r="P121" i="26"/>
  <c r="P120" i="26"/>
  <c r="P119" i="26"/>
  <c r="P118" i="26"/>
  <c r="P117" i="26"/>
  <c r="P116" i="26"/>
  <c r="P114" i="26"/>
  <c r="P112" i="26"/>
  <c r="P111" i="26"/>
  <c r="P110" i="26"/>
  <c r="P109" i="26"/>
  <c r="P108" i="26"/>
  <c r="P107" i="26"/>
  <c r="P106" i="26"/>
  <c r="P105" i="26"/>
  <c r="P229" i="26"/>
  <c r="P104" i="26"/>
  <c r="P103" i="26"/>
  <c r="P102" i="26"/>
  <c r="P101" i="26"/>
  <c r="P100" i="26"/>
  <c r="P99" i="26"/>
  <c r="P98" i="26"/>
  <c r="P97" i="26"/>
  <c r="P96" i="26"/>
  <c r="P95" i="26"/>
  <c r="P94" i="26"/>
  <c r="P93" i="26"/>
  <c r="P92" i="26"/>
  <c r="P91" i="26"/>
  <c r="P90" i="26"/>
  <c r="P89" i="26"/>
  <c r="P88" i="26"/>
  <c r="P87" i="26"/>
  <c r="P86" i="26"/>
  <c r="P75" i="26"/>
  <c r="P74" i="26"/>
  <c r="P73" i="26"/>
  <c r="P72" i="26"/>
  <c r="P71" i="26"/>
  <c r="P70" i="26"/>
  <c r="P69" i="26"/>
  <c r="P68" i="26"/>
  <c r="P67" i="26"/>
  <c r="P66" i="26"/>
  <c r="P65" i="26"/>
  <c r="P64" i="26"/>
  <c r="P63" i="26"/>
  <c r="P62" i="26"/>
  <c r="P61" i="26"/>
  <c r="P60" i="26"/>
  <c r="P59" i="26"/>
  <c r="P58" i="26"/>
  <c r="P57" i="26"/>
  <c r="P56" i="26"/>
  <c r="P55" i="26"/>
  <c r="P54" i="26"/>
  <c r="P53" i="26"/>
  <c r="P52" i="26"/>
  <c r="P51" i="26"/>
  <c r="P50" i="26"/>
  <c r="P49" i="26"/>
  <c r="P48" i="26"/>
  <c r="P47" i="26"/>
  <c r="P46" i="26"/>
  <c r="P45" i="26"/>
  <c r="P44" i="26"/>
  <c r="P43" i="26"/>
  <c r="P42" i="26"/>
  <c r="P41" i="26"/>
  <c r="P40" i="26"/>
  <c r="P39" i="26"/>
  <c r="P38" i="26"/>
  <c r="P37" i="26"/>
  <c r="P36" i="26"/>
  <c r="P35" i="26"/>
  <c r="P34" i="26"/>
  <c r="P33" i="26"/>
  <c r="P32" i="26"/>
  <c r="P31" i="26"/>
  <c r="P30" i="26"/>
  <c r="P28" i="26"/>
  <c r="P27" i="26"/>
  <c r="P26" i="26"/>
  <c r="P25" i="26"/>
  <c r="P24" i="26"/>
  <c r="P23" i="26"/>
  <c r="P22" i="26"/>
  <c r="P21" i="26"/>
  <c r="P20" i="26"/>
  <c r="P19" i="26"/>
  <c r="P18" i="26"/>
  <c r="P17" i="26"/>
  <c r="P16" i="26"/>
  <c r="P15" i="26"/>
  <c r="P14" i="26"/>
  <c r="P13" i="26"/>
  <c r="P12" i="26"/>
  <c r="P11" i="26"/>
  <c r="P10" i="26"/>
  <c r="P9" i="26"/>
  <c r="P8" i="26"/>
  <c r="P7" i="26"/>
  <c r="P6" i="26"/>
  <c r="P5" i="26"/>
  <c r="P4" i="26"/>
  <c r="P3" i="26"/>
  <c r="P2" i="26"/>
  <c r="B5" i="25" l="1"/>
  <c r="M40" i="24" l="1"/>
  <c r="M54" i="24" s="1"/>
  <c r="L40" i="24"/>
  <c r="L54" i="24" s="1"/>
  <c r="M46" i="24"/>
  <c r="M55" i="24" s="1"/>
  <c r="L46" i="24"/>
  <c r="L55" i="24" s="1"/>
  <c r="M33" i="24"/>
  <c r="M53" i="24" s="1"/>
  <c r="L33" i="24"/>
  <c r="L53" i="24" s="1"/>
  <c r="M13" i="24"/>
  <c r="M52" i="24" s="1"/>
  <c r="L13" i="24"/>
  <c r="L52" i="24" s="1"/>
  <c r="M9" i="24"/>
  <c r="M51" i="24" s="1"/>
  <c r="L9" i="24"/>
  <c r="L51" i="24" s="1"/>
  <c r="N48" i="24"/>
  <c r="N47" i="24"/>
  <c r="N44" i="24"/>
  <c r="O44" i="24" s="1"/>
  <c r="N43" i="24"/>
  <c r="N42" i="24"/>
  <c r="N41" i="24"/>
  <c r="N35" i="24"/>
  <c r="N24" i="24"/>
  <c r="N23" i="24"/>
  <c r="N22" i="24"/>
  <c r="N21" i="24"/>
  <c r="N20" i="24"/>
  <c r="N19" i="24"/>
  <c r="N17" i="24"/>
  <c r="N15" i="24"/>
  <c r="N14" i="24"/>
  <c r="N10" i="24"/>
  <c r="N9" i="24" s="1"/>
  <c r="N51" i="24" s="1"/>
  <c r="N33" i="24" l="1"/>
  <c r="N40" i="24"/>
  <c r="N54" i="24" s="1"/>
  <c r="N13" i="24"/>
  <c r="N52" i="24" s="1"/>
  <c r="N46" i="24"/>
  <c r="N55" i="24" s="1"/>
  <c r="M56" i="24"/>
  <c r="L56" i="24"/>
  <c r="B15" i="24"/>
  <c r="O15" i="24" s="1"/>
  <c r="C45" i="4"/>
  <c r="C48" i="4" s="1"/>
  <c r="C147" i="4" s="1"/>
  <c r="B7" i="9"/>
  <c r="B28" i="38"/>
  <c r="B48" i="24" s="1"/>
  <c r="O48" i="24" s="1"/>
  <c r="B21" i="38"/>
  <c r="B19" i="38"/>
  <c r="B14" i="38"/>
  <c r="B12" i="38"/>
  <c r="B9" i="38"/>
  <c r="B10" i="38" s="1"/>
  <c r="B5" i="19"/>
  <c r="O37" i="24" s="1"/>
  <c r="C45" i="33"/>
  <c r="E19" i="24"/>
  <c r="C37" i="33"/>
  <c r="C16" i="33"/>
  <c r="B24" i="31"/>
  <c r="C17" i="31" s="1"/>
  <c r="D17" i="31" s="1"/>
  <c r="D13" i="31"/>
  <c r="F22" i="24"/>
  <c r="E22" i="24"/>
  <c r="D22" i="24"/>
  <c r="B22" i="24"/>
  <c r="O22" i="24" s="1"/>
  <c r="E8" i="8"/>
  <c r="F24" i="24" s="1"/>
  <c r="D8" i="8"/>
  <c r="E24" i="24" s="1"/>
  <c r="C8" i="8"/>
  <c r="C24" i="24" s="1"/>
  <c r="B8" i="8"/>
  <c r="B24" i="24" s="1"/>
  <c r="O24" i="24" s="1"/>
  <c r="B7" i="7"/>
  <c r="B23" i="24" s="1"/>
  <c r="O23" i="24" s="1"/>
  <c r="B43" i="24"/>
  <c r="O43" i="24" s="1"/>
  <c r="B5" i="21"/>
  <c r="B42" i="24" s="1"/>
  <c r="O42" i="24" s="1"/>
  <c r="B6" i="20"/>
  <c r="B41" i="24" s="1"/>
  <c r="O41" i="24" s="1"/>
  <c r="G11" i="24"/>
  <c r="G9" i="24" s="1"/>
  <c r="G6" i="18"/>
  <c r="F35" i="24" s="1"/>
  <c r="F33" i="24" s="1"/>
  <c r="F6" i="18"/>
  <c r="G35" i="24" s="1"/>
  <c r="G33" i="24" s="1"/>
  <c r="G53" i="24" s="1"/>
  <c r="E6" i="18"/>
  <c r="D6" i="18"/>
  <c r="C6" i="18"/>
  <c r="E35" i="24" s="1"/>
  <c r="B6" i="18"/>
  <c r="B35" i="24" s="1"/>
  <c r="O35" i="24" s="1"/>
  <c r="C9" i="17"/>
  <c r="C11" i="17" s="1"/>
  <c r="E31" i="24" s="1"/>
  <c r="C9" i="16"/>
  <c r="C11" i="16" s="1"/>
  <c r="E30" i="24" s="1"/>
  <c r="C9" i="15"/>
  <c r="C11" i="15" s="1"/>
  <c r="E29" i="24" s="1"/>
  <c r="C9" i="14"/>
  <c r="C11" i="14" s="1"/>
  <c r="E28" i="24" s="1"/>
  <c r="C9" i="13"/>
  <c r="C11" i="13"/>
  <c r="E27" i="24" s="1"/>
  <c r="C9" i="12"/>
  <c r="C11" i="12" s="1"/>
  <c r="E26" i="24" s="1"/>
  <c r="C9" i="11"/>
  <c r="C11" i="11" s="1"/>
  <c r="E34" i="24" s="1"/>
  <c r="C9" i="10"/>
  <c r="C11" i="10" s="1"/>
  <c r="E25" i="24" s="1"/>
  <c r="D6" i="5"/>
  <c r="F21" i="24" s="1"/>
  <c r="C6" i="5"/>
  <c r="E21" i="24" s="1"/>
  <c r="B6" i="5"/>
  <c r="B21" i="24" s="1"/>
  <c r="O21" i="24" s="1"/>
  <c r="G5" i="2"/>
  <c r="G14" i="24" s="1"/>
  <c r="G13" i="24" s="1"/>
  <c r="G52" i="24" s="1"/>
  <c r="F5" i="2"/>
  <c r="E5" i="2"/>
  <c r="C14" i="24"/>
  <c r="D5" i="2"/>
  <c r="C5" i="2"/>
  <c r="E14" i="24" s="1"/>
  <c r="B5" i="2"/>
  <c r="B14" i="24" s="1"/>
  <c r="O14" i="24" s="1"/>
  <c r="B16" i="1"/>
  <c r="C10" i="24"/>
  <c r="C9" i="24" s="1"/>
  <c r="C51" i="24" s="1"/>
  <c r="B9" i="1"/>
  <c r="B10" i="24" s="1"/>
  <c r="O10" i="24" s="1"/>
  <c r="C7" i="3"/>
  <c r="C14" i="3" s="1"/>
  <c r="E9" i="24"/>
  <c r="E51" i="24" s="1"/>
  <c r="D9" i="24"/>
  <c r="D51" i="24" s="1"/>
  <c r="F9" i="24"/>
  <c r="F51" i="24" s="1"/>
  <c r="E7" i="24"/>
  <c r="D7" i="24"/>
  <c r="D21" i="24" s="1"/>
  <c r="D13" i="24" s="1"/>
  <c r="D52" i="24" s="1"/>
  <c r="C7" i="24"/>
  <c r="F7" i="24"/>
  <c r="G7" i="24"/>
  <c r="B7" i="24"/>
  <c r="D53" i="24"/>
  <c r="C53" i="24"/>
  <c r="B9" i="24" l="1"/>
  <c r="O9" i="24" s="1"/>
  <c r="E33" i="24"/>
  <c r="E53" i="24" s="1"/>
  <c r="E13" i="24"/>
  <c r="E52" i="24" s="1"/>
  <c r="C16" i="24"/>
  <c r="C13" i="24" s="1"/>
  <c r="C52" i="24" s="1"/>
  <c r="C54" i="24" s="1"/>
  <c r="C22" i="31"/>
  <c r="D22" i="31" s="1"/>
  <c r="C20" i="31"/>
  <c r="D20" i="31" s="1"/>
  <c r="C19" i="31"/>
  <c r="D19" i="31" s="1"/>
  <c r="C16" i="31"/>
  <c r="D16" i="31" s="1"/>
  <c r="C18" i="31"/>
  <c r="D18" i="31" s="1"/>
  <c r="C23" i="31"/>
  <c r="D23" i="31" s="1"/>
  <c r="C38" i="33"/>
  <c r="C39" i="33" s="1"/>
  <c r="B19" i="24" s="1"/>
  <c r="O19" i="24" s="1"/>
  <c r="F53" i="24"/>
  <c r="F16" i="24"/>
  <c r="F13" i="24" s="1"/>
  <c r="G51" i="24"/>
  <c r="G54" i="24" s="1"/>
  <c r="G44" i="24"/>
  <c r="G40" i="24" s="1"/>
  <c r="G47" i="24"/>
  <c r="D54" i="24"/>
  <c r="B33" i="24"/>
  <c r="B53" i="24" s="1"/>
  <c r="D55" i="24"/>
  <c r="N53" i="24"/>
  <c r="N56" i="24" s="1"/>
  <c r="D47" i="24"/>
  <c r="F1" i="4"/>
  <c r="F1" i="31"/>
  <c r="D27" i="31" l="1"/>
  <c r="D28" i="31" s="1"/>
  <c r="F10" i="31"/>
  <c r="F44" i="31" s="1"/>
  <c r="B51" i="24"/>
  <c r="O51" i="24" s="1"/>
  <c r="E55" i="24"/>
  <c r="E54" i="24"/>
  <c r="E44" i="24"/>
  <c r="E40" i="24" s="1"/>
  <c r="E47" i="24"/>
  <c r="I56" i="4"/>
  <c r="H56" i="4"/>
  <c r="I66" i="4"/>
  <c r="H66" i="4"/>
  <c r="B7" i="4"/>
  <c r="G63" i="4"/>
  <c r="G61" i="4"/>
  <c r="G62" i="4"/>
  <c r="G53" i="4"/>
  <c r="G51" i="4"/>
  <c r="G52" i="4"/>
  <c r="B6" i="4"/>
  <c r="B86" i="4" s="1"/>
  <c r="C86" i="4" s="1"/>
  <c r="B5" i="4"/>
  <c r="B123" i="4" s="1"/>
  <c r="C123" i="4" s="1"/>
  <c r="C129" i="4"/>
  <c r="C11" i="4"/>
  <c r="C12" i="4"/>
  <c r="C139" i="4"/>
  <c r="C141" i="4" s="1"/>
  <c r="C168" i="4" s="1"/>
  <c r="B110" i="4"/>
  <c r="C110" i="4" s="1"/>
  <c r="C96" i="4"/>
  <c r="C72" i="4"/>
  <c r="C61" i="4"/>
  <c r="B38" i="4"/>
  <c r="C38" i="4" s="1"/>
  <c r="C128" i="4"/>
  <c r="C34" i="4"/>
  <c r="C121" i="4"/>
  <c r="C105" i="4"/>
  <c r="C82" i="4"/>
  <c r="C53" i="4"/>
  <c r="C33" i="4"/>
  <c r="C115" i="4"/>
  <c r="B100" i="4"/>
  <c r="C100" i="4" s="1"/>
  <c r="C81" i="4"/>
  <c r="C63" i="4"/>
  <c r="C51" i="4"/>
  <c r="C106" i="4"/>
  <c r="C95" i="4"/>
  <c r="C71" i="4"/>
  <c r="C19" i="4"/>
  <c r="C20" i="4"/>
  <c r="B24" i="4"/>
  <c r="C55" i="24"/>
  <c r="C56" i="24" s="1"/>
  <c r="D56" i="24"/>
  <c r="O53" i="24"/>
  <c r="D24" i="31"/>
  <c r="C47" i="24"/>
  <c r="G55" i="24"/>
  <c r="G56" i="24" s="1"/>
  <c r="O33" i="24"/>
  <c r="F47" i="24"/>
  <c r="F52" i="24"/>
  <c r="B4" i="31"/>
  <c r="A4" i="31"/>
  <c r="B36" i="31" l="1"/>
  <c r="B34" i="31"/>
  <c r="A34" i="31" s="1"/>
  <c r="B35" i="31"/>
  <c r="A35" i="31" s="1"/>
  <c r="B37" i="31"/>
  <c r="A37" i="31" s="1"/>
  <c r="E56" i="24"/>
  <c r="F45" i="31"/>
  <c r="G55" i="4"/>
  <c r="C64" i="4"/>
  <c r="C149" i="4" s="1"/>
  <c r="G65" i="4"/>
  <c r="G54" i="4"/>
  <c r="G64" i="4"/>
  <c r="D29" i="31"/>
  <c r="B40" i="31" s="1"/>
  <c r="C13" i="4"/>
  <c r="C16" i="4" s="1"/>
  <c r="C144" i="4" s="1"/>
  <c r="F55" i="24"/>
  <c r="F54" i="24"/>
  <c r="C83" i="4"/>
  <c r="C87" i="4" s="1"/>
  <c r="B76" i="4"/>
  <c r="C76" i="4" s="1"/>
  <c r="C136" i="4"/>
  <c r="C54" i="4"/>
  <c r="C148" i="4" s="1"/>
  <c r="C124" i="4"/>
  <c r="C166" i="4" s="1"/>
  <c r="B25" i="4"/>
  <c r="B26" i="4" s="1"/>
  <c r="C28" i="4" s="1"/>
  <c r="B131" i="4"/>
  <c r="C131" i="4" s="1"/>
  <c r="B117" i="4"/>
  <c r="C117" i="4" s="1"/>
  <c r="C118" i="4" s="1"/>
  <c r="C165" i="4" s="1"/>
  <c r="C107" i="4"/>
  <c r="C111" i="4" s="1"/>
  <c r="C153" i="4" s="1"/>
  <c r="C97" i="4"/>
  <c r="C101" i="4" s="1"/>
  <c r="C35" i="4"/>
  <c r="C39" i="4" s="1"/>
  <c r="C146" i="4" s="1"/>
  <c r="C21" i="4"/>
  <c r="C73" i="4"/>
  <c r="A36" i="31" l="1"/>
  <c r="G56" i="4"/>
  <c r="C56" i="4" s="1"/>
  <c r="G66" i="4"/>
  <c r="C66" i="4" s="1"/>
  <c r="D31" i="31"/>
  <c r="B38" i="31" s="1"/>
  <c r="A38" i="31" s="1"/>
  <c r="F56" i="24"/>
  <c r="C133" i="4"/>
  <c r="C88" i="4"/>
  <c r="C151" i="4"/>
  <c r="C65" i="4"/>
  <c r="C77" i="4"/>
  <c r="C150" i="4" s="1"/>
  <c r="C55" i="4"/>
  <c r="C29" i="4"/>
  <c r="C145" i="4" s="1"/>
  <c r="C152" i="4"/>
  <c r="C102" i="4"/>
  <c r="C163" i="4" s="1"/>
  <c r="C40" i="4"/>
  <c r="C159" i="4" s="1"/>
  <c r="C112" i="4"/>
  <c r="C164" i="4" s="1"/>
  <c r="A39" i="31" l="1"/>
  <c r="B39" i="31"/>
  <c r="B20" i="24" s="1"/>
  <c r="C57" i="4"/>
  <c r="C58" i="4" s="1"/>
  <c r="C67" i="4"/>
  <c r="C161" i="4" s="1"/>
  <c r="C134" i="4"/>
  <c r="C135" i="4" s="1"/>
  <c r="C154" i="4"/>
  <c r="C90" i="4"/>
  <c r="C78" i="4"/>
  <c r="C91" i="4" s="1"/>
  <c r="C162" i="4" s="1"/>
  <c r="C30" i="4"/>
  <c r="C158" i="4" s="1"/>
  <c r="C160" i="4" l="1"/>
  <c r="C39" i="31"/>
  <c r="O20" i="24"/>
  <c r="C68" i="4"/>
  <c r="B41" i="31"/>
  <c r="A42" i="31"/>
  <c r="A41" i="31"/>
  <c r="C42" i="31"/>
  <c r="C167" i="4"/>
  <c r="C169" i="4" s="1"/>
  <c r="C171" i="4" s="1"/>
  <c r="B17" i="24" s="1"/>
  <c r="O17" i="24" s="1"/>
  <c r="C173" i="4" l="1"/>
  <c r="B13" i="24"/>
  <c r="O13" i="24" s="1"/>
  <c r="B40" i="24" l="1"/>
  <c r="B47" i="24" s="1"/>
  <c r="B46" i="24" s="1"/>
  <c r="O46" i="24" s="1"/>
  <c r="B52" i="24"/>
  <c r="O52" i="24" s="1"/>
  <c r="O47" i="24" l="1"/>
  <c r="O40" i="24"/>
  <c r="B54" i="24"/>
  <c r="O54" i="24" s="1"/>
  <c r="B55" i="24" l="1"/>
  <c r="O55" i="24" s="1"/>
  <c r="B56" i="24" l="1"/>
  <c r="O56"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Stone</author>
    <author>Daniel Lunghofer</author>
  </authors>
  <commentList>
    <comment ref="B5" authorId="0" shapeId="0" xr:uid="{00000000-0006-0000-0200-000001000000}">
      <text>
        <r>
          <rPr>
            <b/>
            <sz val="9"/>
            <color indexed="81"/>
            <rFont val="Tahoma"/>
            <family val="2"/>
          </rPr>
          <t>Paul Stone:</t>
        </r>
        <r>
          <rPr>
            <sz val="9"/>
            <color indexed="81"/>
            <rFont val="Tahoma"/>
            <family val="2"/>
          </rPr>
          <t xml:space="preserve">
Manually enter values in the yellow cells. See Instructions.</t>
        </r>
      </text>
    </comment>
    <comment ref="B40" authorId="1" shapeId="0" xr:uid="{00000000-0006-0000-0200-000002000000}">
      <text>
        <r>
          <rPr>
            <b/>
            <sz val="9"/>
            <color indexed="81"/>
            <rFont val="Tahoma"/>
            <family val="2"/>
          </rPr>
          <t>OSPI/SAFS:</t>
        </r>
        <r>
          <rPr>
            <sz val="9"/>
            <color indexed="81"/>
            <rFont val="Tahoma"/>
            <family val="2"/>
          </rPr>
          <t xml:space="preserve">
Amounts that are Assigned cannot reduce Unassigned Fund Balance to below zero. If amounts are Assigned but there is insufficient Fund Balance to cover them, the amount of the Assignment will be reduced accordingly.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Sando</author>
  </authors>
  <commentList>
    <comment ref="F46" authorId="0" shapeId="0" xr:uid="{43986B2D-FE55-4B5B-A8CE-BC1D60049C29}">
      <text>
        <r>
          <rPr>
            <b/>
            <sz val="9"/>
            <color indexed="81"/>
            <rFont val="Tahoma"/>
            <family val="2"/>
          </rPr>
          <t>Mike Sando:</t>
        </r>
        <r>
          <rPr>
            <sz val="9"/>
            <color indexed="81"/>
            <rFont val="Tahoma"/>
            <family val="2"/>
          </rPr>
          <t xml:space="preserve">
Changed due to manuel revision filed 1/24/23</t>
        </r>
      </text>
    </comment>
    <comment ref="D76" authorId="0" shapeId="0" xr:uid="{F7111218-1FF6-47D2-A1A8-FDCE8CA8EC93}">
      <text>
        <r>
          <rPr>
            <b/>
            <sz val="9"/>
            <color indexed="81"/>
            <rFont val="Tahoma"/>
            <family val="2"/>
          </rPr>
          <t>Mike Sando:</t>
        </r>
        <r>
          <rPr>
            <sz val="9"/>
            <color indexed="81"/>
            <rFont val="Tahoma"/>
            <family val="2"/>
          </rPr>
          <t xml:space="preserve">
Rate changed to 0.00% - the underlying data (-0.0085) will remain in the EDS</t>
        </r>
      </text>
    </comment>
    <comment ref="F121" authorId="0" shapeId="0" xr:uid="{97813EEC-4BFA-4EEC-B0B2-79E22D2C2306}">
      <text>
        <r>
          <rPr>
            <b/>
            <sz val="9"/>
            <color indexed="81"/>
            <rFont val="Tahoma"/>
            <family val="2"/>
          </rPr>
          <t>Mike Sando:</t>
        </r>
        <r>
          <rPr>
            <sz val="9"/>
            <color indexed="81"/>
            <rFont val="Tahoma"/>
            <family val="2"/>
          </rPr>
          <t xml:space="preserve">
Rate changed to 0.00% - the underlying data (-0.0613) will remain in the EDS</t>
        </r>
      </text>
    </comment>
    <comment ref="D126" authorId="0" shapeId="0" xr:uid="{50AA9504-5BF1-433C-85C5-DEBDED31F2D3}">
      <text>
        <r>
          <rPr>
            <b/>
            <sz val="9"/>
            <color indexed="81"/>
            <rFont val="Tahoma"/>
            <family val="2"/>
          </rPr>
          <t>Mike Sando:</t>
        </r>
        <r>
          <rPr>
            <sz val="9"/>
            <color indexed="81"/>
            <rFont val="Tahoma"/>
            <family val="2"/>
          </rPr>
          <t xml:space="preserve">
Rate changed to 0.00% - the underlying data (-0.0015) will remain in the EDS</t>
        </r>
      </text>
    </comment>
    <comment ref="F132" authorId="0" shapeId="0" xr:uid="{10430B75-CF6D-40D6-B694-EA59AF578BCE}">
      <text>
        <r>
          <rPr>
            <b/>
            <sz val="9"/>
            <color indexed="81"/>
            <rFont val="Tahoma"/>
            <family val="2"/>
          </rPr>
          <t>Mike Sando:</t>
        </r>
        <r>
          <rPr>
            <sz val="9"/>
            <color indexed="81"/>
            <rFont val="Tahoma"/>
            <family val="2"/>
          </rPr>
          <t xml:space="preserve">
Changed due to manuel revision filed 
5/9/23</t>
        </r>
      </text>
    </comment>
    <comment ref="D149" authorId="0" shapeId="0" xr:uid="{7B90A42F-3EDA-4D71-B141-1F0FCB3F6B56}">
      <text>
        <r>
          <rPr>
            <b/>
            <sz val="9"/>
            <color indexed="81"/>
            <rFont val="Tahoma"/>
            <family val="2"/>
          </rPr>
          <t>Mike Sando:</t>
        </r>
        <r>
          <rPr>
            <sz val="9"/>
            <color indexed="81"/>
            <rFont val="Tahoma"/>
            <family val="2"/>
          </rPr>
          <t xml:space="preserve">
Rate changed to 0.00% - underlying data (-0.0020) will remain in the EDS</t>
        </r>
      </text>
    </comment>
    <comment ref="F149" authorId="0" shapeId="0" xr:uid="{35F25FB0-1081-4A6F-AA20-8A24DD869393}">
      <text>
        <r>
          <rPr>
            <b/>
            <sz val="9"/>
            <color indexed="81"/>
            <rFont val="Tahoma"/>
            <family val="2"/>
          </rPr>
          <t>Mike Sando:</t>
        </r>
        <r>
          <rPr>
            <sz val="9"/>
            <color indexed="81"/>
            <rFont val="Tahoma"/>
            <family val="2"/>
          </rPr>
          <t xml:space="preserve">
Rate changed to 0.00% - underlying data (-0.0026) will remain in the EDS</t>
        </r>
      </text>
    </comment>
    <comment ref="D174" authorId="0" shapeId="0" xr:uid="{2FB33F11-EDAB-47D0-AA4A-2483545E9A77}">
      <text>
        <r>
          <rPr>
            <b/>
            <sz val="9"/>
            <color indexed="81"/>
            <rFont val="Tahoma"/>
            <family val="2"/>
          </rPr>
          <t>Mike Sando:</t>
        </r>
        <r>
          <rPr>
            <sz val="9"/>
            <color indexed="81"/>
            <rFont val="Tahoma"/>
            <family val="2"/>
          </rPr>
          <t xml:space="preserve">
Rate changed to 0.00% - the underlying data (-0.0051) will remain in the EDS</t>
        </r>
      </text>
    </comment>
    <comment ref="F209" authorId="0" shapeId="0" xr:uid="{2F8947E9-816F-47F4-9D68-1D1D5A724C0A}">
      <text>
        <r>
          <rPr>
            <b/>
            <sz val="9"/>
            <color indexed="81"/>
            <rFont val="Tahoma"/>
            <family val="2"/>
          </rPr>
          <t>Mike Sando:</t>
        </r>
        <r>
          <rPr>
            <sz val="9"/>
            <color indexed="81"/>
            <rFont val="Tahoma"/>
            <family val="2"/>
          </rPr>
          <t xml:space="preserve">
Changed due to manuel revision filed 
5/9/23</t>
        </r>
      </text>
    </comment>
    <comment ref="E223" authorId="0" shapeId="0" xr:uid="{E7F221FD-2EB2-438D-B6B9-3D41F739F4AD}">
      <text>
        <r>
          <rPr>
            <b/>
            <sz val="9"/>
            <color indexed="81"/>
            <rFont val="Tahoma"/>
            <family val="2"/>
          </rPr>
          <t>Mike Sando:</t>
        </r>
        <r>
          <rPr>
            <sz val="9"/>
            <color indexed="81"/>
            <rFont val="Tahoma"/>
            <family val="2"/>
          </rPr>
          <t xml:space="preserve">
Rate changed to 100% - the underlying data (1.6074) will remain in the EDS</t>
        </r>
      </text>
    </comment>
    <comment ref="D230" authorId="0" shapeId="0" xr:uid="{688640D0-0F6B-4897-9489-109B2C173733}">
      <text>
        <r>
          <rPr>
            <b/>
            <sz val="9"/>
            <color indexed="81"/>
            <rFont val="Tahoma"/>
            <family val="2"/>
          </rPr>
          <t>Mike Sando:</t>
        </r>
        <r>
          <rPr>
            <sz val="9"/>
            <color indexed="81"/>
            <rFont val="Tahoma"/>
            <family val="2"/>
          </rPr>
          <t xml:space="preserve">
Rate changed to 0.00% - underlying data (-0.0075) will remain in the EDS</t>
        </r>
      </text>
    </comment>
    <comment ref="F230" authorId="0" shapeId="0" xr:uid="{72E36CC3-A353-4F14-A060-C384223E2C76}">
      <text>
        <r>
          <rPr>
            <b/>
            <sz val="9"/>
            <color indexed="81"/>
            <rFont val="Tahoma"/>
            <family val="2"/>
          </rPr>
          <t>Mike Sando:</t>
        </r>
        <r>
          <rPr>
            <sz val="9"/>
            <color indexed="81"/>
            <rFont val="Tahoma"/>
            <family val="2"/>
          </rPr>
          <t xml:space="preserve">
Indirect changed to 0.00% - underlying data (-0.0093) will remain in the EDS</t>
        </r>
      </text>
    </comment>
    <comment ref="D236" authorId="0" shapeId="0" xr:uid="{BF24F2EB-24AC-45F4-86FA-13235FC2D8E9}">
      <text>
        <r>
          <rPr>
            <b/>
            <sz val="9"/>
            <color indexed="81"/>
            <rFont val="Tahoma"/>
            <family val="2"/>
          </rPr>
          <t>Mike Sando:</t>
        </r>
        <r>
          <rPr>
            <sz val="9"/>
            <color indexed="81"/>
            <rFont val="Tahoma"/>
            <family val="2"/>
          </rPr>
          <t xml:space="preserve">
Rate changed to 0.00% - the underlying data (-0.4210) will remain in the EDS</t>
        </r>
      </text>
    </comment>
    <comment ref="D276" authorId="0" shapeId="0" xr:uid="{04A2069D-6F8D-45CF-978C-7E3E638CE401}">
      <text>
        <r>
          <rPr>
            <b/>
            <sz val="9"/>
            <color indexed="81"/>
            <rFont val="Tahoma"/>
            <family val="2"/>
          </rPr>
          <t>Mike Sando:</t>
        </r>
        <r>
          <rPr>
            <sz val="9"/>
            <color indexed="81"/>
            <rFont val="Tahoma"/>
            <family val="2"/>
          </rPr>
          <t xml:space="preserve">
Rate changed to 0.00%, the underlying data (-0.1026) will remain in the EDS</t>
        </r>
      </text>
    </comment>
    <comment ref="F276" authorId="0" shapeId="0" xr:uid="{71C930FB-5C04-4911-8342-3BAC2AF1A332}">
      <text>
        <r>
          <rPr>
            <b/>
            <sz val="9"/>
            <color indexed="81"/>
            <rFont val="Tahoma"/>
            <family val="2"/>
          </rPr>
          <t>Mike Sando:</t>
        </r>
        <r>
          <rPr>
            <sz val="9"/>
            <color indexed="81"/>
            <rFont val="Tahoma"/>
            <family val="2"/>
          </rPr>
          <t xml:space="preserve">
Rate changed to 0.00% - underlying data (-0.5097) will remain in the EDS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 Stone</author>
  </authors>
  <commentList>
    <comment ref="C6" authorId="0" shapeId="0" xr:uid="{10506FCC-5758-4C19-AC5C-2B155918658B}">
      <text>
        <r>
          <rPr>
            <b/>
            <sz val="9"/>
            <color indexed="81"/>
            <rFont val="Tahoma"/>
            <family val="2"/>
          </rPr>
          <t>Paul Stone: To Do - Once the 1800 sum report is completed for 19-20, move the 19-20 figures here.</t>
        </r>
        <r>
          <rPr>
            <sz val="9"/>
            <color indexed="81"/>
            <rFont val="Tahoma"/>
            <family val="2"/>
          </rPr>
          <t xml:space="preserve">
</t>
        </r>
      </text>
    </comment>
    <comment ref="D6" authorId="0" shapeId="0" xr:uid="{B522A0CB-6BB1-4257-A6D1-6B00EBBCAE15}">
      <text>
        <r>
          <rPr>
            <b/>
            <sz val="9"/>
            <color indexed="81"/>
            <rFont val="Tahoma"/>
            <family val="2"/>
          </rPr>
          <t>Paul Stone: To Do - Once the 1800 sum report is completed for 19-20, move the 19-20 figures here.</t>
        </r>
        <r>
          <rPr>
            <sz val="9"/>
            <color indexed="81"/>
            <rFont val="Tahoma"/>
            <family val="2"/>
          </rPr>
          <t xml:space="preserve">
</t>
        </r>
      </text>
    </comment>
    <comment ref="E6" authorId="0" shapeId="0" xr:uid="{00000000-0006-0000-0B00-000001000000}">
      <text>
        <r>
          <rPr>
            <b/>
            <sz val="9"/>
            <color indexed="81"/>
            <rFont val="Tahoma"/>
            <family val="2"/>
          </rPr>
          <t>Paul Stone: To Do - Once the 1800 sum report is completed for 19-20, move the 19-20 figures here.</t>
        </r>
        <r>
          <rPr>
            <sz val="9"/>
            <color indexed="81"/>
            <rFont val="Tahoma"/>
            <family val="2"/>
          </rPr>
          <t xml:space="preserve">
</t>
        </r>
      </text>
    </comment>
    <comment ref="F6" authorId="0" shapeId="0" xr:uid="{3304E298-D9ED-4769-AC29-727961963FF0}">
      <text>
        <r>
          <rPr>
            <b/>
            <sz val="9"/>
            <color indexed="81"/>
            <rFont val="Tahoma"/>
            <family val="2"/>
          </rPr>
          <t>Paul Stone: To Do - Once the 1800 sum report is completed for 19-20, move the 19-20 figures here.</t>
        </r>
        <r>
          <rPr>
            <sz val="9"/>
            <color indexed="81"/>
            <rFont val="Tahoma"/>
            <family val="2"/>
          </rPr>
          <t xml:space="preserve">
</t>
        </r>
      </text>
    </comment>
    <comment ref="R6" authorId="0" shapeId="0" xr:uid="{6F0BF96C-B960-4E44-A843-BAF7C4C46F36}">
      <text>
        <r>
          <rPr>
            <b/>
            <sz val="9"/>
            <color indexed="81"/>
            <rFont val="Tahoma"/>
            <family val="2"/>
          </rPr>
          <t>Paul Stone: To Do - Once the 1800 sum report is completed for 18-19, move the 18-19 figures here.</t>
        </r>
        <r>
          <rPr>
            <sz val="9"/>
            <color indexed="81"/>
            <rFont val="Tahoma"/>
            <family val="2"/>
          </rPr>
          <t xml:space="preserve">
</t>
        </r>
      </text>
    </comment>
    <comment ref="S6" authorId="0" shapeId="0" xr:uid="{25EE9A03-4937-4E20-A952-C8C45B062190}">
      <text>
        <r>
          <rPr>
            <b/>
            <sz val="9"/>
            <color indexed="81"/>
            <rFont val="Tahoma"/>
            <family val="2"/>
          </rPr>
          <t>Paul Stone: To Do - Once the 1800 sum report is completed for 19-20, move the 19-20 figures here.</t>
        </r>
        <r>
          <rPr>
            <sz val="9"/>
            <color indexed="81"/>
            <rFont val="Tahoma"/>
            <family val="2"/>
          </rPr>
          <t xml:space="preserve">
</t>
        </r>
      </text>
    </comment>
    <comment ref="T6" authorId="0" shapeId="0" xr:uid="{EE219890-F643-45BB-983D-1D614F983BCD}">
      <text>
        <r>
          <rPr>
            <b/>
            <sz val="9"/>
            <color indexed="81"/>
            <rFont val="Tahoma"/>
            <family val="2"/>
          </rPr>
          <t>Paul Stone: To Do - Once the 1800 sum report is completed for 19-20, move the 19-20 figures here.</t>
        </r>
        <r>
          <rPr>
            <sz val="9"/>
            <color indexed="81"/>
            <rFont val="Tahoma"/>
            <family val="2"/>
          </rPr>
          <t xml:space="preserve">
</t>
        </r>
      </text>
    </comment>
    <comment ref="U6" authorId="0" shapeId="0" xr:uid="{6DF560C7-8F20-4F7E-9FD0-C7591CDDB564}">
      <text>
        <r>
          <rPr>
            <b/>
            <sz val="9"/>
            <color indexed="81"/>
            <rFont val="Tahoma"/>
            <family val="2"/>
          </rPr>
          <t>Paul Stone: To Do - Once the 1800 sum report is completed for 19-20, move the 19-20 figures here.</t>
        </r>
        <r>
          <rPr>
            <sz val="9"/>
            <color indexed="81"/>
            <rFont val="Tahoma"/>
            <family val="2"/>
          </rPr>
          <t xml:space="preserve">
</t>
        </r>
      </text>
    </comment>
  </commentList>
</comments>
</file>

<file path=xl/sharedStrings.xml><?xml version="1.0" encoding="utf-8"?>
<sst xmlns="http://schemas.openxmlformats.org/spreadsheetml/2006/main" count="12644" uniqueCount="2997">
  <si>
    <t>Fund Balance Reporting Tool Instructions</t>
  </si>
  <si>
    <t>This tool is provided to assist districts in properly coding their ending fund balances for the 2023–2024 school year.</t>
  </si>
  <si>
    <t>Use of this tool is optional, but the use of applicable Fund Balance account codes is required by the Accounting Manual.</t>
  </si>
  <si>
    <t>Districts may not need to utilize every fund balance GL code presented here. If a particular GL code does not apply to your district, you are not required to use it.</t>
  </si>
  <si>
    <t>It is recommended that you save a copy of this excel file for your own use.</t>
  </si>
  <si>
    <r>
      <t xml:space="preserve">The </t>
    </r>
    <r>
      <rPr>
        <b/>
        <u/>
        <sz val="12"/>
        <color theme="1"/>
        <rFont val="Calibri"/>
        <family val="2"/>
        <scheme val="minor"/>
      </rPr>
      <t>Fund Balance Summary</t>
    </r>
    <r>
      <rPr>
        <sz val="12"/>
        <color theme="1"/>
        <rFont val="Calibri"/>
        <family val="2"/>
        <scheme val="minor"/>
      </rPr>
      <t xml:space="preserve"> is the primary worksheet that summarizes all the behind-the-scenes data entered on the other sheets.</t>
    </r>
  </si>
  <si>
    <r>
      <t>In Column A, the GL account numbers and names are</t>
    </r>
    <r>
      <rPr>
        <sz val="12"/>
        <color rgb="FF0000FF"/>
        <rFont val="Calibri"/>
        <family val="2"/>
        <scheme val="minor"/>
      </rPr>
      <t xml:space="preserve"> </t>
    </r>
    <r>
      <rPr>
        <b/>
        <u/>
        <sz val="12"/>
        <color rgb="FF0000FF"/>
        <rFont val="Calibri"/>
        <family val="2"/>
        <scheme val="minor"/>
      </rPr>
      <t>hyperlinked</t>
    </r>
    <r>
      <rPr>
        <sz val="12"/>
        <color theme="1"/>
        <rFont val="Calibri"/>
        <family val="2"/>
        <scheme val="minor"/>
      </rPr>
      <t xml:space="preserve"> to the appropriate sheet. Click on the name to go to that sheet.</t>
    </r>
  </si>
  <si>
    <r>
      <t xml:space="preserve">From any other sheet, click on </t>
    </r>
    <r>
      <rPr>
        <b/>
        <sz val="12"/>
        <color rgb="FF0000FF"/>
        <rFont val="Calibri"/>
        <family val="2"/>
        <scheme val="minor"/>
      </rPr>
      <t xml:space="preserve">(Return to summary sheet) </t>
    </r>
    <r>
      <rPr>
        <sz val="12"/>
        <color theme="1"/>
        <rFont val="Calibri"/>
        <family val="2"/>
        <scheme val="minor"/>
      </rPr>
      <t>to return to the "Fund Balance Summary" sheet.</t>
    </r>
  </si>
  <si>
    <t>SHEET: FUND BALANCE SUMMARY</t>
  </si>
  <si>
    <r>
      <t>In the large yellow cell [</t>
    </r>
    <r>
      <rPr>
        <b/>
        <sz val="14"/>
        <color theme="1"/>
        <rFont val="Calibri"/>
        <family val="2"/>
        <scheme val="minor"/>
      </rPr>
      <t>A-B2</t>
    </r>
    <r>
      <rPr>
        <sz val="12"/>
        <color theme="1"/>
        <rFont val="Calibri"/>
        <family val="2"/>
        <scheme val="minor"/>
      </rPr>
      <t xml:space="preserve">], a drop-down list of districts in alphabetical order will appear. </t>
    </r>
  </si>
  <si>
    <t>Select your district. This will populate the sheet appropriately.</t>
  </si>
  <si>
    <r>
      <rPr>
        <b/>
        <sz val="12"/>
        <color theme="1"/>
        <rFont val="Calibri"/>
        <family val="2"/>
        <scheme val="minor"/>
      </rPr>
      <t>Enter</t>
    </r>
    <r>
      <rPr>
        <sz val="12"/>
        <color theme="1"/>
        <rFont val="Calibri"/>
        <family val="2"/>
        <scheme val="minor"/>
      </rPr>
      <t xml:space="preserve"> the district's total assets and deferred outflows or resources, by fund on </t>
    </r>
    <r>
      <rPr>
        <b/>
        <sz val="12"/>
        <color theme="1"/>
        <rFont val="Calibri"/>
        <family val="2"/>
        <scheme val="minor"/>
      </rPr>
      <t>line  5</t>
    </r>
    <r>
      <rPr>
        <sz val="12"/>
        <color theme="1"/>
        <rFont val="Calibri"/>
        <family val="2"/>
        <scheme val="minor"/>
      </rPr>
      <t>.</t>
    </r>
  </si>
  <si>
    <r>
      <rPr>
        <b/>
        <sz val="12"/>
        <color theme="1"/>
        <rFont val="Calibri"/>
        <family val="2"/>
        <scheme val="minor"/>
      </rPr>
      <t>Enter</t>
    </r>
    <r>
      <rPr>
        <sz val="12"/>
        <color theme="1"/>
        <rFont val="Calibri"/>
        <family val="2"/>
        <scheme val="minor"/>
      </rPr>
      <t xml:space="preserve"> the district's total liabilities and deferred inflows of resources, by fund on</t>
    </r>
    <r>
      <rPr>
        <b/>
        <sz val="12"/>
        <color theme="1"/>
        <rFont val="Calibri"/>
        <family val="2"/>
        <scheme val="minor"/>
      </rPr>
      <t xml:space="preserve"> line 6</t>
    </r>
    <r>
      <rPr>
        <sz val="12"/>
        <color theme="1"/>
        <rFont val="Calibri"/>
        <family val="2"/>
        <scheme val="minor"/>
      </rPr>
      <t>.</t>
    </r>
  </si>
  <si>
    <t>Line 7 will calculate the total Fund Balance available for each fund.</t>
  </si>
  <si>
    <r>
      <rPr>
        <b/>
        <u/>
        <sz val="14"/>
        <color theme="1"/>
        <rFont val="Calibri"/>
        <family val="2"/>
        <scheme val="minor"/>
      </rPr>
      <t>SHEET: FUND BALANCE SUMMARY</t>
    </r>
    <r>
      <rPr>
        <b/>
        <sz val="14"/>
        <color theme="1"/>
        <rFont val="Calibri"/>
        <family val="2"/>
        <scheme val="minor"/>
      </rPr>
      <t xml:space="preserve"> — </t>
    </r>
    <r>
      <rPr>
        <b/>
        <u/>
        <sz val="14"/>
        <color theme="1"/>
        <rFont val="Calibri"/>
        <family val="2"/>
        <scheme val="minor"/>
      </rPr>
      <t>COLUMNS L and M</t>
    </r>
    <r>
      <rPr>
        <b/>
        <sz val="14"/>
        <color theme="1"/>
        <rFont val="Calibri"/>
        <family val="2"/>
        <scheme val="minor"/>
      </rPr>
      <t xml:space="preserve">   </t>
    </r>
    <r>
      <rPr>
        <sz val="12"/>
        <color theme="1"/>
        <rFont val="Calibri"/>
        <family val="2"/>
        <scheme val="minor"/>
      </rPr>
      <t xml:space="preserve">     </t>
    </r>
  </si>
  <si>
    <t xml:space="preserve">GENERAL FUND EQUITY ACCOUNTS, BY SUB-FUND </t>
  </si>
  <si>
    <t xml:space="preserve">Districts are encouraged to track Fund Balance Equity, by Sub-Fund.  </t>
  </si>
  <si>
    <t xml:space="preserve">Business Managers should enter values in the yellow cells provided in columns L &amp; M. This exercise is intended to split the Equity Accounts by sub-funds. </t>
  </si>
  <si>
    <t xml:space="preserve">Columns L &amp; M are added together in column N. </t>
  </si>
  <si>
    <t>Column O compares column N to column B.</t>
  </si>
  <si>
    <t xml:space="preserve">The amounts calculated in Columns L &amp; M at Row 56 represent the General Fund ending Fund Balance, by Sub-Fund. This worksheet can be used to support amounts provided in the supplemental F-196 report: Fund Balance by Sub-Fund. </t>
  </si>
  <si>
    <t>Each sheet has its own instructions and guidance copied from the Accounting Manual.</t>
  </si>
  <si>
    <r>
      <t xml:space="preserve">It is recommended that districts print a copy of the completed </t>
    </r>
    <r>
      <rPr>
        <b/>
        <i/>
        <sz val="14"/>
        <color theme="1"/>
        <rFont val="Calibri"/>
        <family val="2"/>
        <scheme val="minor"/>
      </rPr>
      <t>GL828 worksheet</t>
    </r>
    <r>
      <rPr>
        <b/>
        <i/>
        <sz val="11"/>
        <color theme="1"/>
        <rFont val="Calibri"/>
        <family val="2"/>
        <scheme val="minor"/>
      </rPr>
      <t>, if applicable. Sign it, date it, and keep a copy on file for review by Child Nutrition Services and/or the auditors.</t>
    </r>
  </si>
  <si>
    <r>
      <t xml:space="preserve">Last Updated: August 30, 2024. 2023–2024 allocations are updated through August 2024 for the </t>
    </r>
    <r>
      <rPr>
        <u/>
        <sz val="12"/>
        <color theme="1"/>
        <rFont val="Calibri"/>
        <family val="2"/>
        <scheme val="minor"/>
      </rPr>
      <t>GL 821 Restricted</t>
    </r>
    <r>
      <rPr>
        <sz val="12"/>
        <color theme="1"/>
        <rFont val="Calibri"/>
        <family val="2"/>
        <scheme val="minor"/>
      </rPr>
      <t xml:space="preserve"> worksheet. </t>
    </r>
  </si>
  <si>
    <t xml:space="preserve">For more information or questions, please contact Paul Stone by email at paul.stone@k12.wa.us. </t>
  </si>
  <si>
    <t>CCDDD</t>
  </si>
  <si>
    <t>SCHOOL  DISTRICT (23-24)</t>
  </si>
  <si>
    <t>Class</t>
  </si>
  <si>
    <t>Basis</t>
  </si>
  <si>
    <t>Nonhigh</t>
  </si>
  <si>
    <t>SCHOOL  DISTRICT (22-23)</t>
  </si>
  <si>
    <t>14005</t>
  </si>
  <si>
    <t>ABERDEEN</t>
  </si>
  <si>
    <t>Accrual</t>
  </si>
  <si>
    <t>No</t>
  </si>
  <si>
    <t>21226</t>
  </si>
  <si>
    <t>ADNA</t>
  </si>
  <si>
    <t>22017</t>
  </si>
  <si>
    <t>ALMIRA</t>
  </si>
  <si>
    <t>Cash</t>
  </si>
  <si>
    <t>Yes</t>
  </si>
  <si>
    <t>29103</t>
  </si>
  <si>
    <t>ANACORTES</t>
  </si>
  <si>
    <t>31016</t>
  </si>
  <si>
    <t>ARLINGTON</t>
  </si>
  <si>
    <t>02420</t>
  </si>
  <si>
    <t>ASOTIN</t>
  </si>
  <si>
    <t>17408</t>
  </si>
  <si>
    <t>AUBURN</t>
  </si>
  <si>
    <t>18303</t>
  </si>
  <si>
    <t>BAINBRIDGE</t>
  </si>
  <si>
    <t>06119</t>
  </si>
  <si>
    <t>BATTLE GROUND</t>
  </si>
  <si>
    <t>17405</t>
  </si>
  <si>
    <t>BELLEVUE</t>
  </si>
  <si>
    <t>37501</t>
  </si>
  <si>
    <t>BELLINGHAM</t>
  </si>
  <si>
    <t>01122</t>
  </si>
  <si>
    <t>BENGE</t>
  </si>
  <si>
    <t>27403</t>
  </si>
  <si>
    <t>BETHEL</t>
  </si>
  <si>
    <t>20203</t>
  </si>
  <si>
    <t>BICKLETON</t>
  </si>
  <si>
    <t>37503</t>
  </si>
  <si>
    <t>BLAINE</t>
  </si>
  <si>
    <t>21234</t>
  </si>
  <si>
    <t>BOISTFORT</t>
  </si>
  <si>
    <t>18100</t>
  </si>
  <si>
    <t>BREMERTON</t>
  </si>
  <si>
    <t>24111</t>
  </si>
  <si>
    <t>BREWSTER</t>
  </si>
  <si>
    <t>09075</t>
  </si>
  <si>
    <t>BRIDGEPORT</t>
  </si>
  <si>
    <t>16046</t>
  </si>
  <si>
    <t>BRINNON</t>
  </si>
  <si>
    <t>29100</t>
  </si>
  <si>
    <t>BURLINGTON EDISON</t>
  </si>
  <si>
    <t>06117</t>
  </si>
  <si>
    <t>CAMAS</t>
  </si>
  <si>
    <t>05401</t>
  </si>
  <si>
    <t>CAPE FLATTERY</t>
  </si>
  <si>
    <t>27019</t>
  </si>
  <si>
    <t>CARBONADO</t>
  </si>
  <si>
    <t>04228</t>
  </si>
  <si>
    <t>CASCADE</t>
  </si>
  <si>
    <t>04222</t>
  </si>
  <si>
    <t>CASHMERE</t>
  </si>
  <si>
    <t>08401</t>
  </si>
  <si>
    <t>CASTLE ROCK</t>
  </si>
  <si>
    <t>18901</t>
  </si>
  <si>
    <t>CATALYST</t>
  </si>
  <si>
    <t>20215</t>
  </si>
  <si>
    <t>CENTERVILLE</t>
  </si>
  <si>
    <t>18401</t>
  </si>
  <si>
    <t>CENTRAL KITSAP</t>
  </si>
  <si>
    <t>32356</t>
  </si>
  <si>
    <t>CENTRAL VALLEY</t>
  </si>
  <si>
    <t>21401</t>
  </si>
  <si>
    <t>CENTRALIA</t>
  </si>
  <si>
    <t>21302</t>
  </si>
  <si>
    <t>CHEHALIS</t>
  </si>
  <si>
    <t>32360</t>
  </si>
  <si>
    <t>CHENEY</t>
  </si>
  <si>
    <t>33036</t>
  </si>
  <si>
    <t>CHEWELAH</t>
  </si>
  <si>
    <t>27901</t>
  </si>
  <si>
    <t>CHIEF LESCHI TRIBAL</t>
  </si>
  <si>
    <t>16049</t>
  </si>
  <si>
    <t>CHIMACUM</t>
  </si>
  <si>
    <t>02250</t>
  </si>
  <si>
    <t>CLARKSTON</t>
  </si>
  <si>
    <t>19404</t>
  </si>
  <si>
    <t>CLE ELUM-ROSLYN</t>
  </si>
  <si>
    <t>27400</t>
  </si>
  <si>
    <t>CLOVER PARK</t>
  </si>
  <si>
    <t>38300</t>
  </si>
  <si>
    <t>COLFAX</t>
  </si>
  <si>
    <t>36250</t>
  </si>
  <si>
    <t>COLLEGE PLACE</t>
  </si>
  <si>
    <t>38306</t>
  </si>
  <si>
    <t>COLTON</t>
  </si>
  <si>
    <t>33206</t>
  </si>
  <si>
    <t>COLUMBIA (STEVENS)</t>
  </si>
  <si>
    <t>36400</t>
  </si>
  <si>
    <t>COLUMBIA (WALLA WALLA)</t>
  </si>
  <si>
    <t>33115</t>
  </si>
  <si>
    <t>COLVILLE</t>
  </si>
  <si>
    <t>29011</t>
  </si>
  <si>
    <t>CONCRETE</t>
  </si>
  <si>
    <t>29317</t>
  </si>
  <si>
    <t>CONWAY</t>
  </si>
  <si>
    <t>14099</t>
  </si>
  <si>
    <t>COSMOPOLIS</t>
  </si>
  <si>
    <t>13151</t>
  </si>
  <si>
    <t>COULEE-HARTLINE</t>
  </si>
  <si>
    <t>15204</t>
  </si>
  <si>
    <t>COUPEVILLE</t>
  </si>
  <si>
    <t>05313</t>
  </si>
  <si>
    <t>CRESCENT</t>
  </si>
  <si>
    <t>22073</t>
  </si>
  <si>
    <t>CRESTON</t>
  </si>
  <si>
    <t>10050</t>
  </si>
  <si>
    <t>CURLEW</t>
  </si>
  <si>
    <t>26059</t>
  </si>
  <si>
    <t>CUSICK</t>
  </si>
  <si>
    <t>19007</t>
  </si>
  <si>
    <t>DAMMAN</t>
  </si>
  <si>
    <t>31330</t>
  </si>
  <si>
    <t>DARRINGTON</t>
  </si>
  <si>
    <t>22207</t>
  </si>
  <si>
    <t>DAVENPORT</t>
  </si>
  <si>
    <t>07002</t>
  </si>
  <si>
    <t>DAYTON</t>
  </si>
  <si>
    <t>32414</t>
  </si>
  <si>
    <t>DEER PARK</t>
  </si>
  <si>
    <t>27343</t>
  </si>
  <si>
    <t>DIERINGER</t>
  </si>
  <si>
    <t>36101</t>
  </si>
  <si>
    <t>DIXIE</t>
  </si>
  <si>
    <t>32361</t>
  </si>
  <si>
    <t>EAST VALLEY (SPOKANE)</t>
  </si>
  <si>
    <t>39090</t>
  </si>
  <si>
    <t>EAST VALLEY (YAKIMA)</t>
  </si>
  <si>
    <t>09206</t>
  </si>
  <si>
    <t>EASTMONT</t>
  </si>
  <si>
    <t>19028</t>
  </si>
  <si>
    <t>EASTON</t>
  </si>
  <si>
    <t>27404</t>
  </si>
  <si>
    <t>EATONVILLE</t>
  </si>
  <si>
    <t>31015</t>
  </si>
  <si>
    <t>EDMONDS</t>
  </si>
  <si>
    <t>19401</t>
  </si>
  <si>
    <t>ELLENSBURG</t>
  </si>
  <si>
    <t>14068</t>
  </si>
  <si>
    <t>ELMA</t>
  </si>
  <si>
    <t>38308</t>
  </si>
  <si>
    <t>ENDICOTT</t>
  </si>
  <si>
    <t>04127</t>
  </si>
  <si>
    <t>ENTIAT</t>
  </si>
  <si>
    <t>17216</t>
  </si>
  <si>
    <t>ENUMCLAW</t>
  </si>
  <si>
    <t>13165</t>
  </si>
  <si>
    <t>EPHRATA</t>
  </si>
  <si>
    <t>06701</t>
  </si>
  <si>
    <t>ESA 112</t>
  </si>
  <si>
    <t>32801</t>
  </si>
  <si>
    <t>ESD 101</t>
  </si>
  <si>
    <t>39801</t>
  </si>
  <si>
    <t>ESD 105</t>
  </si>
  <si>
    <t>06801</t>
  </si>
  <si>
    <t>ESD 112</t>
  </si>
  <si>
    <t>34801</t>
  </si>
  <si>
    <t>ESD 113</t>
  </si>
  <si>
    <t>18801</t>
  </si>
  <si>
    <t>ESD 114</t>
  </si>
  <si>
    <t>17801</t>
  </si>
  <si>
    <t>ESD 121</t>
  </si>
  <si>
    <t>11801</t>
  </si>
  <si>
    <t>ESD 123</t>
  </si>
  <si>
    <t>04801</t>
  </si>
  <si>
    <t>ESD 171</t>
  </si>
  <si>
    <t>29801</t>
  </si>
  <si>
    <t>ESD 189</t>
  </si>
  <si>
    <t>21036</t>
  </si>
  <si>
    <t>EVALINE</t>
  </si>
  <si>
    <t>31002</t>
  </si>
  <si>
    <t>EVERETT</t>
  </si>
  <si>
    <t>06114</t>
  </si>
  <si>
    <t>EVERGREEN (CLARK)</t>
  </si>
  <si>
    <t>33205</t>
  </si>
  <si>
    <t>EVERGREEN (STEVENS)</t>
  </si>
  <si>
    <t>17210</t>
  </si>
  <si>
    <t>FEDERAL WAY</t>
  </si>
  <si>
    <t>37502</t>
  </si>
  <si>
    <t>FERNDALE</t>
  </si>
  <si>
    <t>27417</t>
  </si>
  <si>
    <t>FIFE</t>
  </si>
  <si>
    <t>03053</t>
  </si>
  <si>
    <t>FINLEY</t>
  </si>
  <si>
    <t>27402</t>
  </si>
  <si>
    <t>FRANKLIN PIERCE</t>
  </si>
  <si>
    <t>32358</t>
  </si>
  <si>
    <t>FREEMAN</t>
  </si>
  <si>
    <t>38302</t>
  </si>
  <si>
    <t>GARFIELD</t>
  </si>
  <si>
    <t>20401</t>
  </si>
  <si>
    <t>GLENWOOD</t>
  </si>
  <si>
    <t>20404</t>
  </si>
  <si>
    <t>GOLDENDALE</t>
  </si>
  <si>
    <t>13301</t>
  </si>
  <si>
    <t>GRAND COULEE DAM</t>
  </si>
  <si>
    <t>39200</t>
  </si>
  <si>
    <t>GRANDVIEW</t>
  </si>
  <si>
    <t>39204</t>
  </si>
  <si>
    <t>GRANGER</t>
  </si>
  <si>
    <t>31332</t>
  </si>
  <si>
    <t>GRANITE FALLS</t>
  </si>
  <si>
    <t>23054</t>
  </si>
  <si>
    <t>GRAPEVIEW</t>
  </si>
  <si>
    <t>32312</t>
  </si>
  <si>
    <t>GREAT NORTHERN</t>
  </si>
  <si>
    <t>06103</t>
  </si>
  <si>
    <t>GREEN MOUNTAIN</t>
  </si>
  <si>
    <t>34324</t>
  </si>
  <si>
    <t>GRIFFIN</t>
  </si>
  <si>
    <t>22204</t>
  </si>
  <si>
    <t>HARRINGTON</t>
  </si>
  <si>
    <t>39203</t>
  </si>
  <si>
    <t>HIGHLAND</t>
  </si>
  <si>
    <t>17401</t>
  </si>
  <si>
    <t>HIGHLINE</t>
  </si>
  <si>
    <t>06098</t>
  </si>
  <si>
    <t>HOCKINSON</t>
  </si>
  <si>
    <t>23404</t>
  </si>
  <si>
    <t>HOOD CANAL</t>
  </si>
  <si>
    <t>14028</t>
  </si>
  <si>
    <t>HOQUIAM</t>
  </si>
  <si>
    <t>17919</t>
  </si>
  <si>
    <t>IMPACT BLACK RIVER</t>
  </si>
  <si>
    <t>27902</t>
  </si>
  <si>
    <t>IMPACT COMMENCEMENT BAY</t>
  </si>
  <si>
    <t>17911</t>
  </si>
  <si>
    <t>IMPACT PUGET SOUND</t>
  </si>
  <si>
    <t>17916</t>
  </si>
  <si>
    <t>IMPACT SALISH SEA</t>
  </si>
  <si>
    <t>10070</t>
  </si>
  <si>
    <t>INCHELIUM</t>
  </si>
  <si>
    <t>31063</t>
  </si>
  <si>
    <t>INDEX</t>
  </si>
  <si>
    <t>17411</t>
  </si>
  <si>
    <t>ISSAQUAH</t>
  </si>
  <si>
    <t>11056</t>
  </si>
  <si>
    <t>KAHLOTUS</t>
  </si>
  <si>
    <t>08402</t>
  </si>
  <si>
    <t>KALAMA</t>
  </si>
  <si>
    <t>10003</t>
  </si>
  <si>
    <t>KELLER</t>
  </si>
  <si>
    <t>08458</t>
  </si>
  <si>
    <t>KELSO</t>
  </si>
  <si>
    <t>03017</t>
  </si>
  <si>
    <t>KENNEWICK</t>
  </si>
  <si>
    <t>17415</t>
  </si>
  <si>
    <t>KENT</t>
  </si>
  <si>
    <t>33212</t>
  </si>
  <si>
    <t>KETTLE FALLS</t>
  </si>
  <si>
    <t>03052</t>
  </si>
  <si>
    <t>KIONA BENTON</t>
  </si>
  <si>
    <t>19403</t>
  </si>
  <si>
    <t>KITTITAS</t>
  </si>
  <si>
    <t>20402</t>
  </si>
  <si>
    <t>KLICKITAT</t>
  </si>
  <si>
    <t>29311</t>
  </si>
  <si>
    <t>LA CONNER</t>
  </si>
  <si>
    <t>06101</t>
  </si>
  <si>
    <t>LACENTER</t>
  </si>
  <si>
    <t>38126</t>
  </si>
  <si>
    <t>LACROSSE JOINT</t>
  </si>
  <si>
    <t>04129</t>
  </si>
  <si>
    <t>LAKE CHELAN</t>
  </si>
  <si>
    <t>31004</t>
  </si>
  <si>
    <t>LAKE STEVENS</t>
  </si>
  <si>
    <t>17414</t>
  </si>
  <si>
    <t>LAKE WASHINGTON</t>
  </si>
  <si>
    <t>31306</t>
  </si>
  <si>
    <t>LAKEWOOD</t>
  </si>
  <si>
    <t>38264</t>
  </si>
  <si>
    <t>LAMONT</t>
  </si>
  <si>
    <t>32362</t>
  </si>
  <si>
    <t>LIBERTY</t>
  </si>
  <si>
    <t>01158</t>
  </si>
  <si>
    <t>LIND</t>
  </si>
  <si>
    <t>08122</t>
  </si>
  <si>
    <t>LONGVIEW</t>
  </si>
  <si>
    <t>33183</t>
  </si>
  <si>
    <t>LOON LAKE</t>
  </si>
  <si>
    <t>28144</t>
  </si>
  <si>
    <t>LOPEZ</t>
  </si>
  <si>
    <t>32903</t>
  </si>
  <si>
    <t>LUMEN</t>
  </si>
  <si>
    <t>37903</t>
  </si>
  <si>
    <t>LUMMI TRIBAL</t>
  </si>
  <si>
    <t>20406</t>
  </si>
  <si>
    <t>LYLE</t>
  </si>
  <si>
    <t>37504</t>
  </si>
  <si>
    <t>LYNDEN</t>
  </si>
  <si>
    <t>39120</t>
  </si>
  <si>
    <t>MABTON</t>
  </si>
  <si>
    <t>09207</t>
  </si>
  <si>
    <t>MANSFIELD</t>
  </si>
  <si>
    <t>04019</t>
  </si>
  <si>
    <t>MANSON</t>
  </si>
  <si>
    <t>23311</t>
  </si>
  <si>
    <t>MARY M KNIGHT</t>
  </si>
  <si>
    <t>33207</t>
  </si>
  <si>
    <t>MARY WALKER</t>
  </si>
  <si>
    <t>31025</t>
  </si>
  <si>
    <t>MARYSVILLE</t>
  </si>
  <si>
    <t>14065</t>
  </si>
  <si>
    <t>MC CLEARY</t>
  </si>
  <si>
    <t>32354</t>
  </si>
  <si>
    <t>MEAD</t>
  </si>
  <si>
    <t>32326</t>
  </si>
  <si>
    <t>MEDICAL LAKE</t>
  </si>
  <si>
    <t>17400</t>
  </si>
  <si>
    <t>MERCER ISLAND</t>
  </si>
  <si>
    <t>37505</t>
  </si>
  <si>
    <t>MERIDIAN</t>
  </si>
  <si>
    <t>24350</t>
  </si>
  <si>
    <t>METHOW VALLEY</t>
  </si>
  <si>
    <t>30031</t>
  </si>
  <si>
    <t>MILL A</t>
  </si>
  <si>
    <t>31103</t>
  </si>
  <si>
    <t>MONROE</t>
  </si>
  <si>
    <t>14066</t>
  </si>
  <si>
    <t>MONTESANO</t>
  </si>
  <si>
    <t>21214</t>
  </si>
  <si>
    <t>MORTON</t>
  </si>
  <si>
    <t>13161</t>
  </si>
  <si>
    <t>MOSES LAKE</t>
  </si>
  <si>
    <t>21206</t>
  </si>
  <si>
    <t>MOSSYROCK</t>
  </si>
  <si>
    <t>39209</t>
  </si>
  <si>
    <t>MOUNT ADAMS</t>
  </si>
  <si>
    <t>37507</t>
  </si>
  <si>
    <t>MOUNT BAKER</t>
  </si>
  <si>
    <t>30029</t>
  </si>
  <si>
    <t>MOUNT PLEASANT</t>
  </si>
  <si>
    <t>29320</t>
  </si>
  <si>
    <t>MT VERNON</t>
  </si>
  <si>
    <t>17903</t>
  </si>
  <si>
    <t>MUCKLESHOOT TRIBAL</t>
  </si>
  <si>
    <t>31006</t>
  </si>
  <si>
    <t>MUKILTEO</t>
  </si>
  <si>
    <t>39003</t>
  </si>
  <si>
    <t>NACHES VALLEY</t>
  </si>
  <si>
    <t>21014</t>
  </si>
  <si>
    <t>NAPAVINE</t>
  </si>
  <si>
    <t>25155</t>
  </si>
  <si>
    <t>NASELLE GRAYS RIVER</t>
  </si>
  <si>
    <t>24014</t>
  </si>
  <si>
    <t>NESPELEM</t>
  </si>
  <si>
    <t>26056</t>
  </si>
  <si>
    <t>NEWPORT</t>
  </si>
  <si>
    <t>32325</t>
  </si>
  <si>
    <t>NINE MILE FALLS</t>
  </si>
  <si>
    <t>37506</t>
  </si>
  <si>
    <t>NOOKSACK VALLEY</t>
  </si>
  <si>
    <t>14064</t>
  </si>
  <si>
    <t>NORTH BEACH</t>
  </si>
  <si>
    <t>11051</t>
  </si>
  <si>
    <t>NORTH FRANKLIN</t>
  </si>
  <si>
    <t>18400</t>
  </si>
  <si>
    <t>NORTH KITSAP</t>
  </si>
  <si>
    <t>23403</t>
  </si>
  <si>
    <t>NORTH MASON</t>
  </si>
  <si>
    <t>25200</t>
  </si>
  <si>
    <t>NORTH RIVER</t>
  </si>
  <si>
    <t>34003</t>
  </si>
  <si>
    <t>NORTH THURSTON</t>
  </si>
  <si>
    <t>33211</t>
  </si>
  <si>
    <t>NORTHPORT</t>
  </si>
  <si>
    <t>17417</t>
  </si>
  <si>
    <t>NORTHSHORE</t>
  </si>
  <si>
    <t>15201</t>
  </si>
  <si>
    <t>OAK HARBOR</t>
  </si>
  <si>
    <t>38324</t>
  </si>
  <si>
    <t>OAKESDALE</t>
  </si>
  <si>
    <t>14400</t>
  </si>
  <si>
    <t>OAKVILLE</t>
  </si>
  <si>
    <t>25101</t>
  </si>
  <si>
    <t>OCEAN BEACH</t>
  </si>
  <si>
    <t>14172</t>
  </si>
  <si>
    <t>OCOSTA</t>
  </si>
  <si>
    <t>22105</t>
  </si>
  <si>
    <t>ODESSA</t>
  </si>
  <si>
    <t>24105</t>
  </si>
  <si>
    <t>OKANOGAN</t>
  </si>
  <si>
    <t>34111</t>
  </si>
  <si>
    <t>OLYMPIA</t>
  </si>
  <si>
    <t>24019</t>
  </si>
  <si>
    <t>OMAK</t>
  </si>
  <si>
    <t>21300</t>
  </si>
  <si>
    <t>ONALASKA</t>
  </si>
  <si>
    <t>33030</t>
  </si>
  <si>
    <t>ONION CREEK</t>
  </si>
  <si>
    <t>28137</t>
  </si>
  <si>
    <t>ORCAS</t>
  </si>
  <si>
    <t>32123</t>
  </si>
  <si>
    <t>ORCHARD PRAIRIE</t>
  </si>
  <si>
    <t>10065</t>
  </si>
  <si>
    <t>ORIENT</t>
  </si>
  <si>
    <t>09013</t>
  </si>
  <si>
    <t>ORONDO</t>
  </si>
  <si>
    <t>24410</t>
  </si>
  <si>
    <t>OROVILLE</t>
  </si>
  <si>
    <t>27344</t>
  </si>
  <si>
    <t>ORTING</t>
  </si>
  <si>
    <t>01147</t>
  </si>
  <si>
    <t>OTHELLO</t>
  </si>
  <si>
    <t>09102</t>
  </si>
  <si>
    <t>PALISADES</t>
  </si>
  <si>
    <t>38301</t>
  </si>
  <si>
    <t>PALOUSE</t>
  </si>
  <si>
    <t>24915</t>
  </si>
  <si>
    <t>PASCHAL SHERMAN</t>
  </si>
  <si>
    <t>11001</t>
  </si>
  <si>
    <t>PASCO</t>
  </si>
  <si>
    <t>24122</t>
  </si>
  <si>
    <t>PATEROS</t>
  </si>
  <si>
    <t>03050</t>
  </si>
  <si>
    <t>PATERSON</t>
  </si>
  <si>
    <t>21301</t>
  </si>
  <si>
    <t>PE ELL</t>
  </si>
  <si>
    <t>27401</t>
  </si>
  <si>
    <t>PENINSULA</t>
  </si>
  <si>
    <t>04901</t>
  </si>
  <si>
    <t>PINNACLES PREP</t>
  </si>
  <si>
    <t>23402</t>
  </si>
  <si>
    <t>PIONEER</t>
  </si>
  <si>
    <t>12110</t>
  </si>
  <si>
    <t>POMEROY</t>
  </si>
  <si>
    <t>05121</t>
  </si>
  <si>
    <t>PORT ANGELES</t>
  </si>
  <si>
    <t>16050</t>
  </si>
  <si>
    <t>PORT TOWNSEND</t>
  </si>
  <si>
    <t>36402</t>
  </si>
  <si>
    <t>PRESCOTT</t>
  </si>
  <si>
    <t>32907</t>
  </si>
  <si>
    <t>PRIDE PREP CHARTER</t>
  </si>
  <si>
    <t>03116</t>
  </si>
  <si>
    <t>PROSSER</t>
  </si>
  <si>
    <t>38267</t>
  </si>
  <si>
    <t>PULLMAN</t>
  </si>
  <si>
    <t>38901</t>
  </si>
  <si>
    <t>PULLMAN COMMUNITY MONTESSORI</t>
  </si>
  <si>
    <t>27003</t>
  </si>
  <si>
    <t>PUYALLUP</t>
  </si>
  <si>
    <t>16020</t>
  </si>
  <si>
    <t>QUEETS-CLEARWATER</t>
  </si>
  <si>
    <t>16048</t>
  </si>
  <si>
    <t>QUILCENE</t>
  </si>
  <si>
    <t>05903</t>
  </si>
  <si>
    <t>QUILEUTE TRIBAL</t>
  </si>
  <si>
    <t>05402</t>
  </si>
  <si>
    <t>QUILLAYUTE VALLEY</t>
  </si>
  <si>
    <t>14097</t>
  </si>
  <si>
    <t>QUINAULT</t>
  </si>
  <si>
    <t>13144</t>
  </si>
  <si>
    <t>QUINCY</t>
  </si>
  <si>
    <t>34307</t>
  </si>
  <si>
    <t>RAINIER</t>
  </si>
  <si>
    <t>17908</t>
  </si>
  <si>
    <t xml:space="preserve">RAINIER PREP </t>
  </si>
  <si>
    <t>17910</t>
  </si>
  <si>
    <t>RAINIER VALLEY LEADERSHIP ACADEMY</t>
  </si>
  <si>
    <t>25116</t>
  </si>
  <si>
    <t>RAYMOND</t>
  </si>
  <si>
    <t>22009</t>
  </si>
  <si>
    <t>REARDAN</t>
  </si>
  <si>
    <t>17403</t>
  </si>
  <si>
    <t>RENTON</t>
  </si>
  <si>
    <t>10309</t>
  </si>
  <si>
    <t>REPUBLIC</t>
  </si>
  <si>
    <t>03400</t>
  </si>
  <si>
    <t>RICHLAND</t>
  </si>
  <si>
    <t>06122</t>
  </si>
  <si>
    <t>RIDGEFIELD</t>
  </si>
  <si>
    <t>01160</t>
  </si>
  <si>
    <t>RITZVILLE</t>
  </si>
  <si>
    <t>32416</t>
  </si>
  <si>
    <t>RIVERSIDE</t>
  </si>
  <si>
    <t>17407</t>
  </si>
  <si>
    <t>RIVERVIEW</t>
  </si>
  <si>
    <t>34401</t>
  </si>
  <si>
    <t>ROCHESTER</t>
  </si>
  <si>
    <t>06901</t>
  </si>
  <si>
    <t>ROOTED VANCOUVER</t>
  </si>
  <si>
    <t>20403</t>
  </si>
  <si>
    <t>ROOSEVELT</t>
  </si>
  <si>
    <t>38320</t>
  </si>
  <si>
    <t>ROSALIA</t>
  </si>
  <si>
    <t>13160</t>
  </si>
  <si>
    <t>ROYAL</t>
  </si>
  <si>
    <t>28149</t>
  </si>
  <si>
    <t>SAN JUAN</t>
  </si>
  <si>
    <t>14104</t>
  </si>
  <si>
    <t>SATSOP</t>
  </si>
  <si>
    <t>17001</t>
  </si>
  <si>
    <t>SEATTLE</t>
  </si>
  <si>
    <t>29101</t>
  </si>
  <si>
    <t>SEDRO WOOLLEY</t>
  </si>
  <si>
    <t>39119</t>
  </si>
  <si>
    <t>SELAH</t>
  </si>
  <si>
    <t>26070</t>
  </si>
  <si>
    <t>SELKIRK</t>
  </si>
  <si>
    <t>05323</t>
  </si>
  <si>
    <t>SEQUIM</t>
  </si>
  <si>
    <t>28010</t>
  </si>
  <si>
    <t>SHAW</t>
  </si>
  <si>
    <t>23309</t>
  </si>
  <si>
    <t>SHELTON</t>
  </si>
  <si>
    <t>17412</t>
  </si>
  <si>
    <t>SHORELINE</t>
  </si>
  <si>
    <t>30002</t>
  </si>
  <si>
    <t>SKAMANIA</t>
  </si>
  <si>
    <t>17404</t>
  </si>
  <si>
    <t>SKYKOMISH</t>
  </si>
  <si>
    <t>31201</t>
  </si>
  <si>
    <t>SNOHOMISH</t>
  </si>
  <si>
    <t>17410</t>
  </si>
  <si>
    <t>SNOQUALMIE VALLEY</t>
  </si>
  <si>
    <t>13156</t>
  </si>
  <si>
    <t>SOAP LAKE</t>
  </si>
  <si>
    <t>25118</t>
  </si>
  <si>
    <t>SOUTH BEND</t>
  </si>
  <si>
    <t>18402</t>
  </si>
  <si>
    <t>SOUTH KITSAP</t>
  </si>
  <si>
    <t>15206</t>
  </si>
  <si>
    <t>SOUTH WHIDBEY</t>
  </si>
  <si>
    <t>23042</t>
  </si>
  <si>
    <t>SOUTHSIDE</t>
  </si>
  <si>
    <t>32081</t>
  </si>
  <si>
    <t>SPOKANE</t>
  </si>
  <si>
    <t>32901</t>
  </si>
  <si>
    <t>SPOKANE INT'L CHARTER</t>
  </si>
  <si>
    <t>22008</t>
  </si>
  <si>
    <t>SPRAGUE</t>
  </si>
  <si>
    <t>38322</t>
  </si>
  <si>
    <t>ST JOHN</t>
  </si>
  <si>
    <t>31401</t>
  </si>
  <si>
    <t>STANWOOD</t>
  </si>
  <si>
    <t>11054</t>
  </si>
  <si>
    <t>STAR</t>
  </si>
  <si>
    <t>07035</t>
  </si>
  <si>
    <t>STARBUCK</t>
  </si>
  <si>
    <t>04069</t>
  </si>
  <si>
    <t>STEHEKIN</t>
  </si>
  <si>
    <t>27001</t>
  </si>
  <si>
    <t>STEILACOOM HIST.</t>
  </si>
  <si>
    <t>38304</t>
  </si>
  <si>
    <t>STEPTOE</t>
  </si>
  <si>
    <t>30303</t>
  </si>
  <si>
    <t>STEVENSON-CARSON</t>
  </si>
  <si>
    <t>31311</t>
  </si>
  <si>
    <t>SULTAN</t>
  </si>
  <si>
    <t>33202</t>
  </si>
  <si>
    <t>SUMMIT VALLEY</t>
  </si>
  <si>
    <t>17905</t>
  </si>
  <si>
    <t>SUMMIT ATLAS</t>
  </si>
  <si>
    <t>27905</t>
  </si>
  <si>
    <t>SUMMIT OLYMPUS</t>
  </si>
  <si>
    <t>17902</t>
  </si>
  <si>
    <t xml:space="preserve">SUMMIT SIERRA </t>
  </si>
  <si>
    <t>27320</t>
  </si>
  <si>
    <t>SUMNER – BONNEY LAKE</t>
  </si>
  <si>
    <t>39201</t>
  </si>
  <si>
    <t>SUNNYSIDE</t>
  </si>
  <si>
    <t>18902</t>
  </si>
  <si>
    <t>SUQUAMISH TRIBAL</t>
  </si>
  <si>
    <t>27010</t>
  </si>
  <si>
    <t>TACOMA</t>
  </si>
  <si>
    <t>14077</t>
  </si>
  <si>
    <t>TAHOLAH</t>
  </si>
  <si>
    <t>17409</t>
  </si>
  <si>
    <t>TAHOMA</t>
  </si>
  <si>
    <t>38265</t>
  </si>
  <si>
    <t>TEKOA</t>
  </si>
  <si>
    <t>34402</t>
  </si>
  <si>
    <t>TENINO</t>
  </si>
  <si>
    <t>19400</t>
  </si>
  <si>
    <t>THORP</t>
  </si>
  <si>
    <t>21237</t>
  </si>
  <si>
    <t>TOLEDO</t>
  </si>
  <si>
    <t>24404</t>
  </si>
  <si>
    <t>TONASKET</t>
  </si>
  <si>
    <t>39202</t>
  </si>
  <si>
    <t>TOPPENISH</t>
  </si>
  <si>
    <t>36300</t>
  </si>
  <si>
    <t>TOUCHET</t>
  </si>
  <si>
    <t>08130</t>
  </si>
  <si>
    <t>TOUTLE LAKE</t>
  </si>
  <si>
    <t>20400</t>
  </si>
  <si>
    <t>TROUT LAKE</t>
  </si>
  <si>
    <t>17406</t>
  </si>
  <si>
    <t xml:space="preserve">TUKWILA </t>
  </si>
  <si>
    <t>34033</t>
  </si>
  <si>
    <t>TUMWATER</t>
  </si>
  <si>
    <t>39002</t>
  </si>
  <si>
    <t>UNION GAP</t>
  </si>
  <si>
    <t>27083</t>
  </si>
  <si>
    <t>UNIVERSITY PLACE</t>
  </si>
  <si>
    <t>33070</t>
  </si>
  <si>
    <t>VALLEY</t>
  </si>
  <si>
    <t>06037</t>
  </si>
  <si>
    <t>VANCOUVER</t>
  </si>
  <si>
    <t>17402</t>
  </si>
  <si>
    <t>VASHON ISLAND</t>
  </si>
  <si>
    <t>34901</t>
  </si>
  <si>
    <t>WA HE LUT</t>
  </si>
  <si>
    <t>35200</t>
  </si>
  <si>
    <t>WAHKIAKUM</t>
  </si>
  <si>
    <t>13073</t>
  </si>
  <si>
    <t>WAHLUKE</t>
  </si>
  <si>
    <t>36401</t>
  </si>
  <si>
    <t>WAITSBURG</t>
  </si>
  <si>
    <t>36140</t>
  </si>
  <si>
    <t>WALLA WALLA</t>
  </si>
  <si>
    <t>39207</t>
  </si>
  <si>
    <t>WAPATO</t>
  </si>
  <si>
    <t>13146</t>
  </si>
  <si>
    <t>WARDEN</t>
  </si>
  <si>
    <t>06112</t>
  </si>
  <si>
    <t>WASHOUGAL</t>
  </si>
  <si>
    <t>01109</t>
  </si>
  <si>
    <t>WASHTUCNA</t>
  </si>
  <si>
    <t>09209</t>
  </si>
  <si>
    <t>WATERVILLE</t>
  </si>
  <si>
    <t>33049</t>
  </si>
  <si>
    <t>WELLPINIT</t>
  </si>
  <si>
    <t>04246</t>
  </si>
  <si>
    <t>WENATCHEE</t>
  </si>
  <si>
    <t>32363</t>
  </si>
  <si>
    <t>WEST VALLEY (SPOKANE)</t>
  </si>
  <si>
    <t>39208</t>
  </si>
  <si>
    <t>WEST VALLEY (YAKIMA)</t>
  </si>
  <si>
    <t>37902</t>
  </si>
  <si>
    <t>WHATCOM INTERGENERATIONAL</t>
  </si>
  <si>
    <t>21303</t>
  </si>
  <si>
    <t>WHITE PASS</t>
  </si>
  <si>
    <t>27416</t>
  </si>
  <si>
    <t>WHITE RIVER</t>
  </si>
  <si>
    <t>20405</t>
  </si>
  <si>
    <t>WHITE SALMON</t>
  </si>
  <si>
    <t>17917</t>
  </si>
  <si>
    <t>WHY NOT YOU</t>
  </si>
  <si>
    <t>22200</t>
  </si>
  <si>
    <t>WILBUR</t>
  </si>
  <si>
    <t>25160</t>
  </si>
  <si>
    <t>WILLAPA VALLEY</t>
  </si>
  <si>
    <t>13167</t>
  </si>
  <si>
    <t>WILSON CREEK</t>
  </si>
  <si>
    <t>21232</t>
  </si>
  <si>
    <t>WINLOCK</t>
  </si>
  <si>
    <t>14117</t>
  </si>
  <si>
    <t>WISHKAH VALLEY</t>
  </si>
  <si>
    <t>20094</t>
  </si>
  <si>
    <t>WISHRAM</t>
  </si>
  <si>
    <t>08404</t>
  </si>
  <si>
    <t>WOODLAND</t>
  </si>
  <si>
    <t>39901</t>
  </si>
  <si>
    <t>YAKAMA NATION TRIBAL</t>
  </si>
  <si>
    <t>39007</t>
  </si>
  <si>
    <t>YAKIMA</t>
  </si>
  <si>
    <t>34002</t>
  </si>
  <si>
    <t>YELM</t>
  </si>
  <si>
    <t>39205</t>
  </si>
  <si>
    <t>ZILLAH</t>
  </si>
  <si>
    <t>General Fund Equity Accounts, by SUB-FUND</t>
  </si>
  <si>
    <t>FY 2023–2024</t>
  </si>
  <si>
    <t>Sub-Funds</t>
  </si>
  <si>
    <t>Total</t>
  </si>
  <si>
    <t>Check Column B to Column N. Should equal zero</t>
  </si>
  <si>
    <t>GF</t>
  </si>
  <si>
    <t>ASB</t>
  </si>
  <si>
    <t>DSF</t>
  </si>
  <si>
    <t>CPF</t>
  </si>
  <si>
    <t>TVF</t>
  </si>
  <si>
    <t>PF</t>
  </si>
  <si>
    <t>Total Assets &amp; Deferred Outflows of Resources</t>
  </si>
  <si>
    <t>Total Liabilities &amp; Deferred Inflows of Resources</t>
  </si>
  <si>
    <r>
      <rPr>
        <b/>
        <u/>
        <sz val="14"/>
        <color theme="1"/>
        <rFont val="Segoe UI"/>
        <family val="2"/>
      </rPr>
      <t>GENERAL FUND EQUITY ACCOUNTS, BY SUB-FUND</t>
    </r>
    <r>
      <rPr>
        <b/>
        <sz val="14"/>
        <color theme="1"/>
        <rFont val="Segoe UI"/>
        <family val="2"/>
      </rPr>
      <t xml:space="preserve">: </t>
    </r>
    <r>
      <rPr>
        <sz val="14"/>
        <color theme="1"/>
        <rFont val="Segoe UI"/>
        <family val="2"/>
      </rPr>
      <t xml:space="preserve">Districts are encouraged to track Fund Balance Equity by Sub-Fund. In the </t>
    </r>
    <r>
      <rPr>
        <b/>
        <sz val="14"/>
        <color rgb="FFC00000"/>
        <rFont val="Segoe UI"/>
        <family val="2"/>
      </rPr>
      <t xml:space="preserve">yellow </t>
    </r>
    <r>
      <rPr>
        <sz val="14"/>
        <color theme="1"/>
        <rFont val="Segoe UI"/>
        <family val="2"/>
      </rPr>
      <t xml:space="preserve">cells provided in </t>
    </r>
    <r>
      <rPr>
        <b/>
        <sz val="14"/>
        <color rgb="FFC00000"/>
        <rFont val="Segoe UI"/>
        <family val="2"/>
      </rPr>
      <t>columns L &amp; M</t>
    </r>
    <r>
      <rPr>
        <sz val="14"/>
        <color theme="1"/>
        <rFont val="Segoe UI"/>
        <family val="2"/>
      </rPr>
      <t xml:space="preserve">, enter values, segregated by Sub-Fund, associated with the corresponding General Ledger account values in column B. Columns L &amp; M are added together in column N. Column O compares column N to Column B.  </t>
    </r>
    <r>
      <rPr>
        <b/>
        <sz val="14"/>
        <color theme="1"/>
        <rFont val="Segoe UI"/>
        <family val="2"/>
      </rPr>
      <t xml:space="preserve">The amounts calculated in columns L &amp; M, at Row 56, are intended to represent your </t>
    </r>
    <r>
      <rPr>
        <b/>
        <sz val="14"/>
        <color rgb="FFC00000"/>
        <rFont val="Segoe UI"/>
        <family val="2"/>
      </rPr>
      <t>ENDING</t>
    </r>
    <r>
      <rPr>
        <b/>
        <sz val="14"/>
        <color theme="1"/>
        <rFont val="Segoe UI"/>
        <family val="2"/>
      </rPr>
      <t xml:space="preserve"> Fund Balance, by Sub-Fund. This worksheet, and supporting work-tabs, can be used to support amounts provided in the supplemental F-196 report: Fund Balance, by Sub-Fund.</t>
    </r>
  </si>
  <si>
    <t>Total Fund Balance</t>
  </si>
  <si>
    <t>Nonspendable</t>
  </si>
  <si>
    <t>GL 840 Inventory &amp; Prepaid Items</t>
  </si>
  <si>
    <t>GL 855 Trust Principal</t>
  </si>
  <si>
    <t>Restricted</t>
  </si>
  <si>
    <t>GL 810 Other Items</t>
  </si>
  <si>
    <t>GL 815 Unequalized Deductible Revenues</t>
  </si>
  <si>
    <t>GL 819 Restricted to Fund Purposes</t>
  </si>
  <si>
    <t>GL 821 Carryover of Restricted Revenues</t>
  </si>
  <si>
    <t>GL 823 Restricted for Transition to Kindergarten</t>
  </si>
  <si>
    <t>GL 825 Restricted for Skills Centers</t>
  </si>
  <si>
    <t>GL 828 Carryover of Food Service Revenue</t>
  </si>
  <si>
    <t>GL 830 Debt Service</t>
  </si>
  <si>
    <t>GL 835 Arbitrage Rebate</t>
  </si>
  <si>
    <t>GL 845 Self-Insurance</t>
  </si>
  <si>
    <t>GL 850 Uninsured Risks</t>
  </si>
  <si>
    <t>GL 861 Bond Proceeds</t>
  </si>
  <si>
    <t>GL 863 State Proceeds</t>
  </si>
  <si>
    <t>GL 864 Federal Proceeds</t>
  </si>
  <si>
    <t>GL 865 Other Proceeds</t>
  </si>
  <si>
    <t>GL 866 Impact Fee Proceeds</t>
  </si>
  <si>
    <t>GL 867 Mitigation Fee Proceeds</t>
  </si>
  <si>
    <t>GL 869 Undistributed Proceeds</t>
  </si>
  <si>
    <t>Committed</t>
  </si>
  <si>
    <t>GL 862 Levy Proceeds</t>
  </si>
  <si>
    <t>GL 870 Other Purposes</t>
  </si>
  <si>
    <t>GL 872 Economic Stabilization Policy</t>
  </si>
  <si>
    <t xml:space="preserve">GL 873 Depreciation Sub-Fund Facility Maintenance </t>
  </si>
  <si>
    <t>Assigned</t>
  </si>
  <si>
    <t>GL 875 Contingencies</t>
  </si>
  <si>
    <t>GL 884 Other Capital Projects</t>
  </si>
  <si>
    <t>GL 888 Other Purposes</t>
  </si>
  <si>
    <t>GL 889 Fund Purposes</t>
  </si>
  <si>
    <t>Unassigned</t>
  </si>
  <si>
    <t>GL 890 Unassigned Fund Balance</t>
  </si>
  <si>
    <t>GL 891 Unassigned MFBP</t>
  </si>
  <si>
    <t>Reported Final Fund Balance</t>
  </si>
  <si>
    <r>
      <t xml:space="preserve">Apportionment Reports by </t>
    </r>
    <r>
      <rPr>
        <u/>
        <sz val="10"/>
        <color rgb="FF000000"/>
        <rFont val="Calibri"/>
        <family val="2"/>
        <scheme val="minor"/>
      </rPr>
      <t>Office of Superintendent of Public Instruction</t>
    </r>
    <r>
      <rPr>
        <sz val="10"/>
        <color rgb="FF000000"/>
        <rFont val="Calibri"/>
        <family val="2"/>
        <scheme val="minor"/>
      </rPr>
      <t xml:space="preserve"> is licensed under a </t>
    </r>
    <r>
      <rPr>
        <u/>
        <sz val="10"/>
        <color rgb="FF000000"/>
        <rFont val="Calibri"/>
        <family val="2"/>
        <scheme val="minor"/>
      </rPr>
      <t>Creative Commons Attribution 4.0 International License</t>
    </r>
  </si>
  <si>
    <t>Paul Entry</t>
  </si>
  <si>
    <t>August Allocations</t>
  </si>
  <si>
    <t>088A</t>
  </si>
  <si>
    <t xml:space="preserve"> 075A</t>
  </si>
  <si>
    <t xml:space="preserve"> 075Ahp</t>
  </si>
  <si>
    <t>087A</t>
  </si>
  <si>
    <t>O7HP</t>
  </si>
  <si>
    <t>O7</t>
  </si>
  <si>
    <t>137A</t>
  </si>
  <si>
    <t>Z095</t>
  </si>
  <si>
    <t>157A</t>
  </si>
  <si>
    <t>076A</t>
  </si>
  <si>
    <t>136A</t>
  </si>
  <si>
    <t>4156 &amp; 34</t>
  </si>
  <si>
    <t>Z456</t>
  </si>
  <si>
    <t>198A</t>
  </si>
  <si>
    <t>040A</t>
  </si>
  <si>
    <t>200A</t>
  </si>
  <si>
    <t>Z266</t>
  </si>
  <si>
    <t>E55</t>
  </si>
  <si>
    <t>Z603</t>
  </si>
  <si>
    <t>E54</t>
  </si>
  <si>
    <t>Z583</t>
  </si>
  <si>
    <t>A24</t>
  </si>
  <si>
    <t>A27</t>
  </si>
  <si>
    <t>2023-24</t>
  </si>
  <si>
    <t>2022-23</t>
  </si>
  <si>
    <t>Federal</t>
  </si>
  <si>
    <t>State</t>
  </si>
  <si>
    <t>CARRYOVER ACCT. 4121</t>
  </si>
  <si>
    <t>CARRYOVER ACCT. 4155</t>
  </si>
  <si>
    <t>Prog 21 Calc</t>
  </si>
  <si>
    <t>116A</t>
  </si>
  <si>
    <t>HP LAP Total</t>
  </si>
  <si>
    <t>Regular LAP Total</t>
  </si>
  <si>
    <t>TBIP Total Alloc</t>
  </si>
  <si>
    <t>HiCap Total</t>
  </si>
  <si>
    <t>TRN 4199 Total bfr Adjust</t>
  </si>
  <si>
    <t>FED RESTRICTED</t>
  </si>
  <si>
    <t>STATE</t>
  </si>
  <si>
    <t>INST. 59</t>
  </si>
  <si>
    <t>INST CARRYOVER</t>
  </si>
  <si>
    <t>INST INDIRECT</t>
  </si>
  <si>
    <t>INST. 4156</t>
  </si>
  <si>
    <t>INST. 26</t>
  </si>
  <si>
    <t>FIRE DIST</t>
  </si>
  <si>
    <t>MS CTE</t>
  </si>
  <si>
    <t>CTE</t>
  </si>
  <si>
    <t>MS CTE MIN</t>
  </si>
  <si>
    <t>CTE MIN</t>
  </si>
  <si>
    <t>CTE FTE</t>
  </si>
  <si>
    <t>CTE 9-12 TOTAL</t>
  </si>
  <si>
    <t xml:space="preserve">Basic Ed </t>
  </si>
  <si>
    <t xml:space="preserve">Alloc </t>
  </si>
  <si>
    <t>CTE Enhance</t>
  </si>
  <si>
    <t>CTE 7-8 TOTAL</t>
  </si>
  <si>
    <t>Transpo Stabl</t>
  </si>
  <si>
    <t>23-24 PLD 34</t>
  </si>
  <si>
    <t>2023-24       PLD 34</t>
  </si>
  <si>
    <t>SCA 6198-11</t>
  </si>
  <si>
    <t>SCA</t>
  </si>
  <si>
    <t>ESD</t>
  </si>
  <si>
    <t>District Name</t>
  </si>
  <si>
    <t>Recovery</t>
  </si>
  <si>
    <t>Fed Restr</t>
  </si>
  <si>
    <t xml:space="preserve">State Rec </t>
  </si>
  <si>
    <t>SPECIAL ED</t>
  </si>
  <si>
    <t>LAP Regular</t>
  </si>
  <si>
    <t>LAP HiPov</t>
  </si>
  <si>
    <t>4121</t>
  </si>
  <si>
    <t>4155</t>
  </si>
  <si>
    <t>4165</t>
  </si>
  <si>
    <t>4174</t>
  </si>
  <si>
    <t>4199</t>
  </si>
  <si>
    <t>RATE</t>
  </si>
  <si>
    <t>ACCT. 4159</t>
  </si>
  <si>
    <t>&amp; INST 34</t>
  </si>
  <si>
    <t>ACCT. 4156 &amp; 34</t>
  </si>
  <si>
    <t>ACCT. 4126</t>
  </si>
  <si>
    <t>PAY</t>
  </si>
  <si>
    <t>CARRYOVER</t>
  </si>
  <si>
    <t>EXPEND</t>
  </si>
  <si>
    <t>BASIC ED</t>
  </si>
  <si>
    <t>Per Student</t>
  </si>
  <si>
    <t>per Student</t>
  </si>
  <si>
    <t>FTE</t>
  </si>
  <si>
    <t>ENHANCE</t>
  </si>
  <si>
    <t>419902</t>
  </si>
  <si>
    <t>Carryover</t>
  </si>
  <si>
    <t>Allocation</t>
  </si>
  <si>
    <t>Rate</t>
  </si>
  <si>
    <t>Difference</t>
  </si>
  <si>
    <t>Sort</t>
  </si>
  <si>
    <t>ccddd</t>
  </si>
  <si>
    <t>Select District =&gt;</t>
  </si>
  <si>
    <t xml:space="preserve">State Average </t>
  </si>
  <si>
    <t>113</t>
  </si>
  <si>
    <t>Aberdeen</t>
  </si>
  <si>
    <t>Adna</t>
  </si>
  <si>
    <t>101</t>
  </si>
  <si>
    <t>Almira</t>
  </si>
  <si>
    <t>189</t>
  </si>
  <si>
    <t>Anacortes</t>
  </si>
  <si>
    <t>Arlington</t>
  </si>
  <si>
    <t>ASOTIN-ANATONE</t>
  </si>
  <si>
    <t>123</t>
  </si>
  <si>
    <t>Asotin-Anatone</t>
  </si>
  <si>
    <t>121</t>
  </si>
  <si>
    <t>Auburn</t>
  </si>
  <si>
    <t>Bainbridge</t>
  </si>
  <si>
    <t>112</t>
  </si>
  <si>
    <t>Battle Ground</t>
  </si>
  <si>
    <t>Bellevue</t>
  </si>
  <si>
    <t>Bellingham</t>
  </si>
  <si>
    <t>Benge</t>
  </si>
  <si>
    <t>Bethel</t>
  </si>
  <si>
    <t>105</t>
  </si>
  <si>
    <t>Bickleton</t>
  </si>
  <si>
    <t>Blaine</t>
  </si>
  <si>
    <t>Boistfort</t>
  </si>
  <si>
    <t>114</t>
  </si>
  <si>
    <t>Bremerton</t>
  </si>
  <si>
    <t>171</t>
  </si>
  <si>
    <t>Brewster</t>
  </si>
  <si>
    <t>Bridgeport</t>
  </si>
  <si>
    <t>Brinnon</t>
  </si>
  <si>
    <t>Burlington Edison</t>
  </si>
  <si>
    <t>Camas</t>
  </si>
  <si>
    <t>Cape Flattery</t>
  </si>
  <si>
    <t>Carbonado</t>
  </si>
  <si>
    <t>Cascade</t>
  </si>
  <si>
    <t>Cashmere</t>
  </si>
  <si>
    <t>Castle Rock</t>
  </si>
  <si>
    <t>900</t>
  </si>
  <si>
    <t>Catalyst Charter</t>
  </si>
  <si>
    <t>Centerville</t>
  </si>
  <si>
    <t>Central Kitsap</t>
  </si>
  <si>
    <t>Central Valley</t>
  </si>
  <si>
    <t>Centralia</t>
  </si>
  <si>
    <t>Chehalis</t>
  </si>
  <si>
    <t>Cheney</t>
  </si>
  <si>
    <t>Chewelah</t>
  </si>
  <si>
    <t>CHIEF LESCHI</t>
  </si>
  <si>
    <t>Chief Leschi Tribal</t>
  </si>
  <si>
    <t>Chimacum</t>
  </si>
  <si>
    <t>Clarkston</t>
  </si>
  <si>
    <t>Cle Elum-Roslyn</t>
  </si>
  <si>
    <t>Clover Park</t>
  </si>
  <si>
    <t>Colfax</t>
  </si>
  <si>
    <t>College Place</t>
  </si>
  <si>
    <t>Colton</t>
  </si>
  <si>
    <t>Columbia (Stevens)</t>
  </si>
  <si>
    <t>COLUMBIA (WALLA)</t>
  </si>
  <si>
    <t>Columbia (Walla)</t>
  </si>
  <si>
    <t>Colville</t>
  </si>
  <si>
    <t>Concrete</t>
  </si>
  <si>
    <t>Conway</t>
  </si>
  <si>
    <t>Cosmopolis</t>
  </si>
  <si>
    <t>COULEE/HARTLINE</t>
  </si>
  <si>
    <t>Coulee/Hartline</t>
  </si>
  <si>
    <t>Coupeville</t>
  </si>
  <si>
    <t>Crescent</t>
  </si>
  <si>
    <t>Creston</t>
  </si>
  <si>
    <t>Curlew</t>
  </si>
  <si>
    <t>Cusick</t>
  </si>
  <si>
    <t>Damman</t>
  </si>
  <si>
    <t>Darrington</t>
  </si>
  <si>
    <t>Davenport</t>
  </si>
  <si>
    <t>Dayton</t>
  </si>
  <si>
    <t>Deer Park</t>
  </si>
  <si>
    <t>Dieringer</t>
  </si>
  <si>
    <t>Dixie</t>
  </si>
  <si>
    <t>EAST VALLEY</t>
  </si>
  <si>
    <t>East Valley (Spokane)</t>
  </si>
  <si>
    <t>East Valley (Yakima)</t>
  </si>
  <si>
    <t>Eastmont</t>
  </si>
  <si>
    <t>Easton</t>
  </si>
  <si>
    <t>Eatonville</t>
  </si>
  <si>
    <t>Edmonds</t>
  </si>
  <si>
    <t>Ellensburg</t>
  </si>
  <si>
    <t>Elma</t>
  </si>
  <si>
    <t>Endicott</t>
  </si>
  <si>
    <t>Entiat</t>
  </si>
  <si>
    <t>Enumclaw</t>
  </si>
  <si>
    <t>Ephrata</t>
  </si>
  <si>
    <t>Evaline</t>
  </si>
  <si>
    <t>Everett</t>
  </si>
  <si>
    <t>Evergreen (Clark)</t>
  </si>
  <si>
    <t>Evergreen (Stevens)</t>
  </si>
  <si>
    <t>Federal Way</t>
  </si>
  <si>
    <t>Ferndale</t>
  </si>
  <si>
    <t>Fife</t>
  </si>
  <si>
    <t>Finley</t>
  </si>
  <si>
    <t>Franklin Pierce</t>
  </si>
  <si>
    <t>Freeman</t>
  </si>
  <si>
    <t>Garfield</t>
  </si>
  <si>
    <t>Glenwood</t>
  </si>
  <si>
    <t>Goldendale</t>
  </si>
  <si>
    <t>Grand Coulee Dam</t>
  </si>
  <si>
    <t>Grandview</t>
  </si>
  <si>
    <t>Granger</t>
  </si>
  <si>
    <t>Granite Falls</t>
  </si>
  <si>
    <t>Grapeview</t>
  </si>
  <si>
    <t>Great Northern</t>
  </si>
  <si>
    <t>Green Mountain</t>
  </si>
  <si>
    <t>Griffin</t>
  </si>
  <si>
    <t>Harrington</t>
  </si>
  <si>
    <t>Highland</t>
  </si>
  <si>
    <t>Highline</t>
  </si>
  <si>
    <t>Hockinson</t>
  </si>
  <si>
    <t>Hood Canal</t>
  </si>
  <si>
    <t>Hoquiam</t>
  </si>
  <si>
    <t>Impact Puget Sound Charter</t>
  </si>
  <si>
    <t>Impact Salish Sea Charter</t>
  </si>
  <si>
    <t>IMPACT TACOMA</t>
  </si>
  <si>
    <t>Impact Comm Bay Charter</t>
  </si>
  <si>
    <t>Inchelium</t>
  </si>
  <si>
    <t>Index</t>
  </si>
  <si>
    <t>Issaquah</t>
  </si>
  <si>
    <t>Kahlotus</t>
  </si>
  <si>
    <t>Kalama</t>
  </si>
  <si>
    <t>Keller</t>
  </si>
  <si>
    <t>Kelso</t>
  </si>
  <si>
    <t>Kennewick</t>
  </si>
  <si>
    <t>Kent</t>
  </si>
  <si>
    <t>Kettle Falls</t>
  </si>
  <si>
    <t>Kiona Benton</t>
  </si>
  <si>
    <t>Kittitas</t>
  </si>
  <si>
    <t>Klickitat</t>
  </si>
  <si>
    <t>La Conner</t>
  </si>
  <si>
    <t>Lacenter</t>
  </si>
  <si>
    <t>Lacrosse Joint</t>
  </si>
  <si>
    <t>Lake Chelan</t>
  </si>
  <si>
    <t>Lake Stevens</t>
  </si>
  <si>
    <t>Lake Washington</t>
  </si>
  <si>
    <t>Lakewood</t>
  </si>
  <si>
    <t>Lamont</t>
  </si>
  <si>
    <t>Liberty</t>
  </si>
  <si>
    <t>Lind</t>
  </si>
  <si>
    <t>Longview</t>
  </si>
  <si>
    <t>Loon Lake</t>
  </si>
  <si>
    <t>Lopez</t>
  </si>
  <si>
    <t>Lumen Charter</t>
  </si>
  <si>
    <t>LUMMI</t>
  </si>
  <si>
    <t>Lummi Tribal</t>
  </si>
  <si>
    <t>Lyle</t>
  </si>
  <si>
    <t>Lynden</t>
  </si>
  <si>
    <t>Mabton</t>
  </si>
  <si>
    <t>Mansfield</t>
  </si>
  <si>
    <t>Manson</t>
  </si>
  <si>
    <t>Mary M Knight</t>
  </si>
  <si>
    <t>Mary Walker</t>
  </si>
  <si>
    <t>Marysville</t>
  </si>
  <si>
    <t>Mc Cleary</t>
  </si>
  <si>
    <t>Mead</t>
  </si>
  <si>
    <t>Medical Lake</t>
  </si>
  <si>
    <t>Mercer Island</t>
  </si>
  <si>
    <t>Meridian</t>
  </si>
  <si>
    <t>Methow Valley</t>
  </si>
  <si>
    <t>Mill A</t>
  </si>
  <si>
    <t>Monroe</t>
  </si>
  <si>
    <t>Montesano</t>
  </si>
  <si>
    <t>Morton</t>
  </si>
  <si>
    <t>Moses Lake</t>
  </si>
  <si>
    <t>Mossyrock</t>
  </si>
  <si>
    <t>Mount Adams</t>
  </si>
  <si>
    <t>Mount Baker</t>
  </si>
  <si>
    <t>Mount Pleasant</t>
  </si>
  <si>
    <t>Mt Vernon</t>
  </si>
  <si>
    <t>MUCKLESHOOT</t>
  </si>
  <si>
    <t>Muckleshoot Tribal</t>
  </si>
  <si>
    <t>Mukilteo</t>
  </si>
  <si>
    <t>Naches Valley</t>
  </si>
  <si>
    <t>Napavine</t>
  </si>
  <si>
    <t>Naselle Grays Riv</t>
  </si>
  <si>
    <t>Nespelem</t>
  </si>
  <si>
    <t>Newport</t>
  </si>
  <si>
    <t>Nine Mile Falls</t>
  </si>
  <si>
    <t>Nooksack Valley</t>
  </si>
  <si>
    <t>North Beach</t>
  </si>
  <si>
    <t>North Franklin</t>
  </si>
  <si>
    <t>North Kitsap</t>
  </si>
  <si>
    <t>North Mason</t>
  </si>
  <si>
    <t>North River</t>
  </si>
  <si>
    <t>North Thurston</t>
  </si>
  <si>
    <t>Northport</t>
  </si>
  <si>
    <t>Northshore</t>
  </si>
  <si>
    <t>Oak Harbor</t>
  </si>
  <si>
    <t>Oakesdale</t>
  </si>
  <si>
    <t>Oakville</t>
  </si>
  <si>
    <t>Ocean Beach</t>
  </si>
  <si>
    <t>Ocosta</t>
  </si>
  <si>
    <t>Odessa</t>
  </si>
  <si>
    <t>Okanogan</t>
  </si>
  <si>
    <t>Olympia</t>
  </si>
  <si>
    <t>Omak</t>
  </si>
  <si>
    <t>Onalaska</t>
  </si>
  <si>
    <t>Onion Creek</t>
  </si>
  <si>
    <t>Orcas</t>
  </si>
  <si>
    <t>Orchard Prairie</t>
  </si>
  <si>
    <t>Orient</t>
  </si>
  <si>
    <t>Orondo</t>
  </si>
  <si>
    <t>Oroville</t>
  </si>
  <si>
    <t>Orting</t>
  </si>
  <si>
    <t>Othello</t>
  </si>
  <si>
    <t>Palisades</t>
  </si>
  <si>
    <t>Palouse</t>
  </si>
  <si>
    <t>Pasco</t>
  </si>
  <si>
    <t>Pateros</t>
  </si>
  <si>
    <t>Paterson</t>
  </si>
  <si>
    <t>Pe Ell</t>
  </si>
  <si>
    <t>Peninsula</t>
  </si>
  <si>
    <t>Pinnacle Prep Charter</t>
  </si>
  <si>
    <t>Pioneer</t>
  </si>
  <si>
    <t>Pomeroy</t>
  </si>
  <si>
    <t>Port Angeles</t>
  </si>
  <si>
    <t>Port Townsend</t>
  </si>
  <si>
    <t>Prescott</t>
  </si>
  <si>
    <t>PRIDE PREP</t>
  </si>
  <si>
    <t>Pride Prep Charter</t>
  </si>
  <si>
    <t>Prosser</t>
  </si>
  <si>
    <t>Pullman</t>
  </si>
  <si>
    <t>Pullman Mont Charter</t>
  </si>
  <si>
    <t>Puyallup</t>
  </si>
  <si>
    <t>Queets-Clearwater</t>
  </si>
  <si>
    <t>Quilcene</t>
  </si>
  <si>
    <t>QUILEUTE</t>
  </si>
  <si>
    <t>Quileute Tribal</t>
  </si>
  <si>
    <t>Quillayute Valley</t>
  </si>
  <si>
    <t>Quinault</t>
  </si>
  <si>
    <t>Quincy</t>
  </si>
  <si>
    <t>Rainier</t>
  </si>
  <si>
    <t>RAINIER PREP</t>
  </si>
  <si>
    <t>Rainier Prep Charter</t>
  </si>
  <si>
    <t>RVLA Charter</t>
  </si>
  <si>
    <t>Raymond</t>
  </si>
  <si>
    <t>Reardan</t>
  </si>
  <si>
    <t>Renton</t>
  </si>
  <si>
    <t>Republic</t>
  </si>
  <si>
    <t>Richland</t>
  </si>
  <si>
    <t>Ridgefield</t>
  </si>
  <si>
    <t>Ritzville</t>
  </si>
  <si>
    <t>Riverside</t>
  </si>
  <si>
    <t>Riverview</t>
  </si>
  <si>
    <t>Rochester</t>
  </si>
  <si>
    <t>Roosevelt</t>
  </si>
  <si>
    <t>Rosalia</t>
  </si>
  <si>
    <t>Royal</t>
  </si>
  <si>
    <t>San Juan</t>
  </si>
  <si>
    <t>Satsop</t>
  </si>
  <si>
    <t>Seattle</t>
  </si>
  <si>
    <t>Sedro Woolley</t>
  </si>
  <si>
    <t>Selah</t>
  </si>
  <si>
    <t>Selkirk</t>
  </si>
  <si>
    <t>Sequim</t>
  </si>
  <si>
    <t>Shaw</t>
  </si>
  <si>
    <t>Shelton</t>
  </si>
  <si>
    <t>Shoreline</t>
  </si>
  <si>
    <t>Skamania</t>
  </si>
  <si>
    <t>Skykomish</t>
  </si>
  <si>
    <t>Snohomish</t>
  </si>
  <si>
    <t>Snoqualmie Valley</t>
  </si>
  <si>
    <t>Soap Lake</t>
  </si>
  <si>
    <t>South Bend</t>
  </si>
  <si>
    <t>South Kitsap</t>
  </si>
  <si>
    <t>South Whidbey</t>
  </si>
  <si>
    <t>Southside</t>
  </si>
  <si>
    <t>Spokane</t>
  </si>
  <si>
    <t>SPOKANE INT'L</t>
  </si>
  <si>
    <t>Spokane Int'l Charter</t>
  </si>
  <si>
    <t>Sprague</t>
  </si>
  <si>
    <t>St John</t>
  </si>
  <si>
    <t>Stanwood</t>
  </si>
  <si>
    <t>Star</t>
  </si>
  <si>
    <t>Starbuck</t>
  </si>
  <si>
    <t>Stehekin</t>
  </si>
  <si>
    <t>Steilacoom Hist.</t>
  </si>
  <si>
    <t>Steptoe</t>
  </si>
  <si>
    <t>Stevenson-Carson</t>
  </si>
  <si>
    <t>Sultan</t>
  </si>
  <si>
    <t>Summit Valley</t>
  </si>
  <si>
    <t>SUMMIT: ATLAS</t>
  </si>
  <si>
    <t>Summit Atlas Charter</t>
  </si>
  <si>
    <t>SUMMIT: OLYMPUS</t>
  </si>
  <si>
    <t>Summit Olympus Charter</t>
  </si>
  <si>
    <t>SUMMIT: SIERRA</t>
  </si>
  <si>
    <t>Summit Sierra Charter</t>
  </si>
  <si>
    <t>SUMNER</t>
  </si>
  <si>
    <t>Sumner</t>
  </si>
  <si>
    <t>Sunnyside</t>
  </si>
  <si>
    <t>SUQUAMISH</t>
  </si>
  <si>
    <t>Suquamish (Chief Kitsap) Tribal</t>
  </si>
  <si>
    <t>Tacoma</t>
  </si>
  <si>
    <t>Taholah</t>
  </si>
  <si>
    <t>Tahoma</t>
  </si>
  <si>
    <t>Tekoa</t>
  </si>
  <si>
    <t>Tenino</t>
  </si>
  <si>
    <t>Thorp</t>
  </si>
  <si>
    <t>Toledo</t>
  </si>
  <si>
    <t>Tonasket</t>
  </si>
  <si>
    <t>Toppenish</t>
  </si>
  <si>
    <t>Touchet</t>
  </si>
  <si>
    <t>Toutle Lake</t>
  </si>
  <si>
    <t>Trout Lake</t>
  </si>
  <si>
    <t>TUKWILA</t>
  </si>
  <si>
    <t>Tukwila</t>
  </si>
  <si>
    <t>Tumwater</t>
  </si>
  <si>
    <t>Union Gap</t>
  </si>
  <si>
    <t>University Place</t>
  </si>
  <si>
    <t>Valley</t>
  </si>
  <si>
    <t>Vancouver</t>
  </si>
  <si>
    <t>Vashon Island</t>
  </si>
  <si>
    <t>Wa He Lut Tribal</t>
  </si>
  <si>
    <t>Wahkiakum</t>
  </si>
  <si>
    <t>Wahluke</t>
  </si>
  <si>
    <t>Waitsburg</t>
  </si>
  <si>
    <t>Walla Walla</t>
  </si>
  <si>
    <t>Wapato</t>
  </si>
  <si>
    <t>Warden</t>
  </si>
  <si>
    <t>Washougal</t>
  </si>
  <si>
    <t>Washtucna</t>
  </si>
  <si>
    <t>Waterville</t>
  </si>
  <si>
    <t>Wellpinit</t>
  </si>
  <si>
    <t>Wenatchee</t>
  </si>
  <si>
    <t>West Valley (Spokane)</t>
  </si>
  <si>
    <t>West Valley (Yakima)</t>
  </si>
  <si>
    <t>Whatcom Int'g Charter</t>
  </si>
  <si>
    <t>White Pass</t>
  </si>
  <si>
    <t>White River</t>
  </si>
  <si>
    <t>White Salmon</t>
  </si>
  <si>
    <t>Why Not You Charter</t>
  </si>
  <si>
    <t>Wilbur</t>
  </si>
  <si>
    <t>Willapa Valley</t>
  </si>
  <si>
    <t>Wilson Creek</t>
  </si>
  <si>
    <t>Winlock</t>
  </si>
  <si>
    <t>Wishkah Valley</t>
  </si>
  <si>
    <t>Wishram</t>
  </si>
  <si>
    <t>Woodland</t>
  </si>
  <si>
    <t>YAKAMA</t>
  </si>
  <si>
    <t>Yakama Nation Tribal</t>
  </si>
  <si>
    <t>Yakima</t>
  </si>
  <si>
    <t>Yelm</t>
  </si>
  <si>
    <t>Zillah</t>
  </si>
  <si>
    <t>used for</t>
  </si>
  <si>
    <t>2021-22 Indirect Rates used for the 2023-2024 Financials</t>
  </si>
  <si>
    <t>2023-2024</t>
  </si>
  <si>
    <t>Row Labels</t>
  </si>
  <si>
    <t>School District</t>
  </si>
  <si>
    <t>619</t>
  </si>
  <si>
    <t>609</t>
  </si>
  <si>
    <t>620</t>
  </si>
  <si>
    <t>Fed</t>
  </si>
  <si>
    <t>BP-5 Copied here</t>
  </si>
  <si>
    <t>Unrestricted</t>
  </si>
  <si>
    <t>Name</t>
  </si>
  <si>
    <t>00000</t>
  </si>
  <si>
    <t>GL 810 Restricted for Other Items (GF, CPF, DSF, ASB, TVF, PF)</t>
  </si>
  <si>
    <t>(Return to sheet)</t>
  </si>
  <si>
    <t>General Fund</t>
  </si>
  <si>
    <t>Capital Projects Fund</t>
  </si>
  <si>
    <t>Debt Service Fund</t>
  </si>
  <si>
    <t xml:space="preserve">ASB Fund </t>
  </si>
  <si>
    <t>Transportation Vehicle Fund</t>
  </si>
  <si>
    <t>Permanent Fund</t>
  </si>
  <si>
    <t>(Enter description of Restriction)</t>
  </si>
  <si>
    <t>GL 815 Restricted for Unequalized Deductible Revenues</t>
  </si>
  <si>
    <t>General Fund Only, Cash Basis Districts Only</t>
  </si>
  <si>
    <t>(Return to summary sheet)</t>
  </si>
  <si>
    <t>Beginning Balance (from prior year financial data)</t>
  </si>
  <si>
    <t>Deductible revenues reduced in fiscal year</t>
  </si>
  <si>
    <t>Net balance</t>
  </si>
  <si>
    <t>Deductible revenues received but not equalized</t>
  </si>
  <si>
    <t>Revenue 1400 Local in Lieu of Taxes</t>
  </si>
  <si>
    <t>Revenue 1600 County-Administered Forests</t>
  </si>
  <si>
    <t>Revenue 3600 State Forests</t>
  </si>
  <si>
    <t>Revenue 5400 Federal in lieu of Taxes</t>
  </si>
  <si>
    <t>Revenue 5500 Federal Forests</t>
  </si>
  <si>
    <t>Total Deductible revenues received but not equalized</t>
  </si>
  <si>
    <t>GL 821 Restricted for Carryover of Restricted Revenues</t>
  </si>
  <si>
    <t>State Recovery Rate</t>
  </si>
  <si>
    <t>Federal Restricted Indirect Rate</t>
  </si>
  <si>
    <t>Federal Unrestricted Indirect Rate</t>
  </si>
  <si>
    <t xml:space="preserve">Activity 34 Professional Learning Days </t>
  </si>
  <si>
    <r>
      <rPr>
        <b/>
        <sz val="10"/>
        <color theme="1"/>
        <rFont val="Calibri"/>
        <family val="2"/>
        <scheme val="minor"/>
      </rPr>
      <t>Activity 34:</t>
    </r>
    <r>
      <rPr>
        <sz val="10"/>
        <color theme="1"/>
        <rFont val="Calibri"/>
        <family val="2"/>
        <scheme val="minor"/>
      </rPr>
      <t xml:space="preserve"> RCW 43.09.2856: School district audits: (3) The use of the state allocation provided for professional learning under RCW 28A.150.415 must be audited as part of the regular financial audits of school districts by the state auditor's office to ensure compliance with the limitations and conditions of RCW 28A.150.415.</t>
    </r>
  </si>
  <si>
    <t>Beginning Balance (PY Carryover)</t>
  </si>
  <si>
    <t>Add Current Year Activity 34 Allocation</t>
  </si>
  <si>
    <t>1191PLD</t>
  </si>
  <si>
    <t>Total Available</t>
  </si>
  <si>
    <t xml:space="preserve">Direct Expenditures, Activity 34 </t>
  </si>
  <si>
    <t>Special Education Program 21</t>
  </si>
  <si>
    <t>Add Current Year Allocation (from 1197)</t>
  </si>
  <si>
    <t>Expenditures</t>
  </si>
  <si>
    <t>Direct Expenditures</t>
  </si>
  <si>
    <t>Revenue 3121 Allotment</t>
  </si>
  <si>
    <t>Indirect Expenditures</t>
  </si>
  <si>
    <t>Subtotal</t>
  </si>
  <si>
    <t>Revenue 7121</t>
  </si>
  <si>
    <t>Net</t>
  </si>
  <si>
    <t>State Institutions Program 26</t>
  </si>
  <si>
    <t>Special Education–Other–Federal Program 29</t>
  </si>
  <si>
    <r>
      <rPr>
        <b/>
        <sz val="11"/>
        <color theme="1"/>
        <rFont val="Calibri"/>
        <family val="2"/>
        <scheme val="minor"/>
      </rPr>
      <t>REVENUE 5329 IMPACT AID</t>
    </r>
    <r>
      <rPr>
        <sz val="11"/>
        <color theme="1"/>
        <rFont val="Calibri"/>
        <family val="2"/>
        <scheme val="minor"/>
      </rPr>
      <t>: Payments for Children with Disabilities provide additional assistance to school districts that educate federally connected children who are eligible for services under the Individuals with Disabilities Act (IDEA). These payments are in addition to Basic Support Payments and IDEA funds provided on behalf of these children. A school district that receives these funds MUST use them for the increased costs of educating federally connected children with disabilities.</t>
    </r>
  </si>
  <si>
    <t>Add Current Year Federal Award (Revenue 5329)</t>
  </si>
  <si>
    <t>Expenditures, Program 29</t>
  </si>
  <si>
    <t>Vocational Education Program 31</t>
  </si>
  <si>
    <t>Different ways to calculate CTE</t>
  </si>
  <si>
    <t>Minimum Direct Expenditures (from 1191)</t>
  </si>
  <si>
    <t>Allowed Carryover</t>
  </si>
  <si>
    <t>Unspent</t>
  </si>
  <si>
    <t>Voc Enhancement</t>
  </si>
  <si>
    <t>Carryover/ Recovery Tool</t>
  </si>
  <si>
    <t>Orig F/B tool</t>
  </si>
  <si>
    <t>Another calc</t>
  </si>
  <si>
    <t>Allowable Carryover</t>
  </si>
  <si>
    <t>Middle School Vocational Education Program 34</t>
  </si>
  <si>
    <t>LAP Program 55</t>
  </si>
  <si>
    <t>LAP Program 55 High Poverty</t>
  </si>
  <si>
    <t>LAP Program 55 Total Carryover</t>
  </si>
  <si>
    <t xml:space="preserve">LAP Program 55 Total Recovery </t>
  </si>
  <si>
    <t>State Institutions Program 56</t>
  </si>
  <si>
    <t>State Institutions Program 59</t>
  </si>
  <si>
    <t>Bilingual Program 65</t>
  </si>
  <si>
    <t>Current Year Allocation</t>
  </si>
  <si>
    <t>Highly Capable Program 74</t>
  </si>
  <si>
    <t>Student Transportation Program 99</t>
  </si>
  <si>
    <t xml:space="preserve">Stabilization </t>
  </si>
  <si>
    <t>Recovery Rate</t>
  </si>
  <si>
    <t>Revenue 7199</t>
  </si>
  <si>
    <t>Expenditures - Revenue 7199</t>
  </si>
  <si>
    <t>Lessor of [Allocation or Net Expd-Carryover]</t>
  </si>
  <si>
    <t xml:space="preserve">Recovery </t>
  </si>
  <si>
    <t>Succeeding Year Allocation Limitation Based on Expenditures</t>
  </si>
  <si>
    <t>Fire District Payments</t>
  </si>
  <si>
    <t>July Payment (Report 1191 Line VI.10)</t>
  </si>
  <si>
    <t>District Expenditures</t>
  </si>
  <si>
    <t>Total Carryover Amounts</t>
  </si>
  <si>
    <t>Activity 34 Professional Learning Days: Allocation Carryover</t>
  </si>
  <si>
    <t>Program 21 Carryover</t>
  </si>
  <si>
    <t>Program 26 Carryover</t>
  </si>
  <si>
    <t>Program 29 Carryover</t>
  </si>
  <si>
    <t>Program 31 Carryover</t>
  </si>
  <si>
    <t>Program 34 Carryover</t>
  </si>
  <si>
    <t>Program 55 Carryover</t>
  </si>
  <si>
    <t>Program 55 High Poverty Carryover</t>
  </si>
  <si>
    <t>Program 56 Carryover</t>
  </si>
  <si>
    <t>Program 59 Carryover</t>
  </si>
  <si>
    <t>Total Restricted Revenue Carryover</t>
  </si>
  <si>
    <t>Cash Basis Districts - Recovery of Restricted Revenues</t>
  </si>
  <si>
    <t>Program 21 Recovery</t>
  </si>
  <si>
    <t>Program 26 Recovery</t>
  </si>
  <si>
    <t>Program 31 Recovery</t>
  </si>
  <si>
    <t>Program 34 Recovery</t>
  </si>
  <si>
    <t>Program 55 Recovery</t>
  </si>
  <si>
    <t>Program 56 Recovery</t>
  </si>
  <si>
    <t>Program 59 Recovery</t>
  </si>
  <si>
    <t>Program 65 Recovery</t>
  </si>
  <si>
    <t>Program 74 Recovery</t>
  </si>
  <si>
    <t>Program 99 Recovery</t>
  </si>
  <si>
    <t>Fire District Payment (Report 1191 line VI.10.)</t>
  </si>
  <si>
    <t>Total Recovery of Restricted Revenues (Cash Basis Only)</t>
  </si>
  <si>
    <t>GRAND TOTAL  RESTRICTED CARRYOVER/RECOVERY</t>
  </si>
  <si>
    <t>ACCRUAL DISTRCTS: AMOUNT TO RECORD IN GL 630 FOR POTENTIAL RECOVERY</t>
  </si>
  <si>
    <t>(Click here for sample journal entries relating to recovery.)</t>
  </si>
  <si>
    <t>2019-20 FBRT</t>
  </si>
  <si>
    <t>2020-21 FBRT</t>
  </si>
  <si>
    <t xml:space="preserve">2021-22 FBRT </t>
  </si>
  <si>
    <t xml:space="preserve">2022-23 FBRT </t>
  </si>
  <si>
    <t xml:space="preserve">2023-24 FBRT </t>
  </si>
  <si>
    <t>2024-25 FBRT</t>
  </si>
  <si>
    <t>F-196</t>
  </si>
  <si>
    <t>2018-19       PLD 34</t>
  </si>
  <si>
    <t>2019-20       PLD 34</t>
  </si>
  <si>
    <t>2020-21       PLD 34</t>
  </si>
  <si>
    <t>2020-21         PLD 34</t>
  </si>
  <si>
    <t>20-21 PLD 34</t>
  </si>
  <si>
    <t>2021-22       PLD 34</t>
  </si>
  <si>
    <t>2021-22          PLD 34</t>
  </si>
  <si>
    <t>2021-22         PLD 34</t>
  </si>
  <si>
    <t>22-23 PLD 34</t>
  </si>
  <si>
    <t>2022-23       PLD 34</t>
  </si>
  <si>
    <t>24-25 PLD 34</t>
  </si>
  <si>
    <t>2024-25      PLD 34</t>
  </si>
  <si>
    <t>Funds Available</t>
  </si>
  <si>
    <t>14005 ABERDEEN SCHOOL DISTRICT</t>
  </si>
  <si>
    <t>Aberdeen School District</t>
  </si>
  <si>
    <t>21226 ADNA SCHOOL DISTRICT</t>
  </si>
  <si>
    <t>Adna School District</t>
  </si>
  <si>
    <t>22017 ALMIRA SCHOOL DISTRICT</t>
  </si>
  <si>
    <t>Almira School District</t>
  </si>
  <si>
    <t>29103 ANACORTES SCHOOL DISTRICT</t>
  </si>
  <si>
    <t>Anacortes School District</t>
  </si>
  <si>
    <t>31016 ARLINGTON SCHOOL DISTRICT</t>
  </si>
  <si>
    <t>Arlington School District</t>
  </si>
  <si>
    <t>02420 ASOTIN-ANATONE SCHOOL DISTRICT</t>
  </si>
  <si>
    <t>Asotin-Anatone School District</t>
  </si>
  <si>
    <t>17408 AUBURN SCHOOL DISTRICT</t>
  </si>
  <si>
    <t>Auburn School District</t>
  </si>
  <si>
    <t>18303 BAINBRIDGE ISLAND SCHOOL DISTRICT</t>
  </si>
  <si>
    <t>Bainbridge Island School District</t>
  </si>
  <si>
    <t>06119 BATTLE GROUND SCHOOL DISTRICT</t>
  </si>
  <si>
    <t>Battle Ground School District</t>
  </si>
  <si>
    <t>17405 BELLEVUE SCHOOL DISTRICT</t>
  </si>
  <si>
    <t>Bellevue School District</t>
  </si>
  <si>
    <t>37501 BELLINGHAM SCHOOL DISTRICT</t>
  </si>
  <si>
    <t>Bellingham School District</t>
  </si>
  <si>
    <t>01122 BENGE SCHOOL DISTRICT</t>
  </si>
  <si>
    <t>Benge School District</t>
  </si>
  <si>
    <t>27403 BETHEL SCHOOL DISTRICT</t>
  </si>
  <si>
    <t>Bethel School District</t>
  </si>
  <si>
    <t>20203 BICKLETON SCHOOL DISTRICT</t>
  </si>
  <si>
    <t>Bickleton School District</t>
  </si>
  <si>
    <t>37503 BLAINE SCHOOL DISTRICT</t>
  </si>
  <si>
    <t>Blaine School District</t>
  </si>
  <si>
    <t>21234 BOISTFORT SCHOOL DISTRICT</t>
  </si>
  <si>
    <t>Boistfort School District</t>
  </si>
  <si>
    <t>18100 BREMERTON SCHOOL DISTRICT</t>
  </si>
  <si>
    <t>Bremerton School District</t>
  </si>
  <si>
    <t>24111 BREWSTER SCHOOL DISTRICT</t>
  </si>
  <si>
    <t>Brewster School District</t>
  </si>
  <si>
    <t>09075 BRIDGEPORT SCHOOL DISTRICT</t>
  </si>
  <si>
    <t>Bridgeport School District</t>
  </si>
  <si>
    <t>16046 BRINNON SCHOOL DISTRICT</t>
  </si>
  <si>
    <t>Brinnon School District</t>
  </si>
  <si>
    <t>29100 BURLINGTON-EDISON SCHOOL DISTRICT</t>
  </si>
  <si>
    <t>Burlington-Edison School District</t>
  </si>
  <si>
    <t>06117 CAMAS SCHOOL DISTRICT</t>
  </si>
  <si>
    <t>Camas School District</t>
  </si>
  <si>
    <t>05401 CAPE FLATTERY SCHOOL DISTRICT</t>
  </si>
  <si>
    <t>Cape Flattery School District</t>
  </si>
  <si>
    <t>27019 CARBONADO SCHOOL DISTRICT</t>
  </si>
  <si>
    <t>Carbonado School District</t>
  </si>
  <si>
    <t>04228 CASCADE SCHOOL DISTRICT</t>
  </si>
  <si>
    <t>Cascade School District</t>
  </si>
  <si>
    <t>04222 CASHMERE SCHOOL DISTRICT</t>
  </si>
  <si>
    <t>CASHMERE SCHOOL DISTRICT</t>
  </si>
  <si>
    <t>08401 CASTLE ROCK SCHOOL DISTRICT</t>
  </si>
  <si>
    <t>Castle Rock School District</t>
  </si>
  <si>
    <t>18901 CATALYST PUBLIC SCHOOLS</t>
  </si>
  <si>
    <t>Catalyst Public Schools</t>
  </si>
  <si>
    <t>20215 CENTERVILLE SCHOOL DISTRICT</t>
  </si>
  <si>
    <t>Centerville School District</t>
  </si>
  <si>
    <t>18401 CENTRAL KITSAP SCHOOL DISTRICT</t>
  </si>
  <si>
    <t>Central Kitsap School District</t>
  </si>
  <si>
    <t>32356 CENTRAL VALLEY SCHOOL DISTRICT</t>
  </si>
  <si>
    <t>Central Valley School District</t>
  </si>
  <si>
    <t>21401 CENTRALIA SCHOOL DISTRICT</t>
  </si>
  <si>
    <t>Centralia School District</t>
  </si>
  <si>
    <t>21302 CHEHALIS SCHOOL DISTRICT</t>
  </si>
  <si>
    <t>Chehalis School District</t>
  </si>
  <si>
    <t>32360 CHENEY SCHOOL DISTRICT</t>
  </si>
  <si>
    <t>Cheney School District</t>
  </si>
  <si>
    <t>33036 CHEWELAH SCHOOL DISTRICT</t>
  </si>
  <si>
    <t>Chewelah School District</t>
  </si>
  <si>
    <t>27901 CHIEF LESCHI TRIBAL COMPACT</t>
  </si>
  <si>
    <t>Chief Leschi Tribal Compact</t>
  </si>
  <si>
    <t>16049 CHIMACUM SCHOOL DISTRICT</t>
  </si>
  <si>
    <t>Chimacum School District</t>
  </si>
  <si>
    <t>02250 CLARKSTON SCHOOL DISTRICT</t>
  </si>
  <si>
    <t>Clarkston School District</t>
  </si>
  <si>
    <t>19404 CLE ELUM-ROSLYN SCHOOL DISTRICT</t>
  </si>
  <si>
    <t>Cle Elum-Roslyn School District</t>
  </si>
  <si>
    <t>27400 CLOVER PARK SCHOOL DISTRICT</t>
  </si>
  <si>
    <t>Clover Park School District</t>
  </si>
  <si>
    <t>38300 COLFAX SCHOOL DISTRICT</t>
  </si>
  <si>
    <t>Colfax School District</t>
  </si>
  <si>
    <t>36250 COLLEGE PLACE SCHOOL DISTRICT</t>
  </si>
  <si>
    <t>College Place School District</t>
  </si>
  <si>
    <t>38306 COLTON SCHOOL DISTRICT</t>
  </si>
  <si>
    <t>Colton School District</t>
  </si>
  <si>
    <t>33206 COLUMBIA (STEVENS) SCHOOL DISTRICT</t>
  </si>
  <si>
    <t>Columbia (Stevens) School District</t>
  </si>
  <si>
    <t>36400 COLUMBIA (WALLA WALLA) SCHOOL DISTRICT</t>
  </si>
  <si>
    <t>Columbia (Walla Walla) School District</t>
  </si>
  <si>
    <t>33115 COLVILLE SCHOOL DISTRICT</t>
  </si>
  <si>
    <t>Colville School District</t>
  </si>
  <si>
    <t>29011 CONCRETE SCHOOL DISTRICT</t>
  </si>
  <si>
    <t>Concrete School District</t>
  </si>
  <si>
    <t>29317 CONWAY SCHOOL DISTRICT</t>
  </si>
  <si>
    <t>Conway School District</t>
  </si>
  <si>
    <t>14099 COSMOPOLIS SCHOOL DISTRICT</t>
  </si>
  <si>
    <t>Cosmopolis School District</t>
  </si>
  <si>
    <t>13151 COULEE-HARTLINE SCHOOL DISTRICT</t>
  </si>
  <si>
    <t>Coulee-Hartline School District</t>
  </si>
  <si>
    <t>15204 COUPEVILLE SCHOOL DISTRICT</t>
  </si>
  <si>
    <t>Coupeville School District</t>
  </si>
  <si>
    <t>05313 CRESCENT SCHOOL DISTRICT</t>
  </si>
  <si>
    <t>Crescent School District</t>
  </si>
  <si>
    <t>22073 CRESTON SCHOOL DISTRICT</t>
  </si>
  <si>
    <t>Creston School District</t>
  </si>
  <si>
    <t>10050 CURLEW SCHOOL DISTRICT</t>
  </si>
  <si>
    <t>Curlew School District</t>
  </si>
  <si>
    <t>26059 CUSICK SCHOOL DISTRICT</t>
  </si>
  <si>
    <t>Cusick School District</t>
  </si>
  <si>
    <t>19007 DAMMAN SCHOOL DISTRICT</t>
  </si>
  <si>
    <t>Damman School District</t>
  </si>
  <si>
    <t>31330 DARRINGTON SCHOOL DISTRICT</t>
  </si>
  <si>
    <t>Darrington School District</t>
  </si>
  <si>
    <t>22207 DAVENPORT SCHOOL DISTRICT</t>
  </si>
  <si>
    <t>Davenport School District</t>
  </si>
  <si>
    <t>07002 DAYTON SCHOOL DISTRICT</t>
  </si>
  <si>
    <t>Dayton School District</t>
  </si>
  <si>
    <t>32414 DEER PARK SCHOOL DISTRICT</t>
  </si>
  <si>
    <t>Deer Park School District</t>
  </si>
  <si>
    <t>27343 DIERINGER SCHOOL DISTRICT</t>
  </si>
  <si>
    <t>Dieringer School District</t>
  </si>
  <si>
    <t>36101 DIXIE SCHOOL DISTRICT</t>
  </si>
  <si>
    <t>Dixie School District</t>
  </si>
  <si>
    <t>32361 EAST VALLEY SCHOOL DISTRICT (SPOKANE)</t>
  </si>
  <si>
    <t>East Valley School District (Spokane)</t>
  </si>
  <si>
    <t>39090 EAST VALLEY SCHOOL DISTRICT (YAKIMA)</t>
  </si>
  <si>
    <t>East Valley School District (Yakima)</t>
  </si>
  <si>
    <t>09206 EASTMONT SCHOOL DISTRICT</t>
  </si>
  <si>
    <t>Eastmont School District</t>
  </si>
  <si>
    <t>19028 EASTON SCHOOL DISTRICT</t>
  </si>
  <si>
    <t>Easton School District</t>
  </si>
  <si>
    <t>27404 EATONVILLE SCHOOL DISTRICT</t>
  </si>
  <si>
    <t>Eatonville School District</t>
  </si>
  <si>
    <t>31015 EDMONDS SCHOOL DISTRICT</t>
  </si>
  <si>
    <t>Edmonds School District</t>
  </si>
  <si>
    <t>19401 ELLENSBURG SCHOOL DISTRICT</t>
  </si>
  <si>
    <t>Ellensburg School District</t>
  </si>
  <si>
    <t>14068 ELMA SCHOOL DISTRICT</t>
  </si>
  <si>
    <t>Elma School District</t>
  </si>
  <si>
    <t>38308 ENDICOTT SCHOOL DISTRICT</t>
  </si>
  <si>
    <t>Endicott School District</t>
  </si>
  <si>
    <t>04127 ENTIAT SCHOOL DISTRICT</t>
  </si>
  <si>
    <t>Entiat School District</t>
  </si>
  <si>
    <t>17216 ENUMCLAW SCHOOL DISTRICT</t>
  </si>
  <si>
    <t>Enumclaw School District</t>
  </si>
  <si>
    <t>13165 EPHRATA SCHOOL DISTRICT</t>
  </si>
  <si>
    <t>Ephrata School District</t>
  </si>
  <si>
    <t>06701 ESA 112</t>
  </si>
  <si>
    <t>32801 ESD 101</t>
  </si>
  <si>
    <t>39801 ESD 105</t>
  </si>
  <si>
    <t>06801 ESD 112</t>
  </si>
  <si>
    <t>Educational Service District 112</t>
  </si>
  <si>
    <t>34801 ESD 113</t>
  </si>
  <si>
    <t>18801 ESD 114</t>
  </si>
  <si>
    <t>17801 ESD 121</t>
  </si>
  <si>
    <t>11801 ESD 123</t>
  </si>
  <si>
    <t>04801 ESD 171</t>
  </si>
  <si>
    <t>North Central Educational Service District 171</t>
  </si>
  <si>
    <t>29801 ESD 189</t>
  </si>
  <si>
    <t>21036 EVALINE SCHOOL DISTRICT</t>
  </si>
  <si>
    <t>Evaline School District</t>
  </si>
  <si>
    <t>31002 EVERETT SCHOOL DISTRICT</t>
  </si>
  <si>
    <t>Everett School District</t>
  </si>
  <si>
    <t>06114 EVERGREEN SCHOOL DISTRICT (CLARK)</t>
  </si>
  <si>
    <t>Evergreen School District (Clark)</t>
  </si>
  <si>
    <t>33205 EVERGREEN SCHOOL DISTRICT (STEVENS)</t>
  </si>
  <si>
    <t>Evergreen School District (Stevens)</t>
  </si>
  <si>
    <t>17210 FEDERAL WAY SCHOOL DISTRICT</t>
  </si>
  <si>
    <t>Federal Way School District</t>
  </si>
  <si>
    <t>37502 FERNDALE SCHOOL DISTRICT</t>
  </si>
  <si>
    <t>Ferndale School District</t>
  </si>
  <si>
    <t>27417 FIFE SCHOOL DISTRICT</t>
  </si>
  <si>
    <t>Fife School District</t>
  </si>
  <si>
    <t>03053 FINLEY SCHOOL DISTRICT</t>
  </si>
  <si>
    <t>Finley School District</t>
  </si>
  <si>
    <t>27402 FRANKLIN PIERCE SCHOOL DISTRICT</t>
  </si>
  <si>
    <t>Franklin Pierce School District</t>
  </si>
  <si>
    <t>32358 FREEMAN SCHOOL DISTRICT</t>
  </si>
  <si>
    <t>Freeman School District</t>
  </si>
  <si>
    <t>38302 GARFIELD SCHOOL DISTRICT</t>
  </si>
  <si>
    <t>Garfield School District</t>
  </si>
  <si>
    <t>20401 GLENWOOD SCHOOL DISTRICT</t>
  </si>
  <si>
    <t>Glenwood School District</t>
  </si>
  <si>
    <t>20404 GOLDENDALE SCHOOL DISTRICT</t>
  </si>
  <si>
    <t>Goldendale School District</t>
  </si>
  <si>
    <t>13301 GRAND COULEE DAM SCHOOL DISTRICT</t>
  </si>
  <si>
    <t>Grand Coulee Dam School District</t>
  </si>
  <si>
    <t>39200 GRANDVIEW SCHOOL DISTRICT</t>
  </si>
  <si>
    <t>Grandview School District</t>
  </si>
  <si>
    <t>39204 GRANGER SCHOOL DISTRICT</t>
  </si>
  <si>
    <t>Granger School District</t>
  </si>
  <si>
    <t>31332 GRANITE FALLS SCHOOL DISTRICT</t>
  </si>
  <si>
    <t>Granite Falls School District</t>
  </si>
  <si>
    <t>23054 GRAPEVIEW SCHOOL DISTRICT</t>
  </si>
  <si>
    <t>Grapeview School District</t>
  </si>
  <si>
    <t>32312 GREAT NORTHERN SCHOOL DISTRICT</t>
  </si>
  <si>
    <t>Great Northern School District</t>
  </si>
  <si>
    <t>06103 GREEN MOUNTAIN SCHOOL DISTRICT</t>
  </si>
  <si>
    <t>Green Mountain School District</t>
  </si>
  <si>
    <t>34324 GRIFFIN SCHOOL DISTRICT</t>
  </si>
  <si>
    <t>Griffin School District</t>
  </si>
  <si>
    <t>22204 HARRINGTON SCHOOL DISTRICT</t>
  </si>
  <si>
    <t>Harrington School District</t>
  </si>
  <si>
    <t>39203 HIGHLAND SCHOOL DISTRICT</t>
  </si>
  <si>
    <t>Highland School District</t>
  </si>
  <si>
    <t>17401 HIGHLINE SCHOOL DISTRICT</t>
  </si>
  <si>
    <t>Highline School District</t>
  </si>
  <si>
    <t>06098 HOCKINSON SCHOOL DISTRICT</t>
  </si>
  <si>
    <t>Hockinson School District</t>
  </si>
  <si>
    <t>23404 HOOD CANAL SCHOOL DISTRICT</t>
  </si>
  <si>
    <t>Hood Canal School District</t>
  </si>
  <si>
    <t>14028 HOQUIAM SCHOOL DISTRICT</t>
  </si>
  <si>
    <t>Hoquiam School District</t>
  </si>
  <si>
    <t>17919 IMPACT BLACK RIVER CHARTER</t>
  </si>
  <si>
    <t>Impact | Black River Elementary</t>
  </si>
  <si>
    <t>27902 IMPACT COMMENCEMENT BAY CHARTER</t>
  </si>
  <si>
    <t>Impact | Commencement Bay Elementary</t>
  </si>
  <si>
    <t>17911 IMPACT PUGET SOUND ELEMENTARY</t>
  </si>
  <si>
    <t>Impact | Puget Sound Elementary</t>
  </si>
  <si>
    <t>17916 IMPACT SALISH SEA ELEMENTARY</t>
  </si>
  <si>
    <t>Impact | Salish Sea Elementary</t>
  </si>
  <si>
    <t>10070 INCHELIUM SCHOOL DISTRICT</t>
  </si>
  <si>
    <t>Inchelium School District</t>
  </si>
  <si>
    <t>31063 INDEX SCHOOL DISTRICT</t>
  </si>
  <si>
    <t>Index School District</t>
  </si>
  <si>
    <t>17411 ISSAQUAH SCHOOL DISTRICT</t>
  </si>
  <si>
    <t>Issaquah School District</t>
  </si>
  <si>
    <t>11056 KAHLOTUS SCHOOL DISTRICT</t>
  </si>
  <si>
    <t>Kahlotus School District</t>
  </si>
  <si>
    <t>08402 KALAMA SCHOOL DISTRICT</t>
  </si>
  <si>
    <t>Kalama School District</t>
  </si>
  <si>
    <t>10003 KELLER SCHOOL DISTRICT</t>
  </si>
  <si>
    <t>Keller School District</t>
  </si>
  <si>
    <t>08458 KELSO SCHOOL DISTRICT</t>
  </si>
  <si>
    <t>Kelso School District</t>
  </si>
  <si>
    <t>03017 KENNEWICK SCHOOL DISTRICT</t>
  </si>
  <si>
    <t>Kennewick School District</t>
  </si>
  <si>
    <t>17415 KENT SCHOOL DISTRICT</t>
  </si>
  <si>
    <t>Kent School District</t>
  </si>
  <si>
    <t>33212 KETTLE FALLS SCHOOL DISTRICT</t>
  </si>
  <si>
    <t>Kettle Falls School District</t>
  </si>
  <si>
    <t>03052 KIONA-BENTON CITY SCHOOL DISTRICT</t>
  </si>
  <si>
    <t>Kiona-Benton City School District</t>
  </si>
  <si>
    <t>19403 KITTITAS SCHOOL DISTRICT</t>
  </si>
  <si>
    <t>Kittitas School District</t>
  </si>
  <si>
    <t>20402 KLICKITAT SCHOOL DISTRICT</t>
  </si>
  <si>
    <t>Klickitat School District</t>
  </si>
  <si>
    <t>29311 LA CONNER SCHOOL DISTRICT</t>
  </si>
  <si>
    <t>La Conner School District</t>
  </si>
  <si>
    <t>06101 LA CENTER SCHOOL DISTRICT</t>
  </si>
  <si>
    <t>La Center School District</t>
  </si>
  <si>
    <t>38126 LACROSSE SCHOOL DISTRICT</t>
  </si>
  <si>
    <t>LaCrosse School District</t>
  </si>
  <si>
    <t>04129 LAKE CHELAN SCHOOL DISTRICT</t>
  </si>
  <si>
    <t>Lake Chelan School District</t>
  </si>
  <si>
    <t>31004 LAKE STEVENS SCHOOL DISTRICT</t>
  </si>
  <si>
    <t>Lake Stevens School District</t>
  </si>
  <si>
    <t>17414 LAKE WASHINGTON SCHOOL DISTRICT</t>
  </si>
  <si>
    <t>Lake Washington School District</t>
  </si>
  <si>
    <t>31306 LAKEWOOD SCHOOL DISTRICT</t>
  </si>
  <si>
    <t>Lakewood School District</t>
  </si>
  <si>
    <t>38264 LAMONT SCHOOL DISTRICT</t>
  </si>
  <si>
    <t>Lamont School District</t>
  </si>
  <si>
    <t>32362 LIBERTY SCHOOL DISTRICT</t>
  </si>
  <si>
    <t>Liberty School District</t>
  </si>
  <si>
    <t>01158 LIND SCHOOL DISTRICT</t>
  </si>
  <si>
    <t>Lind School District</t>
  </si>
  <si>
    <t>08122 LONGVIEW SCHOOL DISTRICT</t>
  </si>
  <si>
    <t>Longview School District</t>
  </si>
  <si>
    <t>33183 LOON LAKE SCHOOL DISTRICT</t>
  </si>
  <si>
    <t>Loon Lake School District</t>
  </si>
  <si>
    <t>28144 LOPEZ SCHOOL DISTRICT</t>
  </si>
  <si>
    <t>Lopez School District</t>
  </si>
  <si>
    <t>32903 LUMEN HIGH SCHOOL</t>
  </si>
  <si>
    <t>Lumen Public School</t>
  </si>
  <si>
    <t>37903 LUMMI TRIBAL AGENCY</t>
  </si>
  <si>
    <t>Lummi Tribal Agency</t>
  </si>
  <si>
    <t>20406 LYLE SCHOOL DISTRICT</t>
  </si>
  <si>
    <t>Lyle School District</t>
  </si>
  <si>
    <t>37504 LYNDEN SCHOOL DISTRICT</t>
  </si>
  <si>
    <t>Lynden School District</t>
  </si>
  <si>
    <t>39120 MABTON SCHOOL DISTRICT</t>
  </si>
  <si>
    <t>Mabton School District</t>
  </si>
  <si>
    <t>09207 MANSFIELD SCHOOL DISTRICT</t>
  </si>
  <si>
    <t>Mansfield School District</t>
  </si>
  <si>
    <t>04019 MANSON SCHOOL DISTRICT</t>
  </si>
  <si>
    <t>Manson School District</t>
  </si>
  <si>
    <t>23311 MARY M KNIGHT SCHOOL DISTRICT</t>
  </si>
  <si>
    <t>Mary M Knight School District</t>
  </si>
  <si>
    <t>33207 MARY WALKER SCHOOL DISTRICT</t>
  </si>
  <si>
    <t>Mary Walker School District</t>
  </si>
  <si>
    <t>31025 MARYSVILLE SCHOOL DISTRICT</t>
  </si>
  <si>
    <t>Marysville School District</t>
  </si>
  <si>
    <t>14065 MCCLEARY SCHOOL DISTRICT</t>
  </si>
  <si>
    <t>McCleary School District</t>
  </si>
  <si>
    <t>32354 MEAD SCHOOL DISTRICT</t>
  </si>
  <si>
    <t>Mead School District</t>
  </si>
  <si>
    <t>32326 MEDICAL LAKE SCHOOL DISTRICT</t>
  </si>
  <si>
    <t>Medical Lake School District</t>
  </si>
  <si>
    <t>17400 MERCER ISLAND SCHOOL DISTRICT</t>
  </si>
  <si>
    <t>Mercer Island School District</t>
  </si>
  <si>
    <t>37505 MERIDIAN SCHOOL DISTRICT</t>
  </si>
  <si>
    <t>Meridian School District</t>
  </si>
  <si>
    <t>24350 METHOW VALLEY SCHOOL DISTRICT</t>
  </si>
  <si>
    <t>Methow Valley School District</t>
  </si>
  <si>
    <t>30031 MILL A SCHOOL DISTRICT</t>
  </si>
  <si>
    <t>Mill A School District</t>
  </si>
  <si>
    <t>31103 MONROE SCHOOL DISTRICT</t>
  </si>
  <si>
    <t>Monroe School District</t>
  </si>
  <si>
    <t>14066 MONTESANO SCHOOL DISTRICT</t>
  </si>
  <si>
    <t>Montesano School District</t>
  </si>
  <si>
    <t>21214 MORTON SCHOOL DISTRICT</t>
  </si>
  <si>
    <t>Morton School District</t>
  </si>
  <si>
    <t>13161 MOSES LAKE SCHOOL DISTRICT</t>
  </si>
  <si>
    <t>Moses Lake School District</t>
  </si>
  <si>
    <t>21206 MOSSYROCK SCHOOL DISTRICT</t>
  </si>
  <si>
    <t>Mossyrock School District</t>
  </si>
  <si>
    <t>39209 MOUNT ADAMS SCHOOL DISTRICT</t>
  </si>
  <si>
    <t>Mount Adams School District</t>
  </si>
  <si>
    <t>37507 MOUNT BAKER SCHOOL DISTRICT</t>
  </si>
  <si>
    <t>Mount Baker School District</t>
  </si>
  <si>
    <t>30029 MOUNT PLEASANT SCHOOL DISTRICT</t>
  </si>
  <si>
    <t>Mount Pleasant School District</t>
  </si>
  <si>
    <t>29320 MOUNT VERNON SCHOOL DISTRICT</t>
  </si>
  <si>
    <t>Mount Vernon School District</t>
  </si>
  <si>
    <t>17903 MUCKLESHOOT INDIAN TRIBE</t>
  </si>
  <si>
    <t>Muckleshoot Indian Tribe</t>
  </si>
  <si>
    <t>31006 MUKILTEO SCHOOL DISTRICT</t>
  </si>
  <si>
    <t>Mukilteo School District</t>
  </si>
  <si>
    <t>39003 NACHES VALLEY SCHOOL DISTRICT</t>
  </si>
  <si>
    <t>Naches Valley School District</t>
  </si>
  <si>
    <t>21014 NAPAVINE SCHOOL DISTRICT</t>
  </si>
  <si>
    <t>Napavine School District</t>
  </si>
  <si>
    <t>25155 NASELLE-GRAYS RIVER VALLEY SCHOOL DISTRICT</t>
  </si>
  <si>
    <t>Naselle-Grays River Valley School District</t>
  </si>
  <si>
    <t>24014 NESPELEM SCHOOL DISTRICT</t>
  </si>
  <si>
    <t xml:space="preserve">Nespelem School District  </t>
  </si>
  <si>
    <t>26056 NEWPORT SCHOOL DISTRICT</t>
  </si>
  <si>
    <t>Newport School District</t>
  </si>
  <si>
    <t>32325 NINE MILE FALLS SCHOOL DISTRICT</t>
  </si>
  <si>
    <t>Nine Mile Falls School District</t>
  </si>
  <si>
    <t>37506 NOOKSACK VALLEY SCHOOL DISTRICT</t>
  </si>
  <si>
    <t>Nooksack Valley School District</t>
  </si>
  <si>
    <t>14064 NORTH BEACH SCHOOL DISTRICT</t>
  </si>
  <si>
    <t>North Beach School District</t>
  </si>
  <si>
    <t>11051 NORTH FRANKLIN SCHOOL DISTRICT</t>
  </si>
  <si>
    <t>North Franklin School District</t>
  </si>
  <si>
    <t>18400 NORTH KITSAP SCHOOL DISTRICT</t>
  </si>
  <si>
    <t>North Kitsap School District</t>
  </si>
  <si>
    <t>23403 NORTH MASON SCHOOL DISTRICT</t>
  </si>
  <si>
    <t>North Mason School District</t>
  </si>
  <si>
    <t>25200 NORTH RIVER SCHOOL DISTRICT</t>
  </si>
  <si>
    <t>North River School District</t>
  </si>
  <si>
    <t>34003 NORTH THURSTON PUBLIC SCHOOLS</t>
  </si>
  <si>
    <t>North Thurston Public Schools</t>
  </si>
  <si>
    <t>33211 NORTHPORT SCHOOL DISTRICT</t>
  </si>
  <si>
    <t>Northport School District</t>
  </si>
  <si>
    <t>17417 NORTHSHORE SCHOOL DISTRICT</t>
  </si>
  <si>
    <t>Northshore School District</t>
  </si>
  <si>
    <t>15201 OAK HARBOR SCHOOL DISTRICT</t>
  </si>
  <si>
    <t>Oak Harbor School District</t>
  </si>
  <si>
    <t>38324 OAKESDALE SCHOOL DISTRICT</t>
  </si>
  <si>
    <t>Oakesdale School District</t>
  </si>
  <si>
    <t>14400 OAKVILLE SCHOOL DISTRICT</t>
  </si>
  <si>
    <t>Oakville School District</t>
  </si>
  <si>
    <t>25101 OCEAN BEACH SCHOOL DISTRICT</t>
  </si>
  <si>
    <t>Ocean Beach School District</t>
  </si>
  <si>
    <t>14172 OCOSTA SCHOOL DISTRICT</t>
  </si>
  <si>
    <t>Ocosta School District</t>
  </si>
  <si>
    <t>22105 ODESSA SCHOOL DISTRICT</t>
  </si>
  <si>
    <t>Odessa School District</t>
  </si>
  <si>
    <t>24105 OKANOGAN SCHOOL DISTRICT</t>
  </si>
  <si>
    <t>Okanogan School District</t>
  </si>
  <si>
    <t>34111 OLYMPIA SCHOOL DISTRICT</t>
  </si>
  <si>
    <t>Olympia School District</t>
  </si>
  <si>
    <t>24019 OMAK SCHOOL DISTRICT</t>
  </si>
  <si>
    <t>Omak School District</t>
  </si>
  <si>
    <t>21300 ONALASKA SCHOOL DISTRICT</t>
  </si>
  <si>
    <t>Onalaska School District</t>
  </si>
  <si>
    <t>33030 ONION CREEK SCHOOL DISTRICT</t>
  </si>
  <si>
    <t>Onion Creek School District</t>
  </si>
  <si>
    <t>28137 ORCAS ISLAND SCHOOL DISTRICT</t>
  </si>
  <si>
    <t>Orcas Island School District</t>
  </si>
  <si>
    <t>32123 ORCHARD PRAIRIE SCHOOL DISTRICT</t>
  </si>
  <si>
    <t>Orchard Prairie School District</t>
  </si>
  <si>
    <t>10065 ORIENT SCHOOL DISTRICT</t>
  </si>
  <si>
    <t>Orient School District</t>
  </si>
  <si>
    <t>09013 ORONDO SCHOOL DISTRICT</t>
  </si>
  <si>
    <t>Orondo School District</t>
  </si>
  <si>
    <t>24410 OROVILLE SCHOOL DISTRICT</t>
  </si>
  <si>
    <t>Oroville School District</t>
  </si>
  <si>
    <t>27344 ORTING SCHOOL DISTRICT</t>
  </si>
  <si>
    <t>Orting School District</t>
  </si>
  <si>
    <t>01147 OTHELLO SCHOOL DISTRICT</t>
  </si>
  <si>
    <t>Othello School District</t>
  </si>
  <si>
    <t>09102 PALISADES SCHOOL DISTRICT</t>
  </si>
  <si>
    <t>Palisades School District</t>
  </si>
  <si>
    <t>38301 PALOUSE SCHOOL DISTRICT</t>
  </si>
  <si>
    <t>Palouse School District</t>
  </si>
  <si>
    <t>24915 PASCHAL SHERMAN SCHOOL DISTRICT</t>
  </si>
  <si>
    <t>Paschal Sherman Indian School</t>
  </si>
  <si>
    <t>11001 PASCO SCHOOL DISTRICT</t>
  </si>
  <si>
    <t>Pasco School District</t>
  </si>
  <si>
    <t>24122 PATEROS SCHOOL DISTRICT</t>
  </si>
  <si>
    <t>Pateros School District</t>
  </si>
  <si>
    <t>03050 PATERSON SCHOOL DISTRICT</t>
  </si>
  <si>
    <t>Paterson School District</t>
  </si>
  <si>
    <t>21301 PE ELL SCHOOL DISTRICT</t>
  </si>
  <si>
    <t>Pe Ell School District</t>
  </si>
  <si>
    <t>27401 PENINSULA SCHOOL DISTRICT</t>
  </si>
  <si>
    <t>Peninsula School District</t>
  </si>
  <si>
    <t>04901 PINNACLES PREP CHARTER</t>
  </si>
  <si>
    <t>Pinnacles Prep</t>
  </si>
  <si>
    <t>23402 PIONEER SCHOOL DISTRICT</t>
  </si>
  <si>
    <t>Pioneer School District</t>
  </si>
  <si>
    <t>12110 POMEROY SCHOOL DISTRICT</t>
  </si>
  <si>
    <t>Pomeroy School District</t>
  </si>
  <si>
    <t>05121 PORT ANGELES SCHOOL DISTRICT</t>
  </si>
  <si>
    <t>Port Angeles School District</t>
  </si>
  <si>
    <t>16050 PORT TOWNSEND SCHOOL DISTRICT</t>
  </si>
  <si>
    <t>Port Townsend School District</t>
  </si>
  <si>
    <t>36402 PRESCOTT SCHOOL DISTRICT</t>
  </si>
  <si>
    <t>Prescott School District</t>
  </si>
  <si>
    <t>32907 PRIDE PREP CHARTER SCHOOL DISTRICT</t>
  </si>
  <si>
    <t xml:space="preserve">Innovation Spokane Charter School District </t>
  </si>
  <si>
    <t>03116 PROSSER SCHOOL DISTRICT</t>
  </si>
  <si>
    <t>Prosser School District</t>
  </si>
  <si>
    <t>38267 PULLMAN SCHOOL DISTRICT</t>
  </si>
  <si>
    <t>Pullman School District</t>
  </si>
  <si>
    <t>38901 PULLMAN COMMUNITY MONTESSORI CHARTER</t>
  </si>
  <si>
    <t>Pullman Community Montessori</t>
  </si>
  <si>
    <t>27003 PUYALLUP SCHOOL DISTRICT</t>
  </si>
  <si>
    <t>Puyallup School District</t>
  </si>
  <si>
    <t>16020 QUEETS-CLEARWATER SCHOOL DISTRICT</t>
  </si>
  <si>
    <t>Queets-Clearwater School District</t>
  </si>
  <si>
    <t>16048 QUILCENE SCHOOL DISTRICT</t>
  </si>
  <si>
    <t>Quilcene School District</t>
  </si>
  <si>
    <t>05903 QUILEUTE TRIBAL SCHOOL DISTRICT</t>
  </si>
  <si>
    <t>Quileute Tribal School District</t>
  </si>
  <si>
    <t>05402 QUILLAYUTE VALLEY SCHOOL DISTRICT</t>
  </si>
  <si>
    <t>Quillayute Valley School District</t>
  </si>
  <si>
    <t>14097 LAKE QUINAULT SCHOOL DISTRICT</t>
  </si>
  <si>
    <t>Lake Quinault School District</t>
  </si>
  <si>
    <t>13144 QUINCY SCHOOL DISTRICT</t>
  </si>
  <si>
    <t>Quincy School District</t>
  </si>
  <si>
    <t>34307 RAINIER SCHOOL DISTRICT</t>
  </si>
  <si>
    <t>Rainier School District</t>
  </si>
  <si>
    <t>17908 RAINIER PREP CHARTER SCHOOL DISTRICT</t>
  </si>
  <si>
    <t>Rainier Prep Charter School District</t>
  </si>
  <si>
    <t>17910 GREEN DOT: RAINIER VALLEY</t>
  </si>
  <si>
    <t xml:space="preserve">Rainier Valley Leadership Academy </t>
  </si>
  <si>
    <t>25116 RAYMOND SCHOOL DISTRICT</t>
  </si>
  <si>
    <t>Raymond School District</t>
  </si>
  <si>
    <t>22009 REARDAN-EDWALL SCHOOL DISTRICT</t>
  </si>
  <si>
    <t>Reardan-Edwall School District</t>
  </si>
  <si>
    <t>17403 RENTON SCHOOL DISTRICT</t>
  </si>
  <si>
    <t>Renton School District</t>
  </si>
  <si>
    <t>10309 REPUBLIC SCHOOL DISTRICT</t>
  </si>
  <si>
    <t>Republic School District</t>
  </si>
  <si>
    <t>03400 RICHLAND SCHOOL DISTRICT</t>
  </si>
  <si>
    <t>Richland School District</t>
  </si>
  <si>
    <t>06122 RIDGEFIELD SCHOOL DISTRICT</t>
  </si>
  <si>
    <t>Ridgefield School District</t>
  </si>
  <si>
    <t>01160 RITZVILLE SCHOOL DISTRICT</t>
  </si>
  <si>
    <t>Ritzville School District</t>
  </si>
  <si>
    <t>32416 RIVERSIDE SCHOOL DISTRICT</t>
  </si>
  <si>
    <t>Riverside School District</t>
  </si>
  <si>
    <t>17407 RIVERVIEW SCHOOL DISTRICT</t>
  </si>
  <si>
    <t>Riverview School District</t>
  </si>
  <si>
    <t>34401 ROCHESTER SCHOOL DISTRICT</t>
  </si>
  <si>
    <t>Rochester School District</t>
  </si>
  <si>
    <t>20403 ROOSEVELT SCHOOL DISTRICT</t>
  </si>
  <si>
    <t>Roosevelt School District</t>
  </si>
  <si>
    <t>06901 ROOTED VANCOUVER SCHOOL DISTRICT</t>
  </si>
  <si>
    <t>Rooted School Vancouver</t>
  </si>
  <si>
    <t>38320 ROSALIA SCHOOL DISTRICT</t>
  </si>
  <si>
    <t>Rosalia School District</t>
  </si>
  <si>
    <t>13160 ROYAL SCHOOL DISTRICT</t>
  </si>
  <si>
    <t>Royal School District</t>
  </si>
  <si>
    <t>28149 SAN JUAN ISLAND SCHOOL DISTRICT</t>
  </si>
  <si>
    <t>San Juan Island School District</t>
  </si>
  <si>
    <t>14104 SATSOP SCHOOL DISTRICT</t>
  </si>
  <si>
    <t>Satsop School District</t>
  </si>
  <si>
    <t>17001 SEATTLE PUBLIC SCHOOLS</t>
  </si>
  <si>
    <t>Seattle Public Schools</t>
  </si>
  <si>
    <t>29101 SEDRO-WOOLLEY SCHOOL DISTRICT</t>
  </si>
  <si>
    <t>Sedro-Woolley School District</t>
  </si>
  <si>
    <t>39119 SELAH SCHOOL DISTRICT</t>
  </si>
  <si>
    <t>Selah School District</t>
  </si>
  <si>
    <t>26070 SELKIRK SCHOOL DISTRICT</t>
  </si>
  <si>
    <t>Selkirk School District</t>
  </si>
  <si>
    <t>05323 SEQUIM SCHOOL DISTRICT</t>
  </si>
  <si>
    <t>Sequim School District</t>
  </si>
  <si>
    <t>28010 SHAW ISLAND SCHOOL DISTRICT</t>
  </si>
  <si>
    <t>Shaw Island School District</t>
  </si>
  <si>
    <t>23309 SHELTON SCHOOL DISTRICT</t>
  </si>
  <si>
    <t>Shelton School District</t>
  </si>
  <si>
    <t>17412 SHORELINE SCHOOL DISTRICT</t>
  </si>
  <si>
    <t>Shoreline School District</t>
  </si>
  <si>
    <t>30002 SKAMANIA SCHOOL DISTRICT</t>
  </si>
  <si>
    <t>Skamania School District</t>
  </si>
  <si>
    <t>17404 SKYKOMISH SCHOOL DISTRICT</t>
  </si>
  <si>
    <t>Skykomish School District</t>
  </si>
  <si>
    <t>31201 SNOHOMISH SCHOOL DISTRICT</t>
  </si>
  <si>
    <t>Snohomish School District</t>
  </si>
  <si>
    <t>17410 SNOQUALMIE VALLEY SCHOOL DISTRICT</t>
  </si>
  <si>
    <t>Snoqualmie Valley School District</t>
  </si>
  <si>
    <t>13156 SOAP LAKE SCHOOL DISTRICT</t>
  </si>
  <si>
    <t>Soap Lake School District</t>
  </si>
  <si>
    <t>25118 SOUTH BEND SCHOOL DISTRICT</t>
  </si>
  <si>
    <t>South Bend School District</t>
  </si>
  <si>
    <t>18402 SOUTH KITSAP SCHOOL DISTRICT</t>
  </si>
  <si>
    <t>South Kitsap School District</t>
  </si>
  <si>
    <t>15206 SOUTH WHIDBEY SCHOOL DISTRICT</t>
  </si>
  <si>
    <t>South Whidbey School District</t>
  </si>
  <si>
    <t>23042 SOUTHSIDE SCHOOL DISTRICT</t>
  </si>
  <si>
    <t>Southside School District</t>
  </si>
  <si>
    <t>32081 SPOKANE SCHOOL DISTRICT</t>
  </si>
  <si>
    <t>Spokane School District</t>
  </si>
  <si>
    <t>32901 SPOKANE INTERNATIONAL ACADEMY</t>
  </si>
  <si>
    <t>Spokane International Academy</t>
  </si>
  <si>
    <t>22008 SPRAGUE SCHOOL DISTRICT</t>
  </si>
  <si>
    <t>Sprague School District</t>
  </si>
  <si>
    <t>38322 ST. JOHN SCHOOL DISTRICT</t>
  </si>
  <si>
    <t>St. John School District</t>
  </si>
  <si>
    <t>31401 STANWOOD-CAMANO SCHOOL DISTRICT</t>
  </si>
  <si>
    <t>Stanwood-Camano School District</t>
  </si>
  <si>
    <t>11054 STAR SCHOOL DISTRICT NO. 054</t>
  </si>
  <si>
    <t>Star School District No. 054</t>
  </si>
  <si>
    <t>07035 STARBUCK SCHOOL DISTRICT</t>
  </si>
  <si>
    <t>Starbuck School District</t>
  </si>
  <si>
    <t>04069 STEHEKIN SCHOOL DISTRICT</t>
  </si>
  <si>
    <t>Stehekin School District</t>
  </si>
  <si>
    <t>27001 STEILACOOM HIST. SCHOOL DISTRICT</t>
  </si>
  <si>
    <t>Steilacoom Hist. School District</t>
  </si>
  <si>
    <t>38304 STEPTOE SCHOOL DISTRICT</t>
  </si>
  <si>
    <t>Steptoe School District</t>
  </si>
  <si>
    <t>30303 STEVENSON-CARSON SCHOOL DISTRICT</t>
  </si>
  <si>
    <t>Stevenson-Carson School District</t>
  </si>
  <si>
    <t>31311 SULTAN SCHOOL DISTRICT</t>
  </si>
  <si>
    <t>Sultan School District</t>
  </si>
  <si>
    <t>33202 SUMMIT VALLEY SCHOOL DISTRICT</t>
  </si>
  <si>
    <t>Summit Valley School District</t>
  </si>
  <si>
    <t>17905 SUMMIT: ATLAS</t>
  </si>
  <si>
    <t>Summit Public School: Atlas</t>
  </si>
  <si>
    <t>27905 SUMMIT PUBLIC SCHOOL: OLYMPUS</t>
  </si>
  <si>
    <t>Summit Public School: Olympus</t>
  </si>
  <si>
    <t>17902 SUMMIT PUBLIC SCHOOL: SIERRA</t>
  </si>
  <si>
    <t>Summit Public School: Sierra</t>
  </si>
  <si>
    <t>27320 SUMNER SCHOOL DISTRICT</t>
  </si>
  <si>
    <t>Sumner-Bonney Lake School District</t>
  </si>
  <si>
    <t>39201 SUNNYSIDE SCHOOL DISTRICT</t>
  </si>
  <si>
    <t>Sunnyside School District</t>
  </si>
  <si>
    <t>18902 SUQUAMISH TRIBAL EDUCATION DEPARTMENT</t>
  </si>
  <si>
    <t>Suquamish Tribal Education Department</t>
  </si>
  <si>
    <t>27010 TACOMA SCHOOL DISTRICT</t>
  </si>
  <si>
    <t>Tacoma School District</t>
  </si>
  <si>
    <t>14077 TAHOLAH SCHOOL DISTRICT</t>
  </si>
  <si>
    <t>Taholah School District</t>
  </si>
  <si>
    <t>17409 TAHOMA SCHOOL DISTRICT</t>
  </si>
  <si>
    <t>Tahoma School District</t>
  </si>
  <si>
    <t>38265 TEKOA SCHOOL DISTRICT</t>
  </si>
  <si>
    <t>Tekoa School District</t>
  </si>
  <si>
    <t>34402 TENINO SCHOOL DISTRICT</t>
  </si>
  <si>
    <t>Tenino School District</t>
  </si>
  <si>
    <t>19400 THORP SCHOOL DISTRICT</t>
  </si>
  <si>
    <t>Thorp School District</t>
  </si>
  <si>
    <t>21237 TOLEDO SCHOOL DISTRICT</t>
  </si>
  <si>
    <t>Toledo School District</t>
  </si>
  <si>
    <t>24404 TONASKET SCHOOL DISTRICT</t>
  </si>
  <si>
    <t>Tonasket School District</t>
  </si>
  <si>
    <t>39202 TOPPENISH SCHOOL DISTRICT</t>
  </si>
  <si>
    <t>Toppenish School District</t>
  </si>
  <si>
    <t>36300 TOUCHET SCHOOL DISTRICT</t>
  </si>
  <si>
    <t>Touchet School District</t>
  </si>
  <si>
    <t>08130 TOUTLE LAKE SCHOOL DISTRICT</t>
  </si>
  <si>
    <t>Toutle Lake School District</t>
  </si>
  <si>
    <t>20400 TROUT LAKE SCHOOL DISTRICT</t>
  </si>
  <si>
    <t>Trout Lake School District</t>
  </si>
  <si>
    <t>17406 TUKWILA SCHOOL DISTRICT</t>
  </si>
  <si>
    <t>Tukwila School District</t>
  </si>
  <si>
    <t>34033 TUMWATER SCHOOL DISTRICT</t>
  </si>
  <si>
    <t>Tumwater School District</t>
  </si>
  <si>
    <t>39002 UNION GAP SCHOOL DISTRICT</t>
  </si>
  <si>
    <t>Union Gap School District</t>
  </si>
  <si>
    <t>27083 UNIVERSITY PLACE SCHOOL DISTRICT</t>
  </si>
  <si>
    <t>University Place School District</t>
  </si>
  <si>
    <t>33070 VALLEY SCHOOL DISTRICT</t>
  </si>
  <si>
    <t>Valley School District</t>
  </si>
  <si>
    <t>06037 VANCOUVER SCHOOL DISTRICT</t>
  </si>
  <si>
    <t>Vancouver School District</t>
  </si>
  <si>
    <t>17402 VASHON ISLAND SCHOOL DISTRICT</t>
  </si>
  <si>
    <t>Vashon Island School District</t>
  </si>
  <si>
    <t>34901 WA HE LUT</t>
  </si>
  <si>
    <t>WA HE LUT Indian School Agency</t>
  </si>
  <si>
    <t>35200 WAHKIAKUM SCHOOL DISTRICT</t>
  </si>
  <si>
    <t>Wahkiakum School District</t>
  </si>
  <si>
    <t>13073 WAHLUKE SCHOOL DISTRICT</t>
  </si>
  <si>
    <t>Wahluke School District</t>
  </si>
  <si>
    <t>36401 WAITSBURG SCHOOL DISTRICT</t>
  </si>
  <si>
    <t>Waitsburg School District</t>
  </si>
  <si>
    <t>36140 WALLA WALLA PUBLIC SCHOOLS</t>
  </si>
  <si>
    <t>Walla Walla Public Schools</t>
  </si>
  <si>
    <t>39207 WAPATO SCHOOL DISTRICT</t>
  </si>
  <si>
    <t>Wapato School District</t>
  </si>
  <si>
    <t>13146 WARDEN SCHOOL DISTRICT</t>
  </si>
  <si>
    <t>Warden School District</t>
  </si>
  <si>
    <t>06112 WASHOUGAL SCHOOL DISTRICT</t>
  </si>
  <si>
    <t>Washougal School District</t>
  </si>
  <si>
    <t>01109 WASHTUCNA SCHOOL DISTRICT</t>
  </si>
  <si>
    <t>Washtucna School District</t>
  </si>
  <si>
    <t>09209 WATERVILLE SCHOOL DISTRICT</t>
  </si>
  <si>
    <t>Waterville School District</t>
  </si>
  <si>
    <t>33049 WELLPINIT SCHOOL DISTRICT</t>
  </si>
  <si>
    <t>Wellpinit School District</t>
  </si>
  <si>
    <t>04246 WENATCHEE SCHOOL DISTRICT</t>
  </si>
  <si>
    <t>Wenatchee School District</t>
  </si>
  <si>
    <t>32363 WEST VALLEY SCHOOL DISTRICT (SPOKANE)</t>
  </si>
  <si>
    <t>West Valley School District (Spokane)</t>
  </si>
  <si>
    <t>39208 WEST VALLEY SCHOOL DISTRICT (YAKIMA)</t>
  </si>
  <si>
    <t>West Valley School District (Yakima)</t>
  </si>
  <si>
    <t>37902 WHATCOM INTERGENERATIONAL CHARTER</t>
  </si>
  <si>
    <t>Whatcom Intergenerational High School</t>
  </si>
  <si>
    <t>21303 WHITE PASS SCHOOL DISTRICT</t>
  </si>
  <si>
    <t>White Pass School District</t>
  </si>
  <si>
    <t>27416 WHITE RIVER SCHOOL DISTRICT</t>
  </si>
  <si>
    <t>White River School District</t>
  </si>
  <si>
    <t>20405 WHITE SALMON VALLEY SCHOOL DISTRICT</t>
  </si>
  <si>
    <t>White Salmon Valley School District</t>
  </si>
  <si>
    <t>17917 WHY NOT YOU CHARTER</t>
  </si>
  <si>
    <t>Why Not You Academy (formerly Cascade: Midway charter)</t>
  </si>
  <si>
    <t>22200 WILBUR SCHOOL DISTRICT</t>
  </si>
  <si>
    <t>Wilbur School District</t>
  </si>
  <si>
    <t>25160 WILLAPA VALLEY SCHOOL DISTRICT</t>
  </si>
  <si>
    <t>Willapa Valley School District</t>
  </si>
  <si>
    <t>13167 WILSON CREEK SCHOOL DISTRICT</t>
  </si>
  <si>
    <t>Wilson Creek School District</t>
  </si>
  <si>
    <t>21232 WINLOCK SCHOOL DISTRICT</t>
  </si>
  <si>
    <t>Winlock School District</t>
  </si>
  <si>
    <t>14117 WISHKAH VALLEY SCHOOL DISTRICT</t>
  </si>
  <si>
    <t>Wishkah Valley School District</t>
  </si>
  <si>
    <t>20094 WISHRAM SCHOOL DISTRICT</t>
  </si>
  <si>
    <t>Wishram School District</t>
  </si>
  <si>
    <t>08404 WOODLAND SCHOOL DISTRICT</t>
  </si>
  <si>
    <t>Woodland School District</t>
  </si>
  <si>
    <t>39901  YAKAMA NATION TRIBAL</t>
  </si>
  <si>
    <t>Yakama Nation Tribal Compact</t>
  </si>
  <si>
    <t>39007 YAKIMA SCHOOL DISTRICT</t>
  </si>
  <si>
    <t>Yakima School District</t>
  </si>
  <si>
    <t>34002 YELM SCHOOL DISTRICT</t>
  </si>
  <si>
    <t>Yelm School District</t>
  </si>
  <si>
    <t>39205 ZILLAH SCHOOL DISTRICT</t>
  </si>
  <si>
    <t>Zillah School District</t>
  </si>
  <si>
    <t>From Jackie McDonald  September 10, 2024</t>
  </si>
  <si>
    <t>OrganizationName</t>
  </si>
  <si>
    <t>Rev 4155 PD
LAP</t>
  </si>
  <si>
    <t>4155hppd
Total LAP HiPov PD</t>
  </si>
  <si>
    <t>Rev 4165 PD
TBIP</t>
  </si>
  <si>
    <t>Rev 4174 PD
HiCap</t>
  </si>
  <si>
    <t>Rev 4121 PD
SpEd</t>
  </si>
  <si>
    <t>Rev 3100 PD
Gen Apport</t>
  </si>
  <si>
    <t>Activity 34 Total</t>
  </si>
  <si>
    <t>PLD Activity 34 Total</t>
  </si>
  <si>
    <t>STATE SUMMARY</t>
  </si>
  <si>
    <t>04951</t>
  </si>
  <si>
    <t>Wenatchee Vally College</t>
  </si>
  <si>
    <t>05940</t>
  </si>
  <si>
    <t>Peninsula College</t>
  </si>
  <si>
    <t>06927</t>
  </si>
  <si>
    <t>Clark College</t>
  </si>
  <si>
    <t>08937</t>
  </si>
  <si>
    <t>Lower Columbia College</t>
  </si>
  <si>
    <t>Educational Service District 123</t>
  </si>
  <si>
    <t>11928</t>
  </si>
  <si>
    <t>Columbia Basin College</t>
  </si>
  <si>
    <t>13925</t>
  </si>
  <si>
    <t>Big Bend Community College</t>
  </si>
  <si>
    <t>14934</t>
  </si>
  <si>
    <t>Grays Harbor College</t>
  </si>
  <si>
    <t>Puget Sound Educational Service District 121</t>
  </si>
  <si>
    <t>17904</t>
  </si>
  <si>
    <t>University of Washington (17904)</t>
  </si>
  <si>
    <t>17918</t>
  </si>
  <si>
    <t>University of Washington Early Entrance Program</t>
  </si>
  <si>
    <t>17924</t>
  </si>
  <si>
    <t>Bellevue Community College</t>
  </si>
  <si>
    <t>17935</t>
  </si>
  <si>
    <t>Green River College</t>
  </si>
  <si>
    <t>17936</t>
  </si>
  <si>
    <t>Highline College</t>
  </si>
  <si>
    <t>17937</t>
  </si>
  <si>
    <t>Lake Washington Institute of Technology</t>
  </si>
  <si>
    <t>17938</t>
  </si>
  <si>
    <t>North Seattle Community College</t>
  </si>
  <si>
    <t>17941</t>
  </si>
  <si>
    <t>Renton Technical College</t>
  </si>
  <si>
    <t>17942</t>
  </si>
  <si>
    <t xml:space="preserve">Seattle Central Community College </t>
  </si>
  <si>
    <t>17943</t>
  </si>
  <si>
    <t>Shoreline Community College</t>
  </si>
  <si>
    <t>17946</t>
  </si>
  <si>
    <t>South Seattle Community College (CC Dist #6)</t>
  </si>
  <si>
    <t>Olympic Educational Service District 114</t>
  </si>
  <si>
    <t>18939</t>
  </si>
  <si>
    <t>Olympic College</t>
  </si>
  <si>
    <t>19901</t>
  </si>
  <si>
    <t>Central Washington University</t>
  </si>
  <si>
    <t>21018</t>
  </si>
  <si>
    <t>Vader School District</t>
  </si>
  <si>
    <t>21926</t>
  </si>
  <si>
    <t>Centralia College</t>
  </si>
  <si>
    <t>27931</t>
  </si>
  <si>
    <t>Bates Technical College</t>
  </si>
  <si>
    <t>27932</t>
  </si>
  <si>
    <t>Clover Park Technical College</t>
  </si>
  <si>
    <t>27941</t>
  </si>
  <si>
    <t>Pierce College</t>
  </si>
  <si>
    <t>27949</t>
  </si>
  <si>
    <t>Tacoma Community College</t>
  </si>
  <si>
    <t>Northwest Educational Service District 189</t>
  </si>
  <si>
    <t>29944</t>
  </si>
  <si>
    <t>Skagit Valley College</t>
  </si>
  <si>
    <t>31932</t>
  </si>
  <si>
    <t>Edmonds Community College</t>
  </si>
  <si>
    <t>31933</t>
  </si>
  <si>
    <t>Everett Community College</t>
  </si>
  <si>
    <t>Educational Service District 101</t>
  </si>
  <si>
    <t>32902</t>
  </si>
  <si>
    <t>Eastern Washington University</t>
  </si>
  <si>
    <t>32911</t>
  </si>
  <si>
    <t>Spokane Public Schools Charter Authorizer</t>
  </si>
  <si>
    <t>32931</t>
  </si>
  <si>
    <t>Community Colleges of Spokane</t>
  </si>
  <si>
    <t>32948</t>
  </si>
  <si>
    <t>Spokane Falls Community College</t>
  </si>
  <si>
    <t>Capital Region ESD 113</t>
  </si>
  <si>
    <t>34903</t>
  </si>
  <si>
    <t>Evergreen State College</t>
  </si>
  <si>
    <t>34945</t>
  </si>
  <si>
    <t>Puget Sound Community College</t>
  </si>
  <si>
    <t>34950</t>
  </si>
  <si>
    <t>Washington State Charter School Commission</t>
  </si>
  <si>
    <t>34970</t>
  </si>
  <si>
    <t>DSHS</t>
  </si>
  <si>
    <t>34973</t>
  </si>
  <si>
    <t>Department of Corrections</t>
  </si>
  <si>
    <t>34974</t>
  </si>
  <si>
    <t>Office of the Governor (Sch for Blind)</t>
  </si>
  <si>
    <t>34975</t>
  </si>
  <si>
    <t>Washington Center for Deaf and Hard of Hearing Youth</t>
  </si>
  <si>
    <t>34977</t>
  </si>
  <si>
    <t>Department of Health</t>
  </si>
  <si>
    <t>34978</t>
  </si>
  <si>
    <t>Department of Children Youth and Families</t>
  </si>
  <si>
    <t>34979</t>
  </si>
  <si>
    <t>Washington Military Department</t>
  </si>
  <si>
    <t>36950</t>
  </si>
  <si>
    <t>Walla Walla Community College</t>
  </si>
  <si>
    <t>37901</t>
  </si>
  <si>
    <t>Bellingham Technical College</t>
  </si>
  <si>
    <t>37906</t>
  </si>
  <si>
    <t>Western Washington University</t>
  </si>
  <si>
    <t>37952</t>
  </si>
  <si>
    <t>Whatcom Community College</t>
  </si>
  <si>
    <t>38905</t>
  </si>
  <si>
    <t>Washington State University</t>
  </si>
  <si>
    <t>Educational Service District 105</t>
  </si>
  <si>
    <t>39953</t>
  </si>
  <si>
    <t>Yakima Valley Community College</t>
  </si>
  <si>
    <t>GL 823 Restricted for Carryover of Transition to Kindergarten Revenues</t>
  </si>
  <si>
    <t>Illustration: where to find district-specific data.</t>
  </si>
  <si>
    <t>TK—FTE identified as Special Education is part of the 3-5 preschool group. TTK resource allocated to Special Education are identified as state resources and not included in the GL 823 equity account.  RCWs: 28A.150.220; 28A.155.020; 28A155.070</t>
  </si>
  <si>
    <t>GL 823 Restricted for Carryover of Transition to Kindergarten Resources</t>
  </si>
  <si>
    <t>Districts should input amounts into the green highlighted cells</t>
  </si>
  <si>
    <t>Program 09 - TK</t>
  </si>
  <si>
    <t>TK in Prog 55 LAP</t>
  </si>
  <si>
    <t>TK in Prog 55 LAP HP</t>
  </si>
  <si>
    <t>TK in Prog 65 TBIP</t>
  </si>
  <si>
    <t>TK TOTAL</t>
  </si>
  <si>
    <t>Districts enter amounts in the GREEN highlighted cells.</t>
  </si>
  <si>
    <t>TTK Totals</t>
  </si>
  <si>
    <t>Prior Year Carryover: Beginning Balance GL 823</t>
  </si>
  <si>
    <t>A</t>
  </si>
  <si>
    <t>P.Y. Carryover:  Beginning Balance GL 823</t>
  </si>
  <si>
    <t>Σ Row A</t>
  </si>
  <si>
    <t>Current Year TK FTE, by Program</t>
  </si>
  <si>
    <t>B</t>
  </si>
  <si>
    <t>P.Y. 1191 TK</t>
  </si>
  <si>
    <t>1251H TBIP</t>
  </si>
  <si>
    <t>Program Per Pupil Allocation</t>
  </si>
  <si>
    <t>C</t>
  </si>
  <si>
    <t>1191 TK</t>
  </si>
  <si>
    <t>State Resources in Programs 55 &amp; 65 for TK</t>
  </si>
  <si>
    <t>D</t>
  </si>
  <si>
    <t>= (B * C)</t>
  </si>
  <si>
    <t>Σ Row D</t>
  </si>
  <si>
    <t>Current Year Program Allocation State 4109</t>
  </si>
  <si>
    <t>E</t>
  </si>
  <si>
    <t>Σ Row E</t>
  </si>
  <si>
    <t>Current Year Program Allocation Federal 6109</t>
  </si>
  <si>
    <t>F</t>
  </si>
  <si>
    <t>Σ Row F</t>
  </si>
  <si>
    <t>Available TK Resources by Program</t>
  </si>
  <si>
    <t>G</t>
  </si>
  <si>
    <t>A+E+F</t>
  </si>
  <si>
    <t>A+D</t>
  </si>
  <si>
    <t>Σ Row G</t>
  </si>
  <si>
    <t>Direct Expenditures in Program 09 (Sub-Fund 1)</t>
  </si>
  <si>
    <t>Total TK Expenditures</t>
  </si>
  <si>
    <t>H</t>
  </si>
  <si>
    <t>Prog 09: All Sub-Fund 1</t>
  </si>
  <si>
    <t>TK Expenditures included in Programs 55 &amp; 65:</t>
  </si>
  <si>
    <t>I</t>
  </si>
  <si>
    <t>Σ Rows H + I</t>
  </si>
  <si>
    <t>Available Resources less Annual Expenditures</t>
  </si>
  <si>
    <t>J</t>
  </si>
  <si>
    <t>Resources less Annual Expenditures</t>
  </si>
  <si>
    <t>G - H</t>
  </si>
  <si>
    <t>G – I</t>
  </si>
  <si>
    <t>If the annual expenditures are greater than Total Available resources, by category, then carryover equals zero.</t>
  </si>
  <si>
    <t>TK carryover related to LAP or TBIP should be included in GL 821, if any.</t>
  </si>
  <si>
    <t>If  ROW J is a negative number, then Carryover equals zero</t>
  </si>
  <si>
    <t>Current Year TK Carryover, BY PROGRAM</t>
  </si>
  <si>
    <t>K</t>
  </si>
  <si>
    <t>C.Y Carryover by Program:</t>
  </si>
  <si>
    <t>=if (+J &gt; 0)</t>
  </si>
  <si>
    <t>Σ Row K</t>
  </si>
  <si>
    <t>Carryover: Program 09 Restricted Fund Balance for GL 823 — ONLY</t>
  </si>
  <si>
    <t>GL 823 Restricted Carryover for Program 09</t>
  </si>
  <si>
    <t>NOTE:  The federal expenditures incurred  (using Revenue 6109 Resources) are required to be reported on the SEFA.</t>
  </si>
  <si>
    <t>General Fund, Capital Projects Fund</t>
  </si>
  <si>
    <t>(Return to Summary Sheet)</t>
  </si>
  <si>
    <t>General Fund, Program 45 and Program 46</t>
  </si>
  <si>
    <t>Beginning Balance</t>
  </si>
  <si>
    <t>Revenues</t>
  </si>
  <si>
    <t>State Skills Center Funding (Blended in Revenue 3100)</t>
  </si>
  <si>
    <t>Skills Center - Tuition &amp; Fees (Revenue 2145)</t>
  </si>
  <si>
    <t>Skills Center - Sales of Goods, Supplies and Services (Revenue 2245)</t>
  </si>
  <si>
    <t>Skills Center - Payment from Other Districts (Revenue 7145)</t>
  </si>
  <si>
    <t>Skills Center - Federal through OSPI (Revenue 6146)</t>
  </si>
  <si>
    <t>Skills Center - Federal directly from Federal agency (Revenue 6246)</t>
  </si>
  <si>
    <t>Skills Center - Federal through state agency other than OSPI (Revenue 6346)</t>
  </si>
  <si>
    <t>Other Skills Center Revenues</t>
  </si>
  <si>
    <t>Total Revenues</t>
  </si>
  <si>
    <t>Expenditures (Include both Program 45 and Program 46)</t>
  </si>
  <si>
    <t>Supervision (Activity 21)</t>
  </si>
  <si>
    <t>Learning Resources (Activity 22)</t>
  </si>
  <si>
    <t>Principal's Office (Activity 23)</t>
  </si>
  <si>
    <t>Guidance and Counseling (Activity 24)</t>
  </si>
  <si>
    <t>Pupil Management and Safety (Activity 25)</t>
  </si>
  <si>
    <t>Health/Related Services (Activity 26)</t>
  </si>
  <si>
    <t>Teaching (Activity 27)</t>
  </si>
  <si>
    <t>Extracurricular (Activity 28)</t>
  </si>
  <si>
    <t>Payments to School Districts (Activity 29)</t>
  </si>
  <si>
    <t>Instructional Professional Development (Activity 31)</t>
  </si>
  <si>
    <t>Instructional Technology (Activity 32)</t>
  </si>
  <si>
    <t>Curriculum (Activity 33)</t>
  </si>
  <si>
    <t>Supervision (Activity 61)</t>
  </si>
  <si>
    <t>Grounds Maintenance (Activity 62)</t>
  </si>
  <si>
    <t>Operation of Buildings (Activity 63)</t>
  </si>
  <si>
    <t>Maintenance (Activity 64)</t>
  </si>
  <si>
    <t>Utilities (Activity 65)</t>
  </si>
  <si>
    <t>Building and Property Security (Activity 67)</t>
  </si>
  <si>
    <t>Insurance (Activity 68)</t>
  </si>
  <si>
    <t>Total Expenditures</t>
  </si>
  <si>
    <t>Excess (Deficiency) of Revenues Over (Under) Expenditures</t>
  </si>
  <si>
    <t>Ending Balance</t>
  </si>
  <si>
    <t>Add: Payments from Member Districts</t>
  </si>
  <si>
    <t>Subtract: Amounts spent for Capital Improvements</t>
  </si>
  <si>
    <t>GL 828 Restricted for Carryover of Food Service Revenue</t>
  </si>
  <si>
    <t>(Print a copy of this sheet, sign it, date it, and keep a copy on file for review by Child Nutrition Services and/or the auditors.)</t>
  </si>
  <si>
    <t xml:space="preserve">GL 828 Restricted for Carryover of Food Service Revenue </t>
  </si>
  <si>
    <t>Supply Chain Assistance Column</t>
  </si>
  <si>
    <t xml:space="preserve">Include your Prior Year SCA Carryover, if any. </t>
  </si>
  <si>
    <t>For 2023-2024</t>
  </si>
  <si>
    <t>This account is provided as a means for accumulating and restricting ending fund balance that derives from net gains of the district's food service program. The excess of food service program revenue over total expenditures is recorded in this account. Amounts in this account may only be used for the benefit of the district's food service program.</t>
  </si>
  <si>
    <t>Paid Lunches (Revenue 2298) and (Revenue 2998)</t>
  </si>
  <si>
    <t>State Payment (Revenue 4X98)</t>
  </si>
  <si>
    <r>
      <t xml:space="preserve">Federal Payment (Revenue 6X98 except 6998 </t>
    </r>
    <r>
      <rPr>
        <b/>
        <sz val="11"/>
        <color theme="1"/>
        <rFont val="Calibri"/>
        <family val="2"/>
        <scheme val="minor"/>
      </rPr>
      <t>and except SCA Resources</t>
    </r>
    <r>
      <rPr>
        <sz val="11"/>
        <color theme="1"/>
        <rFont val="Calibri"/>
        <family val="2"/>
        <scheme val="minor"/>
      </rPr>
      <t>)</t>
    </r>
  </si>
  <si>
    <t>Supply Chain Assistance (SCA) Resources (6198-11)</t>
  </si>
  <si>
    <t>xxx</t>
  </si>
  <si>
    <t>Federal Commodities (Revenue 6998)</t>
  </si>
  <si>
    <t>For more information, see the Food Service Program Guidance in Appendix B of the Accounting Manual for School Districts in Washington state.</t>
  </si>
  <si>
    <t>Other Payments (any other Revenue XX98)</t>
  </si>
  <si>
    <t>TOTAL REVENUES</t>
  </si>
  <si>
    <t>INSTRUCTIONS:</t>
  </si>
  <si>
    <t>Object 1 Allocation</t>
  </si>
  <si>
    <t>Net Expenditures</t>
  </si>
  <si>
    <t>The County–District number field will pre-populate from the Fund Balance Summary worksheet.</t>
  </si>
  <si>
    <t>Salaries &amp; Benefits*</t>
  </si>
  <si>
    <t>*</t>
  </si>
  <si>
    <t>In cells D7:D11, enter the amount of food service-related revenues that your district received during the year (anything recorded in a XX98 Revenue Code) with the exception of 619811 Supply Chain Assistance which is prepopulated in cell F10.</t>
  </si>
  <si>
    <t>Supplies (Do Not Include Food)*</t>
  </si>
  <si>
    <t>Purchased Services (Do Not Include Food)*</t>
  </si>
  <si>
    <t>Food - Supplies (Do Not Include SCA Food)</t>
  </si>
  <si>
    <t>In cells B15:B21, enter the following amounts (top to bottom):</t>
  </si>
  <si>
    <t>Food - Purchased Services</t>
  </si>
  <si>
    <t xml:space="preserve">Supply Chain Assistance (SCA) Food </t>
  </si>
  <si>
    <t>Travel &amp; Other*</t>
  </si>
  <si>
    <r>
      <rPr>
        <sz val="11"/>
        <color theme="1"/>
        <rFont val="Wingdings"/>
        <charset val="2"/>
      </rPr>
      <t>l</t>
    </r>
    <r>
      <rPr>
        <sz val="11"/>
        <color theme="1"/>
        <rFont val="Calibri"/>
        <family val="2"/>
        <scheme val="minor"/>
      </rPr>
      <t xml:space="preserve"> Salaries and Benefits (any expenditures coded to Objects 2, 3, or 4.)</t>
    </r>
  </si>
  <si>
    <t>Capital Outlay</t>
  </si>
  <si>
    <r>
      <rPr>
        <sz val="11"/>
        <color theme="1"/>
        <rFont val="Wingdings"/>
        <charset val="2"/>
      </rPr>
      <t>l</t>
    </r>
    <r>
      <rPr>
        <sz val="11"/>
        <color theme="1"/>
        <rFont val="Calibri"/>
        <family val="2"/>
        <scheme val="minor"/>
      </rPr>
      <t xml:space="preserve"> Non-Food Supplies (any expenditures coded to Object 5 EXCEPT those in Activity 42.)</t>
    </r>
  </si>
  <si>
    <t>Total Direct Expenditures</t>
  </si>
  <si>
    <r>
      <rPr>
        <sz val="11"/>
        <color theme="1"/>
        <rFont val="Wingdings"/>
        <charset val="2"/>
      </rPr>
      <t>l</t>
    </r>
    <r>
      <rPr>
        <sz val="11"/>
        <color theme="1"/>
        <rFont val="Calibri"/>
        <family val="2"/>
        <scheme val="minor"/>
      </rPr>
      <t xml:space="preserve">  Non-Food Services (any expenditures coded to Object 7 EXCEPT those in Activity 42.)</t>
    </r>
  </si>
  <si>
    <r>
      <rPr>
        <sz val="11"/>
        <color theme="1"/>
        <rFont val="Wingdings"/>
        <charset val="2"/>
      </rPr>
      <t>l</t>
    </r>
    <r>
      <rPr>
        <sz val="11"/>
        <color theme="1"/>
        <rFont val="Calibri"/>
        <family val="2"/>
        <scheme val="minor"/>
      </rPr>
      <t xml:space="preserve"> Food Supplies (Activity 42, Object 5).</t>
    </r>
  </si>
  <si>
    <r>
      <rPr>
        <sz val="11"/>
        <color theme="1"/>
        <rFont val="Wingdings"/>
        <charset val="2"/>
      </rPr>
      <t>l</t>
    </r>
    <r>
      <rPr>
        <sz val="11"/>
        <color theme="1"/>
        <rFont val="Calibri"/>
        <family val="2"/>
        <scheme val="minor"/>
      </rPr>
      <t xml:space="preserve">  Food Services (Activity 42, Object 7).</t>
    </r>
  </si>
  <si>
    <t>Unrestricted Indirect Rate</t>
  </si>
  <si>
    <r>
      <rPr>
        <sz val="11"/>
        <color theme="1"/>
        <rFont val="Wingdings"/>
        <charset val="2"/>
      </rPr>
      <t>l</t>
    </r>
    <r>
      <rPr>
        <sz val="11"/>
        <color theme="1"/>
        <rFont val="Calibri"/>
        <family val="2"/>
        <scheme val="minor"/>
      </rPr>
      <t xml:space="preserve">  Travel and Debit Transfers (any expenditures coded to Object 0 or Object 8.)</t>
    </r>
  </si>
  <si>
    <t>Applied Indirect Expenditures *</t>
  </si>
  <si>
    <r>
      <rPr>
        <sz val="11"/>
        <color theme="1"/>
        <rFont val="Wingdings"/>
        <charset val="2"/>
      </rPr>
      <t>l</t>
    </r>
    <r>
      <rPr>
        <sz val="11"/>
        <color theme="1"/>
        <rFont val="Calibri"/>
        <family val="2"/>
        <scheme val="minor"/>
      </rPr>
      <t xml:space="preserve">  Capital Outlay (any expenditure coded to Object 9.)</t>
    </r>
  </si>
  <si>
    <t>TOTAL EXPENDITURES</t>
  </si>
  <si>
    <r>
      <t xml:space="preserve">In </t>
    </r>
    <r>
      <rPr>
        <b/>
        <sz val="11"/>
        <color theme="1"/>
        <rFont val="Calibri"/>
        <family val="2"/>
        <scheme val="minor"/>
      </rPr>
      <t>CELL C22</t>
    </r>
    <r>
      <rPr>
        <sz val="11"/>
        <color theme="1"/>
        <rFont val="Calibri"/>
        <family val="2"/>
        <scheme val="minor"/>
      </rPr>
      <t xml:space="preserve">, enter the total amount recorded as Credit Transfers in Object Code 1.  </t>
    </r>
    <r>
      <rPr>
        <b/>
        <sz val="11"/>
        <color theme="1"/>
        <rFont val="Calibri"/>
        <family val="2"/>
        <scheme val="minor"/>
      </rPr>
      <t>Enter it as a negative number</t>
    </r>
    <r>
      <rPr>
        <sz val="11"/>
        <color theme="1"/>
        <rFont val="Calibri"/>
        <family val="2"/>
        <scheme val="minor"/>
      </rPr>
      <t>.</t>
    </r>
  </si>
  <si>
    <t>Excess (Deficiency) of Revenues Over Expenditures</t>
  </si>
  <si>
    <t>If you have a deficiency of revenues over expenditures, (that is, cell D29 is negative), you will need to print out a copy of the worksheet, and sign the certification. This certifies that the district used non-federal resources to cover the deficit in the food service account.</t>
  </si>
  <si>
    <t xml:space="preserve">Carryover methodology: </t>
  </si>
  <si>
    <r>
      <t xml:space="preserve">Annual amounts identified as </t>
    </r>
    <r>
      <rPr>
        <b/>
        <u/>
        <sz val="11"/>
        <color theme="1"/>
        <rFont val="Calibri"/>
        <family val="2"/>
        <scheme val="minor"/>
      </rPr>
      <t>deficits are considered loans</t>
    </r>
    <r>
      <rPr>
        <sz val="11"/>
        <color theme="1"/>
        <rFont val="Calibri"/>
        <family val="2"/>
        <scheme val="minor"/>
      </rPr>
      <t xml:space="preserve"> of the General Fund's other non-federal resources to support the FSA. Annual Income and Prior Year net balance carryover funds are carried over indefinitely until used in subsequent fiscal periods or can be used to pay back the prior year loan of the General Fund's non-federal resources. Prior Year loan-deficits are carried over for</t>
    </r>
    <r>
      <rPr>
        <b/>
        <sz val="14"/>
        <color rgb="FFC00000"/>
        <rFont val="Calibri"/>
        <family val="2"/>
        <scheme val="minor"/>
      </rPr>
      <t xml:space="preserve"> </t>
    </r>
    <r>
      <rPr>
        <sz val="11"/>
        <rFont val="Calibri"/>
        <family val="2"/>
        <scheme val="minor"/>
      </rPr>
      <t>a maximum of five years.</t>
    </r>
    <r>
      <rPr>
        <sz val="11"/>
        <color theme="1"/>
        <rFont val="Calibri"/>
        <family val="2"/>
        <scheme val="minor"/>
      </rPr>
      <t xml:space="preserve"> </t>
    </r>
  </si>
  <si>
    <t>3 Months' Average Expenditures</t>
  </si>
  <si>
    <t xml:space="preserve">CARRYOVER of Supply Chain Assistance Resources </t>
  </si>
  <si>
    <t>*This item is included in the indirect cost calculation.</t>
  </si>
  <si>
    <t>Calculations on this sheet are intended to mirror the CNS 1800 Report for each district.</t>
  </si>
  <si>
    <t>I certify that any deficiency of revenues verses expenditures have been covered by non-Federal resources available to the district.</t>
  </si>
  <si>
    <t>2022-23 School Year</t>
  </si>
  <si>
    <t>Account 6198-11</t>
  </si>
  <si>
    <t>New Site</t>
  </si>
  <si>
    <t>6198-11 Payments to date</t>
  </si>
  <si>
    <t>Co/Dist #</t>
  </si>
  <si>
    <t>WINS</t>
  </si>
  <si>
    <t>Apport</t>
  </si>
  <si>
    <t>YTD Total</t>
  </si>
  <si>
    <t>District</t>
  </si>
  <si>
    <t>14-005</t>
  </si>
  <si>
    <t>21-226</t>
  </si>
  <si>
    <t>22-017</t>
  </si>
  <si>
    <t>29-103</t>
  </si>
  <si>
    <t>31-016</t>
  </si>
  <si>
    <t>02-420</t>
  </si>
  <si>
    <t>17-408</t>
  </si>
  <si>
    <t>18-303</t>
  </si>
  <si>
    <t>06-119</t>
  </si>
  <si>
    <t>17-405</t>
  </si>
  <si>
    <t>37-501</t>
  </si>
  <si>
    <t>27-403</t>
  </si>
  <si>
    <t>37-503</t>
  </si>
  <si>
    <t>21-234</t>
  </si>
  <si>
    <t>18-100</t>
  </si>
  <si>
    <t>24-111</t>
  </si>
  <si>
    <t>09-075</t>
  </si>
  <si>
    <t>16-046</t>
  </si>
  <si>
    <t>29-100</t>
  </si>
  <si>
    <t>06-117</t>
  </si>
  <si>
    <t>05-401</t>
  </si>
  <si>
    <t>27-019</t>
  </si>
  <si>
    <t>04-228</t>
  </si>
  <si>
    <t>04-222</t>
  </si>
  <si>
    <t>08-401</t>
  </si>
  <si>
    <t>18-901</t>
  </si>
  <si>
    <t>20-215</t>
  </si>
  <si>
    <t>18-401</t>
  </si>
  <si>
    <t>32-356</t>
  </si>
  <si>
    <t>21-401</t>
  </si>
  <si>
    <t>21-302</t>
  </si>
  <si>
    <t>32-360</t>
  </si>
  <si>
    <t>33-036</t>
  </si>
  <si>
    <t>16-049</t>
  </si>
  <si>
    <t>02-250</t>
  </si>
  <si>
    <t>19-404</t>
  </si>
  <si>
    <t>27-400</t>
  </si>
  <si>
    <t>38-300</t>
  </si>
  <si>
    <t>36-250</t>
  </si>
  <si>
    <t>38-306</t>
  </si>
  <si>
    <t>33-206</t>
  </si>
  <si>
    <t>Columbia (Stev)</t>
  </si>
  <si>
    <t>36-400</t>
  </si>
  <si>
    <t>33-115</t>
  </si>
  <si>
    <t>29-011</t>
  </si>
  <si>
    <t>29-317</t>
  </si>
  <si>
    <t>14-099</t>
  </si>
  <si>
    <t>13-151</t>
  </si>
  <si>
    <t>15-204</t>
  </si>
  <si>
    <t>05-313</t>
  </si>
  <si>
    <t>22-073</t>
  </si>
  <si>
    <t>10-050</t>
  </si>
  <si>
    <t>26-059</t>
  </si>
  <si>
    <t>31-330</t>
  </si>
  <si>
    <t>22-207</t>
  </si>
  <si>
    <t>07-002</t>
  </si>
  <si>
    <t>32-414</t>
  </si>
  <si>
    <t>27-343</t>
  </si>
  <si>
    <t>36-101</t>
  </si>
  <si>
    <t>32-361</t>
  </si>
  <si>
    <t>East Valley (Spok</t>
  </si>
  <si>
    <t>39-090</t>
  </si>
  <si>
    <t>East Valley (Yak)</t>
  </si>
  <si>
    <t>09-206</t>
  </si>
  <si>
    <t>19-028</t>
  </si>
  <si>
    <t>27-404</t>
  </si>
  <si>
    <t>31-015</t>
  </si>
  <si>
    <t>19-401</t>
  </si>
  <si>
    <t>14-068</t>
  </si>
  <si>
    <t>38-308</t>
  </si>
  <si>
    <t>04-127</t>
  </si>
  <si>
    <t>17-216</t>
  </si>
  <si>
    <t>13-165</t>
  </si>
  <si>
    <t>31-002</t>
  </si>
  <si>
    <t>06-114</t>
  </si>
  <si>
    <t>33-205</t>
  </si>
  <si>
    <t>Evergreen (Stev)</t>
  </si>
  <si>
    <t>17-210</t>
  </si>
  <si>
    <t>37-502</t>
  </si>
  <si>
    <t>27-417</t>
  </si>
  <si>
    <t>03-053</t>
  </si>
  <si>
    <t>27-402</t>
  </si>
  <si>
    <t>32-358</t>
  </si>
  <si>
    <t>38-302</t>
  </si>
  <si>
    <t>20-401</t>
  </si>
  <si>
    <t>20-404</t>
  </si>
  <si>
    <t>13-301</t>
  </si>
  <si>
    <t>39-200</t>
  </si>
  <si>
    <t>39-204</t>
  </si>
  <si>
    <t>31-332</t>
  </si>
  <si>
    <t>23-054</t>
  </si>
  <si>
    <t>32-312</t>
  </si>
  <si>
    <t>06-103</t>
  </si>
  <si>
    <t>34-324</t>
  </si>
  <si>
    <t>22-204</t>
  </si>
  <si>
    <t>39-203</t>
  </si>
  <si>
    <t>17-401</t>
  </si>
  <si>
    <t>06-098</t>
  </si>
  <si>
    <t>23-404</t>
  </si>
  <si>
    <t>14-028</t>
  </si>
  <si>
    <t>27-902</t>
  </si>
  <si>
    <t>Impact CB Charter</t>
  </si>
  <si>
    <t>17-911</t>
  </si>
  <si>
    <t>17-916</t>
  </si>
  <si>
    <t>10-070</t>
  </si>
  <si>
    <t>31-063</t>
  </si>
  <si>
    <t>17-411</t>
  </si>
  <si>
    <t>11-056</t>
  </si>
  <si>
    <t>08-402</t>
  </si>
  <si>
    <t>10-003</t>
  </si>
  <si>
    <t>08-458</t>
  </si>
  <si>
    <t>03-017</t>
  </si>
  <si>
    <t>17-415</t>
  </si>
  <si>
    <t>33-212</t>
  </si>
  <si>
    <t>03-052</t>
  </si>
  <si>
    <t>19-403</t>
  </si>
  <si>
    <t>20-402</t>
  </si>
  <si>
    <t>29-311</t>
  </si>
  <si>
    <t>06-101</t>
  </si>
  <si>
    <t>04-129</t>
  </si>
  <si>
    <t>31-004</t>
  </si>
  <si>
    <t>17-414</t>
  </si>
  <si>
    <t>31-306</t>
  </si>
  <si>
    <t>38-264</t>
  </si>
  <si>
    <t>32-362</t>
  </si>
  <si>
    <t>01-158</t>
  </si>
  <si>
    <t>08-122</t>
  </si>
  <si>
    <t>33-183</t>
  </si>
  <si>
    <t>28-144</t>
  </si>
  <si>
    <t>32-903</t>
  </si>
  <si>
    <t>37-903</t>
  </si>
  <si>
    <t>37-504</t>
  </si>
  <si>
    <t>39-120</t>
  </si>
  <si>
    <t>09-207</t>
  </si>
  <si>
    <t>04-019</t>
  </si>
  <si>
    <t>23-311</t>
  </si>
  <si>
    <t>33-207</t>
  </si>
  <si>
    <t>31-025</t>
  </si>
  <si>
    <t>14-065</t>
  </si>
  <si>
    <t>32-354</t>
  </si>
  <si>
    <t>32-326</t>
  </si>
  <si>
    <t>17-400</t>
  </si>
  <si>
    <t>37-505</t>
  </si>
  <si>
    <t>24-350</t>
  </si>
  <si>
    <t>30-031</t>
  </si>
  <si>
    <t>31-103</t>
  </si>
  <si>
    <t>14-066</t>
  </si>
  <si>
    <t>21-214</t>
  </si>
  <si>
    <t>13-161</t>
  </si>
  <si>
    <t>21-206</t>
  </si>
  <si>
    <t>39-209</t>
  </si>
  <si>
    <t>37-507</t>
  </si>
  <si>
    <t>29-320</t>
  </si>
  <si>
    <t>31-006</t>
  </si>
  <si>
    <t>39-003</t>
  </si>
  <si>
    <t>21-014</t>
  </si>
  <si>
    <t>25-155</t>
  </si>
  <si>
    <t>24-014</t>
  </si>
  <si>
    <t>26-056</t>
  </si>
  <si>
    <t>32-325</t>
  </si>
  <si>
    <t>37-506</t>
  </si>
  <si>
    <t>14-064</t>
  </si>
  <si>
    <t>11-051</t>
  </si>
  <si>
    <t>18-400</t>
  </si>
  <si>
    <t>23-403</t>
  </si>
  <si>
    <t>25-200</t>
  </si>
  <si>
    <t>34-003</t>
  </si>
  <si>
    <t>33-211</t>
  </si>
  <si>
    <t>17-417</t>
  </si>
  <si>
    <t>15-201</t>
  </si>
  <si>
    <t>14-400</t>
  </si>
  <si>
    <t>25-101</t>
  </si>
  <si>
    <t>14-172</t>
  </si>
  <si>
    <t>22-105</t>
  </si>
  <si>
    <t>24-105</t>
  </si>
  <si>
    <t>34-111</t>
  </si>
  <si>
    <t>24-019</t>
  </si>
  <si>
    <t>21-300</t>
  </si>
  <si>
    <t>33-030</t>
  </si>
  <si>
    <t>28-137</t>
  </si>
  <si>
    <t>10-065</t>
  </si>
  <si>
    <t>09-013</t>
  </si>
  <si>
    <t>24-410</t>
  </si>
  <si>
    <t>27-344</t>
  </si>
  <si>
    <t>01-147</t>
  </si>
  <si>
    <t>09-102</t>
  </si>
  <si>
    <t>38-301</t>
  </si>
  <si>
    <t>11-001</t>
  </si>
  <si>
    <t>24-122</t>
  </si>
  <si>
    <t>03-050</t>
  </si>
  <si>
    <t>21-301</t>
  </si>
  <si>
    <t>27-401</t>
  </si>
  <si>
    <t>04-901</t>
  </si>
  <si>
    <t>23-402</t>
  </si>
  <si>
    <t>12-110</t>
  </si>
  <si>
    <t>05-121</t>
  </si>
  <si>
    <t>16-050</t>
  </si>
  <si>
    <t>36-402</t>
  </si>
  <si>
    <t>32-907</t>
  </si>
  <si>
    <t>03-116</t>
  </si>
  <si>
    <t>38-267</t>
  </si>
  <si>
    <t>38-901</t>
  </si>
  <si>
    <t>Pullman Com Monte Charter</t>
  </si>
  <si>
    <t>27-003</t>
  </si>
  <si>
    <t>16-020</t>
  </si>
  <si>
    <t>16-048</t>
  </si>
  <si>
    <t>05-903</t>
  </si>
  <si>
    <t>05-402</t>
  </si>
  <si>
    <t>14-097</t>
  </si>
  <si>
    <t>13-144</t>
  </si>
  <si>
    <t>34-307</t>
  </si>
  <si>
    <t>17-908</t>
  </si>
  <si>
    <t>25-116</t>
  </si>
  <si>
    <t>22-009</t>
  </si>
  <si>
    <t>17-403</t>
  </si>
  <si>
    <t>10-309</t>
  </si>
  <si>
    <t>03-400</t>
  </si>
  <si>
    <t>06-122</t>
  </si>
  <si>
    <t>01-160</t>
  </si>
  <si>
    <t>32-416</t>
  </si>
  <si>
    <t>17-407</t>
  </si>
  <si>
    <t>34-401</t>
  </si>
  <si>
    <t>38-320</t>
  </si>
  <si>
    <t>13-160</t>
  </si>
  <si>
    <t>28-149</t>
  </si>
  <si>
    <t>14-104</t>
  </si>
  <si>
    <t>17-001</t>
  </si>
  <si>
    <t>29-101</t>
  </si>
  <si>
    <t>39-119</t>
  </si>
  <si>
    <t>26-070</t>
  </si>
  <si>
    <t>05-323</t>
  </si>
  <si>
    <t>23-309</t>
  </si>
  <si>
    <t>17-412</t>
  </si>
  <si>
    <t>30-002</t>
  </si>
  <si>
    <t>17-404</t>
  </si>
  <si>
    <t>31-201</t>
  </si>
  <si>
    <t>17-410</t>
  </si>
  <si>
    <t>13-156</t>
  </si>
  <si>
    <t>25-118</t>
  </si>
  <si>
    <t>18-402</t>
  </si>
  <si>
    <t>15-206</t>
  </si>
  <si>
    <t>23-042</t>
  </si>
  <si>
    <t>32-081</t>
  </si>
  <si>
    <t>32-901</t>
  </si>
  <si>
    <t>22-008</t>
  </si>
  <si>
    <t>38-322</t>
  </si>
  <si>
    <t>31-401</t>
  </si>
  <si>
    <t>07-035</t>
  </si>
  <si>
    <t>27-001</t>
  </si>
  <si>
    <t>30-303</t>
  </si>
  <si>
    <t>31-311</t>
  </si>
  <si>
    <t>33-202</t>
  </si>
  <si>
    <t>17-905</t>
  </si>
  <si>
    <t>27-905</t>
  </si>
  <si>
    <t>17-902</t>
  </si>
  <si>
    <t>27-320</t>
  </si>
  <si>
    <t>39-201</t>
  </si>
  <si>
    <t>27-010</t>
  </si>
  <si>
    <t>14-077</t>
  </si>
  <si>
    <t>17-409</t>
  </si>
  <si>
    <t>38-265</t>
  </si>
  <si>
    <t>34-402</t>
  </si>
  <si>
    <t>19-400</t>
  </si>
  <si>
    <t>21-237</t>
  </si>
  <si>
    <t>24-404</t>
  </si>
  <si>
    <t>39-202</t>
  </si>
  <si>
    <t>36-300</t>
  </si>
  <si>
    <t>17-406</t>
  </si>
  <si>
    <t>34-033</t>
  </si>
  <si>
    <t>39-002</t>
  </si>
  <si>
    <t>27-083</t>
  </si>
  <si>
    <t>33-070</t>
  </si>
  <si>
    <t>06-037</t>
  </si>
  <si>
    <t>17-402</t>
  </si>
  <si>
    <t>34-901</t>
  </si>
  <si>
    <t>35-200</t>
  </si>
  <si>
    <t>13-073</t>
  </si>
  <si>
    <t>36-401</t>
  </si>
  <si>
    <t>36-140</t>
  </si>
  <si>
    <t>39-207</t>
  </si>
  <si>
    <t>13-146</t>
  </si>
  <si>
    <t>06-112</t>
  </si>
  <si>
    <t>01-109</t>
  </si>
  <si>
    <t>09-209</t>
  </si>
  <si>
    <t>33-049</t>
  </si>
  <si>
    <t>04-246</t>
  </si>
  <si>
    <t>32-363</t>
  </si>
  <si>
    <t>West Valley (Spok</t>
  </si>
  <si>
    <t>39-208</t>
  </si>
  <si>
    <t>West Valley (Yak)</t>
  </si>
  <si>
    <t>21-303</t>
  </si>
  <si>
    <t>27-416</t>
  </si>
  <si>
    <t>20-405</t>
  </si>
  <si>
    <t>17-917</t>
  </si>
  <si>
    <t>22-200</t>
  </si>
  <si>
    <t>25-160</t>
  </si>
  <si>
    <t>13-167</t>
  </si>
  <si>
    <t>21-232</t>
  </si>
  <si>
    <t>14-117</t>
  </si>
  <si>
    <t>20-094</t>
  </si>
  <si>
    <t>08-404</t>
  </si>
  <si>
    <t>39-007</t>
  </si>
  <si>
    <t>34-002</t>
  </si>
  <si>
    <t>39-205</t>
  </si>
  <si>
    <t>Year 1</t>
  </si>
  <si>
    <t>Supply Chain Assistance</t>
  </si>
  <si>
    <t>PY C/O</t>
  </si>
  <si>
    <t>Supply Chain Assistance (SCA) Resources</t>
  </si>
  <si>
    <t xml:space="preserve">SCA Expenditures cannot be greater than the SCA Award </t>
  </si>
  <si>
    <t xml:space="preserve">Warning: The SCA Deficit amount must be added as additional expenditures to the Food Supply amount at [CELL B-19]. </t>
  </si>
  <si>
    <t>Warning: SCA CARRYOVER cannot be less than zero</t>
  </si>
  <si>
    <t>Warnings notes will appear if you have inadvertantly reported a deficit here.</t>
  </si>
  <si>
    <t>Year 2</t>
  </si>
  <si>
    <t>Net amount</t>
  </si>
  <si>
    <t>Loan-Deficits and Balance Forwards for the last four years.</t>
  </si>
  <si>
    <t>prior year loan-deficits and balance carryforward amounts</t>
  </si>
  <si>
    <t>18-19</t>
  </si>
  <si>
    <t>for 19-20</t>
  </si>
  <si>
    <t>come off</t>
  </si>
  <si>
    <t xml:space="preserve">netted to </t>
  </si>
  <si>
    <t>New 2019 thru 2021-22 amount with 2018 netted</t>
  </si>
  <si>
    <t>19-20</t>
  </si>
  <si>
    <t>check figure</t>
  </si>
  <si>
    <t>New totals</t>
  </si>
  <si>
    <t>2019-20</t>
  </si>
  <si>
    <t>2020-21</t>
  </si>
  <si>
    <t>2021-22</t>
  </si>
  <si>
    <t>TOTAL</t>
  </si>
  <si>
    <t>2018-19</t>
  </si>
  <si>
    <t>22-23</t>
  </si>
  <si>
    <t>w/ 22-23</t>
  </si>
  <si>
    <t xml:space="preserve">ABERDEEN            </t>
  </si>
  <si>
    <t xml:space="preserve">ADNA                </t>
  </si>
  <si>
    <t xml:space="preserve">ALMIRA              </t>
  </si>
  <si>
    <t xml:space="preserve">ANACORTES           </t>
  </si>
  <si>
    <t xml:space="preserve">ARLINGTON           </t>
  </si>
  <si>
    <t xml:space="preserve">AUBURN              </t>
  </si>
  <si>
    <t>BAINBRIDGE ISLAND</t>
  </si>
  <si>
    <t xml:space="preserve">BATTLE GROUND       </t>
  </si>
  <si>
    <t xml:space="preserve">BELLEVUE            </t>
  </si>
  <si>
    <t xml:space="preserve">BELLINGHAM          </t>
  </si>
  <si>
    <t xml:space="preserve">BETHEL              </t>
  </si>
  <si>
    <t xml:space="preserve">BLAINE              </t>
  </si>
  <si>
    <t xml:space="preserve">BOISTFORT           </t>
  </si>
  <si>
    <t xml:space="preserve">BREMERTON           </t>
  </si>
  <si>
    <t xml:space="preserve">BREWSTER            </t>
  </si>
  <si>
    <t xml:space="preserve">BRIDGEPORT          </t>
  </si>
  <si>
    <t xml:space="preserve">BRINNON             </t>
  </si>
  <si>
    <t>BURLINGTON-EDISON</t>
  </si>
  <si>
    <t xml:space="preserve">CAMAS               </t>
  </si>
  <si>
    <t xml:space="preserve">CAPE FLATTERY       </t>
  </si>
  <si>
    <t xml:space="preserve">CARBONADO           </t>
  </si>
  <si>
    <t xml:space="preserve">CASCADE             </t>
  </si>
  <si>
    <t xml:space="preserve">CASHMERE            </t>
  </si>
  <si>
    <t xml:space="preserve">CASTLE ROCK         </t>
  </si>
  <si>
    <t>CATALYST CHARTER</t>
  </si>
  <si>
    <t xml:space="preserve">CENTERVILLE         </t>
  </si>
  <si>
    <t xml:space="preserve">CENTRAL KITSAP      </t>
  </si>
  <si>
    <t xml:space="preserve">CENTRAL VALLEY      </t>
  </si>
  <si>
    <t xml:space="preserve">CENTRALIA           </t>
  </si>
  <si>
    <t xml:space="preserve">CHEHALIS            </t>
  </si>
  <si>
    <t xml:space="preserve">CHENEY              </t>
  </si>
  <si>
    <t xml:space="preserve">CHEWELAH            </t>
  </si>
  <si>
    <t xml:space="preserve">CHIMACUM            </t>
  </si>
  <si>
    <t xml:space="preserve">CLARKSTON           </t>
  </si>
  <si>
    <t xml:space="preserve">CLOVER PARK         </t>
  </si>
  <si>
    <t xml:space="preserve">COLFAX              </t>
  </si>
  <si>
    <t xml:space="preserve">COLLEGE PLACE       </t>
  </si>
  <si>
    <t xml:space="preserve">COLTON              </t>
  </si>
  <si>
    <t>COLUMBIA - STEVENS</t>
  </si>
  <si>
    <t>COLUMBIA (Stevens)</t>
  </si>
  <si>
    <t xml:space="preserve">COLUMBIA - WALLA WALLA        </t>
  </si>
  <si>
    <t>COLUMBIA (Walla Walla)</t>
  </si>
  <si>
    <t xml:space="preserve">COLVILLE            </t>
  </si>
  <si>
    <t xml:space="preserve">CONCRETE            </t>
  </si>
  <si>
    <t xml:space="preserve">CONWAY              </t>
  </si>
  <si>
    <t xml:space="preserve">COSMOPOLIS          </t>
  </si>
  <si>
    <t xml:space="preserve">COUPEVILLE          </t>
  </si>
  <si>
    <t xml:space="preserve">CRESCENT            </t>
  </si>
  <si>
    <t xml:space="preserve">CRESTON             </t>
  </si>
  <si>
    <t xml:space="preserve">CURLEW              </t>
  </si>
  <si>
    <t xml:space="preserve">CUSICK              </t>
  </si>
  <si>
    <t xml:space="preserve">DARRINGTON          </t>
  </si>
  <si>
    <t xml:space="preserve">DAVENPORT           </t>
  </si>
  <si>
    <t xml:space="preserve">DAYTON              </t>
  </si>
  <si>
    <t xml:space="preserve">DEER PARK           </t>
  </si>
  <si>
    <t xml:space="preserve">DIERINGER           </t>
  </si>
  <si>
    <t xml:space="preserve">DIXIE               </t>
  </si>
  <si>
    <t xml:space="preserve">EAST VALLEY  - YAKIMA     </t>
  </si>
  <si>
    <t>EAST VALLEY (Yakima)</t>
  </si>
  <si>
    <t>EAST VALLEY - SPOKANE</t>
  </si>
  <si>
    <t>EAST VALLEY (Spokane)</t>
  </si>
  <si>
    <t xml:space="preserve">EASTMONT            </t>
  </si>
  <si>
    <t xml:space="preserve">EASTON              </t>
  </si>
  <si>
    <t xml:space="preserve">EATONVILLE          </t>
  </si>
  <si>
    <t xml:space="preserve">EDMONDS             </t>
  </si>
  <si>
    <t xml:space="preserve">ELLENSBURG          </t>
  </si>
  <si>
    <t xml:space="preserve">ELMA                </t>
  </si>
  <si>
    <t xml:space="preserve">ENDICOTT            </t>
  </si>
  <si>
    <t xml:space="preserve">ENTIAT              </t>
  </si>
  <si>
    <t xml:space="preserve">ENUMCLAW            </t>
  </si>
  <si>
    <t xml:space="preserve">EPHRATA             </t>
  </si>
  <si>
    <t xml:space="preserve">EVERETT             </t>
  </si>
  <si>
    <t>EVERGREEN - CLARK</t>
  </si>
  <si>
    <t>EVERGREEN</t>
  </si>
  <si>
    <t>EVERGREEN - STEVENS</t>
  </si>
  <si>
    <t xml:space="preserve">FEDERAL WAY         </t>
  </si>
  <si>
    <t xml:space="preserve">FERNDALE            </t>
  </si>
  <si>
    <t xml:space="preserve">FIFE                </t>
  </si>
  <si>
    <t xml:space="preserve">FINLEY              </t>
  </si>
  <si>
    <t xml:space="preserve">FRANKLIN PIERCE     </t>
  </si>
  <si>
    <t xml:space="preserve">FREEMAN             </t>
  </si>
  <si>
    <t xml:space="preserve">GARFIELD            </t>
  </si>
  <si>
    <t xml:space="preserve">GLENWOOD            </t>
  </si>
  <si>
    <t xml:space="preserve">GOLDENDALE          </t>
  </si>
  <si>
    <t xml:space="preserve">GRAND COULEE DAM    </t>
  </si>
  <si>
    <t xml:space="preserve">GRANDVIEW           </t>
  </si>
  <si>
    <t xml:space="preserve">GRANGER             </t>
  </si>
  <si>
    <t xml:space="preserve">GRANITE FALLS       </t>
  </si>
  <si>
    <t xml:space="preserve">GRAPEVIEW           </t>
  </si>
  <si>
    <t xml:space="preserve">GREEN MOUNTAIN      </t>
  </si>
  <si>
    <t xml:space="preserve">GRIFFIN             </t>
  </si>
  <si>
    <t xml:space="preserve">HARRINGTON          </t>
  </si>
  <si>
    <t xml:space="preserve">HIGHLAND            </t>
  </si>
  <si>
    <t xml:space="preserve">HIGHLINE            </t>
  </si>
  <si>
    <t xml:space="preserve">HOCKINSON           </t>
  </si>
  <si>
    <t xml:space="preserve">HOOD CANAL          </t>
  </si>
  <si>
    <t xml:space="preserve">HOQUIAM             </t>
  </si>
  <si>
    <t>IMPACT COMM BAY CHARTER</t>
  </si>
  <si>
    <t>IMPACT - COMMENCEMENT BAY CHARTER</t>
  </si>
  <si>
    <t>IMPACT PUBLIC SCHOOLS</t>
  </si>
  <si>
    <t>IMPACT - PUGET SOUND CHARTER</t>
  </si>
  <si>
    <t>IMPACT - SALISH SEA CHARTER</t>
  </si>
  <si>
    <t xml:space="preserve">INCHELIUM           </t>
  </si>
  <si>
    <t xml:space="preserve">INDEX               </t>
  </si>
  <si>
    <t xml:space="preserve">ISSAQUAH            </t>
  </si>
  <si>
    <t xml:space="preserve">KAHLOTUS            </t>
  </si>
  <si>
    <t xml:space="preserve">KALAMA              </t>
  </si>
  <si>
    <t xml:space="preserve">KELLER              </t>
  </si>
  <si>
    <t xml:space="preserve">KELSO               </t>
  </si>
  <si>
    <t xml:space="preserve">KENNEWICK           </t>
  </si>
  <si>
    <t xml:space="preserve">KENT                </t>
  </si>
  <si>
    <t xml:space="preserve">KETTLE FALLS        </t>
  </si>
  <si>
    <t>KIONA-BENTON</t>
  </si>
  <si>
    <t xml:space="preserve">KITTITAS            </t>
  </si>
  <si>
    <t>LA CENTER</t>
  </si>
  <si>
    <t xml:space="preserve">LA CONNER           </t>
  </si>
  <si>
    <t xml:space="preserve">LAKE CHELAN         </t>
  </si>
  <si>
    <t xml:space="preserve">LAKE STEVENS        </t>
  </si>
  <si>
    <t xml:space="preserve">LAKE WASHINGTON     </t>
  </si>
  <si>
    <t xml:space="preserve">LAKEWOOD            </t>
  </si>
  <si>
    <t xml:space="preserve">LAMONT              </t>
  </si>
  <si>
    <t xml:space="preserve">LIBERTY             </t>
  </si>
  <si>
    <t xml:space="preserve">LIND                </t>
  </si>
  <si>
    <t xml:space="preserve">LONGVIEW            </t>
  </si>
  <si>
    <t xml:space="preserve">LOON LAKE           </t>
  </si>
  <si>
    <t>LOPEZ ISLAND</t>
  </si>
  <si>
    <t>LUMENS HIGH SCHOOL</t>
  </si>
  <si>
    <t>LUMENS HIGH SCHOOL CHARTER</t>
  </si>
  <si>
    <t>LUMMI TRIBAL AGENCY</t>
  </si>
  <si>
    <t xml:space="preserve">LYLE                </t>
  </si>
  <si>
    <t xml:space="preserve">LYNDEN              </t>
  </si>
  <si>
    <t xml:space="preserve">MABTON              </t>
  </si>
  <si>
    <t xml:space="preserve">MANSFIELD           </t>
  </si>
  <si>
    <t xml:space="preserve">MANSON              </t>
  </si>
  <si>
    <t xml:space="preserve">MARY M KNIGHT       </t>
  </si>
  <si>
    <t>MARY M. KNIGHT</t>
  </si>
  <si>
    <t xml:space="preserve">MARY WALKER         </t>
  </si>
  <si>
    <t xml:space="preserve">MARYSVILLE          </t>
  </si>
  <si>
    <t>MCCLEARY</t>
  </si>
  <si>
    <t xml:space="preserve">MEAD                </t>
  </si>
  <si>
    <t xml:space="preserve">MEDICAL LAKE        </t>
  </si>
  <si>
    <t xml:space="preserve">MERCER ISLAND       </t>
  </si>
  <si>
    <t xml:space="preserve">MERIDIAN            </t>
  </si>
  <si>
    <t xml:space="preserve">METHOW VALLEY       </t>
  </si>
  <si>
    <t xml:space="preserve">MILL A              </t>
  </si>
  <si>
    <t xml:space="preserve">MONROE              </t>
  </si>
  <si>
    <t xml:space="preserve">MONTESANO           </t>
  </si>
  <si>
    <t xml:space="preserve">MORTON              </t>
  </si>
  <si>
    <t xml:space="preserve">MOSES LAKE          </t>
  </si>
  <si>
    <t xml:space="preserve">MOSSYROCK           </t>
  </si>
  <si>
    <t xml:space="preserve">MOUNT ADAMS         </t>
  </si>
  <si>
    <t xml:space="preserve">MOUNT BAKER         </t>
  </si>
  <si>
    <t>MOUNT VERNON</t>
  </si>
  <si>
    <t xml:space="preserve">MUKILTEO            </t>
  </si>
  <si>
    <t xml:space="preserve">NACHES VALLEY       </t>
  </si>
  <si>
    <t xml:space="preserve">NAPAVINE            </t>
  </si>
  <si>
    <t>NASELLE-GRAYS RIVER</t>
  </si>
  <si>
    <t xml:space="preserve">NESPELEM            </t>
  </si>
  <si>
    <t xml:space="preserve">NEWPORT             </t>
  </si>
  <si>
    <t xml:space="preserve">NINE MILE FALLS     </t>
  </si>
  <si>
    <t xml:space="preserve">NOOKSACK VALLEY     </t>
  </si>
  <si>
    <t xml:space="preserve">NORTH BEACH         </t>
  </si>
  <si>
    <t xml:space="preserve">NORTH FRANKLIN      </t>
  </si>
  <si>
    <t xml:space="preserve">NORTH KITSAP        </t>
  </si>
  <si>
    <t xml:space="preserve">NORTH MASON         </t>
  </si>
  <si>
    <t xml:space="preserve">NORTH RIVER         </t>
  </si>
  <si>
    <t xml:space="preserve">NORTH THURSTON      </t>
  </si>
  <si>
    <t xml:space="preserve">NORTHPORT           </t>
  </si>
  <si>
    <t xml:space="preserve">NORTHSHORE          </t>
  </si>
  <si>
    <t xml:space="preserve">OAK HARBOR          </t>
  </si>
  <si>
    <t xml:space="preserve">OAKVILLE            </t>
  </si>
  <si>
    <t xml:space="preserve">OCEAN BEACH         </t>
  </si>
  <si>
    <t xml:space="preserve">OCOSTA              </t>
  </si>
  <si>
    <t xml:space="preserve">ODESSA              </t>
  </si>
  <si>
    <t xml:space="preserve">OKANOGAN            </t>
  </si>
  <si>
    <t xml:space="preserve">OLYMPIA             </t>
  </si>
  <si>
    <t xml:space="preserve">OMAK                </t>
  </si>
  <si>
    <t xml:space="preserve">ONALASKA            </t>
  </si>
  <si>
    <t xml:space="preserve">ONION CREEK         </t>
  </si>
  <si>
    <t>ORCAS ISLAND</t>
  </si>
  <si>
    <t xml:space="preserve">ORIENT              </t>
  </si>
  <si>
    <t xml:space="preserve">ORONDO              </t>
  </si>
  <si>
    <t xml:space="preserve">OROVILLE            </t>
  </si>
  <si>
    <t xml:space="preserve">ORTING              </t>
  </si>
  <si>
    <t xml:space="preserve">OTHELLO             </t>
  </si>
  <si>
    <t xml:space="preserve">PALISADES           </t>
  </si>
  <si>
    <t xml:space="preserve">PASCO               </t>
  </si>
  <si>
    <t xml:space="preserve">PATEROS             </t>
  </si>
  <si>
    <t xml:space="preserve">PATERSON            </t>
  </si>
  <si>
    <t xml:space="preserve">PE ELL              </t>
  </si>
  <si>
    <t xml:space="preserve">PENINSULA           </t>
  </si>
  <si>
    <t>PINNACHLE PREP CHARTER</t>
  </si>
  <si>
    <t>PINNACLES PREP CHARTER</t>
  </si>
  <si>
    <t xml:space="preserve">PIONEER             </t>
  </si>
  <si>
    <t xml:space="preserve">POMEROY             </t>
  </si>
  <si>
    <t xml:space="preserve">PORT ANGELES        </t>
  </si>
  <si>
    <t xml:space="preserve">PORT TOWNSEND       </t>
  </si>
  <si>
    <t xml:space="preserve">PRESCOTT            </t>
  </si>
  <si>
    <t xml:space="preserve">PROSSER             </t>
  </si>
  <si>
    <t xml:space="preserve">PULLMAN             </t>
  </si>
  <si>
    <t>PULLMAN MONT CHARTER</t>
  </si>
  <si>
    <t>PULLMAN COMM MONTESOURI CHARTER</t>
  </si>
  <si>
    <t xml:space="preserve">PUYALLUP            </t>
  </si>
  <si>
    <t xml:space="preserve">QUILCENE            </t>
  </si>
  <si>
    <t>QUILEUTE TRIBAL SCHOOL</t>
  </si>
  <si>
    <t xml:space="preserve">QUILLAYUTE VALLEY   </t>
  </si>
  <si>
    <t xml:space="preserve">QUINAULT            </t>
  </si>
  <si>
    <t xml:space="preserve">QUINCY              </t>
  </si>
  <si>
    <t xml:space="preserve">RAINIER             </t>
  </si>
  <si>
    <t>RAINIER PREP CHARTER</t>
  </si>
  <si>
    <t>RVLA CHARTER</t>
  </si>
  <si>
    <t xml:space="preserve">RAYMOND             </t>
  </si>
  <si>
    <t>REARDAN-EDWALL</t>
  </si>
  <si>
    <t xml:space="preserve">RENTON              </t>
  </si>
  <si>
    <t xml:space="preserve">REPUBLIC            </t>
  </si>
  <si>
    <t xml:space="preserve">RICHLAND            </t>
  </si>
  <si>
    <t xml:space="preserve">RIDGEFIELD          </t>
  </si>
  <si>
    <t xml:space="preserve">RITZVILLE           </t>
  </si>
  <si>
    <t xml:space="preserve">RIVERSIDE           </t>
  </si>
  <si>
    <t xml:space="preserve">RIVERVIEW           </t>
  </si>
  <si>
    <t xml:space="preserve">ROCHESTER           </t>
  </si>
  <si>
    <t xml:space="preserve">ROSALIA             </t>
  </si>
  <si>
    <t xml:space="preserve">ROYAL               </t>
  </si>
  <si>
    <t xml:space="preserve">SAN JUAN ISLAND       </t>
  </si>
  <si>
    <t xml:space="preserve">SATSOP              </t>
  </si>
  <si>
    <t xml:space="preserve">SEATTLE             </t>
  </si>
  <si>
    <t xml:space="preserve">SEDRO WOOLLEY       </t>
  </si>
  <si>
    <t xml:space="preserve">SELAH               </t>
  </si>
  <si>
    <t xml:space="preserve">SELKIRK             </t>
  </si>
  <si>
    <t xml:space="preserve">SEQUIM              </t>
  </si>
  <si>
    <t xml:space="preserve">SHELTON             </t>
  </si>
  <si>
    <t xml:space="preserve">SHORELINE           </t>
  </si>
  <si>
    <t xml:space="preserve">SKAMANIA            </t>
  </si>
  <si>
    <t xml:space="preserve">SKYKOMISH           </t>
  </si>
  <si>
    <t xml:space="preserve">SNOHOMISH           </t>
  </si>
  <si>
    <t xml:space="preserve">SNOQUALMIE VALLEY   </t>
  </si>
  <si>
    <t xml:space="preserve">SOAP LAKE           </t>
  </si>
  <si>
    <t xml:space="preserve">SOUTH BEND          </t>
  </si>
  <si>
    <t xml:space="preserve">SOUTH KITSAP        </t>
  </si>
  <si>
    <t xml:space="preserve">SOUTH WHIDBEY       </t>
  </si>
  <si>
    <t xml:space="preserve">SOUTHSIDE           </t>
  </si>
  <si>
    <t xml:space="preserve">SPOKANE             </t>
  </si>
  <si>
    <t>SPOKANE INTL ACADEMY</t>
  </si>
  <si>
    <t>SPOKANE INTL ACADEMY CHARTER</t>
  </si>
  <si>
    <t xml:space="preserve">SPRAGUE             </t>
  </si>
  <si>
    <t xml:space="preserve">ST JOHN             </t>
  </si>
  <si>
    <t>ST. JOHN</t>
  </si>
  <si>
    <t>STANWOOD-CAMANO</t>
  </si>
  <si>
    <t xml:space="preserve">STEILACOOM HIST.    </t>
  </si>
  <si>
    <t xml:space="preserve">SULTAN              </t>
  </si>
  <si>
    <t>SUMMIT:ATLAS</t>
  </si>
  <si>
    <t xml:space="preserve">SUMMIT VALLEY       </t>
  </si>
  <si>
    <t xml:space="preserve">SUMNER              </t>
  </si>
  <si>
    <t xml:space="preserve">SUNNYSIDE           </t>
  </si>
  <si>
    <t xml:space="preserve">TACOMA              </t>
  </si>
  <si>
    <t xml:space="preserve">TAHOLAH             </t>
  </si>
  <si>
    <t xml:space="preserve">TAHOMA              </t>
  </si>
  <si>
    <t xml:space="preserve">TEKOA               </t>
  </si>
  <si>
    <t xml:space="preserve">TENINO              </t>
  </si>
  <si>
    <t xml:space="preserve">THORP               </t>
  </si>
  <si>
    <t xml:space="preserve">TOLEDO              </t>
  </si>
  <si>
    <t xml:space="preserve">TONASKET            </t>
  </si>
  <si>
    <t xml:space="preserve">TOPPENISH           </t>
  </si>
  <si>
    <t xml:space="preserve">TOUCHET             </t>
  </si>
  <si>
    <t xml:space="preserve">TOUTLE LAKE         </t>
  </si>
  <si>
    <t xml:space="preserve">TUKWILA             </t>
  </si>
  <si>
    <t xml:space="preserve">TUMWATER            </t>
  </si>
  <si>
    <t xml:space="preserve">UNION GAP           </t>
  </si>
  <si>
    <t xml:space="preserve">UNIVERSITY PLACE    </t>
  </si>
  <si>
    <t xml:space="preserve">VALLEY              </t>
  </si>
  <si>
    <t xml:space="preserve">VANCOUVER           </t>
  </si>
  <si>
    <t xml:space="preserve">VASHON ISLAND       </t>
  </si>
  <si>
    <t xml:space="preserve">WAHKIAKUM           </t>
  </si>
  <si>
    <t xml:space="preserve">WAHLUKE             </t>
  </si>
  <si>
    <t xml:space="preserve">WAITSBURG           </t>
  </si>
  <si>
    <t xml:space="preserve">WALLA WALLA         </t>
  </si>
  <si>
    <t xml:space="preserve">WAPATO              </t>
  </si>
  <si>
    <t xml:space="preserve">WARDEN              </t>
  </si>
  <si>
    <t xml:space="preserve">WASHOUGAL           </t>
  </si>
  <si>
    <t xml:space="preserve">WASHTUCNA           </t>
  </si>
  <si>
    <t xml:space="preserve">WATERVILLE          </t>
  </si>
  <si>
    <t xml:space="preserve">WELLPINIT           </t>
  </si>
  <si>
    <t xml:space="preserve">WENATCHEE           </t>
  </si>
  <si>
    <t>WEST VALLEY - SPOKANE</t>
  </si>
  <si>
    <t>WEST VALLEY (Spokane)</t>
  </si>
  <si>
    <t xml:space="preserve">WEST VALLEY - YAKIMA    </t>
  </si>
  <si>
    <t>WEST VALLEY (Yakima)</t>
  </si>
  <si>
    <t xml:space="preserve">WHITE PASS          </t>
  </si>
  <si>
    <t xml:space="preserve">WHITE RIVER         </t>
  </si>
  <si>
    <t xml:space="preserve">WHITE SALMON        </t>
  </si>
  <si>
    <t>WY NOT YOU ACADEMY CHARTER</t>
  </si>
  <si>
    <t xml:space="preserve">WILBUR              </t>
  </si>
  <si>
    <t xml:space="preserve">WILLAPA VALLEY      </t>
  </si>
  <si>
    <t xml:space="preserve">WILSON CREEK        </t>
  </si>
  <si>
    <t xml:space="preserve">WINLOCK             </t>
  </si>
  <si>
    <t xml:space="preserve">WISHKAH VALLEY      </t>
  </si>
  <si>
    <t xml:space="preserve">WISHRAM             </t>
  </si>
  <si>
    <t xml:space="preserve">WOODLAND            </t>
  </si>
  <si>
    <t xml:space="preserve">YAKIMA              </t>
  </si>
  <si>
    <t xml:space="preserve">YELM                </t>
  </si>
  <si>
    <t>YELM COMMUNITY SCHS.</t>
  </si>
  <si>
    <t xml:space="preserve">ZILLAH              </t>
  </si>
  <si>
    <t>GL 830 Restricted for Debt Service</t>
  </si>
  <si>
    <t>General Fund, Capital Projects Fund, Transportation Vehicle Fund</t>
  </si>
  <si>
    <t>Enter amount or other details as needed</t>
  </si>
  <si>
    <t>GL 835 Restricted for Arbitrage Rebate</t>
  </si>
  <si>
    <t>General Fund, CPF, TVF, DSF</t>
  </si>
  <si>
    <t>Enter the amount of arbitrage rebate calculated.</t>
  </si>
  <si>
    <t>GL 840 - Nonspendable Fund Balance--Inventory and Prepaid Items</t>
  </si>
  <si>
    <t>General Fund, ASB Fund</t>
  </si>
  <si>
    <t>Amount in GL 410 Inventory--Supplies and Materials</t>
  </si>
  <si>
    <t>Amount in GL 420 Inventory--Lunchrooms</t>
  </si>
  <si>
    <t>Amount in GL 430 Prepaid Items</t>
  </si>
  <si>
    <t>Total to Report in GL 840</t>
  </si>
  <si>
    <t>ASB Fund</t>
  </si>
  <si>
    <t>Total to Report in GL 840, Fund 4</t>
  </si>
  <si>
    <t>GL 845 Restricted for Self-Insurance</t>
  </si>
  <si>
    <t>(Description of amount)</t>
  </si>
  <si>
    <t>GL 850 Restricted for Uninsured Risks</t>
  </si>
  <si>
    <t>General Fund, ASB Fund, Capital Projects Fund, Transportation Vehicle Fund</t>
  </si>
  <si>
    <t>(Description of restriction)</t>
  </si>
  <si>
    <t>GL 855 - Nonspendable Fund Balance - Trust Principal</t>
  </si>
  <si>
    <t>Additions to Principal Balance</t>
  </si>
  <si>
    <t>GL 861 Restricted from Bond Proceeds</t>
  </si>
  <si>
    <t>Additions</t>
  </si>
  <si>
    <t>Bonds Sold</t>
  </si>
  <si>
    <t>Interest Earned from Bonds</t>
  </si>
  <si>
    <t>Total Additions</t>
  </si>
  <si>
    <t>Expenditures (Source/Use Code 1)</t>
  </si>
  <si>
    <t>GL 862 Committed from Levy Proceeds</t>
  </si>
  <si>
    <t>Levy Revenue Collected</t>
  </si>
  <si>
    <t>Interest Earned from Levy Proceeds</t>
  </si>
  <si>
    <t>Expenditures (Source/Use Code 2)</t>
  </si>
  <si>
    <t>GL 863 Restricted from State Proceeds</t>
  </si>
  <si>
    <t>State Proceeds Received</t>
  </si>
  <si>
    <t>Interest Earned from State Proceeds</t>
  </si>
  <si>
    <t>Expenditures (Source/Use Code 3)</t>
  </si>
  <si>
    <t>GL 864 Restricted from Federal Proceeds</t>
  </si>
  <si>
    <t>Federal Proceeds Received</t>
  </si>
  <si>
    <t>Interest Earned from Federal Proceeds</t>
  </si>
  <si>
    <t>Expenditures (Source/Use Code 4)</t>
  </si>
  <si>
    <t>GL 865 Restricted from Other Proceeds</t>
  </si>
  <si>
    <t>Other Financing Sources</t>
  </si>
  <si>
    <t>Interest Earned from O.F.S.</t>
  </si>
  <si>
    <t>Expenditures (Source/Use Code 5)</t>
  </si>
  <si>
    <t>GL 866 Restricted from Impact Fee Proceeds</t>
  </si>
  <si>
    <t>Impact Fees Collected</t>
  </si>
  <si>
    <t>Interest Earned from Impact Fees</t>
  </si>
  <si>
    <t>Expenditures (Source/Use Code 6)</t>
  </si>
  <si>
    <t>GL 867 Restricted from Mitigation Fee Proceeds</t>
  </si>
  <si>
    <t>Mitigation Fees Collected</t>
  </si>
  <si>
    <t>Interest Earned from Mitigation Fees</t>
  </si>
  <si>
    <t>Expenditures (Source/Use Code 7)</t>
  </si>
  <si>
    <t>GL 869 Restricted from Undistributed Proceeds</t>
  </si>
  <si>
    <t>Undistributed/Other Revenues</t>
  </si>
  <si>
    <t>Interest Earned</t>
  </si>
  <si>
    <t>Expenditures (Source/Use Code 9)</t>
  </si>
  <si>
    <t>GL 870 Committed to Other Purposes</t>
  </si>
  <si>
    <t>GF, CPF, DSF, ASB, PF, TVF</t>
  </si>
  <si>
    <t>Capital Projects</t>
  </si>
  <si>
    <t>Debt Service</t>
  </si>
  <si>
    <t>Transportation Vehicle</t>
  </si>
  <si>
    <t>(Briefly describe the Commitment)</t>
  </si>
  <si>
    <t xml:space="preserve">GL 872 Committed to Economic Stabilization </t>
  </si>
  <si>
    <t>Total Amount reported in GL 872</t>
  </si>
  <si>
    <t>GL 873 Committed to Depreciation Sub-Fund Facility Maintenance</t>
  </si>
  <si>
    <t>Only for use by Second Class Districts with fewer than 2000 students</t>
  </si>
  <si>
    <t>Total Amount reported in GL 873</t>
  </si>
  <si>
    <t>GL 875 Assigned to Contingencies</t>
  </si>
  <si>
    <t>(Brief description of Contingency)</t>
  </si>
  <si>
    <t>GL 884 Assigned to Other Capital Projects</t>
  </si>
  <si>
    <t>(Enter a brief description of project)</t>
  </si>
  <si>
    <t>GL 888 Assigned to Other Purposes</t>
  </si>
  <si>
    <t>(Enter brief description of assignment's purposes)</t>
  </si>
  <si>
    <t>GL 891 Unassigned to Minimum Fund Balance Policy</t>
  </si>
  <si>
    <t>Due to the number of different options, we present some of the more common choices for fund balance policies.</t>
  </si>
  <si>
    <t>Policy based on percentage range of expenditures</t>
  </si>
  <si>
    <t>Total Fund Expenditures</t>
  </si>
  <si>
    <t>Minimum Fund Balance Policy Percent</t>
  </si>
  <si>
    <t>Minimum Fund Balance Policy Amount</t>
  </si>
  <si>
    <t>Maximum Fund Balance Policy Percent</t>
  </si>
  <si>
    <t>Maximum Fund Balance Policy Amount</t>
  </si>
  <si>
    <t>Amount dedicated to Minimum Fund Balance Policy</t>
  </si>
  <si>
    <t>Percentage dedicated to Minimum Fund Balance Policy</t>
  </si>
  <si>
    <t>Policy based on single percentage of expenditures</t>
  </si>
  <si>
    <t>Fund Balance Policy Percent</t>
  </si>
  <si>
    <t>Fund Balance Policy Amount</t>
  </si>
  <si>
    <t>Policy based on set amount</t>
  </si>
  <si>
    <t>Amount Reported in GL 891</t>
  </si>
  <si>
    <t>(Click here to go back to the GL 821 page.)</t>
  </si>
  <si>
    <t>JOURNAL ENTRIES: Recovery</t>
  </si>
  <si>
    <t>If an accrual-basis district has recovery of state revenues, they record a liability to the state.</t>
  </si>
  <si>
    <t>The offset is revenues (received but not "earned").</t>
  </si>
  <si>
    <t>DR GL 960 Revenues (w/ appropriate sub-coding)</t>
  </si>
  <si>
    <t>XXX</t>
  </si>
  <si>
    <t>CR GL 630 Due to Other Governmental Units</t>
  </si>
  <si>
    <t>In the following year, the revenues will be reduced from the amount paid through Apportionment.</t>
  </si>
  <si>
    <t>The amount "earned" for that year is still the same, but some of it was paid in the prior year.</t>
  </si>
  <si>
    <t>DR GL 240 Cash on Deposit with County Treasurer</t>
  </si>
  <si>
    <t>XX</t>
  </si>
  <si>
    <t>DR GL 630 Due to Other Governmental Units</t>
  </si>
  <si>
    <t>(same amount from prior year)</t>
  </si>
  <si>
    <t>CR GL 960 Revenues (w/ appropriate sub-coding)</t>
  </si>
  <si>
    <t>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</si>
</sst>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4" formatCode="_(&quot;$&quot;* #,##0.00_);_(&quot;$&quot;* \(#,##0.00\);_(&quot;$&quot;* &quot;-&quot;??_);_(@_)"/>
    <numFmt numFmtId="43" formatCode="_(* #,##0.00_);_(* \(#,##0.00\);_(* &quot;-&quot;??_);_(@_)"/>
    <numFmt numFmtId="164" formatCode="_(&quot;$&quot;* #,##0.00_);[Red]_(&quot;$&quot;* \(#,##0.00\);_(&quot;$&quot;* &quot;-&quot;??_);_(@_)"/>
    <numFmt numFmtId="165" formatCode="_(* #,##0.00_);_(* \(#,##0.00\);_(* &quot;-&quot;_);_(@_)"/>
    <numFmt numFmtId="166" formatCode="_(&quot;$&quot;* #,##0_);_(&quot;$&quot;* \(#,##0\);_(&quot;$&quot;* &quot;-&quot;??_);_(@_)"/>
    <numFmt numFmtId="167" formatCode="_(* #,##0_);_(* \(#,##0\);_(* &quot;-&quot;??_);_(@_)"/>
    <numFmt numFmtId="168" formatCode="_(* #,##0.0000_);_(* \(#,##0.0000\);_(* &quot;-&quot;_);_(@_)"/>
    <numFmt numFmtId="169" formatCode="00000"/>
    <numFmt numFmtId="170" formatCode="0.0%"/>
    <numFmt numFmtId="171" formatCode="_(* #,##0.0000_);_(* \(#,##0.0000\);_(* &quot;-&quot;??_);_(@_)"/>
  </numFmts>
  <fonts count="111">
    <font>
      <sz val="11"/>
      <color theme="1"/>
      <name val="Calibri"/>
      <family val="2"/>
      <scheme val="minor"/>
    </font>
    <font>
      <b/>
      <sz val="11"/>
      <color theme="1"/>
      <name val="Calibri"/>
      <family val="2"/>
      <scheme val="minor"/>
    </font>
    <font>
      <sz val="11"/>
      <color theme="1"/>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sz val="11"/>
      <name val="Calibri"/>
      <family val="2"/>
      <scheme val="minor"/>
    </font>
    <font>
      <u/>
      <sz val="11"/>
      <color theme="10"/>
      <name val="Calibri"/>
      <family val="2"/>
    </font>
    <font>
      <u val="doubleAccounting"/>
      <sz val="11"/>
      <color theme="1"/>
      <name val="Calibri"/>
      <family val="2"/>
      <scheme val="minor"/>
    </font>
    <font>
      <b/>
      <u val="doubleAccounting"/>
      <sz val="11"/>
      <color theme="1"/>
      <name val="Calibri"/>
      <family val="2"/>
      <scheme val="minor"/>
    </font>
    <font>
      <b/>
      <i/>
      <sz val="11"/>
      <color theme="1"/>
      <name val="Calibri"/>
      <family val="2"/>
      <scheme val="minor"/>
    </font>
    <font>
      <i/>
      <sz val="11"/>
      <color theme="1"/>
      <name val="Calibri"/>
      <family val="2"/>
      <scheme val="minor"/>
    </font>
    <font>
      <sz val="10"/>
      <color theme="1"/>
      <name val="Calibri"/>
      <family val="2"/>
      <scheme val="minor"/>
    </font>
    <font>
      <b/>
      <sz val="11"/>
      <name val="Calibri"/>
      <family val="2"/>
      <scheme val="minor"/>
    </font>
    <font>
      <b/>
      <sz val="9"/>
      <name val="Arial"/>
      <family val="2"/>
    </font>
    <font>
      <sz val="9"/>
      <name val="Arial"/>
      <family val="2"/>
    </font>
    <font>
      <sz val="10"/>
      <color indexed="8"/>
      <name val="Arial"/>
      <family val="2"/>
    </font>
    <font>
      <sz val="11"/>
      <color indexed="8"/>
      <name val="Calibri"/>
      <family val="2"/>
    </font>
    <font>
      <sz val="10"/>
      <name val="Arial"/>
      <family val="2"/>
    </font>
    <font>
      <u val="singleAccounting"/>
      <sz val="11"/>
      <color theme="1"/>
      <name val="Calibri"/>
      <family val="2"/>
      <scheme val="minor"/>
    </font>
    <font>
      <u val="doubleAccounting"/>
      <sz val="11"/>
      <name val="Calibri"/>
      <family val="2"/>
      <scheme val="minor"/>
    </font>
    <font>
      <b/>
      <u/>
      <sz val="11"/>
      <color theme="1"/>
      <name val="Calibri"/>
      <family val="2"/>
      <scheme val="minor"/>
    </font>
    <font>
      <b/>
      <i/>
      <u val="doubleAccounting"/>
      <sz val="11"/>
      <color theme="0"/>
      <name val="Calibri"/>
      <family val="2"/>
      <scheme val="minor"/>
    </font>
    <font>
      <sz val="9"/>
      <color indexed="81"/>
      <name val="Tahoma"/>
      <family val="2"/>
    </font>
    <font>
      <b/>
      <sz val="9"/>
      <color indexed="81"/>
      <name val="Tahoma"/>
      <family val="2"/>
    </font>
    <font>
      <b/>
      <sz val="10"/>
      <color theme="3" tint="-0.249977111117893"/>
      <name val="Calibri"/>
      <family val="2"/>
      <scheme val="minor"/>
    </font>
    <font>
      <sz val="10"/>
      <name val="Calibri"/>
      <family val="2"/>
      <scheme val="minor"/>
    </font>
    <font>
      <sz val="10"/>
      <color indexed="8"/>
      <name val="MS Sans Serif"/>
      <family val="2"/>
    </font>
    <font>
      <sz val="10"/>
      <name val="Geneva"/>
      <family val="2"/>
    </font>
    <font>
      <b/>
      <u val="singleAccounting"/>
      <sz val="11"/>
      <color theme="1"/>
      <name val="Calibri"/>
      <family val="2"/>
      <scheme val="minor"/>
    </font>
    <font>
      <b/>
      <sz val="11"/>
      <color rgb="FFFF0000"/>
      <name val="Calibri"/>
      <family val="2"/>
      <scheme val="minor"/>
    </font>
    <font>
      <u val="singleAccounting"/>
      <sz val="11"/>
      <name val="Calibri"/>
      <family val="2"/>
      <scheme val="minor"/>
    </font>
    <font>
      <b/>
      <sz val="14"/>
      <color theme="1"/>
      <name val="Copperplate Gothic Bold"/>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Geneva"/>
    </font>
    <font>
      <sz val="10"/>
      <name val="MS Sans Serif"/>
      <family val="2"/>
    </font>
    <font>
      <u/>
      <sz val="10"/>
      <color indexed="12"/>
      <name val="Arial"/>
      <family val="2"/>
    </font>
    <font>
      <sz val="10"/>
      <name val="Arial"/>
      <family val="2"/>
    </font>
    <font>
      <sz val="11"/>
      <color theme="1"/>
      <name val="Calibri"/>
      <family val="2"/>
    </font>
    <font>
      <b/>
      <sz val="12"/>
      <color theme="1"/>
      <name val="Calibri"/>
      <family val="2"/>
      <scheme val="minor"/>
    </font>
    <font>
      <b/>
      <sz val="16"/>
      <color theme="1"/>
      <name val="Calibri"/>
      <family val="2"/>
      <scheme val="minor"/>
    </font>
    <font>
      <b/>
      <sz val="12"/>
      <color theme="3" tint="-0.249977111117893"/>
      <name val="Calibri"/>
      <family val="2"/>
      <scheme val="minor"/>
    </font>
    <font>
      <b/>
      <sz val="11"/>
      <color indexed="8"/>
      <name val="Calibri"/>
      <family val="2"/>
    </font>
    <font>
      <b/>
      <sz val="11"/>
      <name val="Calibri"/>
      <family val="2"/>
    </font>
    <font>
      <sz val="12"/>
      <color theme="1"/>
      <name val="Calibri"/>
      <family val="2"/>
      <scheme val="minor"/>
    </font>
    <font>
      <u/>
      <sz val="12"/>
      <color theme="10"/>
      <name val="Calibri"/>
      <family val="2"/>
      <scheme val="minor"/>
    </font>
    <font>
      <sz val="12"/>
      <color rgb="FFFF0000"/>
      <name val="Calibri"/>
      <family val="2"/>
      <scheme val="minor"/>
    </font>
    <font>
      <sz val="12"/>
      <name val="Calibri"/>
      <family val="2"/>
      <scheme val="minor"/>
    </font>
    <font>
      <u/>
      <sz val="12"/>
      <color rgb="FF0000FF"/>
      <name val="Calibri"/>
      <family val="2"/>
      <scheme val="minor"/>
    </font>
    <font>
      <sz val="12"/>
      <color rgb="FF3639B8"/>
      <name val="Calibri"/>
      <family val="2"/>
      <scheme val="minor"/>
    </font>
    <font>
      <b/>
      <i/>
      <sz val="11"/>
      <color rgb="FF000000"/>
      <name val="Calibri"/>
      <family val="2"/>
      <scheme val="minor"/>
    </font>
    <font>
      <sz val="11"/>
      <color rgb="FF000000"/>
      <name val="Calibri"/>
      <family val="2"/>
      <scheme val="minor"/>
    </font>
    <font>
      <i/>
      <sz val="11"/>
      <color rgb="FF000000"/>
      <name val="Calibri"/>
      <family val="2"/>
      <scheme val="minor"/>
    </font>
    <font>
      <u/>
      <sz val="12"/>
      <color theme="1"/>
      <name val="Calibri"/>
      <family val="2"/>
      <scheme val="minor"/>
    </font>
    <font>
      <b/>
      <u/>
      <sz val="12"/>
      <color theme="1"/>
      <name val="Calibri"/>
      <family val="2"/>
      <scheme val="minor"/>
    </font>
    <font>
      <u/>
      <sz val="11"/>
      <color rgb="FF0000FF"/>
      <name val="Calibri"/>
      <family val="2"/>
    </font>
    <font>
      <b/>
      <sz val="12"/>
      <color rgb="FF0000FF"/>
      <name val="Calibri"/>
      <family val="2"/>
      <scheme val="minor"/>
    </font>
    <font>
      <sz val="12"/>
      <color rgb="FF0000FF"/>
      <name val="Calibri"/>
      <family val="2"/>
      <scheme val="minor"/>
    </font>
    <font>
      <b/>
      <u/>
      <sz val="12"/>
      <color rgb="FF0000FF"/>
      <name val="Calibri"/>
      <family val="2"/>
      <scheme val="minor"/>
    </font>
    <font>
      <sz val="11"/>
      <color indexed="8"/>
      <name val="Calibri"/>
      <family val="2"/>
      <scheme val="minor"/>
    </font>
    <font>
      <sz val="10"/>
      <color rgb="FF000000"/>
      <name val="Calibri"/>
      <family val="2"/>
      <scheme val="minor"/>
    </font>
    <font>
      <u/>
      <sz val="10"/>
      <color rgb="FF000000"/>
      <name val="Calibri"/>
      <family val="2"/>
      <scheme val="minor"/>
    </font>
    <font>
      <sz val="10"/>
      <name val="Arial MT"/>
    </font>
    <font>
      <sz val="11"/>
      <color theme="1"/>
      <name val="Wingdings"/>
      <charset val="2"/>
    </font>
    <font>
      <i/>
      <strike/>
      <sz val="11"/>
      <color theme="1"/>
      <name val="Calibri"/>
      <family val="2"/>
      <scheme val="minor"/>
    </font>
    <font>
      <sz val="14"/>
      <color theme="1"/>
      <name val="Segoe UI"/>
      <family val="2"/>
    </font>
    <font>
      <b/>
      <u/>
      <sz val="14"/>
      <color theme="1"/>
      <name val="Segoe UI"/>
      <family val="2"/>
    </font>
    <font>
      <b/>
      <sz val="14"/>
      <color theme="1"/>
      <name val="Segoe UI"/>
      <family val="2"/>
    </font>
    <font>
      <b/>
      <sz val="14"/>
      <color rgb="FFC00000"/>
      <name val="Segoe UI"/>
      <family val="2"/>
    </font>
    <font>
      <b/>
      <sz val="8"/>
      <color theme="1"/>
      <name val="Calibri"/>
      <family val="2"/>
      <scheme val="minor"/>
    </font>
    <font>
      <b/>
      <sz val="14"/>
      <color theme="1"/>
      <name val="Calibri"/>
      <family val="2"/>
      <scheme val="minor"/>
    </font>
    <font>
      <b/>
      <i/>
      <sz val="14"/>
      <color theme="1"/>
      <name val="Calibri"/>
      <family val="2"/>
      <scheme val="minor"/>
    </font>
    <font>
      <b/>
      <u/>
      <sz val="14"/>
      <color theme="1"/>
      <name val="Calibri"/>
      <family val="2"/>
      <scheme val="minor"/>
    </font>
    <font>
      <b/>
      <sz val="12"/>
      <color theme="1"/>
      <name val="Segoe UI"/>
      <family val="2"/>
    </font>
    <font>
      <b/>
      <sz val="16"/>
      <color theme="1"/>
      <name val="Segoe UI"/>
      <family val="2"/>
    </font>
    <font>
      <b/>
      <sz val="11"/>
      <color rgb="FFC00000"/>
      <name val="Calibri"/>
      <family val="2"/>
      <scheme val="minor"/>
    </font>
    <font>
      <sz val="11"/>
      <color theme="8" tint="-0.249977111117893"/>
      <name val="Calibri"/>
      <family val="2"/>
      <scheme val="minor"/>
    </font>
    <font>
      <sz val="10"/>
      <name val="Arial"/>
      <family val="2"/>
    </font>
    <font>
      <b/>
      <sz val="10"/>
      <color theme="1"/>
      <name val="Calibri"/>
      <family val="2"/>
      <scheme val="minor"/>
    </font>
    <font>
      <b/>
      <sz val="14"/>
      <color rgb="FFC00000"/>
      <name val="Calibri"/>
      <family val="2"/>
      <scheme val="minor"/>
    </font>
    <font>
      <b/>
      <sz val="11"/>
      <color theme="1"/>
      <name val="Arial"/>
      <family val="2"/>
    </font>
    <font>
      <sz val="11"/>
      <color theme="1"/>
      <name val="Segoe UI"/>
      <family val="2"/>
    </font>
    <font>
      <b/>
      <sz val="12"/>
      <color rgb="FFC00000"/>
      <name val="Calibri"/>
      <family val="2"/>
      <scheme val="minor"/>
    </font>
    <font>
      <b/>
      <i/>
      <sz val="12"/>
      <color theme="1"/>
      <name val="Calibri"/>
      <family val="2"/>
      <scheme val="minor"/>
    </font>
    <font>
      <b/>
      <sz val="12"/>
      <name val="Calibri"/>
      <family val="2"/>
      <scheme val="minor"/>
    </font>
    <font>
      <b/>
      <u val="doubleAccounting"/>
      <sz val="12"/>
      <name val="Calibri"/>
      <family val="2"/>
      <scheme val="minor"/>
    </font>
    <font>
      <b/>
      <u val="doubleAccounting"/>
      <sz val="14"/>
      <name val="Calibri"/>
      <family val="2"/>
      <scheme val="minor"/>
    </font>
    <font>
      <b/>
      <u val="singleAccounting"/>
      <sz val="12"/>
      <name val="Calibri"/>
      <family val="2"/>
      <scheme val="minor"/>
    </font>
    <font>
      <i/>
      <sz val="10"/>
      <color theme="1"/>
      <name val="Calibri"/>
      <family val="2"/>
      <scheme val="minor"/>
    </font>
    <font>
      <i/>
      <sz val="11"/>
      <name val="Calibri"/>
      <family val="2"/>
      <scheme val="minor"/>
    </font>
    <font>
      <b/>
      <i/>
      <u val="doubleAccounting"/>
      <sz val="11"/>
      <name val="Calibri"/>
      <family val="2"/>
      <scheme val="minor"/>
    </font>
    <font>
      <i/>
      <sz val="10"/>
      <name val="Calibri"/>
      <family val="2"/>
      <scheme val="minor"/>
    </font>
    <font>
      <b/>
      <i/>
      <sz val="11"/>
      <name val="Calibri"/>
      <family val="2"/>
      <scheme val="minor"/>
    </font>
    <font>
      <b/>
      <i/>
      <sz val="9"/>
      <name val="Calibri"/>
      <family val="2"/>
      <scheme val="minor"/>
    </font>
    <font>
      <sz val="11"/>
      <name val="Calibri"/>
      <family val="2"/>
    </font>
    <font>
      <sz val="11"/>
      <color rgb="FF000000"/>
      <name val="Calibri"/>
      <family val="2"/>
    </font>
    <font>
      <sz val="8"/>
      <name val="Tms Rmn"/>
    </font>
    <font>
      <b/>
      <sz val="8"/>
      <name val="Arial"/>
      <family val="2"/>
    </font>
    <font>
      <sz val="8"/>
      <color theme="1"/>
      <name val="Calibri"/>
      <family val="2"/>
      <scheme val="minor"/>
    </font>
    <font>
      <sz val="8"/>
      <name val="Arial"/>
      <family val="2"/>
    </font>
  </fonts>
  <fills count="76">
    <fill>
      <patternFill patternType="none"/>
    </fill>
    <fill>
      <patternFill patternType="gray125"/>
    </fill>
    <fill>
      <patternFill patternType="solid">
        <fgColor rgb="FFF2F2F2"/>
      </patternFill>
    </fill>
    <fill>
      <patternFill patternType="solid">
        <fgColor theme="7" tint="0.59999389629810485"/>
        <bgColor indexed="65"/>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7030A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rgb="FF00206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DEAD"/>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C000"/>
        <bgColor indexed="64"/>
      </patternFill>
    </fill>
    <fill>
      <patternFill patternType="solid">
        <fgColor theme="4" tint="0.59999389629810485"/>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CCFFCC"/>
        <bgColor indexed="64"/>
      </patternFill>
    </fill>
    <fill>
      <patternFill patternType="solid">
        <fgColor rgb="FFFFCCFF"/>
        <bgColor indexed="64"/>
      </patternFill>
    </fill>
    <fill>
      <patternFill patternType="solid">
        <fgColor rgb="FFFFE1FF"/>
        <bgColor indexed="64"/>
      </patternFill>
    </fill>
    <fill>
      <patternFill patternType="solid">
        <fgColor rgb="FFFFFFCC"/>
        <bgColor indexed="64"/>
      </patternFill>
    </fill>
    <fill>
      <patternFill patternType="solid">
        <fgColor rgb="FFFD8BF5"/>
        <bgColor indexed="64"/>
      </patternFill>
    </fill>
    <fill>
      <patternFill patternType="solid">
        <fgColor theme="9" tint="0.59999389629810485"/>
        <bgColor indexed="64"/>
      </patternFill>
    </fill>
    <fill>
      <patternFill patternType="solid">
        <fgColor rgb="FFFD8BF5"/>
        <bgColor indexed="0"/>
      </patternFill>
    </fill>
    <fill>
      <patternFill patternType="solid">
        <fgColor theme="2" tint="-0.249977111117893"/>
        <bgColor indexed="64"/>
      </patternFill>
    </fill>
    <fill>
      <patternFill patternType="solid">
        <fgColor rgb="FFFFE1FF"/>
        <bgColor indexed="0"/>
      </patternFill>
    </fill>
    <fill>
      <patternFill patternType="solid">
        <fgColor theme="5" tint="0.59999389629810485"/>
        <bgColor indexed="64"/>
      </patternFill>
    </fill>
    <fill>
      <patternFill patternType="lightGray">
        <fgColor theme="2" tint="-9.9948118533890809E-2"/>
        <bgColor theme="2" tint="-9.9948118533890809E-2"/>
      </patternFill>
    </fill>
    <fill>
      <patternFill patternType="lightGray">
        <fgColor theme="2" tint="-9.9948118533890809E-2"/>
        <bgColor rgb="FFCCFFCC"/>
      </patternFill>
    </fill>
    <fill>
      <patternFill patternType="solid">
        <fgColor theme="6" tint="0.59999389629810485"/>
        <bgColor indexed="64"/>
      </patternFill>
    </fill>
    <fill>
      <patternFill patternType="solid">
        <fgColor rgb="FFFFFFFF"/>
        <bgColor rgb="FF000000"/>
      </patternFill>
    </fill>
    <fill>
      <patternFill patternType="solid">
        <fgColor rgb="FF99FFCC"/>
        <bgColor rgb="FF000000"/>
      </patternFill>
    </fill>
    <fill>
      <patternFill patternType="solid">
        <fgColor rgb="FFFF0000"/>
        <bgColor indexed="64"/>
      </patternFill>
    </fill>
    <fill>
      <patternFill patternType="solid">
        <fgColor rgb="FFE9F54D"/>
        <bgColor indexed="64"/>
      </patternFill>
    </fill>
    <fill>
      <patternFill patternType="gray0625">
        <fgColor theme="0" tint="-0.24994659260841701"/>
        <bgColor theme="0"/>
      </patternFill>
    </fill>
    <fill>
      <patternFill patternType="gray0625">
        <fgColor theme="0" tint="-0.24994659260841701"/>
        <bgColor rgb="FFCCFFCC"/>
      </patternFill>
    </fill>
    <fill>
      <patternFill patternType="solid">
        <fgColor theme="9" tint="0.79998168889431442"/>
        <bgColor indexed="64"/>
      </patternFill>
    </fill>
    <fill>
      <patternFill patternType="solid">
        <fgColor rgb="FFCCFF99"/>
        <bgColor indexed="64"/>
      </patternFill>
    </fill>
    <fill>
      <patternFill patternType="solid">
        <fgColor rgb="FFB8EEF6"/>
        <bgColor indexed="64"/>
      </patternFill>
    </fill>
  </fills>
  <borders count="58">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top/>
      <bottom/>
      <diagonal/>
    </border>
    <border>
      <left/>
      <right style="thin">
        <color rgb="FFB2B2B2"/>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2"/>
      </left>
      <right/>
      <top/>
      <bottom/>
      <diagonal/>
    </border>
    <border>
      <left style="thin">
        <color indexed="8"/>
      </left>
      <right/>
      <top/>
      <bottom/>
      <diagonal/>
    </border>
    <border>
      <left style="medium">
        <color indexed="64"/>
      </left>
      <right/>
      <top style="medium">
        <color indexed="64"/>
      </top>
      <bottom style="thin">
        <color theme="4" tint="0.39997558519241921"/>
      </bottom>
      <diagonal/>
    </border>
    <border>
      <left/>
      <right/>
      <top style="medium">
        <color indexed="64"/>
      </top>
      <bottom style="thin">
        <color theme="4" tint="0.39997558519241921"/>
      </bottom>
      <diagonal/>
    </border>
    <border>
      <left/>
      <right style="medium">
        <color indexed="64"/>
      </right>
      <top style="medium">
        <color indexed="64"/>
      </top>
      <bottom style="thin">
        <color theme="4" tint="0.3999755851924192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style="medium">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s>
  <cellStyleXfs count="5342">
    <xf numFmtId="0" fontId="0" fillId="0" borderId="0"/>
    <xf numFmtId="44" fontId="2" fillId="0" borderId="0" applyFont="0" applyFill="0" applyBorder="0" applyAlignment="0" applyProtection="0"/>
    <xf numFmtId="9" fontId="2" fillId="0" borderId="0" applyFont="0" applyFill="0" applyBorder="0" applyAlignment="0" applyProtection="0"/>
    <xf numFmtId="0" fontId="3" fillId="2" borderId="1" applyNumberFormat="0" applyAlignment="0" applyProtection="0"/>
    <xf numFmtId="0" fontId="2" fillId="3" borderId="0" applyNumberFormat="0" applyBorder="0" applyAlignment="0" applyProtection="0"/>
    <xf numFmtId="0" fontId="7"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27" fillId="0" borderId="0"/>
    <xf numFmtId="0" fontId="27" fillId="0" borderId="0"/>
    <xf numFmtId="0" fontId="18"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9" fontId="28" fillId="0" borderId="0" applyFont="0" applyFill="0" applyBorder="0" applyAlignment="0" applyProtection="0"/>
    <xf numFmtId="0" fontId="16" fillId="0" borderId="0"/>
    <xf numFmtId="0" fontId="33" fillId="0" borderId="0" applyNumberFormat="0" applyFill="0" applyBorder="0" applyAlignment="0" applyProtection="0"/>
    <xf numFmtId="0" fontId="34" fillId="0" borderId="18" applyNumberFormat="0" applyFill="0" applyAlignment="0" applyProtection="0"/>
    <xf numFmtId="0" fontId="35" fillId="0" borderId="19" applyNumberFormat="0" applyFill="0" applyAlignment="0" applyProtection="0"/>
    <xf numFmtId="0" fontId="36" fillId="0" borderId="20" applyNumberFormat="0" applyFill="0" applyAlignment="0" applyProtection="0"/>
    <xf numFmtId="0" fontId="36" fillId="0" borderId="0" applyNumberFormat="0" applyFill="0" applyBorder="0" applyAlignment="0" applyProtection="0"/>
    <xf numFmtId="0" fontId="37" fillId="31" borderId="0" applyNumberFormat="0" applyBorder="0" applyAlignment="0" applyProtection="0"/>
    <xf numFmtId="0" fontId="38" fillId="32" borderId="0" applyNumberFormat="0" applyBorder="0" applyAlignment="0" applyProtection="0"/>
    <xf numFmtId="0" fontId="39" fillId="33" borderId="0" applyNumberFormat="0" applyBorder="0" applyAlignment="0" applyProtection="0"/>
    <xf numFmtId="0" fontId="40" fillId="34" borderId="21" applyNumberFormat="0" applyAlignment="0" applyProtection="0"/>
    <xf numFmtId="0" fontId="41" fillId="2" borderId="21" applyNumberFormat="0" applyAlignment="0" applyProtection="0"/>
    <xf numFmtId="0" fontId="42" fillId="0" borderId="22" applyNumberFormat="0" applyFill="0" applyAlignment="0" applyProtection="0"/>
    <xf numFmtId="0" fontId="4" fillId="35" borderId="23" applyNumberFormat="0" applyAlignment="0" applyProtection="0"/>
    <xf numFmtId="0" fontId="5" fillId="0" borderId="0" applyNumberFormat="0" applyFill="0" applyBorder="0" applyAlignment="0" applyProtection="0"/>
    <xf numFmtId="0" fontId="43" fillId="0" borderId="0" applyNumberFormat="0" applyFill="0" applyBorder="0" applyAlignment="0" applyProtection="0"/>
    <xf numFmtId="0" fontId="1" fillId="0" borderId="24" applyNumberFormat="0" applyFill="0" applyAlignment="0" applyProtection="0"/>
    <xf numFmtId="0" fontId="44" fillId="3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2" fillId="2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4" fillId="47" borderId="0" applyNumberFormat="0" applyBorder="0" applyAlignment="0" applyProtection="0"/>
    <xf numFmtId="0" fontId="16" fillId="0" borderId="0"/>
    <xf numFmtId="0" fontId="45" fillId="0" borderId="0"/>
    <xf numFmtId="40" fontId="28"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43" fontId="18" fillId="0" borderId="0" applyFont="0" applyFill="0" applyBorder="0" applyAlignment="0" applyProtection="0"/>
    <xf numFmtId="43" fontId="27" fillId="0" borderId="0" applyFont="0" applyFill="0" applyBorder="0" applyAlignment="0" applyProtection="0"/>
    <xf numFmtId="44" fontId="28" fillId="0" borderId="0" applyFont="0" applyFill="0" applyBorder="0" applyAlignment="0" applyProtection="0"/>
    <xf numFmtId="0" fontId="46" fillId="0" borderId="0"/>
    <xf numFmtId="0" fontId="46" fillId="0" borderId="0"/>
    <xf numFmtId="0" fontId="45"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0" fontId="47" fillId="0" borderId="0" applyNumberFormat="0" applyFill="0" applyBorder="0" applyAlignment="0" applyProtection="0">
      <alignment vertical="top"/>
      <protection locked="0"/>
    </xf>
    <xf numFmtId="0" fontId="2" fillId="0" borderId="0"/>
    <xf numFmtId="0" fontId="18" fillId="0" borderId="0"/>
    <xf numFmtId="44" fontId="18" fillId="0" borderId="0" applyFont="0" applyFill="0" applyBorder="0" applyAlignment="0" applyProtection="0"/>
    <xf numFmtId="9" fontId="18"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8" fillId="0" borderId="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18"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45" fillId="0" borderId="0"/>
    <xf numFmtId="40"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8" fillId="0" borderId="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48" fillId="0" borderId="0"/>
    <xf numFmtId="0" fontId="2" fillId="0" borderId="0"/>
    <xf numFmtId="0" fontId="2" fillId="0" borderId="0"/>
    <xf numFmtId="0" fontId="28" fillId="0" borderId="0"/>
    <xf numFmtId="0" fontId="28" fillId="0" borderId="0"/>
    <xf numFmtId="0" fontId="28" fillId="0" borderId="0"/>
    <xf numFmtId="0" fontId="18" fillId="0" borderId="0"/>
    <xf numFmtId="43" fontId="49" fillId="0" borderId="0" applyFont="0" applyFill="0" applyBorder="0" applyAlignment="0" applyProtection="0"/>
    <xf numFmtId="0" fontId="49"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43" fontId="27"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9" fontId="2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8" fillId="0" borderId="0"/>
    <xf numFmtId="0" fontId="73" fillId="0" borderId="0"/>
    <xf numFmtId="0" fontId="2" fillId="0" borderId="0"/>
    <xf numFmtId="0" fontId="2" fillId="0" borderId="0"/>
    <xf numFmtId="0" fontId="88" fillId="0" borderId="0"/>
    <xf numFmtId="0" fontId="2" fillId="0" borderId="0"/>
    <xf numFmtId="0" fontId="2" fillId="0" borderId="0"/>
    <xf numFmtId="0" fontId="2" fillId="0" borderId="0"/>
  </cellStyleXfs>
  <cellXfs count="674">
    <xf numFmtId="0" fontId="0" fillId="0" borderId="0" xfId="0"/>
    <xf numFmtId="44" fontId="0" fillId="4" borderId="0" xfId="1" applyFont="1" applyFill="1"/>
    <xf numFmtId="44" fontId="0" fillId="0" borderId="0" xfId="1" applyFont="1"/>
    <xf numFmtId="44" fontId="0" fillId="5" borderId="0" xfId="1" applyFont="1" applyFill="1"/>
    <xf numFmtId="0" fontId="0" fillId="0" borderId="0" xfId="0" applyAlignment="1">
      <alignment horizontal="left" indent="1"/>
    </xf>
    <xf numFmtId="44" fontId="0" fillId="0" borderId="0" xfId="0" applyNumberFormat="1"/>
    <xf numFmtId="0" fontId="7" fillId="0" borderId="0" xfId="5" applyAlignment="1" applyProtection="1"/>
    <xf numFmtId="0" fontId="1" fillId="0" borderId="0" xfId="0" applyFont="1"/>
    <xf numFmtId="44" fontId="9" fillId="0" borderId="0" xfId="1" applyFont="1"/>
    <xf numFmtId="44" fontId="3" fillId="2" borderId="1" xfId="3" applyNumberFormat="1"/>
    <xf numFmtId="0" fontId="10" fillId="0" borderId="0" xfId="0" applyFont="1"/>
    <xf numFmtId="0" fontId="11" fillId="0" borderId="0" xfId="0" applyFont="1"/>
    <xf numFmtId="10" fontId="0" fillId="0" borderId="0" xfId="0" applyNumberFormat="1"/>
    <xf numFmtId="44" fontId="2" fillId="3" borderId="0" xfId="4" applyNumberFormat="1"/>
    <xf numFmtId="44" fontId="0" fillId="4" borderId="0" xfId="0" applyNumberFormat="1" applyFill="1"/>
    <xf numFmtId="44" fontId="8" fillId="3" borderId="0" xfId="4" applyNumberFormat="1" applyFont="1"/>
    <xf numFmtId="44" fontId="4" fillId="7" borderId="0" xfId="1" applyFont="1" applyFill="1"/>
    <xf numFmtId="0" fontId="11" fillId="0" borderId="0" xfId="0" applyFont="1" applyAlignment="1">
      <alignment vertical="center" wrapText="1"/>
    </xf>
    <xf numFmtId="44" fontId="0" fillId="6" borderId="0" xfId="1" applyFont="1" applyFill="1"/>
    <xf numFmtId="44" fontId="1" fillId="8" borderId="0" xfId="1" applyFont="1" applyFill="1"/>
    <xf numFmtId="44" fontId="1" fillId="6" borderId="0" xfId="1" applyFont="1" applyFill="1"/>
    <xf numFmtId="44" fontId="1" fillId="0" borderId="0" xfId="1" applyFont="1"/>
    <xf numFmtId="0" fontId="0" fillId="8" borderId="0" xfId="0" applyFill="1"/>
    <xf numFmtId="44" fontId="13" fillId="4" borderId="0" xfId="1" applyFont="1" applyFill="1"/>
    <xf numFmtId="0" fontId="15" fillId="0" borderId="0" xfId="0" applyFont="1" applyAlignment="1">
      <alignment horizontal="center"/>
    </xf>
    <xf numFmtId="0" fontId="15" fillId="0" borderId="0" xfId="0" applyFont="1"/>
    <xf numFmtId="10" fontId="0" fillId="11" borderId="0" xfId="0" applyNumberFormat="1" applyFill="1"/>
    <xf numFmtId="44" fontId="20" fillId="13" borderId="0" xfId="4" applyNumberFormat="1" applyFont="1" applyFill="1"/>
    <xf numFmtId="44" fontId="0" fillId="12" borderId="0" xfId="1" applyFont="1" applyFill="1"/>
    <xf numFmtId="44" fontId="8" fillId="13" borderId="0" xfId="4" applyNumberFormat="1" applyFont="1" applyFill="1"/>
    <xf numFmtId="44" fontId="8" fillId="13" borderId="0" xfId="1" applyFont="1" applyFill="1"/>
    <xf numFmtId="0" fontId="21" fillId="0" borderId="0" xfId="0" applyFont="1"/>
    <xf numFmtId="44" fontId="22" fillId="14" borderId="0" xfId="1" applyFont="1" applyFill="1"/>
    <xf numFmtId="0" fontId="0" fillId="0" borderId="0" xfId="0" applyAlignment="1">
      <alignment vertical="center"/>
    </xf>
    <xf numFmtId="49" fontId="0" fillId="4" borderId="0" xfId="0" applyNumberFormat="1" applyFill="1"/>
    <xf numFmtId="0" fontId="11" fillId="0" borderId="9" xfId="0" applyFont="1" applyBorder="1"/>
    <xf numFmtId="0" fontId="0" fillId="0" borderId="10" xfId="0" applyBorder="1"/>
    <xf numFmtId="0" fontId="0" fillId="0" borderId="11" xfId="0" applyBorder="1"/>
    <xf numFmtId="44" fontId="0" fillId="4" borderId="12" xfId="1" applyFont="1" applyFill="1" applyBorder="1"/>
    <xf numFmtId="10" fontId="0" fillId="4" borderId="12" xfId="0" applyNumberFormat="1" applyFill="1" applyBorder="1"/>
    <xf numFmtId="44" fontId="0" fillId="0" borderId="12" xfId="0" applyNumberFormat="1" applyBorder="1"/>
    <xf numFmtId="0" fontId="0" fillId="0" borderId="13" xfId="0" applyBorder="1"/>
    <xf numFmtId="10" fontId="0" fillId="0" borderId="14" xfId="2" applyNumberFormat="1" applyFont="1" applyBorder="1"/>
    <xf numFmtId="9" fontId="0" fillId="4" borderId="12" xfId="0" applyNumberFormat="1" applyFill="1" applyBorder="1"/>
    <xf numFmtId="44" fontId="0" fillId="4" borderId="14" xfId="1" applyFont="1" applyFill="1" applyBorder="1"/>
    <xf numFmtId="0" fontId="12" fillId="0" borderId="0" xfId="0" applyFont="1"/>
    <xf numFmtId="49" fontId="0" fillId="27" borderId="0" xfId="0" applyNumberFormat="1" applyFill="1"/>
    <xf numFmtId="0" fontId="1" fillId="0" borderId="0" xfId="0" applyFont="1" applyAlignment="1">
      <alignment vertical="center"/>
    </xf>
    <xf numFmtId="43" fontId="0" fillId="0" borderId="0" xfId="9" applyFont="1"/>
    <xf numFmtId="0" fontId="0" fillId="0" borderId="0" xfId="0" applyAlignment="1">
      <alignment horizontal="center" wrapText="1"/>
    </xf>
    <xf numFmtId="44" fontId="19" fillId="0" borderId="0" xfId="0" applyNumberFormat="1" applyFont="1"/>
    <xf numFmtId="10" fontId="0" fillId="0" borderId="0" xfId="2" applyNumberFormat="1" applyFont="1"/>
    <xf numFmtId="44" fontId="29" fillId="0" borderId="0" xfId="1" applyFont="1"/>
    <xf numFmtId="0" fontId="0" fillId="0" borderId="0" xfId="0" applyAlignment="1">
      <alignment vertical="center" wrapText="1"/>
    </xf>
    <xf numFmtId="44" fontId="9" fillId="0" borderId="0" xfId="0" applyNumberFormat="1" applyFont="1"/>
    <xf numFmtId="44" fontId="30" fillId="0" borderId="0" xfId="1" applyFont="1"/>
    <xf numFmtId="43" fontId="0" fillId="4" borderId="0" xfId="9" applyFont="1" applyFill="1"/>
    <xf numFmtId="43" fontId="19" fillId="4" borderId="0" xfId="9" applyFont="1" applyFill="1"/>
    <xf numFmtId="0" fontId="0" fillId="0" borderId="0" xfId="0" applyAlignment="1">
      <alignment horizontal="left"/>
    </xf>
    <xf numFmtId="44" fontId="19" fillId="4" borderId="0" xfId="1" applyFont="1" applyFill="1"/>
    <xf numFmtId="44" fontId="19" fillId="12" borderId="0" xfId="1" applyFont="1" applyFill="1"/>
    <xf numFmtId="44" fontId="31" fillId="12" borderId="0" xfId="1" applyFont="1" applyFill="1"/>
    <xf numFmtId="44" fontId="9" fillId="28" borderId="0" xfId="1" applyFont="1" applyFill="1"/>
    <xf numFmtId="44" fontId="0" fillId="0" borderId="0" xfId="1" applyFont="1" applyFill="1"/>
    <xf numFmtId="0" fontId="11" fillId="0" borderId="17" xfId="0" applyFont="1" applyBorder="1"/>
    <xf numFmtId="44" fontId="11" fillId="29" borderId="0" xfId="1" applyFont="1" applyFill="1"/>
    <xf numFmtId="44" fontId="1" fillId="0" borderId="0" xfId="1" applyFont="1" applyFill="1"/>
    <xf numFmtId="0" fontId="0" fillId="0" borderId="0" xfId="0" applyAlignment="1">
      <alignment horizontal="center" vertical="center"/>
    </xf>
    <xf numFmtId="49" fontId="0" fillId="4" borderId="0" xfId="0" applyNumberFormat="1" applyFill="1" applyAlignment="1">
      <alignment horizontal="center" vertical="center"/>
    </xf>
    <xf numFmtId="0" fontId="26" fillId="0" borderId="0" xfId="0" applyFont="1" applyAlignment="1">
      <alignment horizontal="center"/>
    </xf>
    <xf numFmtId="0" fontId="25" fillId="49" borderId="0" xfId="0" applyFont="1" applyFill="1" applyAlignment="1">
      <alignment horizontal="center" vertical="center"/>
    </xf>
    <xf numFmtId="0" fontId="25" fillId="49" borderId="0" xfId="0" applyFont="1" applyFill="1" applyAlignment="1">
      <alignment vertical="center"/>
    </xf>
    <xf numFmtId="0" fontId="25" fillId="0" borderId="0" xfId="0" applyFont="1"/>
    <xf numFmtId="10" fontId="30" fillId="0" borderId="0" xfId="2" applyNumberFormat="1" applyFont="1"/>
    <xf numFmtId="0" fontId="6" fillId="0" borderId="0" xfId="0" applyFont="1"/>
    <xf numFmtId="0" fontId="6" fillId="0" borderId="0" xfId="0" applyFont="1" applyAlignment="1">
      <alignment horizontal="center"/>
    </xf>
    <xf numFmtId="0" fontId="50" fillId="0" borderId="0" xfId="0" applyFont="1"/>
    <xf numFmtId="44" fontId="19" fillId="5" borderId="0" xfId="4" applyNumberFormat="1" applyFont="1" applyFill="1"/>
    <xf numFmtId="0" fontId="52" fillId="11" borderId="0" xfId="0" applyFont="1" applyFill="1" applyAlignment="1">
      <alignment horizontal="center"/>
    </xf>
    <xf numFmtId="40" fontId="1" fillId="0" borderId="0" xfId="0" applyNumberFormat="1" applyFont="1"/>
    <xf numFmtId="0" fontId="1" fillId="50" borderId="27" xfId="0" applyFont="1" applyFill="1" applyBorder="1" applyAlignment="1">
      <alignment horizontal="center" vertical="center"/>
    </xf>
    <xf numFmtId="0" fontId="1" fillId="0" borderId="28" xfId="0" applyFont="1" applyBorder="1" applyAlignment="1">
      <alignment horizontal="left" vertical="center"/>
    </xf>
    <xf numFmtId="0" fontId="1" fillId="50" borderId="28" xfId="0" applyFont="1" applyFill="1" applyBorder="1" applyAlignment="1">
      <alignment horizontal="center" vertical="center"/>
    </xf>
    <xf numFmtId="0" fontId="1" fillId="50" borderId="29" xfId="0" applyFont="1" applyFill="1" applyBorder="1" applyAlignment="1">
      <alignment horizontal="center" vertical="center"/>
    </xf>
    <xf numFmtId="0" fontId="17" fillId="0" borderId="30" xfId="41" applyFont="1" applyBorder="1" applyAlignment="1">
      <alignment horizontal="center" vertical="center" wrapText="1"/>
    </xf>
    <xf numFmtId="49" fontId="0" fillId="0" borderId="30" xfId="0" quotePrefix="1" applyNumberFormat="1" applyBorder="1" applyAlignment="1">
      <alignment horizontal="center" vertical="center"/>
    </xf>
    <xf numFmtId="0" fontId="0" fillId="4" borderId="30" xfId="0" applyFill="1" applyBorder="1"/>
    <xf numFmtId="0" fontId="0" fillId="4" borderId="0" xfId="0" applyFill="1"/>
    <xf numFmtId="0" fontId="55" fillId="0" borderId="0" xfId="0" applyFont="1"/>
    <xf numFmtId="44" fontId="55" fillId="4" borderId="0" xfId="1" applyFont="1" applyFill="1"/>
    <xf numFmtId="44" fontId="55" fillId="5" borderId="0" xfId="1" applyFont="1" applyFill="1"/>
    <xf numFmtId="44" fontId="55" fillId="0" borderId="0" xfId="1" applyFont="1"/>
    <xf numFmtId="44" fontId="55" fillId="9" borderId="0" xfId="1" applyFont="1" applyFill="1"/>
    <xf numFmtId="0" fontId="56" fillId="0" borderId="0" xfId="5" applyFont="1" applyAlignment="1" applyProtection="1">
      <alignment horizontal="left" indent="1"/>
    </xf>
    <xf numFmtId="44" fontId="57" fillId="0" borderId="0" xfId="1" applyFont="1"/>
    <xf numFmtId="44" fontId="58" fillId="9" borderId="0" xfId="1" applyFont="1" applyFill="1"/>
    <xf numFmtId="0" fontId="55" fillId="0" borderId="0" xfId="0" applyFont="1" applyAlignment="1">
      <alignment horizontal="left" indent="1"/>
    </xf>
    <xf numFmtId="44" fontId="55" fillId="0" borderId="0" xfId="1" applyFont="1" applyFill="1"/>
    <xf numFmtId="44" fontId="55" fillId="12" borderId="0" xfId="1" applyFont="1" applyFill="1"/>
    <xf numFmtId="44" fontId="58" fillId="12" borderId="0" xfId="1" applyFont="1" applyFill="1"/>
    <xf numFmtId="0" fontId="59" fillId="0" borderId="0" xfId="5" applyFont="1" applyAlignment="1" applyProtection="1">
      <alignment horizontal="left" indent="1"/>
    </xf>
    <xf numFmtId="0" fontId="55" fillId="0" borderId="0" xfId="0" applyFont="1" applyAlignment="1">
      <alignment horizontal="left"/>
    </xf>
    <xf numFmtId="0" fontId="59" fillId="0" borderId="0" xfId="5" applyFont="1" applyFill="1" applyAlignment="1" applyProtection="1">
      <alignment horizontal="left" indent="1"/>
    </xf>
    <xf numFmtId="0" fontId="60" fillId="0" borderId="0" xfId="0" applyFont="1"/>
    <xf numFmtId="0" fontId="58" fillId="0" borderId="0" xfId="0" applyFont="1" applyAlignment="1">
      <alignment horizontal="left" indent="1"/>
    </xf>
    <xf numFmtId="44" fontId="58" fillId="0" borderId="0" xfId="1" applyFont="1" applyFill="1"/>
    <xf numFmtId="44" fontId="58" fillId="4" borderId="0" xfId="1" applyFont="1" applyFill="1"/>
    <xf numFmtId="164" fontId="55" fillId="9" borderId="0" xfId="1" applyNumberFormat="1" applyFont="1" applyFill="1"/>
    <xf numFmtId="164" fontId="55" fillId="12" borderId="0" xfId="1" applyNumberFormat="1" applyFont="1" applyFill="1"/>
    <xf numFmtId="44" fontId="55" fillId="9" borderId="0" xfId="0" applyNumberFormat="1" applyFont="1" applyFill="1"/>
    <xf numFmtId="164" fontId="55" fillId="9" borderId="0" xfId="0" applyNumberFormat="1" applyFont="1" applyFill="1"/>
    <xf numFmtId="0" fontId="61" fillId="0" borderId="0" xfId="0" applyFont="1" applyAlignment="1">
      <alignment horizontal="center" vertical="center"/>
    </xf>
    <xf numFmtId="0" fontId="62" fillId="0" borderId="0" xfId="0" applyFont="1"/>
    <xf numFmtId="0" fontId="63" fillId="0" borderId="0" xfId="0" applyFont="1" applyAlignment="1">
      <alignment horizontal="center" vertical="center"/>
    </xf>
    <xf numFmtId="0" fontId="62" fillId="0" borderId="0" xfId="0" applyFont="1" applyAlignment="1">
      <alignment horizontal="left" vertical="center"/>
    </xf>
    <xf numFmtId="0" fontId="32" fillId="0" borderId="0" xfId="0" applyFont="1"/>
    <xf numFmtId="0" fontId="66" fillId="0" borderId="0" xfId="5" applyFont="1" applyAlignment="1" applyProtection="1"/>
    <xf numFmtId="44" fontId="20" fillId="0" borderId="0" xfId="4" applyNumberFormat="1" applyFont="1" applyFill="1"/>
    <xf numFmtId="44" fontId="0" fillId="48" borderId="0" xfId="1" applyFont="1" applyFill="1"/>
    <xf numFmtId="44" fontId="20" fillId="4" borderId="0" xfId="1" applyFont="1" applyFill="1"/>
    <xf numFmtId="0" fontId="11" fillId="48" borderId="0" xfId="0" applyFont="1" applyFill="1"/>
    <xf numFmtId="0" fontId="0" fillId="30" borderId="30" xfId="0" applyFill="1" applyBorder="1"/>
    <xf numFmtId="0" fontId="0" fillId="30" borderId="0" xfId="0" applyFill="1"/>
    <xf numFmtId="0" fontId="6" fillId="0" borderId="0" xfId="3927" applyFont="1"/>
    <xf numFmtId="49" fontId="0" fillId="0" borderId="0" xfId="0" applyNumberFormat="1" applyAlignment="1">
      <alignment horizontal="center"/>
    </xf>
    <xf numFmtId="44" fontId="0" fillId="52" borderId="0" xfId="1" applyFont="1" applyFill="1"/>
    <xf numFmtId="0" fontId="71" fillId="0" borderId="0" xfId="0" applyFont="1"/>
    <xf numFmtId="0" fontId="26" fillId="0" borderId="0" xfId="0" applyFont="1"/>
    <xf numFmtId="0" fontId="55" fillId="0" borderId="42" xfId="0" applyFont="1" applyBorder="1" applyAlignment="1">
      <alignment horizontal="center" vertical="center"/>
    </xf>
    <xf numFmtId="0" fontId="55" fillId="0" borderId="43" xfId="0" applyFont="1" applyBorder="1" applyAlignment="1">
      <alignment horizontal="center" vertical="center"/>
    </xf>
    <xf numFmtId="166" fontId="55" fillId="0" borderId="39" xfId="1" applyNumberFormat="1" applyFont="1" applyBorder="1"/>
    <xf numFmtId="166" fontId="55" fillId="0" borderId="40" xfId="1" applyNumberFormat="1" applyFont="1" applyBorder="1"/>
    <xf numFmtId="166" fontId="55" fillId="0" borderId="41" xfId="1" applyNumberFormat="1" applyFont="1" applyBorder="1"/>
    <xf numFmtId="166" fontId="55" fillId="0" borderId="30" xfId="1" applyNumberFormat="1" applyFont="1" applyBorder="1"/>
    <xf numFmtId="166" fontId="55" fillId="0" borderId="0" xfId="1" applyNumberFormat="1" applyFont="1" applyBorder="1"/>
    <xf numFmtId="166" fontId="55" fillId="0" borderId="31" xfId="1" applyNumberFormat="1" applyFont="1" applyBorder="1"/>
    <xf numFmtId="166" fontId="55" fillId="0" borderId="30" xfId="1" applyNumberFormat="1" applyFont="1" applyFill="1" applyBorder="1"/>
    <xf numFmtId="166" fontId="55" fillId="0" borderId="0" xfId="1" applyNumberFormat="1" applyFont="1" applyFill="1" applyBorder="1"/>
    <xf numFmtId="166" fontId="55" fillId="53" borderId="30" xfId="1" applyNumberFormat="1" applyFont="1" applyFill="1" applyBorder="1"/>
    <xf numFmtId="166" fontId="55" fillId="53" borderId="0" xfId="1" applyNumberFormat="1" applyFont="1" applyFill="1" applyBorder="1"/>
    <xf numFmtId="166" fontId="55" fillId="9" borderId="0" xfId="1" applyNumberFormat="1" applyFont="1" applyFill="1" applyBorder="1"/>
    <xf numFmtId="166" fontId="55" fillId="4" borderId="30" xfId="1" applyNumberFormat="1" applyFont="1" applyFill="1" applyBorder="1"/>
    <xf numFmtId="166" fontId="55" fillId="4" borderId="0" xfId="1" applyNumberFormat="1" applyFont="1" applyFill="1" applyBorder="1"/>
    <xf numFmtId="166" fontId="55" fillId="30" borderId="32" xfId="1" applyNumberFormat="1" applyFont="1" applyFill="1" applyBorder="1"/>
    <xf numFmtId="166" fontId="55" fillId="30" borderId="33" xfId="1" applyNumberFormat="1" applyFont="1" applyFill="1" applyBorder="1"/>
    <xf numFmtId="166" fontId="55" fillId="9" borderId="33" xfId="1" applyNumberFormat="1" applyFont="1" applyFill="1" applyBorder="1"/>
    <xf numFmtId="44" fontId="20" fillId="12" borderId="0" xfId="4" applyNumberFormat="1" applyFont="1" applyFill="1"/>
    <xf numFmtId="44" fontId="0" fillId="13" borderId="0" xfId="1" applyFont="1" applyFill="1"/>
    <xf numFmtId="44" fontId="0" fillId="12" borderId="2" xfId="1" applyFont="1" applyFill="1" applyBorder="1"/>
    <xf numFmtId="0" fontId="6" fillId="0" borderId="0" xfId="0" applyFont="1" applyAlignment="1">
      <alignment horizontal="left"/>
    </xf>
    <xf numFmtId="44" fontId="13" fillId="13" borderId="44" xfId="0" quotePrefix="1" applyNumberFormat="1" applyFont="1" applyFill="1" applyBorder="1"/>
    <xf numFmtId="0" fontId="1" fillId="0" borderId="0" xfId="0" applyFont="1" applyAlignment="1">
      <alignment horizontal="center" vertical="center" wrapText="1"/>
    </xf>
    <xf numFmtId="166" fontId="55" fillId="12" borderId="31" xfId="1" applyNumberFormat="1" applyFont="1" applyFill="1" applyBorder="1"/>
    <xf numFmtId="166" fontId="55" fillId="12" borderId="34" xfId="1" applyNumberFormat="1" applyFont="1" applyFill="1" applyBorder="1"/>
    <xf numFmtId="0" fontId="1" fillId="0" borderId="0" xfId="0" applyFont="1" applyAlignment="1">
      <alignment horizontal="left" indent="1"/>
    </xf>
    <xf numFmtId="0" fontId="75" fillId="0" borderId="0" xfId="0" applyFont="1" applyAlignment="1">
      <alignment horizontal="left" indent="1"/>
    </xf>
    <xf numFmtId="44" fontId="0" fillId="57" borderId="0" xfId="1" applyFont="1" applyFill="1"/>
    <xf numFmtId="44" fontId="0" fillId="57" borderId="2" xfId="1" applyFont="1" applyFill="1" applyBorder="1"/>
    <xf numFmtId="0" fontId="0" fillId="57" borderId="0" xfId="0" applyFill="1"/>
    <xf numFmtId="0" fontId="0" fillId="8" borderId="0" xfId="0" applyFill="1" applyAlignment="1">
      <alignment horizontal="right"/>
    </xf>
    <xf numFmtId="44" fontId="1" fillId="8" borderId="0" xfId="0" applyNumberFormat="1" applyFont="1" applyFill="1"/>
    <xf numFmtId="0" fontId="10" fillId="0" borderId="0" xfId="0" applyFont="1" applyAlignment="1">
      <alignment horizontal="center"/>
    </xf>
    <xf numFmtId="0" fontId="11" fillId="57" borderId="0" xfId="0" applyFont="1" applyFill="1"/>
    <xf numFmtId="44" fontId="19" fillId="5" borderId="0" xfId="1" applyFont="1" applyFill="1"/>
    <xf numFmtId="0" fontId="53" fillId="58" borderId="25" xfId="80" applyFont="1" applyFill="1" applyBorder="1" applyAlignment="1">
      <alignment horizontal="center" vertical="center" wrapText="1"/>
    </xf>
    <xf numFmtId="0" fontId="81" fillId="30" borderId="0" xfId="0" quotePrefix="1" applyFont="1" applyFill="1" applyAlignment="1">
      <alignment horizontal="center" vertical="center"/>
    </xf>
    <xf numFmtId="0" fontId="81" fillId="0" borderId="0" xfId="0" applyFont="1" applyAlignment="1">
      <alignment horizontal="right"/>
    </xf>
    <xf numFmtId="0" fontId="17" fillId="60" borderId="26" xfId="80" applyFont="1" applyFill="1" applyBorder="1" applyAlignment="1">
      <alignment horizontal="center" vertical="center" wrapText="1"/>
    </xf>
    <xf numFmtId="0" fontId="81" fillId="0" borderId="38" xfId="0" applyFont="1" applyBorder="1" applyAlignment="1">
      <alignment horizontal="center" vertical="center"/>
    </xf>
    <xf numFmtId="0" fontId="81" fillId="0" borderId="7" xfId="0" applyFont="1" applyBorder="1" applyAlignment="1">
      <alignment horizontal="center" vertical="center"/>
    </xf>
    <xf numFmtId="0" fontId="78" fillId="0" borderId="0" xfId="0" applyFont="1" applyAlignment="1">
      <alignment horizontal="center" vertical="center"/>
    </xf>
    <xf numFmtId="0" fontId="85" fillId="0" borderId="32" xfId="0" applyFont="1" applyBorder="1" applyAlignment="1">
      <alignment horizontal="center" vertical="center"/>
    </xf>
    <xf numFmtId="0" fontId="12" fillId="0" borderId="0" xfId="0" applyFont="1" applyAlignment="1">
      <alignment horizontal="center" vertical="center"/>
    </xf>
    <xf numFmtId="0" fontId="0" fillId="54" borderId="0" xfId="0" applyFill="1"/>
    <xf numFmtId="40" fontId="12" fillId="0" borderId="0" xfId="9" applyNumberFormat="1" applyFont="1"/>
    <xf numFmtId="0" fontId="26" fillId="0" borderId="0" xfId="0" applyFont="1" applyAlignment="1">
      <alignment horizontal="left"/>
    </xf>
    <xf numFmtId="0" fontId="12" fillId="0" borderId="2" xfId="0" applyFont="1" applyBorder="1"/>
    <xf numFmtId="49" fontId="12" fillId="0" borderId="0" xfId="0" applyNumberFormat="1" applyFont="1" applyAlignment="1">
      <alignment horizontal="center"/>
    </xf>
    <xf numFmtId="0" fontId="26" fillId="0" borderId="0" xfId="3927" applyFont="1"/>
    <xf numFmtId="0" fontId="10" fillId="57" borderId="0" xfId="0" applyFont="1" applyFill="1"/>
    <xf numFmtId="44" fontId="6" fillId="0" borderId="0" xfId="5335" quotePrefix="1" applyNumberFormat="1" applyFont="1" applyAlignment="1">
      <alignment horizontal="right"/>
    </xf>
    <xf numFmtId="0" fontId="12" fillId="0" borderId="0" xfId="0" applyFont="1" applyAlignment="1">
      <alignment horizontal="left" vertical="center"/>
    </xf>
    <xf numFmtId="0" fontId="6" fillId="0" borderId="0" xfId="3921" applyFont="1" applyAlignment="1">
      <alignment horizontal="center" vertical="center"/>
    </xf>
    <xf numFmtId="0" fontId="2" fillId="0" borderId="0" xfId="0" applyFont="1"/>
    <xf numFmtId="0" fontId="87" fillId="0" borderId="0" xfId="3921" applyFont="1" applyAlignment="1">
      <alignment horizontal="center" vertical="center"/>
    </xf>
    <xf numFmtId="0" fontId="2" fillId="0" borderId="0" xfId="0" applyFont="1" applyAlignment="1">
      <alignment horizontal="center" vertical="center"/>
    </xf>
    <xf numFmtId="167" fontId="2" fillId="0" borderId="0" xfId="9" applyNumberFormat="1" applyFont="1"/>
    <xf numFmtId="167" fontId="6" fillId="0" borderId="0" xfId="0" applyNumberFormat="1" applyFont="1"/>
    <xf numFmtId="167" fontId="2" fillId="0" borderId="0" xfId="5337" applyNumberFormat="1"/>
    <xf numFmtId="167" fontId="2" fillId="0" borderId="0" xfId="0" applyNumberFormat="1" applyFont="1"/>
    <xf numFmtId="0" fontId="6" fillId="29" borderId="0" xfId="0" applyFont="1" applyFill="1"/>
    <xf numFmtId="0" fontId="6" fillId="0" borderId="0" xfId="0" quotePrefix="1" applyFont="1"/>
    <xf numFmtId="0" fontId="2" fillId="29" borderId="0" xfId="3920" applyFill="1"/>
    <xf numFmtId="0" fontId="6" fillId="0" borderId="0" xfId="3920" applyFont="1"/>
    <xf numFmtId="0" fontId="86" fillId="48" borderId="0" xfId="0" applyFont="1" applyFill="1" applyAlignment="1">
      <alignment horizontal="center" vertical="center"/>
    </xf>
    <xf numFmtId="0" fontId="2" fillId="48" borderId="0" xfId="0" applyFont="1" applyFill="1" applyAlignment="1">
      <alignment horizontal="center" vertical="center"/>
    </xf>
    <xf numFmtId="167" fontId="6" fillId="0" borderId="0" xfId="9" applyNumberFormat="1" applyFont="1" applyFill="1"/>
    <xf numFmtId="167" fontId="70" fillId="0" borderId="0" xfId="9" applyNumberFormat="1" applyFont="1" applyFill="1"/>
    <xf numFmtId="167" fontId="2" fillId="0" borderId="0" xfId="9" applyNumberFormat="1" applyFont="1" applyFill="1"/>
    <xf numFmtId="43" fontId="0" fillId="4" borderId="0" xfId="9" applyFont="1" applyFill="1" applyAlignment="1">
      <alignment horizontal="center" vertical="center" wrapText="1"/>
    </xf>
    <xf numFmtId="167" fontId="2" fillId="4" borderId="0" xfId="9" applyNumberFormat="1" applyFont="1" applyFill="1"/>
    <xf numFmtId="0" fontId="55" fillId="51" borderId="11" xfId="0" applyFont="1" applyFill="1" applyBorder="1" applyAlignment="1">
      <alignment vertical="center" wrapText="1"/>
    </xf>
    <xf numFmtId="0" fontId="50" fillId="51" borderId="37" xfId="0" applyFont="1" applyFill="1" applyBorder="1" applyAlignment="1">
      <alignment vertical="center" wrapText="1"/>
    </xf>
    <xf numFmtId="0" fontId="10" fillId="56" borderId="46" xfId="0" applyFont="1" applyFill="1" applyBorder="1" applyAlignment="1">
      <alignment vertical="center" wrapText="1"/>
    </xf>
    <xf numFmtId="0" fontId="55" fillId="48" borderId="46" xfId="0" applyFont="1" applyFill="1" applyBorder="1" applyAlignment="1">
      <alignment vertical="center" wrapText="1"/>
    </xf>
    <xf numFmtId="0" fontId="55" fillId="51" borderId="47" xfId="0" applyFont="1" applyFill="1" applyBorder="1" applyAlignment="1">
      <alignment vertical="center" wrapText="1"/>
    </xf>
    <xf numFmtId="0" fontId="55" fillId="4" borderId="46" xfId="0" applyFont="1" applyFill="1" applyBorder="1" applyAlignment="1">
      <alignment vertical="center" wrapText="1"/>
    </xf>
    <xf numFmtId="0" fontId="83" fillId="51" borderId="46" xfId="0" applyFont="1" applyFill="1" applyBorder="1" applyAlignment="1">
      <alignment vertical="center" wrapText="1"/>
    </xf>
    <xf numFmtId="0" fontId="51" fillId="51" borderId="38" xfId="0" applyFont="1" applyFill="1" applyBorder="1" applyAlignment="1">
      <alignment vertical="center" wrapText="1"/>
    </xf>
    <xf numFmtId="0" fontId="55" fillId="51" borderId="46" xfId="0" applyFont="1" applyFill="1" applyBorder="1" applyAlignment="1">
      <alignment horizontal="left" vertical="center" wrapText="1"/>
    </xf>
    <xf numFmtId="0" fontId="55" fillId="51" borderId="47" xfId="0" applyFont="1" applyFill="1" applyBorder="1" applyAlignment="1">
      <alignment horizontal="left" vertical="center" wrapText="1"/>
    </xf>
    <xf numFmtId="38" fontId="0" fillId="0" borderId="0" xfId="0" applyNumberFormat="1"/>
    <xf numFmtId="0" fontId="0" fillId="56" borderId="0" xfId="0" applyFill="1"/>
    <xf numFmtId="0" fontId="54" fillId="62" borderId="35" xfId="41" applyFont="1" applyFill="1" applyBorder="1" applyAlignment="1">
      <alignment horizontal="left" vertical="center"/>
    </xf>
    <xf numFmtId="0" fontId="54" fillId="62" borderId="8" xfId="41" applyFont="1" applyFill="1" applyBorder="1" applyAlignment="1">
      <alignment horizontal="left" vertical="center"/>
    </xf>
    <xf numFmtId="0" fontId="13" fillId="56" borderId="8" xfId="0" applyFont="1" applyFill="1" applyBorder="1"/>
    <xf numFmtId="0" fontId="0" fillId="63" borderId="0" xfId="0" applyFill="1"/>
    <xf numFmtId="0" fontId="2" fillId="0" borderId="0" xfId="0" applyFont="1" applyAlignment="1">
      <alignment horizontal="center"/>
    </xf>
    <xf numFmtId="0" fontId="6" fillId="59" borderId="0" xfId="0" applyFont="1" applyFill="1"/>
    <xf numFmtId="167" fontId="0" fillId="0" borderId="0" xfId="9" applyNumberFormat="1" applyFont="1"/>
    <xf numFmtId="0" fontId="6" fillId="56" borderId="0" xfId="0" applyFont="1" applyFill="1"/>
    <xf numFmtId="0" fontId="6" fillId="56" borderId="0" xfId="0" quotePrefix="1" applyFont="1" applyFill="1" applyAlignment="1">
      <alignment horizontal="left"/>
    </xf>
    <xf numFmtId="0" fontId="6" fillId="30" borderId="0" xfId="0" applyFont="1" applyFill="1"/>
    <xf numFmtId="43" fontId="0" fillId="0" borderId="0" xfId="9" applyFont="1" applyFill="1"/>
    <xf numFmtId="0" fontId="2" fillId="54" borderId="0" xfId="0" applyFont="1" applyFill="1" applyAlignment="1">
      <alignment horizontal="center" vertical="center" wrapText="1"/>
    </xf>
    <xf numFmtId="167" fontId="0" fillId="4" borderId="0" xfId="9" applyNumberFormat="1" applyFont="1" applyFill="1"/>
    <xf numFmtId="0" fontId="0" fillId="0" borderId="0" xfId="0" applyAlignment="1">
      <alignment wrapText="1"/>
    </xf>
    <xf numFmtId="0" fontId="11" fillId="0" borderId="0" xfId="0" applyFont="1" applyAlignment="1">
      <alignment wrapText="1"/>
    </xf>
    <xf numFmtId="44" fontId="0" fillId="0" borderId="0" xfId="1" applyFont="1" applyAlignment="1">
      <alignment wrapText="1"/>
    </xf>
    <xf numFmtId="44" fontId="0" fillId="15" borderId="6" xfId="8" applyNumberFormat="1" applyFont="1" applyAlignment="1">
      <alignment vertical="center"/>
    </xf>
    <xf numFmtId="43" fontId="0" fillId="13" borderId="36" xfId="9" quotePrefix="1" applyFont="1" applyFill="1" applyBorder="1" applyAlignment="1">
      <alignment vertical="center"/>
    </xf>
    <xf numFmtId="44" fontId="0" fillId="0" borderId="0" xfId="1" applyFont="1" applyAlignment="1">
      <alignment vertical="center"/>
    </xf>
    <xf numFmtId="44" fontId="0" fillId="64" borderId="11" xfId="1" applyFont="1" applyFill="1" applyBorder="1"/>
    <xf numFmtId="0" fontId="0" fillId="64" borderId="0" xfId="0" applyFill="1"/>
    <xf numFmtId="0" fontId="0" fillId="64" borderId="12" xfId="0" applyFill="1" applyBorder="1"/>
    <xf numFmtId="43" fontId="20" fillId="64" borderId="11" xfId="9" applyFont="1" applyFill="1" applyBorder="1"/>
    <xf numFmtId="44" fontId="20" fillId="64" borderId="11" xfId="4" applyNumberFormat="1" applyFont="1" applyFill="1" applyBorder="1"/>
    <xf numFmtId="44" fontId="20" fillId="64" borderId="0" xfId="4" applyNumberFormat="1" applyFont="1" applyFill="1" applyBorder="1"/>
    <xf numFmtId="44" fontId="20" fillId="64" borderId="12" xfId="4" applyNumberFormat="1" applyFont="1" applyFill="1" applyBorder="1"/>
    <xf numFmtId="0" fontId="0" fillId="64" borderId="11" xfId="0" applyFill="1" applyBorder="1"/>
    <xf numFmtId="0" fontId="0" fillId="64" borderId="2" xfId="0" applyFill="1" applyBorder="1" applyAlignment="1">
      <alignment horizontal="center" vertical="center"/>
    </xf>
    <xf numFmtId="0" fontId="0" fillId="0" borderId="12" xfId="0" applyBorder="1"/>
    <xf numFmtId="0" fontId="0" fillId="65" borderId="2" xfId="0" applyFill="1" applyBorder="1" applyAlignment="1">
      <alignment horizontal="center" wrapText="1"/>
    </xf>
    <xf numFmtId="0" fontId="0" fillId="0" borderId="30" xfId="0" applyBorder="1" applyAlignment="1">
      <alignment horizontal="left" vertical="center" wrapText="1"/>
    </xf>
    <xf numFmtId="0" fontId="0" fillId="0" borderId="0" xfId="0" applyAlignment="1">
      <alignment horizontal="left" vertical="center" wrapText="1"/>
    </xf>
    <xf numFmtId="0" fontId="0" fillId="0" borderId="31" xfId="0" applyBorder="1" applyAlignment="1">
      <alignment horizontal="left" vertical="center" wrapText="1"/>
    </xf>
    <xf numFmtId="0" fontId="0" fillId="66" borderId="0" xfId="0" applyFill="1" applyAlignment="1">
      <alignment vertical="center"/>
    </xf>
    <xf numFmtId="0" fontId="0" fillId="0" borderId="0" xfId="0" applyAlignment="1">
      <alignment horizontal="left" vertical="top" wrapText="1"/>
    </xf>
    <xf numFmtId="0" fontId="0" fillId="66" borderId="0" xfId="0" applyFill="1"/>
    <xf numFmtId="0" fontId="1" fillId="66" borderId="0" xfId="0" applyFont="1" applyFill="1" applyAlignment="1">
      <alignment vertical="center"/>
    </xf>
    <xf numFmtId="44" fontId="0" fillId="66" borderId="0" xfId="1" applyFont="1" applyFill="1"/>
    <xf numFmtId="0" fontId="1" fillId="66" borderId="0" xfId="0" applyFont="1" applyFill="1"/>
    <xf numFmtId="44" fontId="2" fillId="0" borderId="0" xfId="1" applyFont="1" applyFill="1" applyAlignment="1">
      <alignment vertical="top"/>
    </xf>
    <xf numFmtId="0" fontId="0" fillId="0" borderId="45" xfId="0" applyBorder="1" applyAlignment="1">
      <alignment vertical="top"/>
    </xf>
    <xf numFmtId="0" fontId="0" fillId="0" borderId="0" xfId="0" applyAlignment="1">
      <alignment vertical="top"/>
    </xf>
    <xf numFmtId="0" fontId="0" fillId="0" borderId="12" xfId="0" applyBorder="1" applyAlignment="1">
      <alignment vertical="top"/>
    </xf>
    <xf numFmtId="44" fontId="0" fillId="66" borderId="0" xfId="1" applyFont="1" applyFill="1" applyBorder="1"/>
    <xf numFmtId="44" fontId="0" fillId="0" borderId="0" xfId="1" applyFont="1" applyFill="1" applyBorder="1"/>
    <xf numFmtId="0" fontId="1" fillId="0" borderId="9" xfId="0" applyFont="1" applyBorder="1" applyAlignment="1">
      <alignment horizontal="center" vertical="center"/>
    </xf>
    <xf numFmtId="0" fontId="0" fillId="0" borderId="45" xfId="0" applyBorder="1"/>
    <xf numFmtId="0" fontId="50" fillId="66" borderId="45" xfId="0" applyFont="1" applyFill="1" applyBorder="1" applyAlignment="1">
      <alignment horizontal="center" vertical="center" wrapText="1"/>
    </xf>
    <xf numFmtId="44" fontId="1" fillId="66" borderId="0" xfId="1" applyFont="1" applyFill="1" applyBorder="1"/>
    <xf numFmtId="0" fontId="0" fillId="66" borderId="11" xfId="0" applyFill="1" applyBorder="1" applyAlignment="1">
      <alignment vertical="center"/>
    </xf>
    <xf numFmtId="43" fontId="0" fillId="66" borderId="0" xfId="9" applyFont="1" applyFill="1" applyBorder="1"/>
    <xf numFmtId="0" fontId="0" fillId="66" borderId="11" xfId="0" applyFill="1" applyBorder="1"/>
    <xf numFmtId="0" fontId="0" fillId="0" borderId="17" xfId="0" applyBorder="1"/>
    <xf numFmtId="0" fontId="0" fillId="0" borderId="14" xfId="0" applyBorder="1"/>
    <xf numFmtId="44" fontId="0" fillId="0" borderId="0" xfId="1" applyFont="1" applyBorder="1"/>
    <xf numFmtId="0" fontId="30" fillId="57" borderId="0" xfId="0" applyFont="1" applyFill="1"/>
    <xf numFmtId="0" fontId="0" fillId="57" borderId="0" xfId="0" applyFill="1" applyAlignment="1">
      <alignment vertical="center"/>
    </xf>
    <xf numFmtId="0" fontId="7" fillId="0" borderId="0" xfId="5" applyFill="1" applyAlignment="1" applyProtection="1">
      <alignment horizontal="left" indent="1"/>
    </xf>
    <xf numFmtId="0" fontId="90" fillId="0" borderId="0" xfId="0" applyFont="1"/>
    <xf numFmtId="10" fontId="30" fillId="0" borderId="0" xfId="2" applyNumberFormat="1" applyFont="1" applyFill="1"/>
    <xf numFmtId="0" fontId="6" fillId="67" borderId="0" xfId="0" quotePrefix="1" applyFont="1" applyFill="1" applyAlignment="1">
      <alignment horizontal="center" vertical="center"/>
    </xf>
    <xf numFmtId="38" fontId="18" fillId="0" borderId="0" xfId="0" applyNumberFormat="1" applyFont="1"/>
    <xf numFmtId="0" fontId="6" fillId="67" borderId="0" xfId="0" quotePrefix="1" applyFont="1" applyFill="1" applyAlignment="1">
      <alignment horizontal="left" vertical="top"/>
    </xf>
    <xf numFmtId="0" fontId="6" fillId="68" borderId="0" xfId="0" quotePrefix="1" applyFont="1" applyFill="1" applyAlignment="1">
      <alignment horizontal="center" vertical="center"/>
    </xf>
    <xf numFmtId="0" fontId="6" fillId="67" borderId="0" xfId="0" quotePrefix="1" applyFont="1" applyFill="1" applyAlignment="1">
      <alignment horizontal="left" vertical="center"/>
    </xf>
    <xf numFmtId="43" fontId="0" fillId="66" borderId="0" xfId="9" applyFont="1" applyFill="1" applyAlignment="1">
      <alignment horizontal="center"/>
    </xf>
    <xf numFmtId="44" fontId="0" fillId="66" borderId="0" xfId="0" applyNumberFormat="1" applyFill="1" applyAlignment="1">
      <alignment horizontal="center"/>
    </xf>
    <xf numFmtId="43" fontId="0" fillId="66" borderId="0" xfId="9" applyFont="1" applyFill="1"/>
    <xf numFmtId="0" fontId="26" fillId="0" borderId="0" xfId="246" applyFont="1"/>
    <xf numFmtId="0" fontId="26" fillId="0" borderId="0" xfId="246" quotePrefix="1" applyFont="1"/>
    <xf numFmtId="0" fontId="6" fillId="0" borderId="0" xfId="246" applyFont="1"/>
    <xf numFmtId="0" fontId="0" fillId="0" borderId="0" xfId="0" quotePrefix="1" applyAlignment="1">
      <alignment horizontal="left"/>
    </xf>
    <xf numFmtId="0" fontId="6" fillId="0" borderId="0" xfId="246" quotePrefix="1" applyFont="1"/>
    <xf numFmtId="0" fontId="6" fillId="59" borderId="0" xfId="246" applyFont="1" applyFill="1"/>
    <xf numFmtId="0" fontId="12" fillId="70" borderId="0" xfId="0" applyFont="1" applyFill="1"/>
    <xf numFmtId="0" fontId="12" fillId="70" borderId="0" xfId="0" applyFont="1" applyFill="1" applyAlignment="1">
      <alignment horizontal="left"/>
    </xf>
    <xf numFmtId="0" fontId="12" fillId="70" borderId="0" xfId="0" applyFont="1" applyFill="1" applyAlignment="1">
      <alignment horizontal="left" vertical="center"/>
    </xf>
    <xf numFmtId="0" fontId="12" fillId="70" borderId="0" xfId="0" applyFont="1" applyFill="1" applyAlignment="1">
      <alignment horizontal="center" vertical="center"/>
    </xf>
    <xf numFmtId="49" fontId="26" fillId="70" borderId="0" xfId="0" applyNumberFormat="1" applyFont="1" applyFill="1" applyAlignment="1">
      <alignment horizontal="left"/>
    </xf>
    <xf numFmtId="0" fontId="26" fillId="70" borderId="0" xfId="0" applyFont="1" applyFill="1" applyAlignment="1">
      <alignment horizontal="left"/>
    </xf>
    <xf numFmtId="49" fontId="12" fillId="70" borderId="0" xfId="0" applyNumberFormat="1" applyFont="1" applyFill="1" applyAlignment="1">
      <alignment horizontal="left" vertical="center"/>
    </xf>
    <xf numFmtId="0" fontId="26" fillId="70" borderId="0" xfId="0" quotePrefix="1" applyFont="1" applyFill="1"/>
    <xf numFmtId="0" fontId="26" fillId="70" borderId="0" xfId="0" applyFont="1" applyFill="1"/>
    <xf numFmtId="49" fontId="12" fillId="70" borderId="0" xfId="0" applyNumberFormat="1" applyFont="1" applyFill="1" applyAlignment="1">
      <alignment horizontal="left"/>
    </xf>
    <xf numFmtId="0" fontId="6" fillId="68" borderId="0" xfId="0" quotePrefix="1" applyFont="1" applyFill="1"/>
    <xf numFmtId="0" fontId="26" fillId="70" borderId="0" xfId="246" quotePrefix="1" applyFont="1" applyFill="1"/>
    <xf numFmtId="0" fontId="80" fillId="66" borderId="0" xfId="0" applyFont="1" applyFill="1" applyAlignment="1">
      <alignment horizontal="center" vertical="center" wrapText="1"/>
    </xf>
    <xf numFmtId="168" fontId="26" fillId="0" borderId="0" xfId="7" applyNumberFormat="1" applyFont="1" applyFill="1"/>
    <xf numFmtId="0" fontId="2" fillId="0" borderId="0" xfId="5337" applyAlignment="1">
      <alignment horizontal="center" vertical="center" wrapText="1"/>
    </xf>
    <xf numFmtId="0" fontId="2" fillId="0" borderId="0" xfId="5337" applyAlignment="1">
      <alignment horizontal="center" vertical="center"/>
    </xf>
    <xf numFmtId="167" fontId="0" fillId="0" borderId="0" xfId="0" applyNumberFormat="1"/>
    <xf numFmtId="0" fontId="91" fillId="0" borderId="0" xfId="0" applyFont="1"/>
    <xf numFmtId="0" fontId="55" fillId="4" borderId="46" xfId="0" applyFont="1" applyFill="1" applyBorder="1" applyAlignment="1">
      <alignment horizontal="left" vertical="center" wrapText="1"/>
    </xf>
    <xf numFmtId="0" fontId="64" fillId="71" borderId="42" xfId="0" applyFont="1" applyFill="1" applyBorder="1" applyAlignment="1">
      <alignment vertical="center" wrapText="1"/>
    </xf>
    <xf numFmtId="0" fontId="65" fillId="71" borderId="48" xfId="0" applyFont="1" applyFill="1" applyBorder="1" applyAlignment="1">
      <alignment vertical="center" wrapText="1"/>
    </xf>
    <xf numFmtId="0" fontId="55" fillId="71" borderId="49" xfId="0" applyFont="1" applyFill="1" applyBorder="1" applyAlignment="1">
      <alignment horizontal="left" vertical="center" wrapText="1"/>
    </xf>
    <xf numFmtId="0" fontId="55" fillId="71" borderId="50" xfId="0" applyFont="1" applyFill="1" applyBorder="1" applyAlignment="1">
      <alignment horizontal="left" vertical="center" wrapText="1"/>
    </xf>
    <xf numFmtId="0" fontId="55" fillId="71" borderId="48" xfId="0" applyFont="1" applyFill="1" applyBorder="1" applyAlignment="1">
      <alignment horizontal="left" vertical="center" wrapText="1"/>
    </xf>
    <xf numFmtId="0" fontId="50" fillId="72" borderId="51" xfId="0" applyFont="1" applyFill="1" applyBorder="1" applyAlignment="1">
      <alignment vertical="center" wrapText="1"/>
    </xf>
    <xf numFmtId="44" fontId="0" fillId="4" borderId="0" xfId="1" applyFont="1" applyFill="1" applyBorder="1"/>
    <xf numFmtId="0" fontId="10" fillId="55" borderId="0" xfId="0" applyFont="1" applyFill="1" applyAlignment="1">
      <alignment horizontal="centerContinuous" vertical="center" wrapText="1"/>
    </xf>
    <xf numFmtId="0" fontId="0" fillId="55" borderId="0" xfId="0" applyFill="1" applyAlignment="1">
      <alignment horizontal="centerContinuous" vertical="center"/>
    </xf>
    <xf numFmtId="166" fontId="0" fillId="0" borderId="0" xfId="0" applyNumberFormat="1"/>
    <xf numFmtId="169" fontId="0" fillId="0" borderId="0" xfId="0" applyNumberFormat="1" applyAlignment="1">
      <alignment horizontal="center" vertical="center"/>
    </xf>
    <xf numFmtId="40" fontId="12" fillId="0" borderId="0" xfId="0" applyNumberFormat="1" applyFont="1"/>
    <xf numFmtId="0" fontId="92" fillId="0" borderId="0" xfId="0" applyFont="1"/>
    <xf numFmtId="0" fontId="7" fillId="0" borderId="0" xfId="5" applyAlignment="1" applyProtection="1">
      <alignment horizontal="left" indent="1"/>
    </xf>
    <xf numFmtId="0" fontId="7" fillId="0" borderId="0" xfId="5" applyFill="1" applyAlignment="1" applyProtection="1"/>
    <xf numFmtId="0" fontId="93" fillId="0" borderId="0" xfId="0" applyFont="1"/>
    <xf numFmtId="44" fontId="93" fillId="0" borderId="0" xfId="1" applyFont="1" applyFill="1"/>
    <xf numFmtId="0" fontId="94" fillId="0" borderId="0" xfId="0" applyFont="1"/>
    <xf numFmtId="0" fontId="95" fillId="0" borderId="0" xfId="0" applyFont="1"/>
    <xf numFmtId="44" fontId="55" fillId="0" borderId="0" xfId="1" applyFont="1" applyFill="1" applyBorder="1"/>
    <xf numFmtId="44" fontId="97" fillId="0" borderId="42" xfId="4" applyNumberFormat="1" applyFont="1" applyFill="1" applyBorder="1" applyAlignment="1">
      <alignment horizontal="center"/>
    </xf>
    <xf numFmtId="44" fontId="95" fillId="0" borderId="50" xfId="1" applyFont="1" applyFill="1" applyBorder="1"/>
    <xf numFmtId="44" fontId="96" fillId="0" borderId="50" xfId="4" applyNumberFormat="1" applyFont="1" applyFill="1" applyBorder="1"/>
    <xf numFmtId="0" fontId="95" fillId="0" borderId="50" xfId="0" applyFont="1" applyBorder="1"/>
    <xf numFmtId="44" fontId="98" fillId="0" borderId="50" xfId="1" applyFont="1" applyFill="1" applyBorder="1"/>
    <xf numFmtId="44" fontId="58" fillId="0" borderId="0" xfId="1" applyFont="1" applyFill="1" applyBorder="1"/>
    <xf numFmtId="0" fontId="0" fillId="0" borderId="50" xfId="0" applyBorder="1"/>
    <xf numFmtId="0" fontId="58" fillId="0" borderId="0" xfId="0" applyFont="1" applyAlignment="1">
      <alignment horizontal="left" vertical="center" readingOrder="1"/>
    </xf>
    <xf numFmtId="44" fontId="58" fillId="9" borderId="2" xfId="1" applyFont="1" applyFill="1" applyBorder="1"/>
    <xf numFmtId="44" fontId="55" fillId="9" borderId="2" xfId="0" applyNumberFormat="1" applyFont="1" applyFill="1" applyBorder="1"/>
    <xf numFmtId="44" fontId="95" fillId="56" borderId="50" xfId="1" applyFont="1" applyFill="1" applyBorder="1"/>
    <xf numFmtId="0" fontId="50" fillId="0" borderId="0" xfId="0" applyFont="1" applyAlignment="1">
      <alignment vertical="center"/>
    </xf>
    <xf numFmtId="0" fontId="30" fillId="53" borderId="0" xfId="0" applyFont="1" applyFill="1" applyAlignment="1">
      <alignment horizontal="left" vertical="top" wrapText="1"/>
    </xf>
    <xf numFmtId="4" fontId="2" fillId="0" borderId="0" xfId="246" applyNumberFormat="1"/>
    <xf numFmtId="0" fontId="87" fillId="0" borderId="0" xfId="3921" applyFont="1"/>
    <xf numFmtId="0" fontId="6" fillId="0" borderId="0" xfId="3921" applyFont="1"/>
    <xf numFmtId="43" fontId="6" fillId="0" borderId="0" xfId="3921" applyNumberFormat="1" applyFont="1"/>
    <xf numFmtId="0" fontId="6" fillId="5" borderId="0" xfId="0" quotePrefix="1" applyFont="1" applyFill="1" applyAlignment="1">
      <alignment horizontal="center"/>
    </xf>
    <xf numFmtId="0" fontId="6" fillId="5" borderId="0" xfId="0" applyFont="1" applyFill="1" applyAlignment="1">
      <alignment horizontal="center"/>
    </xf>
    <xf numFmtId="0" fontId="6" fillId="5" borderId="0" xfId="0" applyFont="1" applyFill="1"/>
    <xf numFmtId="0" fontId="6" fillId="8" borderId="0" xfId="0" applyFont="1" applyFill="1"/>
    <xf numFmtId="0" fontId="2" fillId="55" borderId="0" xfId="5336" applyFill="1" applyAlignment="1">
      <alignment horizontal="center" vertical="center" wrapText="1"/>
    </xf>
    <xf numFmtId="0" fontId="6" fillId="0" borderId="0" xfId="0" applyFont="1" applyAlignment="1">
      <alignment vertical="top"/>
    </xf>
    <xf numFmtId="41" fontId="6" fillId="0" borderId="0" xfId="0" applyNumberFormat="1" applyFont="1"/>
    <xf numFmtId="41" fontId="6" fillId="0" borderId="0" xfId="7" applyNumberFormat="1" applyFont="1"/>
    <xf numFmtId="165" fontId="6" fillId="0" borderId="0" xfId="7" applyNumberFormat="1" applyFont="1"/>
    <xf numFmtId="41" fontId="6" fillId="0" borderId="0" xfId="7" applyNumberFormat="1" applyFont="1" applyFill="1"/>
    <xf numFmtId="0" fontId="6" fillId="29" borderId="0" xfId="246" applyFont="1" applyFill="1"/>
    <xf numFmtId="0" fontId="6" fillId="29" borderId="0" xfId="246" quotePrefix="1" applyFont="1" applyFill="1"/>
    <xf numFmtId="0" fontId="2" fillId="29" borderId="0" xfId="5339" applyFill="1"/>
    <xf numFmtId="0" fontId="26" fillId="0" borderId="0" xfId="0" applyFont="1" applyAlignment="1">
      <alignment vertical="top"/>
    </xf>
    <xf numFmtId="168" fontId="26" fillId="0" borderId="0" xfId="0" applyNumberFormat="1" applyFont="1" applyAlignment="1">
      <alignment horizontal="left" vertical="top"/>
    </xf>
    <xf numFmtId="0" fontId="12" fillId="0" borderId="0" xfId="5340" applyFont="1"/>
    <xf numFmtId="10" fontId="6" fillId="0" borderId="0" xfId="0" applyNumberFormat="1" applyFont="1"/>
    <xf numFmtId="10" fontId="10" fillId="0" borderId="0" xfId="0" applyNumberFormat="1" applyFont="1"/>
    <xf numFmtId="10" fontId="6" fillId="48" borderId="0" xfId="2" applyNumberFormat="1" applyFont="1" applyFill="1"/>
    <xf numFmtId="10" fontId="6" fillId="0" borderId="0" xfId="2" applyNumberFormat="1" applyFont="1"/>
    <xf numFmtId="0" fontId="100" fillId="0" borderId="0" xfId="246" applyFont="1"/>
    <xf numFmtId="10" fontId="10" fillId="48" borderId="0" xfId="0" applyNumberFormat="1" applyFont="1" applyFill="1"/>
    <xf numFmtId="49" fontId="13" fillId="10" borderId="37" xfId="0" applyNumberFormat="1" applyFont="1" applyFill="1" applyBorder="1" applyAlignment="1">
      <alignment horizontal="center"/>
    </xf>
    <xf numFmtId="0" fontId="13" fillId="10" borderId="2" xfId="0" applyFont="1" applyFill="1" applyBorder="1" applyAlignment="1">
      <alignment horizontal="center"/>
    </xf>
    <xf numFmtId="0" fontId="13" fillId="10" borderId="0" xfId="0" applyFont="1" applyFill="1" applyAlignment="1">
      <alignment horizontal="center" vertical="center"/>
    </xf>
    <xf numFmtId="0" fontId="13" fillId="10" borderId="0" xfId="0" applyFont="1" applyFill="1" applyAlignment="1">
      <alignment horizontal="center"/>
    </xf>
    <xf numFmtId="49" fontId="6" fillId="0" borderId="0" xfId="0" applyNumberFormat="1" applyFont="1" applyAlignment="1">
      <alignment horizontal="left"/>
    </xf>
    <xf numFmtId="49" fontId="0" fillId="48" borderId="0" xfId="0" applyNumberFormat="1" applyFill="1" applyAlignment="1">
      <alignment horizontal="left" vertical="center"/>
    </xf>
    <xf numFmtId="0" fontId="0" fillId="48" borderId="0" xfId="0" applyFill="1" applyAlignment="1">
      <alignment horizontal="left" vertical="center"/>
    </xf>
    <xf numFmtId="0" fontId="6" fillId="61" borderId="0" xfId="0" quotePrefix="1" applyFont="1" applyFill="1"/>
    <xf numFmtId="0" fontId="6" fillId="61" borderId="0" xfId="0" applyFont="1" applyFill="1"/>
    <xf numFmtId="0" fontId="0" fillId="70" borderId="0" xfId="0" applyFill="1" applyAlignment="1">
      <alignment horizontal="center" vertical="center"/>
    </xf>
    <xf numFmtId="0" fontId="6" fillId="48" borderId="0" xfId="246" quotePrefix="1" applyFont="1" applyFill="1"/>
    <xf numFmtId="0" fontId="100" fillId="48" borderId="0" xfId="246" applyFont="1" applyFill="1"/>
    <xf numFmtId="49" fontId="0" fillId="0" borderId="0" xfId="0" applyNumberFormat="1" applyAlignment="1">
      <alignment horizontal="left" vertical="center"/>
    </xf>
    <xf numFmtId="0" fontId="0" fillId="29" borderId="0" xfId="3920" applyFont="1" applyFill="1"/>
    <xf numFmtId="49" fontId="0" fillId="29" borderId="0" xfId="0" applyNumberFormat="1" applyFill="1" applyAlignment="1">
      <alignment horizontal="left"/>
    </xf>
    <xf numFmtId="0" fontId="6" fillId="48" borderId="0" xfId="246" applyFont="1" applyFill="1"/>
    <xf numFmtId="49" fontId="6" fillId="29" borderId="0" xfId="3927" applyNumberFormat="1" applyFont="1" applyFill="1" applyAlignment="1">
      <alignment horizontal="left"/>
    </xf>
    <xf numFmtId="0" fontId="0" fillId="29" borderId="0" xfId="0" applyFill="1" applyAlignment="1">
      <alignment horizontal="left"/>
    </xf>
    <xf numFmtId="0" fontId="6" fillId="0" borderId="5" xfId="0" applyFont="1" applyBorder="1" applyAlignment="1">
      <alignment horizontal="left"/>
    </xf>
    <xf numFmtId="0" fontId="0" fillId="30" borderId="0" xfId="0" applyFill="1" applyAlignment="1">
      <alignment horizontal="left" vertical="center"/>
    </xf>
    <xf numFmtId="49" fontId="14" fillId="0" borderId="0" xfId="0" applyNumberFormat="1" applyFont="1" applyAlignment="1">
      <alignment horizontal="center"/>
    </xf>
    <xf numFmtId="0" fontId="14" fillId="0" borderId="0" xfId="0" applyFont="1" applyAlignment="1">
      <alignment horizontal="center"/>
    </xf>
    <xf numFmtId="49" fontId="26" fillId="0" borderId="0" xfId="0" applyNumberFormat="1" applyFont="1" applyAlignment="1">
      <alignment horizontal="left"/>
    </xf>
    <xf numFmtId="49" fontId="12" fillId="0" borderId="0" xfId="0" applyNumberFormat="1" applyFont="1" applyAlignment="1">
      <alignment horizontal="left" vertical="center"/>
    </xf>
    <xf numFmtId="0" fontId="26" fillId="0" borderId="0" xfId="0" quotePrefix="1" applyFont="1"/>
    <xf numFmtId="0" fontId="12" fillId="0" borderId="0" xfId="3920" applyFont="1"/>
    <xf numFmtId="49" fontId="12" fillId="0" borderId="0" xfId="0" applyNumberFormat="1" applyFont="1" applyAlignment="1">
      <alignment horizontal="left"/>
    </xf>
    <xf numFmtId="49" fontId="26" fillId="0" borderId="0" xfId="3927" applyNumberFormat="1" applyFont="1" applyAlignment="1">
      <alignment horizontal="left"/>
    </xf>
    <xf numFmtId="0" fontId="12" fillId="0" borderId="0" xfId="0" applyFont="1" applyAlignment="1">
      <alignment horizontal="left"/>
    </xf>
    <xf numFmtId="0" fontId="12" fillId="0" borderId="2" xfId="0" applyFont="1" applyBorder="1" applyAlignment="1">
      <alignment horizontal="center" vertical="center"/>
    </xf>
    <xf numFmtId="49" fontId="13" fillId="10" borderId="37" xfId="0" applyNumberFormat="1" applyFont="1" applyFill="1" applyBorder="1" applyAlignment="1">
      <alignment horizontal="center" vertical="center"/>
    </xf>
    <xf numFmtId="49" fontId="6" fillId="0" borderId="0" xfId="0" applyNumberFormat="1" applyFont="1" applyAlignment="1">
      <alignment horizontal="center" vertical="center"/>
    </xf>
    <xf numFmtId="0" fontId="6" fillId="29" borderId="0" xfId="0" applyFont="1" applyFill="1" applyAlignment="1">
      <alignment horizontal="center" vertical="center"/>
    </xf>
    <xf numFmtId="49" fontId="0" fillId="48" borderId="0" xfId="0" applyNumberFormat="1" applyFill="1" applyAlignment="1">
      <alignment horizontal="center" vertical="center"/>
    </xf>
    <xf numFmtId="0" fontId="6" fillId="61" borderId="0" xfId="0" quotePrefix="1" applyFont="1" applyFill="1" applyAlignment="1">
      <alignment horizontal="center" vertical="center"/>
    </xf>
    <xf numFmtId="0" fontId="6" fillId="61" borderId="0" xfId="0" applyFont="1" applyFill="1" applyAlignment="1">
      <alignment horizontal="center" vertical="center"/>
    </xf>
    <xf numFmtId="0" fontId="6" fillId="48" borderId="0" xfId="246" quotePrefix="1" applyFont="1" applyFill="1" applyAlignment="1">
      <alignment horizontal="center" vertical="center"/>
    </xf>
    <xf numFmtId="49" fontId="0" fillId="0" borderId="0" xfId="0" applyNumberFormat="1" applyAlignment="1">
      <alignment horizontal="center" vertical="center"/>
    </xf>
    <xf numFmtId="0" fontId="0" fillId="29" borderId="0" xfId="3920" applyFont="1" applyFill="1" applyAlignment="1">
      <alignment horizontal="center" vertical="center"/>
    </xf>
    <xf numFmtId="49" fontId="0" fillId="29" borderId="0" xfId="0" applyNumberFormat="1" applyFill="1" applyAlignment="1">
      <alignment horizontal="center" vertical="center"/>
    </xf>
    <xf numFmtId="0" fontId="6" fillId="29" borderId="0" xfId="246" applyFont="1" applyFill="1" applyAlignment="1">
      <alignment horizontal="center" vertical="center"/>
    </xf>
    <xf numFmtId="49" fontId="6" fillId="29" borderId="0" xfId="3927" applyNumberFormat="1" applyFont="1" applyFill="1" applyAlignment="1">
      <alignment horizontal="center" vertical="center"/>
    </xf>
    <xf numFmtId="0" fontId="0" fillId="29" borderId="0" xfId="0" applyFill="1" applyAlignment="1">
      <alignment horizontal="center" vertical="center"/>
    </xf>
    <xf numFmtId="0" fontId="6" fillId="29" borderId="0" xfId="246" quotePrefix="1" applyFont="1" applyFill="1" applyAlignment="1">
      <alignment horizontal="center" vertical="center"/>
    </xf>
    <xf numFmtId="0" fontId="7" fillId="0" borderId="0" xfId="5" applyAlignment="1" applyProtection="1">
      <alignment vertical="center"/>
    </xf>
    <xf numFmtId="44" fontId="58" fillId="9" borderId="3" xfId="1" applyFont="1" applyFill="1" applyBorder="1"/>
    <xf numFmtId="44" fontId="95" fillId="0" borderId="50" xfId="0" applyNumberFormat="1" applyFont="1" applyBorder="1"/>
    <xf numFmtId="0" fontId="6" fillId="0" borderId="30" xfId="0" applyFont="1" applyBorder="1" applyAlignment="1">
      <alignment horizontal="center" vertical="center" wrapText="1"/>
    </xf>
    <xf numFmtId="0" fontId="95" fillId="0" borderId="30" xfId="0" applyFont="1" applyBorder="1" applyAlignment="1">
      <alignment horizontal="center" vertical="center" wrapText="1"/>
    </xf>
    <xf numFmtId="44" fontId="58" fillId="74" borderId="2" xfId="1" applyFont="1" applyFill="1" applyBorder="1"/>
    <xf numFmtId="44" fontId="58" fillId="74" borderId="3" xfId="1" applyFont="1" applyFill="1" applyBorder="1"/>
    <xf numFmtId="0" fontId="94" fillId="74" borderId="2" xfId="0" applyFont="1" applyFill="1" applyBorder="1"/>
    <xf numFmtId="0" fontId="94" fillId="74" borderId="3" xfId="0" applyFont="1" applyFill="1" applyBorder="1"/>
    <xf numFmtId="44" fontId="55" fillId="74" borderId="2" xfId="1" applyFont="1" applyFill="1" applyBorder="1"/>
    <xf numFmtId="44" fontId="55" fillId="74" borderId="3" xfId="1" applyFont="1" applyFill="1" applyBorder="1"/>
    <xf numFmtId="0" fontId="11" fillId="74" borderId="0" xfId="0" applyFont="1" applyFill="1" applyAlignment="1">
      <alignment vertical="center" wrapText="1"/>
    </xf>
    <xf numFmtId="0" fontId="11" fillId="0" borderId="0" xfId="0" applyFont="1" applyAlignment="1">
      <alignment vertical="center"/>
    </xf>
    <xf numFmtId="0" fontId="99" fillId="73" borderId="0" xfId="0" applyFont="1" applyFill="1" applyAlignment="1">
      <alignment vertical="center" wrapText="1"/>
    </xf>
    <xf numFmtId="0" fontId="6" fillId="0" borderId="0" xfId="0" applyFont="1" applyAlignment="1">
      <alignment horizontal="left" vertical="center" wrapText="1" readingOrder="1"/>
    </xf>
    <xf numFmtId="0" fontId="6" fillId="0" borderId="39" xfId="0" applyFont="1" applyBorder="1"/>
    <xf numFmtId="0" fontId="6" fillId="0" borderId="40" xfId="0" applyFont="1" applyBorder="1"/>
    <xf numFmtId="0" fontId="6" fillId="0" borderId="41" xfId="0" applyFont="1" applyBorder="1"/>
    <xf numFmtId="0" fontId="6" fillId="0" borderId="31" xfId="0" applyFont="1" applyBorder="1"/>
    <xf numFmtId="0" fontId="95" fillId="0" borderId="30" xfId="0" applyFont="1" applyBorder="1" applyAlignment="1">
      <alignment horizontal="center" vertical="center" wrapText="1" readingOrder="1"/>
    </xf>
    <xf numFmtId="0" fontId="95" fillId="0" borderId="30" xfId="0" applyFont="1" applyBorder="1"/>
    <xf numFmtId="0" fontId="6" fillId="0" borderId="32" xfId="0" applyFont="1" applyBorder="1"/>
    <xf numFmtId="0" fontId="6" fillId="0" borderId="33" xfId="0" applyFont="1" applyBorder="1"/>
    <xf numFmtId="0" fontId="6" fillId="0" borderId="34" xfId="0" applyFont="1" applyBorder="1"/>
    <xf numFmtId="0" fontId="6" fillId="0" borderId="0" xfId="0" applyFont="1" applyAlignment="1">
      <alignment vertical="center" readingOrder="1"/>
    </xf>
    <xf numFmtId="0" fontId="6" fillId="0" borderId="0" xfId="0" quotePrefix="1" applyFont="1" applyAlignment="1">
      <alignment horizontal="left"/>
    </xf>
    <xf numFmtId="49" fontId="0" fillId="0" borderId="0" xfId="0" quotePrefix="1" applyNumberFormat="1" applyAlignment="1">
      <alignment horizontal="left"/>
    </xf>
    <xf numFmtId="49" fontId="6" fillId="70" borderId="0" xfId="0" applyNumberFormat="1" applyFont="1" applyFill="1" applyAlignment="1">
      <alignment horizontal="left"/>
    </xf>
    <xf numFmtId="0" fontId="6" fillId="70" borderId="0" xfId="0" applyFont="1" applyFill="1" applyAlignment="1">
      <alignment horizontal="left"/>
    </xf>
    <xf numFmtId="49" fontId="0" fillId="70" borderId="0" xfId="0" applyNumberFormat="1" applyFill="1" applyAlignment="1">
      <alignment horizontal="left" vertical="center"/>
    </xf>
    <xf numFmtId="0" fontId="0" fillId="70" borderId="0" xfId="0" applyFill="1" applyAlignment="1">
      <alignment horizontal="left" vertical="center"/>
    </xf>
    <xf numFmtId="0" fontId="6" fillId="70" borderId="0" xfId="0" quotePrefix="1" applyFont="1" applyFill="1"/>
    <xf numFmtId="0" fontId="6" fillId="70" borderId="0" xfId="0" applyFont="1" applyFill="1"/>
    <xf numFmtId="49" fontId="0" fillId="70" borderId="0" xfId="0" applyNumberFormat="1" applyFill="1" applyAlignment="1">
      <alignment horizontal="left"/>
    </xf>
    <xf numFmtId="0" fontId="0" fillId="70" borderId="0" xfId="0" applyFill="1"/>
    <xf numFmtId="0" fontId="0" fillId="70" borderId="0" xfId="0" applyFill="1" applyAlignment="1">
      <alignment horizontal="left"/>
    </xf>
    <xf numFmtId="0" fontId="6" fillId="70" borderId="0" xfId="246" quotePrefix="1" applyFont="1" applyFill="1"/>
    <xf numFmtId="0" fontId="6" fillId="0" borderId="0" xfId="0" quotePrefix="1" applyFont="1" applyAlignment="1">
      <alignment horizontal="left" vertical="center"/>
    </xf>
    <xf numFmtId="0" fontId="6" fillId="0" borderId="0" xfId="0" quotePrefix="1" applyFont="1" applyAlignment="1">
      <alignment horizontal="center" vertical="center"/>
    </xf>
    <xf numFmtId="37" fontId="105" fillId="0" borderId="0" xfId="0" applyNumberFormat="1" applyFont="1"/>
    <xf numFmtId="37" fontId="12" fillId="0" borderId="0" xfId="0" applyNumberFormat="1" applyFont="1"/>
    <xf numFmtId="38" fontId="1" fillId="0" borderId="0" xfId="0" applyNumberFormat="1" applyFont="1"/>
    <xf numFmtId="44" fontId="1" fillId="4" borderId="0" xfId="1" applyFont="1" applyFill="1"/>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 fillId="48" borderId="0" xfId="0" applyFont="1" applyFill="1"/>
    <xf numFmtId="0" fontId="0" fillId="48" borderId="0" xfId="0" applyFill="1"/>
    <xf numFmtId="0" fontId="0" fillId="0" borderId="0" xfId="0" quotePrefix="1"/>
    <xf numFmtId="44" fontId="0" fillId="8" borderId="0" xfId="1" quotePrefix="1" applyFont="1" applyFill="1"/>
    <xf numFmtId="0" fontId="0" fillId="53" borderId="0" xfId="0" applyFill="1" applyAlignment="1">
      <alignment horizontal="center" vertical="center"/>
    </xf>
    <xf numFmtId="0" fontId="0" fillId="0" borderId="0" xfId="0" applyAlignment="1">
      <alignment horizontal="center"/>
    </xf>
    <xf numFmtId="0" fontId="55" fillId="0" borderId="0" xfId="0" applyFont="1" applyAlignment="1">
      <alignment vertical="center" wrapText="1"/>
    </xf>
    <xf numFmtId="0" fontId="55" fillId="0" borderId="0" xfId="0" applyFont="1" applyAlignment="1">
      <alignment vertical="center"/>
    </xf>
    <xf numFmtId="0" fontId="0" fillId="0" borderId="30" xfId="0" applyBorder="1" applyAlignment="1">
      <alignment vertical="center" wrapText="1"/>
    </xf>
    <xf numFmtId="0" fontId="0" fillId="0" borderId="31" xfId="0" applyBorder="1" applyAlignment="1">
      <alignment vertical="center" wrapText="1"/>
    </xf>
    <xf numFmtId="40" fontId="0" fillId="0" borderId="0" xfId="0" applyNumberFormat="1"/>
    <xf numFmtId="40" fontId="0" fillId="4" borderId="0" xfId="0" applyNumberFormat="1" applyFill="1"/>
    <xf numFmtId="40" fontId="12" fillId="53" borderId="0" xfId="0" applyNumberFormat="1" applyFont="1" applyFill="1"/>
    <xf numFmtId="40" fontId="6" fillId="0" borderId="0" xfId="9" applyNumberFormat="1" applyFont="1" applyFill="1" applyAlignment="1">
      <alignment horizontal="left"/>
    </xf>
    <xf numFmtId="40" fontId="0" fillId="0" borderId="0" xfId="9" applyNumberFormat="1" applyFont="1" applyFill="1"/>
    <xf numFmtId="40" fontId="0" fillId="0" borderId="0" xfId="9" applyNumberFormat="1" applyFont="1" applyFill="1" applyAlignment="1">
      <alignment horizontal="left" vertical="center"/>
    </xf>
    <xf numFmtId="40" fontId="6" fillId="0" borderId="0" xfId="9" applyNumberFormat="1" applyFont="1" applyFill="1"/>
    <xf numFmtId="40" fontId="6" fillId="0" borderId="0" xfId="9" quotePrefix="1" applyNumberFormat="1" applyFont="1" applyFill="1" applyAlignment="1">
      <alignment horizontal="left" vertical="center"/>
    </xf>
    <xf numFmtId="40" fontId="6" fillId="0" borderId="0" xfId="9" quotePrefix="1" applyNumberFormat="1" applyFont="1" applyFill="1" applyAlignment="1">
      <alignment horizontal="left" vertical="top"/>
    </xf>
    <xf numFmtId="40" fontId="106" fillId="0" borderId="0" xfId="9" applyNumberFormat="1" applyFont="1" applyFill="1"/>
    <xf numFmtId="40" fontId="105" fillId="0" borderId="0" xfId="0" applyNumberFormat="1" applyFont="1"/>
    <xf numFmtId="38" fontId="105" fillId="0" borderId="0" xfId="0" applyNumberFormat="1" applyFont="1"/>
    <xf numFmtId="38" fontId="12" fillId="0" borderId="0" xfId="0" applyNumberFormat="1" applyFont="1"/>
    <xf numFmtId="40" fontId="0" fillId="0" borderId="0" xfId="9" applyNumberFormat="1" applyFont="1" applyFill="1" applyAlignment="1">
      <alignment horizontal="right" vertical="center"/>
    </xf>
    <xf numFmtId="40" fontId="6" fillId="0" borderId="0" xfId="9" applyNumberFormat="1" applyFont="1" applyFill="1" applyAlignment="1">
      <alignment horizontal="right"/>
    </xf>
    <xf numFmtId="40" fontId="0" fillId="0" borderId="0" xfId="9" applyNumberFormat="1" applyFont="1" applyFill="1" applyAlignment="1">
      <alignment horizontal="right"/>
    </xf>
    <xf numFmtId="40" fontId="6" fillId="0" borderId="0" xfId="9" quotePrefix="1" applyNumberFormat="1" applyFont="1" applyFill="1" applyAlignment="1">
      <alignment horizontal="right" vertical="top"/>
    </xf>
    <xf numFmtId="43" fontId="0" fillId="0" borderId="0" xfId="0" applyNumberFormat="1"/>
    <xf numFmtId="43" fontId="0" fillId="0" borderId="0" xfId="9" applyFont="1" applyAlignment="1">
      <alignment horizontal="center" vertical="center" wrapText="1"/>
    </xf>
    <xf numFmtId="0" fontId="1" fillId="0" borderId="0" xfId="0" applyFont="1" applyAlignment="1">
      <alignment horizontal="center" vertical="center"/>
    </xf>
    <xf numFmtId="167" fontId="0" fillId="0" borderId="0" xfId="9" applyNumberFormat="1" applyFont="1" applyAlignment="1">
      <alignment horizontal="center" vertical="center" wrapText="1"/>
    </xf>
    <xf numFmtId="43" fontId="0" fillId="0" borderId="17" xfId="9" applyFont="1" applyBorder="1" applyAlignment="1">
      <alignment horizontal="center" vertical="center" wrapText="1"/>
    </xf>
    <xf numFmtId="43" fontId="0" fillId="0" borderId="17" xfId="0" applyNumberFormat="1" applyBorder="1"/>
    <xf numFmtId="167" fontId="0" fillId="0" borderId="17" xfId="9" applyNumberFormat="1" applyFont="1" applyBorder="1" applyAlignment="1">
      <alignment horizontal="center" vertical="center" wrapText="1"/>
    </xf>
    <xf numFmtId="0" fontId="2" fillId="69" borderId="0" xfId="0" applyFont="1" applyFill="1"/>
    <xf numFmtId="0" fontId="12" fillId="0" borderId="0" xfId="0" applyFont="1" applyAlignment="1">
      <alignment horizontal="center" vertical="center" wrapText="1"/>
    </xf>
    <xf numFmtId="41" fontId="26" fillId="0" borderId="0" xfId="7" applyNumberFormat="1" applyFont="1"/>
    <xf numFmtId="168" fontId="26" fillId="0" borderId="0" xfId="7" applyNumberFormat="1" applyFont="1"/>
    <xf numFmtId="168" fontId="12" fillId="0" borderId="0" xfId="5340" applyNumberFormat="1" applyFont="1"/>
    <xf numFmtId="0" fontId="18" fillId="0" borderId="0" xfId="6" quotePrefix="1"/>
    <xf numFmtId="43" fontId="18" fillId="0" borderId="0" xfId="7" applyFont="1"/>
    <xf numFmtId="0" fontId="18" fillId="0" borderId="0" xfId="6"/>
    <xf numFmtId="4" fontId="18" fillId="0" borderId="0" xfId="6" quotePrefix="1" applyNumberFormat="1"/>
    <xf numFmtId="0" fontId="2" fillId="0" borderId="0" xfId="5336" applyAlignment="1">
      <alignment horizontal="center" vertical="center" wrapText="1"/>
    </xf>
    <xf numFmtId="0" fontId="86" fillId="0" borderId="0" xfId="0" applyFont="1" applyAlignment="1">
      <alignment horizontal="center" vertical="center"/>
    </xf>
    <xf numFmtId="0" fontId="107" fillId="6" borderId="9" xfId="0" applyFont="1" applyFill="1" applyBorder="1"/>
    <xf numFmtId="0" fontId="107" fillId="6" borderId="45" xfId="0" applyFont="1" applyFill="1" applyBorder="1"/>
    <xf numFmtId="0" fontId="108" fillId="6" borderId="11" xfId="0" applyFont="1" applyFill="1" applyBorder="1" applyAlignment="1">
      <alignment horizontal="center" vertical="center"/>
    </xf>
    <xf numFmtId="0" fontId="108" fillId="6" borderId="0" xfId="0" applyFont="1" applyFill="1" applyAlignment="1">
      <alignment horizontal="center" vertical="center"/>
    </xf>
    <xf numFmtId="0" fontId="110" fillId="6" borderId="13" xfId="0" applyFont="1" applyFill="1" applyBorder="1" applyAlignment="1">
      <alignment vertical="center"/>
    </xf>
    <xf numFmtId="0" fontId="110" fillId="6" borderId="17" xfId="0" applyFont="1" applyFill="1" applyBorder="1" applyAlignment="1">
      <alignment vertical="center"/>
    </xf>
    <xf numFmtId="0" fontId="107" fillId="0" borderId="17" xfId="0" applyFont="1" applyBorder="1"/>
    <xf numFmtId="0" fontId="110" fillId="0" borderId="17" xfId="0" applyFont="1" applyBorder="1" applyAlignment="1">
      <alignment horizontal="left"/>
    </xf>
    <xf numFmtId="0" fontId="108" fillId="0" borderId="17" xfId="0" applyFont="1" applyBorder="1" applyAlignment="1">
      <alignment horizontal="left"/>
    </xf>
    <xf numFmtId="0" fontId="6" fillId="59" borderId="0" xfId="246" quotePrefix="1" applyFont="1" applyFill="1"/>
    <xf numFmtId="0" fontId="0" fillId="29" borderId="0" xfId="0" applyFill="1"/>
    <xf numFmtId="10" fontId="2" fillId="0" borderId="0" xfId="0" applyNumberFormat="1" applyFont="1"/>
    <xf numFmtId="0" fontId="108" fillId="4" borderId="10" xfId="0" applyFont="1" applyFill="1" applyBorder="1" applyAlignment="1">
      <alignment horizontal="center"/>
    </xf>
    <xf numFmtId="0" fontId="108" fillId="4" borderId="12" xfId="0" applyFont="1" applyFill="1" applyBorder="1" applyAlignment="1">
      <alignment horizontal="center" vertical="center" wrapText="1"/>
    </xf>
    <xf numFmtId="0" fontId="108" fillId="4" borderId="14" xfId="0" applyFont="1" applyFill="1" applyBorder="1" applyAlignment="1">
      <alignment horizontal="center"/>
    </xf>
    <xf numFmtId="0" fontId="108" fillId="4" borderId="45" xfId="0" applyFont="1" applyFill="1" applyBorder="1" applyAlignment="1">
      <alignment horizontal="center"/>
    </xf>
    <xf numFmtId="170" fontId="108" fillId="4" borderId="0" xfId="0" applyNumberFormat="1" applyFont="1" applyFill="1" applyAlignment="1">
      <alignment horizontal="center" vertical="center" wrapText="1"/>
    </xf>
    <xf numFmtId="170" fontId="108" fillId="4" borderId="17" xfId="0" applyNumberFormat="1" applyFont="1" applyFill="1" applyBorder="1" applyAlignment="1">
      <alignment horizontal="center"/>
    </xf>
    <xf numFmtId="0" fontId="109" fillId="0" borderId="0" xfId="0" applyFont="1" applyAlignment="1">
      <alignment horizontal="center" vertical="center"/>
    </xf>
    <xf numFmtId="10" fontId="2" fillId="4" borderId="0" xfId="0" applyNumberFormat="1" applyFont="1" applyFill="1"/>
    <xf numFmtId="10" fontId="108" fillId="74" borderId="17" xfId="0" quotePrefix="1" applyNumberFormat="1" applyFont="1" applyFill="1" applyBorder="1" applyAlignment="1">
      <alignment horizontal="right"/>
    </xf>
    <xf numFmtId="43" fontId="2" fillId="0" borderId="0" xfId="9" applyFont="1"/>
    <xf numFmtId="168" fontId="12" fillId="4" borderId="0" xfId="5340" applyNumberFormat="1" applyFont="1" applyFill="1"/>
    <xf numFmtId="168" fontId="26" fillId="4" borderId="0" xfId="7" applyNumberFormat="1" applyFont="1" applyFill="1"/>
    <xf numFmtId="10" fontId="26" fillId="4" borderId="0" xfId="2" applyNumberFormat="1" applyFont="1" applyFill="1"/>
    <xf numFmtId="0" fontId="26" fillId="0" borderId="0" xfId="0" applyFont="1" applyAlignment="1">
      <alignment horizontal="center" vertical="center" wrapText="1"/>
    </xf>
    <xf numFmtId="0" fontId="12" fillId="0" borderId="0" xfId="5337" applyFont="1" applyAlignment="1">
      <alignment horizontal="center" vertical="center" wrapText="1"/>
    </xf>
    <xf numFmtId="0" fontId="12" fillId="55" borderId="0" xfId="5336" applyFont="1" applyFill="1" applyAlignment="1">
      <alignment horizontal="center" vertical="center" wrapText="1"/>
    </xf>
    <xf numFmtId="0" fontId="26" fillId="0" borderId="0" xfId="0" quotePrefix="1" applyFont="1" applyAlignment="1">
      <alignment horizontal="center" vertical="center" wrapText="1"/>
    </xf>
    <xf numFmtId="41" fontId="26" fillId="0" borderId="0" xfId="0" applyNumberFormat="1" applyFont="1" applyAlignment="1">
      <alignment horizontal="left" vertical="top" wrapText="1"/>
    </xf>
    <xf numFmtId="168" fontId="26" fillId="4" borderId="0" xfId="0" applyNumberFormat="1" applyFont="1" applyFill="1" applyAlignment="1">
      <alignment horizontal="left" vertical="top" wrapText="1"/>
    </xf>
    <xf numFmtId="165" fontId="26" fillId="4" borderId="0" xfId="0" applyNumberFormat="1" applyFont="1" applyFill="1" applyAlignment="1">
      <alignment horizontal="left" vertical="top" wrapText="1"/>
    </xf>
    <xf numFmtId="165" fontId="26" fillId="0" borderId="0" xfId="0" applyNumberFormat="1" applyFont="1" applyAlignment="1">
      <alignment horizontal="left" vertical="top" wrapText="1"/>
    </xf>
    <xf numFmtId="41" fontId="26" fillId="0" borderId="0" xfId="0" applyNumberFormat="1" applyFont="1" applyAlignment="1">
      <alignment wrapText="1"/>
    </xf>
    <xf numFmtId="167" fontId="12" fillId="0" borderId="0" xfId="9" applyNumberFormat="1" applyFont="1" applyAlignment="1">
      <alignment wrapText="1"/>
    </xf>
    <xf numFmtId="167" fontId="26" fillId="48" borderId="0" xfId="0" applyNumberFormat="1" applyFont="1" applyFill="1" applyAlignment="1">
      <alignment wrapText="1"/>
    </xf>
    <xf numFmtId="0" fontId="12" fillId="0" borderId="0" xfId="0" applyFont="1" applyAlignment="1">
      <alignment wrapText="1"/>
    </xf>
    <xf numFmtId="0" fontId="26" fillId="5" borderId="0" xfId="0" applyFont="1" applyFill="1" applyAlignment="1">
      <alignment horizontal="center" vertical="center" wrapText="1"/>
    </xf>
    <xf numFmtId="0" fontId="26" fillId="4" borderId="0" xfId="0" applyFont="1" applyFill="1" applyAlignment="1">
      <alignment horizontal="center" vertical="center" wrapText="1"/>
    </xf>
    <xf numFmtId="43" fontId="26" fillId="0" borderId="0" xfId="0" applyNumberFormat="1" applyFont="1" applyAlignment="1">
      <alignment horizontal="center" vertical="center" wrapText="1"/>
    </xf>
    <xf numFmtId="10" fontId="10" fillId="4" borderId="0" xfId="0" applyNumberFormat="1" applyFont="1" applyFill="1"/>
    <xf numFmtId="171" fontId="12" fillId="4" borderId="0" xfId="9" applyNumberFormat="1" applyFont="1" applyFill="1"/>
    <xf numFmtId="43" fontId="18" fillId="0" borderId="0" xfId="9" quotePrefix="1" applyFont="1"/>
    <xf numFmtId="43" fontId="2" fillId="0" borderId="0" xfId="0" applyNumberFormat="1" applyFont="1"/>
    <xf numFmtId="43" fontId="1" fillId="0" borderId="36" xfId="9" applyFont="1" applyBorder="1"/>
    <xf numFmtId="43" fontId="1" fillId="0" borderId="0" xfId="9" applyFont="1" applyAlignment="1">
      <alignment wrapText="1"/>
    </xf>
    <xf numFmtId="43" fontId="0" fillId="48" borderId="0" xfId="9" applyFont="1" applyFill="1"/>
    <xf numFmtId="43" fontId="0" fillId="74" borderId="0" xfId="0" applyNumberFormat="1" applyFill="1"/>
    <xf numFmtId="43" fontId="0" fillId="74" borderId="0" xfId="0" applyNumberFormat="1" applyFill="1" applyAlignment="1">
      <alignment horizontal="center"/>
    </xf>
    <xf numFmtId="43" fontId="0" fillId="74" borderId="0" xfId="9" applyFont="1" applyFill="1"/>
    <xf numFmtId="0" fontId="0" fillId="74" borderId="0" xfId="0" applyFill="1"/>
    <xf numFmtId="43" fontId="0" fillId="74" borderId="0" xfId="9" applyFont="1" applyFill="1" applyBorder="1"/>
    <xf numFmtId="43" fontId="0" fillId="74" borderId="36" xfId="9" applyFont="1" applyFill="1" applyBorder="1"/>
    <xf numFmtId="167" fontId="0" fillId="0" borderId="0" xfId="9" applyNumberFormat="1" applyFont="1" applyFill="1"/>
    <xf numFmtId="167" fontId="0" fillId="0" borderId="0" xfId="9" applyNumberFormat="1" applyFont="1" applyFill="1" applyBorder="1"/>
    <xf numFmtId="167" fontId="0" fillId="0" borderId="36" xfId="9" applyNumberFormat="1" applyFont="1" applyFill="1" applyBorder="1"/>
    <xf numFmtId="44" fontId="55" fillId="9" borderId="37" xfId="0" applyNumberFormat="1" applyFont="1" applyFill="1" applyBorder="1"/>
    <xf numFmtId="44" fontId="55" fillId="9" borderId="9" xfId="0" applyNumberFormat="1" applyFont="1" applyFill="1" applyBorder="1"/>
    <xf numFmtId="0" fontId="0" fillId="0" borderId="43" xfId="0" applyBorder="1" applyAlignment="1">
      <alignment horizontal="center" vertical="center" wrapText="1"/>
    </xf>
    <xf numFmtId="44" fontId="101" fillId="0" borderId="57" xfId="4" applyNumberFormat="1" applyFont="1" applyFill="1" applyBorder="1"/>
    <xf numFmtId="0" fontId="102" fillId="74" borderId="0" xfId="0" applyFont="1" applyFill="1" applyAlignment="1">
      <alignment horizontal="left" vertical="center" wrapText="1" readingOrder="1"/>
    </xf>
    <xf numFmtId="0" fontId="6" fillId="0" borderId="0" xfId="0" applyFont="1" applyAlignment="1">
      <alignment horizontal="center" vertical="center" wrapText="1" readingOrder="1"/>
    </xf>
    <xf numFmtId="0" fontId="6" fillId="74" borderId="0" xfId="0" applyFont="1" applyFill="1" applyAlignment="1">
      <alignment vertical="top" wrapText="1"/>
    </xf>
    <xf numFmtId="0" fontId="6" fillId="56" borderId="0" xfId="0" applyFont="1" applyFill="1" applyAlignment="1">
      <alignment horizontal="center" vertical="center" wrapText="1" readingOrder="1"/>
    </xf>
    <xf numFmtId="0" fontId="6" fillId="0" borderId="0" xfId="0" applyFont="1" applyAlignment="1">
      <alignment vertical="top" wrapText="1"/>
    </xf>
    <xf numFmtId="0" fontId="103" fillId="74" borderId="0" xfId="0" applyFont="1" applyFill="1" applyAlignment="1">
      <alignment horizontal="center" vertical="center" wrapText="1" readingOrder="1"/>
    </xf>
    <xf numFmtId="0" fontId="6" fillId="0" borderId="0" xfId="0" applyFont="1" applyAlignment="1">
      <alignment horizontal="center" vertical="center" wrapText="1"/>
    </xf>
    <xf numFmtId="0" fontId="6" fillId="0" borderId="0" xfId="0" applyFont="1" applyAlignment="1">
      <alignment horizontal="left" vertical="center" readingOrder="1"/>
    </xf>
    <xf numFmtId="0" fontId="6" fillId="75" borderId="0" xfId="0" applyFont="1" applyFill="1" applyAlignment="1">
      <alignment horizontal="center" vertical="center" wrapText="1" readingOrder="1"/>
    </xf>
    <xf numFmtId="0" fontId="104" fillId="74" borderId="0" xfId="0" applyFont="1" applyFill="1" applyAlignment="1">
      <alignment horizontal="center" vertical="center" wrapText="1" readingOrder="1"/>
    </xf>
    <xf numFmtId="0" fontId="104" fillId="73" borderId="0" xfId="0" applyFont="1" applyFill="1" applyAlignment="1">
      <alignment horizontal="left" vertical="center" wrapText="1" readingOrder="1"/>
    </xf>
    <xf numFmtId="0" fontId="6" fillId="75" borderId="0" xfId="0" quotePrefix="1" applyFont="1" applyFill="1" applyAlignment="1">
      <alignment horizontal="center" vertical="center" wrapText="1" readingOrder="1"/>
    </xf>
    <xf numFmtId="0" fontId="0" fillId="0" borderId="30" xfId="0" applyBorder="1"/>
    <xf numFmtId="0" fontId="0" fillId="0" borderId="31" xfId="0" applyBorder="1"/>
    <xf numFmtId="44" fontId="55" fillId="4" borderId="3" xfId="0" applyNumberFormat="1" applyFont="1" applyFill="1" applyBorder="1"/>
    <xf numFmtId="44" fontId="55" fillId="57" borderId="54" xfId="0" applyNumberFormat="1" applyFont="1" applyFill="1" applyBorder="1"/>
    <xf numFmtId="44" fontId="55" fillId="57" borderId="55" xfId="0" applyNumberFormat="1" applyFont="1" applyFill="1" applyBorder="1"/>
    <xf numFmtId="44" fontId="55" fillId="57" borderId="56" xfId="0" applyNumberFormat="1" applyFont="1" applyFill="1" applyBorder="1"/>
    <xf numFmtId="44" fontId="96" fillId="55" borderId="51" xfId="4" applyNumberFormat="1" applyFont="1" applyFill="1" applyBorder="1"/>
    <xf numFmtId="44" fontId="0" fillId="4" borderId="42" xfId="0" applyNumberFormat="1" applyFill="1" applyBorder="1" applyAlignment="1">
      <alignment horizontal="center" vertical="center" wrapText="1"/>
    </xf>
    <xf numFmtId="0" fontId="50" fillId="4" borderId="0" xfId="0" applyFont="1" applyFill="1" applyAlignment="1">
      <alignment vertical="center"/>
    </xf>
    <xf numFmtId="0" fontId="76" fillId="0" borderId="9" xfId="0" applyFont="1" applyBorder="1" applyAlignment="1">
      <alignment horizontal="left" vertical="top" wrapText="1"/>
    </xf>
    <xf numFmtId="0" fontId="76" fillId="0" borderId="10" xfId="0" applyFont="1" applyBorder="1" applyAlignment="1">
      <alignment horizontal="left" vertical="top" wrapText="1"/>
    </xf>
    <xf numFmtId="0" fontId="76" fillId="0" borderId="11" xfId="0" applyFont="1" applyBorder="1" applyAlignment="1">
      <alignment horizontal="left" vertical="top" wrapText="1"/>
    </xf>
    <xf numFmtId="0" fontId="76" fillId="0" borderId="12" xfId="0" applyFont="1" applyBorder="1" applyAlignment="1">
      <alignment horizontal="left" vertical="top" wrapText="1"/>
    </xf>
    <xf numFmtId="0" fontId="76" fillId="0" borderId="13" xfId="0" applyFont="1" applyBorder="1" applyAlignment="1">
      <alignment horizontal="left" vertical="top" wrapText="1"/>
    </xf>
    <xf numFmtId="0" fontId="76" fillId="0" borderId="14" xfId="0" applyFont="1" applyBorder="1" applyAlignment="1">
      <alignment horizontal="left" vertical="top" wrapText="1"/>
    </xf>
    <xf numFmtId="0" fontId="85" fillId="4" borderId="0" xfId="0" applyFont="1" applyFill="1" applyAlignment="1">
      <alignment horizontal="center"/>
    </xf>
    <xf numFmtId="0" fontId="81" fillId="0" borderId="39" xfId="0" applyFont="1" applyBorder="1" applyAlignment="1">
      <alignment horizontal="center" vertical="center"/>
    </xf>
    <xf numFmtId="0" fontId="81" fillId="0" borderId="40" xfId="0" applyFont="1" applyBorder="1" applyAlignment="1">
      <alignment horizontal="center" vertical="center"/>
    </xf>
    <xf numFmtId="0" fontId="84" fillId="0" borderId="39" xfId="0" applyFont="1" applyBorder="1" applyAlignment="1">
      <alignment horizontal="center"/>
    </xf>
    <xf numFmtId="0" fontId="84" fillId="0" borderId="40" xfId="0" applyFont="1" applyBorder="1" applyAlignment="1">
      <alignment horizontal="center"/>
    </xf>
    <xf numFmtId="0" fontId="84" fillId="0" borderId="41" xfId="0" applyFont="1" applyBorder="1" applyAlignment="1">
      <alignment horizontal="center"/>
    </xf>
    <xf numFmtId="0" fontId="51" fillId="0" borderId="32" xfId="0" applyFont="1" applyBorder="1" applyAlignment="1">
      <alignment horizontal="center" vertical="center" wrapText="1"/>
    </xf>
    <xf numFmtId="0" fontId="51" fillId="0" borderId="33" xfId="0" applyFont="1" applyBorder="1" applyAlignment="1">
      <alignment horizontal="center" vertical="center" wrapText="1"/>
    </xf>
    <xf numFmtId="0" fontId="51" fillId="0" borderId="34" xfId="0" applyFont="1" applyBorder="1" applyAlignment="1">
      <alignment horizontal="center" vertical="center" wrapText="1"/>
    </xf>
    <xf numFmtId="0" fontId="80" fillId="12" borderId="42" xfId="0" applyFont="1" applyFill="1" applyBorder="1" applyAlignment="1">
      <alignment horizontal="center" vertical="top" wrapText="1"/>
    </xf>
    <xf numFmtId="0" fontId="80" fillId="12" borderId="43" xfId="0" applyFont="1" applyFill="1" applyBorder="1" applyAlignment="1">
      <alignment horizontal="center" vertical="top" wrapText="1"/>
    </xf>
    <xf numFmtId="0" fontId="1" fillId="0" borderId="0" xfId="0" applyFont="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1" fillId="15" borderId="15" xfId="8" applyFont="1" applyBorder="1" applyAlignment="1">
      <alignment horizontal="left" vertical="center" wrapText="1"/>
    </xf>
    <xf numFmtId="0" fontId="11" fillId="15" borderId="16" xfId="8" applyFont="1" applyBorder="1" applyAlignment="1">
      <alignment horizontal="left" vertical="center" wrapText="1"/>
    </xf>
    <xf numFmtId="0" fontId="0" fillId="48" borderId="0" xfId="0" applyFill="1" applyAlignment="1">
      <alignment horizontal="left" vertical="top" wrapText="1"/>
    </xf>
    <xf numFmtId="0" fontId="0" fillId="64" borderId="3" xfId="0" applyFill="1" applyBorder="1" applyAlignment="1">
      <alignment horizontal="center"/>
    </xf>
    <xf numFmtId="0" fontId="0" fillId="64" borderId="4" xfId="0" applyFill="1" applyBorder="1" applyAlignment="1">
      <alignment horizontal="center"/>
    </xf>
    <xf numFmtId="0" fontId="0" fillId="64" borderId="5" xfId="0" applyFill="1" applyBorder="1" applyAlignment="1">
      <alignment horizontal="center"/>
    </xf>
    <xf numFmtId="0" fontId="12" fillId="0" borderId="39" xfId="0" applyFont="1" applyBorder="1" applyAlignment="1">
      <alignment horizontal="left" vertical="center" wrapTex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30" xfId="0" applyFont="1" applyBorder="1" applyAlignment="1">
      <alignment horizontal="left" vertical="center" wrapText="1"/>
    </xf>
    <xf numFmtId="0" fontId="12" fillId="0" borderId="0" xfId="0" applyFont="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3" fillId="0" borderId="0" xfId="0" applyFont="1" applyAlignment="1">
      <alignment horizontal="center" vertical="center" wrapText="1" readingOrder="1"/>
    </xf>
    <xf numFmtId="0" fontId="11" fillId="73" borderId="0" xfId="0" applyFont="1" applyFill="1" applyAlignment="1">
      <alignment horizontal="left" vertical="center" wrapText="1"/>
    </xf>
    <xf numFmtId="0" fontId="50" fillId="0" borderId="0" xfId="0" applyFont="1" applyAlignment="1">
      <alignment horizontal="center"/>
    </xf>
    <xf numFmtId="0" fontId="55" fillId="57" borderId="52" xfId="0" applyFont="1" applyFill="1" applyBorder="1" applyAlignment="1">
      <alignment horizontal="center" vertical="center" wrapText="1"/>
    </xf>
    <xf numFmtId="0" fontId="0" fillId="57" borderId="53" xfId="0" applyFill="1" applyBorder="1" applyAlignment="1">
      <alignment horizontal="center" vertical="center" wrapText="1"/>
    </xf>
    <xf numFmtId="0" fontId="81" fillId="0" borderId="0" xfId="0" applyFont="1" applyAlignment="1">
      <alignment horizontal="center" vertical="center"/>
    </xf>
    <xf numFmtId="0" fontId="50" fillId="0" borderId="0" xfId="0" applyFont="1" applyAlignment="1">
      <alignment horizontal="center" vertical="center"/>
    </xf>
    <xf numFmtId="0" fontId="0" fillId="0" borderId="0" xfId="0" applyAlignment="1">
      <alignment horizontal="left"/>
    </xf>
    <xf numFmtId="0" fontId="50" fillId="0" borderId="39" xfId="0" applyFont="1" applyBorder="1" applyAlignment="1">
      <alignment horizontal="left" vertical="top" wrapText="1"/>
    </xf>
    <xf numFmtId="0" fontId="50" fillId="0" borderId="40" xfId="0" applyFont="1" applyBorder="1" applyAlignment="1">
      <alignment horizontal="left" vertical="top" wrapText="1"/>
    </xf>
    <xf numFmtId="0" fontId="50" fillId="0" borderId="41" xfId="0" applyFont="1" applyBorder="1" applyAlignment="1">
      <alignment horizontal="left" vertical="top" wrapText="1"/>
    </xf>
    <xf numFmtId="0" fontId="1" fillId="0" borderId="30" xfId="0" applyFont="1" applyBorder="1" applyAlignment="1">
      <alignment horizontal="left" vertical="top" wrapText="1"/>
    </xf>
    <xf numFmtId="0" fontId="1" fillId="0" borderId="0" xfId="0" applyFont="1" applyAlignment="1">
      <alignment horizontal="left" vertical="top" wrapText="1"/>
    </xf>
    <xf numFmtId="0" fontId="1" fillId="0" borderId="31" xfId="0" applyFont="1" applyBorder="1" applyAlignment="1">
      <alignment horizontal="left" vertical="top" wrapText="1"/>
    </xf>
    <xf numFmtId="0" fontId="0" fillId="0" borderId="30" xfId="0" applyBorder="1" applyAlignment="1">
      <alignment horizontal="left" vertical="center" wrapText="1"/>
    </xf>
    <xf numFmtId="0" fontId="0" fillId="0" borderId="0" xfId="0" applyAlignment="1">
      <alignment horizontal="left" vertical="center" wrapText="1"/>
    </xf>
    <xf numFmtId="0" fontId="0" fillId="0" borderId="31" xfId="0" applyBorder="1" applyAlignment="1">
      <alignment horizontal="left" vertical="center"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1" xfId="0" applyBorder="1" applyAlignment="1">
      <alignment horizontal="left" vertical="top" wrapText="1"/>
    </xf>
    <xf numFmtId="0" fontId="1" fillId="0" borderId="30" xfId="0" applyFont="1" applyBorder="1" applyAlignment="1">
      <alignment horizontal="left" vertical="center" wrapText="1"/>
    </xf>
    <xf numFmtId="0" fontId="1" fillId="0" borderId="0" xfId="0" applyFont="1" applyAlignment="1">
      <alignment horizontal="left" vertical="center" wrapText="1"/>
    </xf>
    <xf numFmtId="0" fontId="1" fillId="0" borderId="31" xfId="0" applyFont="1" applyBorder="1" applyAlignment="1">
      <alignment horizontal="left" vertical="center" wrapText="1"/>
    </xf>
    <xf numFmtId="0" fontId="6" fillId="0" borderId="30" xfId="0" applyFont="1" applyBorder="1" applyAlignment="1">
      <alignment horizontal="left" vertical="center" wrapText="1"/>
    </xf>
    <xf numFmtId="0" fontId="6" fillId="0" borderId="0" xfId="0" applyFont="1" applyAlignment="1">
      <alignment horizontal="left" vertical="center" wrapText="1"/>
    </xf>
    <xf numFmtId="0" fontId="6" fillId="0" borderId="31" xfId="0" applyFont="1" applyBorder="1" applyAlignment="1">
      <alignment horizontal="left" vertical="center" wrapText="1"/>
    </xf>
    <xf numFmtId="0" fontId="1" fillId="4" borderId="9"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4" borderId="13" xfId="0" applyFont="1" applyFill="1" applyBorder="1" applyAlignment="1">
      <alignment horizontal="center" vertical="top" wrapText="1"/>
    </xf>
    <xf numFmtId="0" fontId="1" fillId="4" borderId="14" xfId="0" applyFont="1" applyFill="1" applyBorder="1" applyAlignment="1">
      <alignment horizontal="center" vertical="top" wrapText="1"/>
    </xf>
    <xf numFmtId="0" fontId="0" fillId="56" borderId="30" xfId="0" applyFill="1" applyBorder="1" applyAlignment="1">
      <alignment horizontal="left" vertical="center" wrapText="1"/>
    </xf>
    <xf numFmtId="0" fontId="0" fillId="56" borderId="0" xfId="0" applyFill="1" applyAlignment="1">
      <alignment horizontal="left" vertical="center" wrapText="1"/>
    </xf>
    <xf numFmtId="0" fontId="0" fillId="56" borderId="31" xfId="0" applyFill="1" applyBorder="1" applyAlignment="1">
      <alignment horizontal="left" vertical="center" wrapText="1"/>
    </xf>
    <xf numFmtId="0" fontId="0" fillId="56" borderId="32" xfId="0" applyFill="1" applyBorder="1" applyAlignment="1">
      <alignment horizontal="left" vertical="center" wrapText="1"/>
    </xf>
    <xf numFmtId="0" fontId="0" fillId="56" borderId="33" xfId="0" applyFill="1" applyBorder="1" applyAlignment="1">
      <alignment horizontal="left" vertical="center" wrapText="1"/>
    </xf>
    <xf numFmtId="0" fontId="0" fillId="56" borderId="34" xfId="0" applyFill="1" applyBorder="1" applyAlignment="1">
      <alignment horizontal="left" vertical="center" wrapText="1"/>
    </xf>
    <xf numFmtId="0" fontId="30" fillId="53" borderId="0" xfId="0" applyFont="1" applyFill="1" applyAlignment="1">
      <alignment horizontal="center" wrapText="1"/>
    </xf>
    <xf numFmtId="0" fontId="10" fillId="56" borderId="33" xfId="0" applyFont="1" applyFill="1" applyBorder="1" applyAlignment="1">
      <alignment horizontal="left" vertical="center" wrapText="1"/>
    </xf>
    <xf numFmtId="0" fontId="0" fillId="53" borderId="37" xfId="0" applyFill="1" applyBorder="1" applyAlignment="1">
      <alignment horizontal="left" vertical="top" wrapText="1"/>
    </xf>
    <xf numFmtId="0" fontId="0" fillId="53" borderId="46" xfId="0" applyFill="1" applyBorder="1" applyAlignment="1">
      <alignment horizontal="left" vertical="top" wrapText="1"/>
    </xf>
    <xf numFmtId="0" fontId="0" fillId="53" borderId="47" xfId="0" applyFill="1" applyBorder="1" applyAlignment="1">
      <alignment horizontal="left" vertical="top" wrapText="1"/>
    </xf>
    <xf numFmtId="0" fontId="0" fillId="53" borderId="9" xfId="0" applyFill="1" applyBorder="1" applyAlignment="1">
      <alignment horizontal="left" vertical="top" wrapText="1"/>
    </xf>
    <xf numFmtId="0" fontId="0" fillId="53" borderId="45" xfId="0" applyFill="1" applyBorder="1" applyAlignment="1">
      <alignment horizontal="left" vertical="top" wrapText="1"/>
    </xf>
    <xf numFmtId="0" fontId="0" fillId="53" borderId="10" xfId="0" applyFill="1" applyBorder="1" applyAlignment="1">
      <alignment horizontal="left" vertical="top" wrapText="1"/>
    </xf>
    <xf numFmtId="0" fontId="0" fillId="53" borderId="0" xfId="0" applyFill="1" applyAlignment="1">
      <alignment horizontal="left" vertical="top" wrapText="1"/>
    </xf>
    <xf numFmtId="0" fontId="0" fillId="53" borderId="12" xfId="0" applyFill="1" applyBorder="1" applyAlignment="1">
      <alignment horizontal="left" vertical="top" wrapText="1"/>
    </xf>
    <xf numFmtId="0" fontId="0" fillId="53" borderId="17" xfId="0" applyFill="1" applyBorder="1" applyAlignment="1">
      <alignment horizontal="left" vertical="top" wrapText="1"/>
    </xf>
    <xf numFmtId="0" fontId="0" fillId="53" borderId="14" xfId="0" applyFill="1" applyBorder="1" applyAlignment="1">
      <alignment horizontal="left" vertical="top" wrapText="1"/>
    </xf>
    <xf numFmtId="0" fontId="1" fillId="0" borderId="9" xfId="0" applyFont="1" applyBorder="1" applyAlignment="1">
      <alignment horizontal="left" vertical="top" wrapText="1"/>
    </xf>
    <xf numFmtId="0" fontId="1" fillId="0" borderId="45" xfId="0" applyFont="1"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center"/>
    </xf>
    <xf numFmtId="0" fontId="0" fillId="0" borderId="0" xfId="0" applyAlignment="1">
      <alignment horizontal="center" vertical="center" wrapText="1"/>
    </xf>
    <xf numFmtId="0" fontId="12" fillId="0" borderId="0" xfId="0" applyFont="1" applyAlignment="1">
      <alignment horizontal="center" vertical="center" wrapText="1"/>
    </xf>
    <xf numFmtId="0" fontId="1" fillId="0" borderId="0" xfId="0" applyFont="1" applyAlignment="1">
      <alignment horizontal="center" vertical="center" wrapText="1"/>
    </xf>
    <xf numFmtId="0" fontId="13" fillId="0" borderId="0" xfId="0" applyFont="1" applyAlignment="1">
      <alignment horizontal="center"/>
    </xf>
    <xf numFmtId="0" fontId="55" fillId="55" borderId="0" xfId="0" applyFont="1" applyFill="1" applyAlignment="1">
      <alignment horizontal="center" vertical="center" wrapText="1"/>
    </xf>
    <xf numFmtId="0" fontId="11" fillId="0" borderId="0" xfId="0" applyFont="1" applyAlignment="1">
      <alignment horizontal="center" vertical="center" wrapText="1"/>
    </xf>
  </cellXfs>
  <cellStyles count="5342">
    <cellStyle name="20% - Accent1" xfId="58" builtinId="30" customBuiltin="1"/>
    <cellStyle name="20% - Accent1 10" xfId="923" xr:uid="{00000000-0005-0000-0000-000001000000}"/>
    <cellStyle name="20% - Accent1 10 2" xfId="2215" xr:uid="{00000000-0005-0000-0000-000002000000}"/>
    <cellStyle name="20% - Accent1 10 3" xfId="3493" xr:uid="{00000000-0005-0000-0000-000003000000}"/>
    <cellStyle name="20% - Accent1 10 4" xfId="4780" xr:uid="{00000000-0005-0000-0000-000004000000}"/>
    <cellStyle name="20% - Accent1 11" xfId="1363" xr:uid="{00000000-0005-0000-0000-000005000000}"/>
    <cellStyle name="20% - Accent1 12" xfId="2641" xr:uid="{00000000-0005-0000-0000-000006000000}"/>
    <cellStyle name="20% - Accent1 13" xfId="3928" xr:uid="{00000000-0005-0000-0000-000007000000}"/>
    <cellStyle name="20% - Accent1 14" xfId="5206" xr:uid="{00000000-0005-0000-0000-000008000000}"/>
    <cellStyle name="20% - Accent1 2" xfId="10" xr:uid="{00000000-0005-0000-0000-000009000000}"/>
    <cellStyle name="20% - Accent1 2 10" xfId="1364" xr:uid="{00000000-0005-0000-0000-00000A000000}"/>
    <cellStyle name="20% - Accent1 2 11" xfId="2642" xr:uid="{00000000-0005-0000-0000-00000B000000}"/>
    <cellStyle name="20% - Accent1 2 12" xfId="3929" xr:uid="{00000000-0005-0000-0000-00000C000000}"/>
    <cellStyle name="20% - Accent1 2 13" xfId="5207" xr:uid="{00000000-0005-0000-0000-00000D000000}"/>
    <cellStyle name="20% - Accent1 2 2" xfId="83" xr:uid="{00000000-0005-0000-0000-00000E000000}"/>
    <cellStyle name="20% - Accent1 2 2 2" xfId="84" xr:uid="{00000000-0005-0000-0000-00000F000000}"/>
    <cellStyle name="20% - Accent1 2 2 2 2" xfId="287" xr:uid="{00000000-0005-0000-0000-000010000000}"/>
    <cellStyle name="20% - Accent1 2 2 2 2 2" xfId="713" xr:uid="{00000000-0005-0000-0000-000011000000}"/>
    <cellStyle name="20% - Accent1 2 2 2 2 2 2" xfId="2005" xr:uid="{00000000-0005-0000-0000-000012000000}"/>
    <cellStyle name="20% - Accent1 2 2 2 2 2 3" xfId="3283" xr:uid="{00000000-0005-0000-0000-000013000000}"/>
    <cellStyle name="20% - Accent1 2 2 2 2 2 4" xfId="4570" xr:uid="{00000000-0005-0000-0000-000014000000}"/>
    <cellStyle name="20% - Accent1 2 2 2 2 3" xfId="1139" xr:uid="{00000000-0005-0000-0000-000015000000}"/>
    <cellStyle name="20% - Accent1 2 2 2 2 3 2" xfId="2431" xr:uid="{00000000-0005-0000-0000-000016000000}"/>
    <cellStyle name="20% - Accent1 2 2 2 2 3 3" xfId="3709" xr:uid="{00000000-0005-0000-0000-000017000000}"/>
    <cellStyle name="20% - Accent1 2 2 2 2 3 4" xfId="4996" xr:uid="{00000000-0005-0000-0000-000018000000}"/>
    <cellStyle name="20% - Accent1 2 2 2 2 4" xfId="1579" xr:uid="{00000000-0005-0000-0000-000019000000}"/>
    <cellStyle name="20% - Accent1 2 2 2 2 5" xfId="2857" xr:uid="{00000000-0005-0000-0000-00001A000000}"/>
    <cellStyle name="20% - Accent1 2 2 2 2 6" xfId="4144" xr:uid="{00000000-0005-0000-0000-00001B000000}"/>
    <cellStyle name="20% - Accent1 2 2 2 3" xfId="500" xr:uid="{00000000-0005-0000-0000-00001C000000}"/>
    <cellStyle name="20% - Accent1 2 2 2 3 2" xfId="1792" xr:uid="{00000000-0005-0000-0000-00001D000000}"/>
    <cellStyle name="20% - Accent1 2 2 2 3 3" xfId="3070" xr:uid="{00000000-0005-0000-0000-00001E000000}"/>
    <cellStyle name="20% - Accent1 2 2 2 3 4" xfId="4357" xr:uid="{00000000-0005-0000-0000-00001F000000}"/>
    <cellStyle name="20% - Accent1 2 2 2 4" xfId="926" xr:uid="{00000000-0005-0000-0000-000020000000}"/>
    <cellStyle name="20% - Accent1 2 2 2 4 2" xfId="2218" xr:uid="{00000000-0005-0000-0000-000021000000}"/>
    <cellStyle name="20% - Accent1 2 2 2 4 3" xfId="3496" xr:uid="{00000000-0005-0000-0000-000022000000}"/>
    <cellStyle name="20% - Accent1 2 2 2 4 4" xfId="4783" xr:uid="{00000000-0005-0000-0000-000023000000}"/>
    <cellStyle name="20% - Accent1 2 2 2 5" xfId="1366" xr:uid="{00000000-0005-0000-0000-000024000000}"/>
    <cellStyle name="20% - Accent1 2 2 2 6" xfId="2644" xr:uid="{00000000-0005-0000-0000-000025000000}"/>
    <cellStyle name="20% - Accent1 2 2 2 7" xfId="3931" xr:uid="{00000000-0005-0000-0000-000026000000}"/>
    <cellStyle name="20% - Accent1 2 2 2 8" xfId="5209" xr:uid="{00000000-0005-0000-0000-000027000000}"/>
    <cellStyle name="20% - Accent1 2 2 3" xfId="286" xr:uid="{00000000-0005-0000-0000-000028000000}"/>
    <cellStyle name="20% - Accent1 2 2 3 2" xfId="712" xr:uid="{00000000-0005-0000-0000-000029000000}"/>
    <cellStyle name="20% - Accent1 2 2 3 2 2" xfId="2004" xr:uid="{00000000-0005-0000-0000-00002A000000}"/>
    <cellStyle name="20% - Accent1 2 2 3 2 3" xfId="3282" xr:uid="{00000000-0005-0000-0000-00002B000000}"/>
    <cellStyle name="20% - Accent1 2 2 3 2 4" xfId="4569" xr:uid="{00000000-0005-0000-0000-00002C000000}"/>
    <cellStyle name="20% - Accent1 2 2 3 3" xfId="1138" xr:uid="{00000000-0005-0000-0000-00002D000000}"/>
    <cellStyle name="20% - Accent1 2 2 3 3 2" xfId="2430" xr:uid="{00000000-0005-0000-0000-00002E000000}"/>
    <cellStyle name="20% - Accent1 2 2 3 3 3" xfId="3708" xr:uid="{00000000-0005-0000-0000-00002F000000}"/>
    <cellStyle name="20% - Accent1 2 2 3 3 4" xfId="4995" xr:uid="{00000000-0005-0000-0000-000030000000}"/>
    <cellStyle name="20% - Accent1 2 2 3 4" xfId="1578" xr:uid="{00000000-0005-0000-0000-000031000000}"/>
    <cellStyle name="20% - Accent1 2 2 3 5" xfId="2856" xr:uid="{00000000-0005-0000-0000-000032000000}"/>
    <cellStyle name="20% - Accent1 2 2 3 6" xfId="4143" xr:uid="{00000000-0005-0000-0000-000033000000}"/>
    <cellStyle name="20% - Accent1 2 2 4" xfId="499" xr:uid="{00000000-0005-0000-0000-000034000000}"/>
    <cellStyle name="20% - Accent1 2 2 4 2" xfId="1791" xr:uid="{00000000-0005-0000-0000-000035000000}"/>
    <cellStyle name="20% - Accent1 2 2 4 3" xfId="3069" xr:uid="{00000000-0005-0000-0000-000036000000}"/>
    <cellStyle name="20% - Accent1 2 2 4 4" xfId="4356" xr:uid="{00000000-0005-0000-0000-000037000000}"/>
    <cellStyle name="20% - Accent1 2 2 5" xfId="925" xr:uid="{00000000-0005-0000-0000-000038000000}"/>
    <cellStyle name="20% - Accent1 2 2 5 2" xfId="2217" xr:uid="{00000000-0005-0000-0000-000039000000}"/>
    <cellStyle name="20% - Accent1 2 2 5 3" xfId="3495" xr:uid="{00000000-0005-0000-0000-00003A000000}"/>
    <cellStyle name="20% - Accent1 2 2 5 4" xfId="4782" xr:uid="{00000000-0005-0000-0000-00003B000000}"/>
    <cellStyle name="20% - Accent1 2 2 6" xfId="1365" xr:uid="{00000000-0005-0000-0000-00003C000000}"/>
    <cellStyle name="20% - Accent1 2 2 7" xfId="2643" xr:uid="{00000000-0005-0000-0000-00003D000000}"/>
    <cellStyle name="20% - Accent1 2 2 8" xfId="3930" xr:uid="{00000000-0005-0000-0000-00003E000000}"/>
    <cellStyle name="20% - Accent1 2 2 9" xfId="5208" xr:uid="{00000000-0005-0000-0000-00003F000000}"/>
    <cellStyle name="20% - Accent1 2 3" xfId="85" xr:uid="{00000000-0005-0000-0000-000040000000}"/>
    <cellStyle name="20% - Accent1 2 3 2" xfId="288" xr:uid="{00000000-0005-0000-0000-000041000000}"/>
    <cellStyle name="20% - Accent1 2 3 2 2" xfId="714" xr:uid="{00000000-0005-0000-0000-000042000000}"/>
    <cellStyle name="20% - Accent1 2 3 2 2 2" xfId="2006" xr:uid="{00000000-0005-0000-0000-000043000000}"/>
    <cellStyle name="20% - Accent1 2 3 2 2 3" xfId="3284" xr:uid="{00000000-0005-0000-0000-000044000000}"/>
    <cellStyle name="20% - Accent1 2 3 2 2 4" xfId="4571" xr:uid="{00000000-0005-0000-0000-000045000000}"/>
    <cellStyle name="20% - Accent1 2 3 2 3" xfId="1140" xr:uid="{00000000-0005-0000-0000-000046000000}"/>
    <cellStyle name="20% - Accent1 2 3 2 3 2" xfId="2432" xr:uid="{00000000-0005-0000-0000-000047000000}"/>
    <cellStyle name="20% - Accent1 2 3 2 3 3" xfId="3710" xr:uid="{00000000-0005-0000-0000-000048000000}"/>
    <cellStyle name="20% - Accent1 2 3 2 3 4" xfId="4997" xr:uid="{00000000-0005-0000-0000-000049000000}"/>
    <cellStyle name="20% - Accent1 2 3 2 4" xfId="1580" xr:uid="{00000000-0005-0000-0000-00004A000000}"/>
    <cellStyle name="20% - Accent1 2 3 2 5" xfId="2858" xr:uid="{00000000-0005-0000-0000-00004B000000}"/>
    <cellStyle name="20% - Accent1 2 3 2 6" xfId="4145" xr:uid="{00000000-0005-0000-0000-00004C000000}"/>
    <cellStyle name="20% - Accent1 2 3 3" xfId="501" xr:uid="{00000000-0005-0000-0000-00004D000000}"/>
    <cellStyle name="20% - Accent1 2 3 3 2" xfId="1793" xr:uid="{00000000-0005-0000-0000-00004E000000}"/>
    <cellStyle name="20% - Accent1 2 3 3 3" xfId="3071" xr:uid="{00000000-0005-0000-0000-00004F000000}"/>
    <cellStyle name="20% - Accent1 2 3 3 4" xfId="4358" xr:uid="{00000000-0005-0000-0000-000050000000}"/>
    <cellStyle name="20% - Accent1 2 3 4" xfId="927" xr:uid="{00000000-0005-0000-0000-000051000000}"/>
    <cellStyle name="20% - Accent1 2 3 4 2" xfId="2219" xr:uid="{00000000-0005-0000-0000-000052000000}"/>
    <cellStyle name="20% - Accent1 2 3 4 3" xfId="3497" xr:uid="{00000000-0005-0000-0000-000053000000}"/>
    <cellStyle name="20% - Accent1 2 3 4 4" xfId="4784" xr:uid="{00000000-0005-0000-0000-000054000000}"/>
    <cellStyle name="20% - Accent1 2 3 5" xfId="1367" xr:uid="{00000000-0005-0000-0000-000055000000}"/>
    <cellStyle name="20% - Accent1 2 3 6" xfId="2645" xr:uid="{00000000-0005-0000-0000-000056000000}"/>
    <cellStyle name="20% - Accent1 2 3 7" xfId="3932" xr:uid="{00000000-0005-0000-0000-000057000000}"/>
    <cellStyle name="20% - Accent1 2 3 8" xfId="5210" xr:uid="{00000000-0005-0000-0000-000058000000}"/>
    <cellStyle name="20% - Accent1 2 4" xfId="86" xr:uid="{00000000-0005-0000-0000-000059000000}"/>
    <cellStyle name="20% - Accent1 2 4 2" xfId="289" xr:uid="{00000000-0005-0000-0000-00005A000000}"/>
    <cellStyle name="20% - Accent1 2 4 2 2" xfId="715" xr:uid="{00000000-0005-0000-0000-00005B000000}"/>
    <cellStyle name="20% - Accent1 2 4 2 2 2" xfId="2007" xr:uid="{00000000-0005-0000-0000-00005C000000}"/>
    <cellStyle name="20% - Accent1 2 4 2 2 3" xfId="3285" xr:uid="{00000000-0005-0000-0000-00005D000000}"/>
    <cellStyle name="20% - Accent1 2 4 2 2 4" xfId="4572" xr:uid="{00000000-0005-0000-0000-00005E000000}"/>
    <cellStyle name="20% - Accent1 2 4 2 3" xfId="1141" xr:uid="{00000000-0005-0000-0000-00005F000000}"/>
    <cellStyle name="20% - Accent1 2 4 2 3 2" xfId="2433" xr:uid="{00000000-0005-0000-0000-000060000000}"/>
    <cellStyle name="20% - Accent1 2 4 2 3 3" xfId="3711" xr:uid="{00000000-0005-0000-0000-000061000000}"/>
    <cellStyle name="20% - Accent1 2 4 2 3 4" xfId="4998" xr:uid="{00000000-0005-0000-0000-000062000000}"/>
    <cellStyle name="20% - Accent1 2 4 2 4" xfId="1581" xr:uid="{00000000-0005-0000-0000-000063000000}"/>
    <cellStyle name="20% - Accent1 2 4 2 5" xfId="2859" xr:uid="{00000000-0005-0000-0000-000064000000}"/>
    <cellStyle name="20% - Accent1 2 4 2 6" xfId="4146" xr:uid="{00000000-0005-0000-0000-000065000000}"/>
    <cellStyle name="20% - Accent1 2 4 3" xfId="502" xr:uid="{00000000-0005-0000-0000-000066000000}"/>
    <cellStyle name="20% - Accent1 2 4 3 2" xfId="1794" xr:uid="{00000000-0005-0000-0000-000067000000}"/>
    <cellStyle name="20% - Accent1 2 4 3 3" xfId="3072" xr:uid="{00000000-0005-0000-0000-000068000000}"/>
    <cellStyle name="20% - Accent1 2 4 3 4" xfId="4359" xr:uid="{00000000-0005-0000-0000-000069000000}"/>
    <cellStyle name="20% - Accent1 2 4 4" xfId="928" xr:uid="{00000000-0005-0000-0000-00006A000000}"/>
    <cellStyle name="20% - Accent1 2 4 4 2" xfId="2220" xr:uid="{00000000-0005-0000-0000-00006B000000}"/>
    <cellStyle name="20% - Accent1 2 4 4 3" xfId="3498" xr:uid="{00000000-0005-0000-0000-00006C000000}"/>
    <cellStyle name="20% - Accent1 2 4 4 4" xfId="4785" xr:uid="{00000000-0005-0000-0000-00006D000000}"/>
    <cellStyle name="20% - Accent1 2 4 5" xfId="1368" xr:uid="{00000000-0005-0000-0000-00006E000000}"/>
    <cellStyle name="20% - Accent1 2 4 6" xfId="2646" xr:uid="{00000000-0005-0000-0000-00006F000000}"/>
    <cellStyle name="20% - Accent1 2 4 7" xfId="3933" xr:uid="{00000000-0005-0000-0000-000070000000}"/>
    <cellStyle name="20% - Accent1 2 5" xfId="87" xr:uid="{00000000-0005-0000-0000-000071000000}"/>
    <cellStyle name="20% - Accent1 2 5 2" xfId="290" xr:uid="{00000000-0005-0000-0000-000072000000}"/>
    <cellStyle name="20% - Accent1 2 5 2 2" xfId="716" xr:uid="{00000000-0005-0000-0000-000073000000}"/>
    <cellStyle name="20% - Accent1 2 5 2 2 2" xfId="2008" xr:uid="{00000000-0005-0000-0000-000074000000}"/>
    <cellStyle name="20% - Accent1 2 5 2 2 3" xfId="3286" xr:uid="{00000000-0005-0000-0000-000075000000}"/>
    <cellStyle name="20% - Accent1 2 5 2 2 4" xfId="4573" xr:uid="{00000000-0005-0000-0000-000076000000}"/>
    <cellStyle name="20% - Accent1 2 5 2 3" xfId="1142" xr:uid="{00000000-0005-0000-0000-000077000000}"/>
    <cellStyle name="20% - Accent1 2 5 2 3 2" xfId="2434" xr:uid="{00000000-0005-0000-0000-000078000000}"/>
    <cellStyle name="20% - Accent1 2 5 2 3 3" xfId="3712" xr:uid="{00000000-0005-0000-0000-000079000000}"/>
    <cellStyle name="20% - Accent1 2 5 2 3 4" xfId="4999" xr:uid="{00000000-0005-0000-0000-00007A000000}"/>
    <cellStyle name="20% - Accent1 2 5 2 4" xfId="1582" xr:uid="{00000000-0005-0000-0000-00007B000000}"/>
    <cellStyle name="20% - Accent1 2 5 2 5" xfId="2860" xr:uid="{00000000-0005-0000-0000-00007C000000}"/>
    <cellStyle name="20% - Accent1 2 5 2 6" xfId="4147" xr:uid="{00000000-0005-0000-0000-00007D000000}"/>
    <cellStyle name="20% - Accent1 2 5 3" xfId="503" xr:uid="{00000000-0005-0000-0000-00007E000000}"/>
    <cellStyle name="20% - Accent1 2 5 3 2" xfId="1795" xr:uid="{00000000-0005-0000-0000-00007F000000}"/>
    <cellStyle name="20% - Accent1 2 5 3 3" xfId="3073" xr:uid="{00000000-0005-0000-0000-000080000000}"/>
    <cellStyle name="20% - Accent1 2 5 3 4" xfId="4360" xr:uid="{00000000-0005-0000-0000-000081000000}"/>
    <cellStyle name="20% - Accent1 2 5 4" xfId="929" xr:uid="{00000000-0005-0000-0000-000082000000}"/>
    <cellStyle name="20% - Accent1 2 5 4 2" xfId="2221" xr:uid="{00000000-0005-0000-0000-000083000000}"/>
    <cellStyle name="20% - Accent1 2 5 4 3" xfId="3499" xr:uid="{00000000-0005-0000-0000-000084000000}"/>
    <cellStyle name="20% - Accent1 2 5 4 4" xfId="4786" xr:uid="{00000000-0005-0000-0000-000085000000}"/>
    <cellStyle name="20% - Accent1 2 5 5" xfId="1369" xr:uid="{00000000-0005-0000-0000-000086000000}"/>
    <cellStyle name="20% - Accent1 2 5 6" xfId="2647" xr:uid="{00000000-0005-0000-0000-000087000000}"/>
    <cellStyle name="20% - Accent1 2 5 7" xfId="3934" xr:uid="{00000000-0005-0000-0000-000088000000}"/>
    <cellStyle name="20% - Accent1 2 6" xfId="269" xr:uid="{00000000-0005-0000-0000-000089000000}"/>
    <cellStyle name="20% - Accent1 2 6 2" xfId="482" xr:uid="{00000000-0005-0000-0000-00008A000000}"/>
    <cellStyle name="20% - Accent1 2 6 2 2" xfId="907" xr:uid="{00000000-0005-0000-0000-00008B000000}"/>
    <cellStyle name="20% - Accent1 2 6 2 2 2" xfId="2199" xr:uid="{00000000-0005-0000-0000-00008C000000}"/>
    <cellStyle name="20% - Accent1 2 6 2 2 3" xfId="3477" xr:uid="{00000000-0005-0000-0000-00008D000000}"/>
    <cellStyle name="20% - Accent1 2 6 2 2 4" xfId="4764" xr:uid="{00000000-0005-0000-0000-00008E000000}"/>
    <cellStyle name="20% - Accent1 2 6 2 3" xfId="1333" xr:uid="{00000000-0005-0000-0000-00008F000000}"/>
    <cellStyle name="20% - Accent1 2 6 2 3 2" xfId="2625" xr:uid="{00000000-0005-0000-0000-000090000000}"/>
    <cellStyle name="20% - Accent1 2 6 2 3 3" xfId="3903" xr:uid="{00000000-0005-0000-0000-000091000000}"/>
    <cellStyle name="20% - Accent1 2 6 2 3 4" xfId="5190" xr:uid="{00000000-0005-0000-0000-000092000000}"/>
    <cellStyle name="20% - Accent1 2 6 2 4" xfId="1773" xr:uid="{00000000-0005-0000-0000-000093000000}"/>
    <cellStyle name="20% - Accent1 2 6 2 5" xfId="3051" xr:uid="{00000000-0005-0000-0000-000094000000}"/>
    <cellStyle name="20% - Accent1 2 6 2 6" xfId="4338" xr:uid="{00000000-0005-0000-0000-000095000000}"/>
    <cellStyle name="20% - Accent1 2 6 3" xfId="694" xr:uid="{00000000-0005-0000-0000-000096000000}"/>
    <cellStyle name="20% - Accent1 2 6 3 2" xfId="1986" xr:uid="{00000000-0005-0000-0000-000097000000}"/>
    <cellStyle name="20% - Accent1 2 6 3 3" xfId="3264" xr:uid="{00000000-0005-0000-0000-000098000000}"/>
    <cellStyle name="20% - Accent1 2 6 3 4" xfId="4551" xr:uid="{00000000-0005-0000-0000-000099000000}"/>
    <cellStyle name="20% - Accent1 2 6 4" xfId="1120" xr:uid="{00000000-0005-0000-0000-00009A000000}"/>
    <cellStyle name="20% - Accent1 2 6 4 2" xfId="2412" xr:uid="{00000000-0005-0000-0000-00009B000000}"/>
    <cellStyle name="20% - Accent1 2 6 4 3" xfId="3690" xr:uid="{00000000-0005-0000-0000-00009C000000}"/>
    <cellStyle name="20% - Accent1 2 6 4 4" xfId="4977" xr:uid="{00000000-0005-0000-0000-00009D000000}"/>
    <cellStyle name="20% - Accent1 2 6 5" xfId="1560" xr:uid="{00000000-0005-0000-0000-00009E000000}"/>
    <cellStyle name="20% - Accent1 2 6 6" xfId="2838" xr:uid="{00000000-0005-0000-0000-00009F000000}"/>
    <cellStyle name="20% - Accent1 2 6 7" xfId="4125" xr:uid="{00000000-0005-0000-0000-0000A0000000}"/>
    <cellStyle name="20% - Accent1 2 7" xfId="285" xr:uid="{00000000-0005-0000-0000-0000A1000000}"/>
    <cellStyle name="20% - Accent1 2 7 2" xfId="711" xr:uid="{00000000-0005-0000-0000-0000A2000000}"/>
    <cellStyle name="20% - Accent1 2 7 2 2" xfId="2003" xr:uid="{00000000-0005-0000-0000-0000A3000000}"/>
    <cellStyle name="20% - Accent1 2 7 2 3" xfId="3281" xr:uid="{00000000-0005-0000-0000-0000A4000000}"/>
    <cellStyle name="20% - Accent1 2 7 2 4" xfId="4568" xr:uid="{00000000-0005-0000-0000-0000A5000000}"/>
    <cellStyle name="20% - Accent1 2 7 3" xfId="1137" xr:uid="{00000000-0005-0000-0000-0000A6000000}"/>
    <cellStyle name="20% - Accent1 2 7 3 2" xfId="2429" xr:uid="{00000000-0005-0000-0000-0000A7000000}"/>
    <cellStyle name="20% - Accent1 2 7 3 3" xfId="3707" xr:uid="{00000000-0005-0000-0000-0000A8000000}"/>
    <cellStyle name="20% - Accent1 2 7 3 4" xfId="4994" xr:uid="{00000000-0005-0000-0000-0000A9000000}"/>
    <cellStyle name="20% - Accent1 2 7 4" xfId="1577" xr:uid="{00000000-0005-0000-0000-0000AA000000}"/>
    <cellStyle name="20% - Accent1 2 7 5" xfId="2855" xr:uid="{00000000-0005-0000-0000-0000AB000000}"/>
    <cellStyle name="20% - Accent1 2 7 6" xfId="4142" xr:uid="{00000000-0005-0000-0000-0000AC000000}"/>
    <cellStyle name="20% - Accent1 2 8" xfId="498" xr:uid="{00000000-0005-0000-0000-0000AD000000}"/>
    <cellStyle name="20% - Accent1 2 8 2" xfId="1790" xr:uid="{00000000-0005-0000-0000-0000AE000000}"/>
    <cellStyle name="20% - Accent1 2 8 3" xfId="3068" xr:uid="{00000000-0005-0000-0000-0000AF000000}"/>
    <cellStyle name="20% - Accent1 2 8 4" xfId="4355" xr:uid="{00000000-0005-0000-0000-0000B0000000}"/>
    <cellStyle name="20% - Accent1 2 9" xfId="924" xr:uid="{00000000-0005-0000-0000-0000B1000000}"/>
    <cellStyle name="20% - Accent1 2 9 2" xfId="2216" xr:uid="{00000000-0005-0000-0000-0000B2000000}"/>
    <cellStyle name="20% - Accent1 2 9 3" xfId="3494" xr:uid="{00000000-0005-0000-0000-0000B3000000}"/>
    <cellStyle name="20% - Accent1 2 9 4" xfId="4781" xr:uid="{00000000-0005-0000-0000-0000B4000000}"/>
    <cellStyle name="20% - Accent1 3" xfId="88" xr:uid="{00000000-0005-0000-0000-0000B5000000}"/>
    <cellStyle name="20% - Accent1 3 2" xfId="89" xr:uid="{00000000-0005-0000-0000-0000B6000000}"/>
    <cellStyle name="20% - Accent1 3 2 2" xfId="292" xr:uid="{00000000-0005-0000-0000-0000B7000000}"/>
    <cellStyle name="20% - Accent1 3 2 2 2" xfId="718" xr:uid="{00000000-0005-0000-0000-0000B8000000}"/>
    <cellStyle name="20% - Accent1 3 2 2 2 2" xfId="2010" xr:uid="{00000000-0005-0000-0000-0000B9000000}"/>
    <cellStyle name="20% - Accent1 3 2 2 2 3" xfId="3288" xr:uid="{00000000-0005-0000-0000-0000BA000000}"/>
    <cellStyle name="20% - Accent1 3 2 2 2 4" xfId="4575" xr:uid="{00000000-0005-0000-0000-0000BB000000}"/>
    <cellStyle name="20% - Accent1 3 2 2 3" xfId="1144" xr:uid="{00000000-0005-0000-0000-0000BC000000}"/>
    <cellStyle name="20% - Accent1 3 2 2 3 2" xfId="2436" xr:uid="{00000000-0005-0000-0000-0000BD000000}"/>
    <cellStyle name="20% - Accent1 3 2 2 3 3" xfId="3714" xr:uid="{00000000-0005-0000-0000-0000BE000000}"/>
    <cellStyle name="20% - Accent1 3 2 2 3 4" xfId="5001" xr:uid="{00000000-0005-0000-0000-0000BF000000}"/>
    <cellStyle name="20% - Accent1 3 2 2 4" xfId="1584" xr:uid="{00000000-0005-0000-0000-0000C0000000}"/>
    <cellStyle name="20% - Accent1 3 2 2 5" xfId="2862" xr:uid="{00000000-0005-0000-0000-0000C1000000}"/>
    <cellStyle name="20% - Accent1 3 2 2 6" xfId="4149" xr:uid="{00000000-0005-0000-0000-0000C2000000}"/>
    <cellStyle name="20% - Accent1 3 2 3" xfId="505" xr:uid="{00000000-0005-0000-0000-0000C3000000}"/>
    <cellStyle name="20% - Accent1 3 2 3 2" xfId="1797" xr:uid="{00000000-0005-0000-0000-0000C4000000}"/>
    <cellStyle name="20% - Accent1 3 2 3 3" xfId="3075" xr:uid="{00000000-0005-0000-0000-0000C5000000}"/>
    <cellStyle name="20% - Accent1 3 2 3 4" xfId="4362" xr:uid="{00000000-0005-0000-0000-0000C6000000}"/>
    <cellStyle name="20% - Accent1 3 2 4" xfId="931" xr:uid="{00000000-0005-0000-0000-0000C7000000}"/>
    <cellStyle name="20% - Accent1 3 2 4 2" xfId="2223" xr:uid="{00000000-0005-0000-0000-0000C8000000}"/>
    <cellStyle name="20% - Accent1 3 2 4 3" xfId="3501" xr:uid="{00000000-0005-0000-0000-0000C9000000}"/>
    <cellStyle name="20% - Accent1 3 2 4 4" xfId="4788" xr:uid="{00000000-0005-0000-0000-0000CA000000}"/>
    <cellStyle name="20% - Accent1 3 2 5" xfId="1371" xr:uid="{00000000-0005-0000-0000-0000CB000000}"/>
    <cellStyle name="20% - Accent1 3 2 6" xfId="2649" xr:uid="{00000000-0005-0000-0000-0000CC000000}"/>
    <cellStyle name="20% - Accent1 3 2 7" xfId="3936" xr:uid="{00000000-0005-0000-0000-0000CD000000}"/>
    <cellStyle name="20% - Accent1 3 2 8" xfId="5212" xr:uid="{00000000-0005-0000-0000-0000CE000000}"/>
    <cellStyle name="20% - Accent1 3 3" xfId="291" xr:uid="{00000000-0005-0000-0000-0000CF000000}"/>
    <cellStyle name="20% - Accent1 3 3 2" xfId="717" xr:uid="{00000000-0005-0000-0000-0000D0000000}"/>
    <cellStyle name="20% - Accent1 3 3 2 2" xfId="2009" xr:uid="{00000000-0005-0000-0000-0000D1000000}"/>
    <cellStyle name="20% - Accent1 3 3 2 3" xfId="3287" xr:uid="{00000000-0005-0000-0000-0000D2000000}"/>
    <cellStyle name="20% - Accent1 3 3 2 4" xfId="4574" xr:uid="{00000000-0005-0000-0000-0000D3000000}"/>
    <cellStyle name="20% - Accent1 3 3 3" xfId="1143" xr:uid="{00000000-0005-0000-0000-0000D4000000}"/>
    <cellStyle name="20% - Accent1 3 3 3 2" xfId="2435" xr:uid="{00000000-0005-0000-0000-0000D5000000}"/>
    <cellStyle name="20% - Accent1 3 3 3 3" xfId="3713" xr:uid="{00000000-0005-0000-0000-0000D6000000}"/>
    <cellStyle name="20% - Accent1 3 3 3 4" xfId="5000" xr:uid="{00000000-0005-0000-0000-0000D7000000}"/>
    <cellStyle name="20% - Accent1 3 3 4" xfId="1583" xr:uid="{00000000-0005-0000-0000-0000D8000000}"/>
    <cellStyle name="20% - Accent1 3 3 5" xfId="2861" xr:uid="{00000000-0005-0000-0000-0000D9000000}"/>
    <cellStyle name="20% - Accent1 3 3 6" xfId="4148" xr:uid="{00000000-0005-0000-0000-0000DA000000}"/>
    <cellStyle name="20% - Accent1 3 4" xfId="504" xr:uid="{00000000-0005-0000-0000-0000DB000000}"/>
    <cellStyle name="20% - Accent1 3 4 2" xfId="1796" xr:uid="{00000000-0005-0000-0000-0000DC000000}"/>
    <cellStyle name="20% - Accent1 3 4 3" xfId="3074" xr:uid="{00000000-0005-0000-0000-0000DD000000}"/>
    <cellStyle name="20% - Accent1 3 4 4" xfId="4361" xr:uid="{00000000-0005-0000-0000-0000DE000000}"/>
    <cellStyle name="20% - Accent1 3 5" xfId="930" xr:uid="{00000000-0005-0000-0000-0000DF000000}"/>
    <cellStyle name="20% - Accent1 3 5 2" xfId="2222" xr:uid="{00000000-0005-0000-0000-0000E0000000}"/>
    <cellStyle name="20% - Accent1 3 5 3" xfId="3500" xr:uid="{00000000-0005-0000-0000-0000E1000000}"/>
    <cellStyle name="20% - Accent1 3 5 4" xfId="4787" xr:uid="{00000000-0005-0000-0000-0000E2000000}"/>
    <cellStyle name="20% - Accent1 3 6" xfId="1370" xr:uid="{00000000-0005-0000-0000-0000E3000000}"/>
    <cellStyle name="20% - Accent1 3 7" xfId="2648" xr:uid="{00000000-0005-0000-0000-0000E4000000}"/>
    <cellStyle name="20% - Accent1 3 8" xfId="3935" xr:uid="{00000000-0005-0000-0000-0000E5000000}"/>
    <cellStyle name="20% - Accent1 3 9" xfId="5211" xr:uid="{00000000-0005-0000-0000-0000E6000000}"/>
    <cellStyle name="20% - Accent1 4" xfId="90" xr:uid="{00000000-0005-0000-0000-0000E7000000}"/>
    <cellStyle name="20% - Accent1 4 2" xfId="293" xr:uid="{00000000-0005-0000-0000-0000E8000000}"/>
    <cellStyle name="20% - Accent1 4 2 2" xfId="719" xr:uid="{00000000-0005-0000-0000-0000E9000000}"/>
    <cellStyle name="20% - Accent1 4 2 2 2" xfId="2011" xr:uid="{00000000-0005-0000-0000-0000EA000000}"/>
    <cellStyle name="20% - Accent1 4 2 2 3" xfId="3289" xr:uid="{00000000-0005-0000-0000-0000EB000000}"/>
    <cellStyle name="20% - Accent1 4 2 2 4" xfId="4576" xr:uid="{00000000-0005-0000-0000-0000EC000000}"/>
    <cellStyle name="20% - Accent1 4 2 3" xfId="1145" xr:uid="{00000000-0005-0000-0000-0000ED000000}"/>
    <cellStyle name="20% - Accent1 4 2 3 2" xfId="2437" xr:uid="{00000000-0005-0000-0000-0000EE000000}"/>
    <cellStyle name="20% - Accent1 4 2 3 3" xfId="3715" xr:uid="{00000000-0005-0000-0000-0000EF000000}"/>
    <cellStyle name="20% - Accent1 4 2 3 4" xfId="5002" xr:uid="{00000000-0005-0000-0000-0000F0000000}"/>
    <cellStyle name="20% - Accent1 4 2 4" xfId="1585" xr:uid="{00000000-0005-0000-0000-0000F1000000}"/>
    <cellStyle name="20% - Accent1 4 2 5" xfId="2863" xr:uid="{00000000-0005-0000-0000-0000F2000000}"/>
    <cellStyle name="20% - Accent1 4 2 6" xfId="4150" xr:uid="{00000000-0005-0000-0000-0000F3000000}"/>
    <cellStyle name="20% - Accent1 4 3" xfId="506" xr:uid="{00000000-0005-0000-0000-0000F4000000}"/>
    <cellStyle name="20% - Accent1 4 3 2" xfId="1798" xr:uid="{00000000-0005-0000-0000-0000F5000000}"/>
    <cellStyle name="20% - Accent1 4 3 3" xfId="3076" xr:uid="{00000000-0005-0000-0000-0000F6000000}"/>
    <cellStyle name="20% - Accent1 4 3 4" xfId="4363" xr:uid="{00000000-0005-0000-0000-0000F7000000}"/>
    <cellStyle name="20% - Accent1 4 4" xfId="932" xr:uid="{00000000-0005-0000-0000-0000F8000000}"/>
    <cellStyle name="20% - Accent1 4 4 2" xfId="2224" xr:uid="{00000000-0005-0000-0000-0000F9000000}"/>
    <cellStyle name="20% - Accent1 4 4 3" xfId="3502" xr:uid="{00000000-0005-0000-0000-0000FA000000}"/>
    <cellStyle name="20% - Accent1 4 4 4" xfId="4789" xr:uid="{00000000-0005-0000-0000-0000FB000000}"/>
    <cellStyle name="20% - Accent1 4 5" xfId="1372" xr:uid="{00000000-0005-0000-0000-0000FC000000}"/>
    <cellStyle name="20% - Accent1 4 6" xfId="2650" xr:uid="{00000000-0005-0000-0000-0000FD000000}"/>
    <cellStyle name="20% - Accent1 4 7" xfId="3937" xr:uid="{00000000-0005-0000-0000-0000FE000000}"/>
    <cellStyle name="20% - Accent1 4 8" xfId="5213" xr:uid="{00000000-0005-0000-0000-0000FF000000}"/>
    <cellStyle name="20% - Accent1 5" xfId="91" xr:uid="{00000000-0005-0000-0000-000000010000}"/>
    <cellStyle name="20% - Accent1 5 2" xfId="294" xr:uid="{00000000-0005-0000-0000-000001010000}"/>
    <cellStyle name="20% - Accent1 5 2 2" xfId="720" xr:uid="{00000000-0005-0000-0000-000002010000}"/>
    <cellStyle name="20% - Accent1 5 2 2 2" xfId="2012" xr:uid="{00000000-0005-0000-0000-000003010000}"/>
    <cellStyle name="20% - Accent1 5 2 2 3" xfId="3290" xr:uid="{00000000-0005-0000-0000-000004010000}"/>
    <cellStyle name="20% - Accent1 5 2 2 4" xfId="4577" xr:uid="{00000000-0005-0000-0000-000005010000}"/>
    <cellStyle name="20% - Accent1 5 2 3" xfId="1146" xr:uid="{00000000-0005-0000-0000-000006010000}"/>
    <cellStyle name="20% - Accent1 5 2 3 2" xfId="2438" xr:uid="{00000000-0005-0000-0000-000007010000}"/>
    <cellStyle name="20% - Accent1 5 2 3 3" xfId="3716" xr:uid="{00000000-0005-0000-0000-000008010000}"/>
    <cellStyle name="20% - Accent1 5 2 3 4" xfId="5003" xr:uid="{00000000-0005-0000-0000-000009010000}"/>
    <cellStyle name="20% - Accent1 5 2 4" xfId="1586" xr:uid="{00000000-0005-0000-0000-00000A010000}"/>
    <cellStyle name="20% - Accent1 5 2 5" xfId="2864" xr:uid="{00000000-0005-0000-0000-00000B010000}"/>
    <cellStyle name="20% - Accent1 5 2 6" xfId="4151" xr:uid="{00000000-0005-0000-0000-00000C010000}"/>
    <cellStyle name="20% - Accent1 5 3" xfId="507" xr:uid="{00000000-0005-0000-0000-00000D010000}"/>
    <cellStyle name="20% - Accent1 5 3 2" xfId="1799" xr:uid="{00000000-0005-0000-0000-00000E010000}"/>
    <cellStyle name="20% - Accent1 5 3 3" xfId="3077" xr:uid="{00000000-0005-0000-0000-00000F010000}"/>
    <cellStyle name="20% - Accent1 5 3 4" xfId="4364" xr:uid="{00000000-0005-0000-0000-000010010000}"/>
    <cellStyle name="20% - Accent1 5 4" xfId="933" xr:uid="{00000000-0005-0000-0000-000011010000}"/>
    <cellStyle name="20% - Accent1 5 4 2" xfId="2225" xr:uid="{00000000-0005-0000-0000-000012010000}"/>
    <cellStyle name="20% - Accent1 5 4 3" xfId="3503" xr:uid="{00000000-0005-0000-0000-000013010000}"/>
    <cellStyle name="20% - Accent1 5 4 4" xfId="4790" xr:uid="{00000000-0005-0000-0000-000014010000}"/>
    <cellStyle name="20% - Accent1 5 5" xfId="1373" xr:uid="{00000000-0005-0000-0000-000015010000}"/>
    <cellStyle name="20% - Accent1 5 6" xfId="2651" xr:uid="{00000000-0005-0000-0000-000016010000}"/>
    <cellStyle name="20% - Accent1 5 7" xfId="3938" xr:uid="{00000000-0005-0000-0000-000017010000}"/>
    <cellStyle name="20% - Accent1 6" xfId="92" xr:uid="{00000000-0005-0000-0000-000018010000}"/>
    <cellStyle name="20% - Accent1 6 2" xfId="295" xr:uid="{00000000-0005-0000-0000-000019010000}"/>
    <cellStyle name="20% - Accent1 6 2 2" xfId="721" xr:uid="{00000000-0005-0000-0000-00001A010000}"/>
    <cellStyle name="20% - Accent1 6 2 2 2" xfId="2013" xr:uid="{00000000-0005-0000-0000-00001B010000}"/>
    <cellStyle name="20% - Accent1 6 2 2 3" xfId="3291" xr:uid="{00000000-0005-0000-0000-00001C010000}"/>
    <cellStyle name="20% - Accent1 6 2 2 4" xfId="4578" xr:uid="{00000000-0005-0000-0000-00001D010000}"/>
    <cellStyle name="20% - Accent1 6 2 3" xfId="1147" xr:uid="{00000000-0005-0000-0000-00001E010000}"/>
    <cellStyle name="20% - Accent1 6 2 3 2" xfId="2439" xr:uid="{00000000-0005-0000-0000-00001F010000}"/>
    <cellStyle name="20% - Accent1 6 2 3 3" xfId="3717" xr:uid="{00000000-0005-0000-0000-000020010000}"/>
    <cellStyle name="20% - Accent1 6 2 3 4" xfId="5004" xr:uid="{00000000-0005-0000-0000-000021010000}"/>
    <cellStyle name="20% - Accent1 6 2 4" xfId="1587" xr:uid="{00000000-0005-0000-0000-000022010000}"/>
    <cellStyle name="20% - Accent1 6 2 5" xfId="2865" xr:uid="{00000000-0005-0000-0000-000023010000}"/>
    <cellStyle name="20% - Accent1 6 2 6" xfId="4152" xr:uid="{00000000-0005-0000-0000-000024010000}"/>
    <cellStyle name="20% - Accent1 6 3" xfId="508" xr:uid="{00000000-0005-0000-0000-000025010000}"/>
    <cellStyle name="20% - Accent1 6 3 2" xfId="1800" xr:uid="{00000000-0005-0000-0000-000026010000}"/>
    <cellStyle name="20% - Accent1 6 3 3" xfId="3078" xr:uid="{00000000-0005-0000-0000-000027010000}"/>
    <cellStyle name="20% - Accent1 6 3 4" xfId="4365" xr:uid="{00000000-0005-0000-0000-000028010000}"/>
    <cellStyle name="20% - Accent1 6 4" xfId="934" xr:uid="{00000000-0005-0000-0000-000029010000}"/>
    <cellStyle name="20% - Accent1 6 4 2" xfId="2226" xr:uid="{00000000-0005-0000-0000-00002A010000}"/>
    <cellStyle name="20% - Accent1 6 4 3" xfId="3504" xr:uid="{00000000-0005-0000-0000-00002B010000}"/>
    <cellStyle name="20% - Accent1 6 4 4" xfId="4791" xr:uid="{00000000-0005-0000-0000-00002C010000}"/>
    <cellStyle name="20% - Accent1 6 5" xfId="1374" xr:uid="{00000000-0005-0000-0000-00002D010000}"/>
    <cellStyle name="20% - Accent1 6 6" xfId="2652" xr:uid="{00000000-0005-0000-0000-00002E010000}"/>
    <cellStyle name="20% - Accent1 6 7" xfId="3939" xr:uid="{00000000-0005-0000-0000-00002F010000}"/>
    <cellStyle name="20% - Accent1 7" xfId="254" xr:uid="{00000000-0005-0000-0000-000030010000}"/>
    <cellStyle name="20% - Accent1 7 2" xfId="467" xr:uid="{00000000-0005-0000-0000-000031010000}"/>
    <cellStyle name="20% - Accent1 7 2 2" xfId="892" xr:uid="{00000000-0005-0000-0000-000032010000}"/>
    <cellStyle name="20% - Accent1 7 2 2 2" xfId="2184" xr:uid="{00000000-0005-0000-0000-000033010000}"/>
    <cellStyle name="20% - Accent1 7 2 2 3" xfId="3462" xr:uid="{00000000-0005-0000-0000-000034010000}"/>
    <cellStyle name="20% - Accent1 7 2 2 4" xfId="4749" xr:uid="{00000000-0005-0000-0000-000035010000}"/>
    <cellStyle name="20% - Accent1 7 2 3" xfId="1318" xr:uid="{00000000-0005-0000-0000-000036010000}"/>
    <cellStyle name="20% - Accent1 7 2 3 2" xfId="2610" xr:uid="{00000000-0005-0000-0000-000037010000}"/>
    <cellStyle name="20% - Accent1 7 2 3 3" xfId="3888" xr:uid="{00000000-0005-0000-0000-000038010000}"/>
    <cellStyle name="20% - Accent1 7 2 3 4" xfId="5175" xr:uid="{00000000-0005-0000-0000-000039010000}"/>
    <cellStyle name="20% - Accent1 7 2 4" xfId="1758" xr:uid="{00000000-0005-0000-0000-00003A010000}"/>
    <cellStyle name="20% - Accent1 7 2 5" xfId="3036" xr:uid="{00000000-0005-0000-0000-00003B010000}"/>
    <cellStyle name="20% - Accent1 7 2 6" xfId="4323" xr:uid="{00000000-0005-0000-0000-00003C010000}"/>
    <cellStyle name="20% - Accent1 7 3" xfId="679" xr:uid="{00000000-0005-0000-0000-00003D010000}"/>
    <cellStyle name="20% - Accent1 7 3 2" xfId="1971" xr:uid="{00000000-0005-0000-0000-00003E010000}"/>
    <cellStyle name="20% - Accent1 7 3 3" xfId="3249" xr:uid="{00000000-0005-0000-0000-00003F010000}"/>
    <cellStyle name="20% - Accent1 7 3 4" xfId="4536" xr:uid="{00000000-0005-0000-0000-000040010000}"/>
    <cellStyle name="20% - Accent1 7 4" xfId="1105" xr:uid="{00000000-0005-0000-0000-000041010000}"/>
    <cellStyle name="20% - Accent1 7 4 2" xfId="2397" xr:uid="{00000000-0005-0000-0000-000042010000}"/>
    <cellStyle name="20% - Accent1 7 4 3" xfId="3675" xr:uid="{00000000-0005-0000-0000-000043010000}"/>
    <cellStyle name="20% - Accent1 7 4 4" xfId="4962" xr:uid="{00000000-0005-0000-0000-000044010000}"/>
    <cellStyle name="20% - Accent1 7 5" xfId="1545" xr:uid="{00000000-0005-0000-0000-000045010000}"/>
    <cellStyle name="20% - Accent1 7 6" xfId="2823" xr:uid="{00000000-0005-0000-0000-000046010000}"/>
    <cellStyle name="20% - Accent1 7 7" xfId="4110" xr:uid="{00000000-0005-0000-0000-000047010000}"/>
    <cellStyle name="20% - Accent1 8" xfId="284" xr:uid="{00000000-0005-0000-0000-000048010000}"/>
    <cellStyle name="20% - Accent1 8 2" xfId="710" xr:uid="{00000000-0005-0000-0000-000049010000}"/>
    <cellStyle name="20% - Accent1 8 2 2" xfId="2002" xr:uid="{00000000-0005-0000-0000-00004A010000}"/>
    <cellStyle name="20% - Accent1 8 2 3" xfId="3280" xr:uid="{00000000-0005-0000-0000-00004B010000}"/>
    <cellStyle name="20% - Accent1 8 2 4" xfId="4567" xr:uid="{00000000-0005-0000-0000-00004C010000}"/>
    <cellStyle name="20% - Accent1 8 3" xfId="1136" xr:uid="{00000000-0005-0000-0000-00004D010000}"/>
    <cellStyle name="20% - Accent1 8 3 2" xfId="2428" xr:uid="{00000000-0005-0000-0000-00004E010000}"/>
    <cellStyle name="20% - Accent1 8 3 3" xfId="3706" xr:uid="{00000000-0005-0000-0000-00004F010000}"/>
    <cellStyle name="20% - Accent1 8 3 4" xfId="4993" xr:uid="{00000000-0005-0000-0000-000050010000}"/>
    <cellStyle name="20% - Accent1 8 4" xfId="1576" xr:uid="{00000000-0005-0000-0000-000051010000}"/>
    <cellStyle name="20% - Accent1 8 5" xfId="2854" xr:uid="{00000000-0005-0000-0000-000052010000}"/>
    <cellStyle name="20% - Accent1 8 6" xfId="4141" xr:uid="{00000000-0005-0000-0000-000053010000}"/>
    <cellStyle name="20% - Accent1 9" xfId="497" xr:uid="{00000000-0005-0000-0000-000054010000}"/>
    <cellStyle name="20% - Accent1 9 2" xfId="1789" xr:uid="{00000000-0005-0000-0000-000055010000}"/>
    <cellStyle name="20% - Accent1 9 3" xfId="3067" xr:uid="{00000000-0005-0000-0000-000056010000}"/>
    <cellStyle name="20% - Accent1 9 4" xfId="4354" xr:uid="{00000000-0005-0000-0000-000057010000}"/>
    <cellStyle name="20% - Accent2" xfId="62" builtinId="34" customBuiltin="1"/>
    <cellStyle name="20% - Accent2 10" xfId="935" xr:uid="{00000000-0005-0000-0000-000059010000}"/>
    <cellStyle name="20% - Accent2 10 2" xfId="2227" xr:uid="{00000000-0005-0000-0000-00005A010000}"/>
    <cellStyle name="20% - Accent2 10 3" xfId="3505" xr:uid="{00000000-0005-0000-0000-00005B010000}"/>
    <cellStyle name="20% - Accent2 10 4" xfId="4792" xr:uid="{00000000-0005-0000-0000-00005C010000}"/>
    <cellStyle name="20% - Accent2 11" xfId="1375" xr:uid="{00000000-0005-0000-0000-00005D010000}"/>
    <cellStyle name="20% - Accent2 12" xfId="2653" xr:uid="{00000000-0005-0000-0000-00005E010000}"/>
    <cellStyle name="20% - Accent2 13" xfId="3940" xr:uid="{00000000-0005-0000-0000-00005F010000}"/>
    <cellStyle name="20% - Accent2 14" xfId="5214" xr:uid="{00000000-0005-0000-0000-000060010000}"/>
    <cellStyle name="20% - Accent2 2" xfId="11" xr:uid="{00000000-0005-0000-0000-000061010000}"/>
    <cellStyle name="20% - Accent2 2 10" xfId="1376" xr:uid="{00000000-0005-0000-0000-000062010000}"/>
    <cellStyle name="20% - Accent2 2 11" xfId="2654" xr:uid="{00000000-0005-0000-0000-000063010000}"/>
    <cellStyle name="20% - Accent2 2 12" xfId="3941" xr:uid="{00000000-0005-0000-0000-000064010000}"/>
    <cellStyle name="20% - Accent2 2 13" xfId="5215" xr:uid="{00000000-0005-0000-0000-000065010000}"/>
    <cellStyle name="20% - Accent2 2 2" xfId="93" xr:uid="{00000000-0005-0000-0000-000066010000}"/>
    <cellStyle name="20% - Accent2 2 2 2" xfId="94" xr:uid="{00000000-0005-0000-0000-000067010000}"/>
    <cellStyle name="20% - Accent2 2 2 2 2" xfId="299" xr:uid="{00000000-0005-0000-0000-000068010000}"/>
    <cellStyle name="20% - Accent2 2 2 2 2 2" xfId="725" xr:uid="{00000000-0005-0000-0000-000069010000}"/>
    <cellStyle name="20% - Accent2 2 2 2 2 2 2" xfId="2017" xr:uid="{00000000-0005-0000-0000-00006A010000}"/>
    <cellStyle name="20% - Accent2 2 2 2 2 2 3" xfId="3295" xr:uid="{00000000-0005-0000-0000-00006B010000}"/>
    <cellStyle name="20% - Accent2 2 2 2 2 2 4" xfId="4582" xr:uid="{00000000-0005-0000-0000-00006C010000}"/>
    <cellStyle name="20% - Accent2 2 2 2 2 3" xfId="1151" xr:uid="{00000000-0005-0000-0000-00006D010000}"/>
    <cellStyle name="20% - Accent2 2 2 2 2 3 2" xfId="2443" xr:uid="{00000000-0005-0000-0000-00006E010000}"/>
    <cellStyle name="20% - Accent2 2 2 2 2 3 3" xfId="3721" xr:uid="{00000000-0005-0000-0000-00006F010000}"/>
    <cellStyle name="20% - Accent2 2 2 2 2 3 4" xfId="5008" xr:uid="{00000000-0005-0000-0000-000070010000}"/>
    <cellStyle name="20% - Accent2 2 2 2 2 4" xfId="1591" xr:uid="{00000000-0005-0000-0000-000071010000}"/>
    <cellStyle name="20% - Accent2 2 2 2 2 5" xfId="2869" xr:uid="{00000000-0005-0000-0000-000072010000}"/>
    <cellStyle name="20% - Accent2 2 2 2 2 6" xfId="4156" xr:uid="{00000000-0005-0000-0000-000073010000}"/>
    <cellStyle name="20% - Accent2 2 2 2 3" xfId="512" xr:uid="{00000000-0005-0000-0000-000074010000}"/>
    <cellStyle name="20% - Accent2 2 2 2 3 2" xfId="1804" xr:uid="{00000000-0005-0000-0000-000075010000}"/>
    <cellStyle name="20% - Accent2 2 2 2 3 3" xfId="3082" xr:uid="{00000000-0005-0000-0000-000076010000}"/>
    <cellStyle name="20% - Accent2 2 2 2 3 4" xfId="4369" xr:uid="{00000000-0005-0000-0000-000077010000}"/>
    <cellStyle name="20% - Accent2 2 2 2 4" xfId="938" xr:uid="{00000000-0005-0000-0000-000078010000}"/>
    <cellStyle name="20% - Accent2 2 2 2 4 2" xfId="2230" xr:uid="{00000000-0005-0000-0000-000079010000}"/>
    <cellStyle name="20% - Accent2 2 2 2 4 3" xfId="3508" xr:uid="{00000000-0005-0000-0000-00007A010000}"/>
    <cellStyle name="20% - Accent2 2 2 2 4 4" xfId="4795" xr:uid="{00000000-0005-0000-0000-00007B010000}"/>
    <cellStyle name="20% - Accent2 2 2 2 5" xfId="1378" xr:uid="{00000000-0005-0000-0000-00007C010000}"/>
    <cellStyle name="20% - Accent2 2 2 2 6" xfId="2656" xr:uid="{00000000-0005-0000-0000-00007D010000}"/>
    <cellStyle name="20% - Accent2 2 2 2 7" xfId="3943" xr:uid="{00000000-0005-0000-0000-00007E010000}"/>
    <cellStyle name="20% - Accent2 2 2 2 8" xfId="5217" xr:uid="{00000000-0005-0000-0000-00007F010000}"/>
    <cellStyle name="20% - Accent2 2 2 3" xfId="298" xr:uid="{00000000-0005-0000-0000-000080010000}"/>
    <cellStyle name="20% - Accent2 2 2 3 2" xfId="724" xr:uid="{00000000-0005-0000-0000-000081010000}"/>
    <cellStyle name="20% - Accent2 2 2 3 2 2" xfId="2016" xr:uid="{00000000-0005-0000-0000-000082010000}"/>
    <cellStyle name="20% - Accent2 2 2 3 2 3" xfId="3294" xr:uid="{00000000-0005-0000-0000-000083010000}"/>
    <cellStyle name="20% - Accent2 2 2 3 2 4" xfId="4581" xr:uid="{00000000-0005-0000-0000-000084010000}"/>
    <cellStyle name="20% - Accent2 2 2 3 3" xfId="1150" xr:uid="{00000000-0005-0000-0000-000085010000}"/>
    <cellStyle name="20% - Accent2 2 2 3 3 2" xfId="2442" xr:uid="{00000000-0005-0000-0000-000086010000}"/>
    <cellStyle name="20% - Accent2 2 2 3 3 3" xfId="3720" xr:uid="{00000000-0005-0000-0000-000087010000}"/>
    <cellStyle name="20% - Accent2 2 2 3 3 4" xfId="5007" xr:uid="{00000000-0005-0000-0000-000088010000}"/>
    <cellStyle name="20% - Accent2 2 2 3 4" xfId="1590" xr:uid="{00000000-0005-0000-0000-000089010000}"/>
    <cellStyle name="20% - Accent2 2 2 3 5" xfId="2868" xr:uid="{00000000-0005-0000-0000-00008A010000}"/>
    <cellStyle name="20% - Accent2 2 2 3 6" xfId="4155" xr:uid="{00000000-0005-0000-0000-00008B010000}"/>
    <cellStyle name="20% - Accent2 2 2 4" xfId="511" xr:uid="{00000000-0005-0000-0000-00008C010000}"/>
    <cellStyle name="20% - Accent2 2 2 4 2" xfId="1803" xr:uid="{00000000-0005-0000-0000-00008D010000}"/>
    <cellStyle name="20% - Accent2 2 2 4 3" xfId="3081" xr:uid="{00000000-0005-0000-0000-00008E010000}"/>
    <cellStyle name="20% - Accent2 2 2 4 4" xfId="4368" xr:uid="{00000000-0005-0000-0000-00008F010000}"/>
    <cellStyle name="20% - Accent2 2 2 5" xfId="937" xr:uid="{00000000-0005-0000-0000-000090010000}"/>
    <cellStyle name="20% - Accent2 2 2 5 2" xfId="2229" xr:uid="{00000000-0005-0000-0000-000091010000}"/>
    <cellStyle name="20% - Accent2 2 2 5 3" xfId="3507" xr:uid="{00000000-0005-0000-0000-000092010000}"/>
    <cellStyle name="20% - Accent2 2 2 5 4" xfId="4794" xr:uid="{00000000-0005-0000-0000-000093010000}"/>
    <cellStyle name="20% - Accent2 2 2 6" xfId="1377" xr:uid="{00000000-0005-0000-0000-000094010000}"/>
    <cellStyle name="20% - Accent2 2 2 7" xfId="2655" xr:uid="{00000000-0005-0000-0000-000095010000}"/>
    <cellStyle name="20% - Accent2 2 2 8" xfId="3942" xr:uid="{00000000-0005-0000-0000-000096010000}"/>
    <cellStyle name="20% - Accent2 2 2 9" xfId="5216" xr:uid="{00000000-0005-0000-0000-000097010000}"/>
    <cellStyle name="20% - Accent2 2 3" xfId="95" xr:uid="{00000000-0005-0000-0000-000098010000}"/>
    <cellStyle name="20% - Accent2 2 3 2" xfId="300" xr:uid="{00000000-0005-0000-0000-000099010000}"/>
    <cellStyle name="20% - Accent2 2 3 2 2" xfId="726" xr:uid="{00000000-0005-0000-0000-00009A010000}"/>
    <cellStyle name="20% - Accent2 2 3 2 2 2" xfId="2018" xr:uid="{00000000-0005-0000-0000-00009B010000}"/>
    <cellStyle name="20% - Accent2 2 3 2 2 3" xfId="3296" xr:uid="{00000000-0005-0000-0000-00009C010000}"/>
    <cellStyle name="20% - Accent2 2 3 2 2 4" xfId="4583" xr:uid="{00000000-0005-0000-0000-00009D010000}"/>
    <cellStyle name="20% - Accent2 2 3 2 3" xfId="1152" xr:uid="{00000000-0005-0000-0000-00009E010000}"/>
    <cellStyle name="20% - Accent2 2 3 2 3 2" xfId="2444" xr:uid="{00000000-0005-0000-0000-00009F010000}"/>
    <cellStyle name="20% - Accent2 2 3 2 3 3" xfId="3722" xr:uid="{00000000-0005-0000-0000-0000A0010000}"/>
    <cellStyle name="20% - Accent2 2 3 2 3 4" xfId="5009" xr:uid="{00000000-0005-0000-0000-0000A1010000}"/>
    <cellStyle name="20% - Accent2 2 3 2 4" xfId="1592" xr:uid="{00000000-0005-0000-0000-0000A2010000}"/>
    <cellStyle name="20% - Accent2 2 3 2 5" xfId="2870" xr:uid="{00000000-0005-0000-0000-0000A3010000}"/>
    <cellStyle name="20% - Accent2 2 3 2 6" xfId="4157" xr:uid="{00000000-0005-0000-0000-0000A4010000}"/>
    <cellStyle name="20% - Accent2 2 3 3" xfId="513" xr:uid="{00000000-0005-0000-0000-0000A5010000}"/>
    <cellStyle name="20% - Accent2 2 3 3 2" xfId="1805" xr:uid="{00000000-0005-0000-0000-0000A6010000}"/>
    <cellStyle name="20% - Accent2 2 3 3 3" xfId="3083" xr:uid="{00000000-0005-0000-0000-0000A7010000}"/>
    <cellStyle name="20% - Accent2 2 3 3 4" xfId="4370" xr:uid="{00000000-0005-0000-0000-0000A8010000}"/>
    <cellStyle name="20% - Accent2 2 3 4" xfId="939" xr:uid="{00000000-0005-0000-0000-0000A9010000}"/>
    <cellStyle name="20% - Accent2 2 3 4 2" xfId="2231" xr:uid="{00000000-0005-0000-0000-0000AA010000}"/>
    <cellStyle name="20% - Accent2 2 3 4 3" xfId="3509" xr:uid="{00000000-0005-0000-0000-0000AB010000}"/>
    <cellStyle name="20% - Accent2 2 3 4 4" xfId="4796" xr:uid="{00000000-0005-0000-0000-0000AC010000}"/>
    <cellStyle name="20% - Accent2 2 3 5" xfId="1379" xr:uid="{00000000-0005-0000-0000-0000AD010000}"/>
    <cellStyle name="20% - Accent2 2 3 6" xfId="2657" xr:uid="{00000000-0005-0000-0000-0000AE010000}"/>
    <cellStyle name="20% - Accent2 2 3 7" xfId="3944" xr:uid="{00000000-0005-0000-0000-0000AF010000}"/>
    <cellStyle name="20% - Accent2 2 3 8" xfId="5218" xr:uid="{00000000-0005-0000-0000-0000B0010000}"/>
    <cellStyle name="20% - Accent2 2 4" xfId="96" xr:uid="{00000000-0005-0000-0000-0000B1010000}"/>
    <cellStyle name="20% - Accent2 2 4 2" xfId="301" xr:uid="{00000000-0005-0000-0000-0000B2010000}"/>
    <cellStyle name="20% - Accent2 2 4 2 2" xfId="727" xr:uid="{00000000-0005-0000-0000-0000B3010000}"/>
    <cellStyle name="20% - Accent2 2 4 2 2 2" xfId="2019" xr:uid="{00000000-0005-0000-0000-0000B4010000}"/>
    <cellStyle name="20% - Accent2 2 4 2 2 3" xfId="3297" xr:uid="{00000000-0005-0000-0000-0000B5010000}"/>
    <cellStyle name="20% - Accent2 2 4 2 2 4" xfId="4584" xr:uid="{00000000-0005-0000-0000-0000B6010000}"/>
    <cellStyle name="20% - Accent2 2 4 2 3" xfId="1153" xr:uid="{00000000-0005-0000-0000-0000B7010000}"/>
    <cellStyle name="20% - Accent2 2 4 2 3 2" xfId="2445" xr:uid="{00000000-0005-0000-0000-0000B8010000}"/>
    <cellStyle name="20% - Accent2 2 4 2 3 3" xfId="3723" xr:uid="{00000000-0005-0000-0000-0000B9010000}"/>
    <cellStyle name="20% - Accent2 2 4 2 3 4" xfId="5010" xr:uid="{00000000-0005-0000-0000-0000BA010000}"/>
    <cellStyle name="20% - Accent2 2 4 2 4" xfId="1593" xr:uid="{00000000-0005-0000-0000-0000BB010000}"/>
    <cellStyle name="20% - Accent2 2 4 2 5" xfId="2871" xr:uid="{00000000-0005-0000-0000-0000BC010000}"/>
    <cellStyle name="20% - Accent2 2 4 2 6" xfId="4158" xr:uid="{00000000-0005-0000-0000-0000BD010000}"/>
    <cellStyle name="20% - Accent2 2 4 3" xfId="514" xr:uid="{00000000-0005-0000-0000-0000BE010000}"/>
    <cellStyle name="20% - Accent2 2 4 3 2" xfId="1806" xr:uid="{00000000-0005-0000-0000-0000BF010000}"/>
    <cellStyle name="20% - Accent2 2 4 3 3" xfId="3084" xr:uid="{00000000-0005-0000-0000-0000C0010000}"/>
    <cellStyle name="20% - Accent2 2 4 3 4" xfId="4371" xr:uid="{00000000-0005-0000-0000-0000C1010000}"/>
    <cellStyle name="20% - Accent2 2 4 4" xfId="940" xr:uid="{00000000-0005-0000-0000-0000C2010000}"/>
    <cellStyle name="20% - Accent2 2 4 4 2" xfId="2232" xr:uid="{00000000-0005-0000-0000-0000C3010000}"/>
    <cellStyle name="20% - Accent2 2 4 4 3" xfId="3510" xr:uid="{00000000-0005-0000-0000-0000C4010000}"/>
    <cellStyle name="20% - Accent2 2 4 4 4" xfId="4797" xr:uid="{00000000-0005-0000-0000-0000C5010000}"/>
    <cellStyle name="20% - Accent2 2 4 5" xfId="1380" xr:uid="{00000000-0005-0000-0000-0000C6010000}"/>
    <cellStyle name="20% - Accent2 2 4 6" xfId="2658" xr:uid="{00000000-0005-0000-0000-0000C7010000}"/>
    <cellStyle name="20% - Accent2 2 4 7" xfId="3945" xr:uid="{00000000-0005-0000-0000-0000C8010000}"/>
    <cellStyle name="20% - Accent2 2 5" xfId="97" xr:uid="{00000000-0005-0000-0000-0000C9010000}"/>
    <cellStyle name="20% - Accent2 2 5 2" xfId="302" xr:uid="{00000000-0005-0000-0000-0000CA010000}"/>
    <cellStyle name="20% - Accent2 2 5 2 2" xfId="728" xr:uid="{00000000-0005-0000-0000-0000CB010000}"/>
    <cellStyle name="20% - Accent2 2 5 2 2 2" xfId="2020" xr:uid="{00000000-0005-0000-0000-0000CC010000}"/>
    <cellStyle name="20% - Accent2 2 5 2 2 3" xfId="3298" xr:uid="{00000000-0005-0000-0000-0000CD010000}"/>
    <cellStyle name="20% - Accent2 2 5 2 2 4" xfId="4585" xr:uid="{00000000-0005-0000-0000-0000CE010000}"/>
    <cellStyle name="20% - Accent2 2 5 2 3" xfId="1154" xr:uid="{00000000-0005-0000-0000-0000CF010000}"/>
    <cellStyle name="20% - Accent2 2 5 2 3 2" xfId="2446" xr:uid="{00000000-0005-0000-0000-0000D0010000}"/>
    <cellStyle name="20% - Accent2 2 5 2 3 3" xfId="3724" xr:uid="{00000000-0005-0000-0000-0000D1010000}"/>
    <cellStyle name="20% - Accent2 2 5 2 3 4" xfId="5011" xr:uid="{00000000-0005-0000-0000-0000D2010000}"/>
    <cellStyle name="20% - Accent2 2 5 2 4" xfId="1594" xr:uid="{00000000-0005-0000-0000-0000D3010000}"/>
    <cellStyle name="20% - Accent2 2 5 2 5" xfId="2872" xr:uid="{00000000-0005-0000-0000-0000D4010000}"/>
    <cellStyle name="20% - Accent2 2 5 2 6" xfId="4159" xr:uid="{00000000-0005-0000-0000-0000D5010000}"/>
    <cellStyle name="20% - Accent2 2 5 3" xfId="515" xr:uid="{00000000-0005-0000-0000-0000D6010000}"/>
    <cellStyle name="20% - Accent2 2 5 3 2" xfId="1807" xr:uid="{00000000-0005-0000-0000-0000D7010000}"/>
    <cellStyle name="20% - Accent2 2 5 3 3" xfId="3085" xr:uid="{00000000-0005-0000-0000-0000D8010000}"/>
    <cellStyle name="20% - Accent2 2 5 3 4" xfId="4372" xr:uid="{00000000-0005-0000-0000-0000D9010000}"/>
    <cellStyle name="20% - Accent2 2 5 4" xfId="941" xr:uid="{00000000-0005-0000-0000-0000DA010000}"/>
    <cellStyle name="20% - Accent2 2 5 4 2" xfId="2233" xr:uid="{00000000-0005-0000-0000-0000DB010000}"/>
    <cellStyle name="20% - Accent2 2 5 4 3" xfId="3511" xr:uid="{00000000-0005-0000-0000-0000DC010000}"/>
    <cellStyle name="20% - Accent2 2 5 4 4" xfId="4798" xr:uid="{00000000-0005-0000-0000-0000DD010000}"/>
    <cellStyle name="20% - Accent2 2 5 5" xfId="1381" xr:uid="{00000000-0005-0000-0000-0000DE010000}"/>
    <cellStyle name="20% - Accent2 2 5 6" xfId="2659" xr:uid="{00000000-0005-0000-0000-0000DF010000}"/>
    <cellStyle name="20% - Accent2 2 5 7" xfId="3946" xr:uid="{00000000-0005-0000-0000-0000E0010000}"/>
    <cellStyle name="20% - Accent2 2 6" xfId="271" xr:uid="{00000000-0005-0000-0000-0000E1010000}"/>
    <cellStyle name="20% - Accent2 2 6 2" xfId="484" xr:uid="{00000000-0005-0000-0000-0000E2010000}"/>
    <cellStyle name="20% - Accent2 2 6 2 2" xfId="909" xr:uid="{00000000-0005-0000-0000-0000E3010000}"/>
    <cellStyle name="20% - Accent2 2 6 2 2 2" xfId="2201" xr:uid="{00000000-0005-0000-0000-0000E4010000}"/>
    <cellStyle name="20% - Accent2 2 6 2 2 3" xfId="3479" xr:uid="{00000000-0005-0000-0000-0000E5010000}"/>
    <cellStyle name="20% - Accent2 2 6 2 2 4" xfId="4766" xr:uid="{00000000-0005-0000-0000-0000E6010000}"/>
    <cellStyle name="20% - Accent2 2 6 2 3" xfId="1335" xr:uid="{00000000-0005-0000-0000-0000E7010000}"/>
    <cellStyle name="20% - Accent2 2 6 2 3 2" xfId="2627" xr:uid="{00000000-0005-0000-0000-0000E8010000}"/>
    <cellStyle name="20% - Accent2 2 6 2 3 3" xfId="3905" xr:uid="{00000000-0005-0000-0000-0000E9010000}"/>
    <cellStyle name="20% - Accent2 2 6 2 3 4" xfId="5192" xr:uid="{00000000-0005-0000-0000-0000EA010000}"/>
    <cellStyle name="20% - Accent2 2 6 2 4" xfId="1775" xr:uid="{00000000-0005-0000-0000-0000EB010000}"/>
    <cellStyle name="20% - Accent2 2 6 2 5" xfId="3053" xr:uid="{00000000-0005-0000-0000-0000EC010000}"/>
    <cellStyle name="20% - Accent2 2 6 2 6" xfId="4340" xr:uid="{00000000-0005-0000-0000-0000ED010000}"/>
    <cellStyle name="20% - Accent2 2 6 3" xfId="696" xr:uid="{00000000-0005-0000-0000-0000EE010000}"/>
    <cellStyle name="20% - Accent2 2 6 3 2" xfId="1988" xr:uid="{00000000-0005-0000-0000-0000EF010000}"/>
    <cellStyle name="20% - Accent2 2 6 3 3" xfId="3266" xr:uid="{00000000-0005-0000-0000-0000F0010000}"/>
    <cellStyle name="20% - Accent2 2 6 3 4" xfId="4553" xr:uid="{00000000-0005-0000-0000-0000F1010000}"/>
    <cellStyle name="20% - Accent2 2 6 4" xfId="1122" xr:uid="{00000000-0005-0000-0000-0000F2010000}"/>
    <cellStyle name="20% - Accent2 2 6 4 2" xfId="2414" xr:uid="{00000000-0005-0000-0000-0000F3010000}"/>
    <cellStyle name="20% - Accent2 2 6 4 3" xfId="3692" xr:uid="{00000000-0005-0000-0000-0000F4010000}"/>
    <cellStyle name="20% - Accent2 2 6 4 4" xfId="4979" xr:uid="{00000000-0005-0000-0000-0000F5010000}"/>
    <cellStyle name="20% - Accent2 2 6 5" xfId="1562" xr:uid="{00000000-0005-0000-0000-0000F6010000}"/>
    <cellStyle name="20% - Accent2 2 6 6" xfId="2840" xr:uid="{00000000-0005-0000-0000-0000F7010000}"/>
    <cellStyle name="20% - Accent2 2 6 7" xfId="4127" xr:uid="{00000000-0005-0000-0000-0000F8010000}"/>
    <cellStyle name="20% - Accent2 2 7" xfId="297" xr:uid="{00000000-0005-0000-0000-0000F9010000}"/>
    <cellStyle name="20% - Accent2 2 7 2" xfId="723" xr:uid="{00000000-0005-0000-0000-0000FA010000}"/>
    <cellStyle name="20% - Accent2 2 7 2 2" xfId="2015" xr:uid="{00000000-0005-0000-0000-0000FB010000}"/>
    <cellStyle name="20% - Accent2 2 7 2 3" xfId="3293" xr:uid="{00000000-0005-0000-0000-0000FC010000}"/>
    <cellStyle name="20% - Accent2 2 7 2 4" xfId="4580" xr:uid="{00000000-0005-0000-0000-0000FD010000}"/>
    <cellStyle name="20% - Accent2 2 7 3" xfId="1149" xr:uid="{00000000-0005-0000-0000-0000FE010000}"/>
    <cellStyle name="20% - Accent2 2 7 3 2" xfId="2441" xr:uid="{00000000-0005-0000-0000-0000FF010000}"/>
    <cellStyle name="20% - Accent2 2 7 3 3" xfId="3719" xr:uid="{00000000-0005-0000-0000-000000020000}"/>
    <cellStyle name="20% - Accent2 2 7 3 4" xfId="5006" xr:uid="{00000000-0005-0000-0000-000001020000}"/>
    <cellStyle name="20% - Accent2 2 7 4" xfId="1589" xr:uid="{00000000-0005-0000-0000-000002020000}"/>
    <cellStyle name="20% - Accent2 2 7 5" xfId="2867" xr:uid="{00000000-0005-0000-0000-000003020000}"/>
    <cellStyle name="20% - Accent2 2 7 6" xfId="4154" xr:uid="{00000000-0005-0000-0000-000004020000}"/>
    <cellStyle name="20% - Accent2 2 8" xfId="510" xr:uid="{00000000-0005-0000-0000-000005020000}"/>
    <cellStyle name="20% - Accent2 2 8 2" xfId="1802" xr:uid="{00000000-0005-0000-0000-000006020000}"/>
    <cellStyle name="20% - Accent2 2 8 3" xfId="3080" xr:uid="{00000000-0005-0000-0000-000007020000}"/>
    <cellStyle name="20% - Accent2 2 8 4" xfId="4367" xr:uid="{00000000-0005-0000-0000-000008020000}"/>
    <cellStyle name="20% - Accent2 2 9" xfId="936" xr:uid="{00000000-0005-0000-0000-000009020000}"/>
    <cellStyle name="20% - Accent2 2 9 2" xfId="2228" xr:uid="{00000000-0005-0000-0000-00000A020000}"/>
    <cellStyle name="20% - Accent2 2 9 3" xfId="3506" xr:uid="{00000000-0005-0000-0000-00000B020000}"/>
    <cellStyle name="20% - Accent2 2 9 4" xfId="4793" xr:uid="{00000000-0005-0000-0000-00000C020000}"/>
    <cellStyle name="20% - Accent2 3" xfId="98" xr:uid="{00000000-0005-0000-0000-00000D020000}"/>
    <cellStyle name="20% - Accent2 3 2" xfId="99" xr:uid="{00000000-0005-0000-0000-00000E020000}"/>
    <cellStyle name="20% - Accent2 3 2 2" xfId="304" xr:uid="{00000000-0005-0000-0000-00000F020000}"/>
    <cellStyle name="20% - Accent2 3 2 2 2" xfId="730" xr:uid="{00000000-0005-0000-0000-000010020000}"/>
    <cellStyle name="20% - Accent2 3 2 2 2 2" xfId="2022" xr:uid="{00000000-0005-0000-0000-000011020000}"/>
    <cellStyle name="20% - Accent2 3 2 2 2 3" xfId="3300" xr:uid="{00000000-0005-0000-0000-000012020000}"/>
    <cellStyle name="20% - Accent2 3 2 2 2 4" xfId="4587" xr:uid="{00000000-0005-0000-0000-000013020000}"/>
    <cellStyle name="20% - Accent2 3 2 2 3" xfId="1156" xr:uid="{00000000-0005-0000-0000-000014020000}"/>
    <cellStyle name="20% - Accent2 3 2 2 3 2" xfId="2448" xr:uid="{00000000-0005-0000-0000-000015020000}"/>
    <cellStyle name="20% - Accent2 3 2 2 3 3" xfId="3726" xr:uid="{00000000-0005-0000-0000-000016020000}"/>
    <cellStyle name="20% - Accent2 3 2 2 3 4" xfId="5013" xr:uid="{00000000-0005-0000-0000-000017020000}"/>
    <cellStyle name="20% - Accent2 3 2 2 4" xfId="1596" xr:uid="{00000000-0005-0000-0000-000018020000}"/>
    <cellStyle name="20% - Accent2 3 2 2 5" xfId="2874" xr:uid="{00000000-0005-0000-0000-000019020000}"/>
    <cellStyle name="20% - Accent2 3 2 2 6" xfId="4161" xr:uid="{00000000-0005-0000-0000-00001A020000}"/>
    <cellStyle name="20% - Accent2 3 2 3" xfId="517" xr:uid="{00000000-0005-0000-0000-00001B020000}"/>
    <cellStyle name="20% - Accent2 3 2 3 2" xfId="1809" xr:uid="{00000000-0005-0000-0000-00001C020000}"/>
    <cellStyle name="20% - Accent2 3 2 3 3" xfId="3087" xr:uid="{00000000-0005-0000-0000-00001D020000}"/>
    <cellStyle name="20% - Accent2 3 2 3 4" xfId="4374" xr:uid="{00000000-0005-0000-0000-00001E020000}"/>
    <cellStyle name="20% - Accent2 3 2 4" xfId="943" xr:uid="{00000000-0005-0000-0000-00001F020000}"/>
    <cellStyle name="20% - Accent2 3 2 4 2" xfId="2235" xr:uid="{00000000-0005-0000-0000-000020020000}"/>
    <cellStyle name="20% - Accent2 3 2 4 3" xfId="3513" xr:uid="{00000000-0005-0000-0000-000021020000}"/>
    <cellStyle name="20% - Accent2 3 2 4 4" xfId="4800" xr:uid="{00000000-0005-0000-0000-000022020000}"/>
    <cellStyle name="20% - Accent2 3 2 5" xfId="1383" xr:uid="{00000000-0005-0000-0000-000023020000}"/>
    <cellStyle name="20% - Accent2 3 2 6" xfId="2661" xr:uid="{00000000-0005-0000-0000-000024020000}"/>
    <cellStyle name="20% - Accent2 3 2 7" xfId="3948" xr:uid="{00000000-0005-0000-0000-000025020000}"/>
    <cellStyle name="20% - Accent2 3 2 8" xfId="5220" xr:uid="{00000000-0005-0000-0000-000026020000}"/>
    <cellStyle name="20% - Accent2 3 3" xfId="303" xr:uid="{00000000-0005-0000-0000-000027020000}"/>
    <cellStyle name="20% - Accent2 3 3 2" xfId="729" xr:uid="{00000000-0005-0000-0000-000028020000}"/>
    <cellStyle name="20% - Accent2 3 3 2 2" xfId="2021" xr:uid="{00000000-0005-0000-0000-000029020000}"/>
    <cellStyle name="20% - Accent2 3 3 2 3" xfId="3299" xr:uid="{00000000-0005-0000-0000-00002A020000}"/>
    <cellStyle name="20% - Accent2 3 3 2 4" xfId="4586" xr:uid="{00000000-0005-0000-0000-00002B020000}"/>
    <cellStyle name="20% - Accent2 3 3 3" xfId="1155" xr:uid="{00000000-0005-0000-0000-00002C020000}"/>
    <cellStyle name="20% - Accent2 3 3 3 2" xfId="2447" xr:uid="{00000000-0005-0000-0000-00002D020000}"/>
    <cellStyle name="20% - Accent2 3 3 3 3" xfId="3725" xr:uid="{00000000-0005-0000-0000-00002E020000}"/>
    <cellStyle name="20% - Accent2 3 3 3 4" xfId="5012" xr:uid="{00000000-0005-0000-0000-00002F020000}"/>
    <cellStyle name="20% - Accent2 3 3 4" xfId="1595" xr:uid="{00000000-0005-0000-0000-000030020000}"/>
    <cellStyle name="20% - Accent2 3 3 5" xfId="2873" xr:uid="{00000000-0005-0000-0000-000031020000}"/>
    <cellStyle name="20% - Accent2 3 3 6" xfId="4160" xr:uid="{00000000-0005-0000-0000-000032020000}"/>
    <cellStyle name="20% - Accent2 3 4" xfId="516" xr:uid="{00000000-0005-0000-0000-000033020000}"/>
    <cellStyle name="20% - Accent2 3 4 2" xfId="1808" xr:uid="{00000000-0005-0000-0000-000034020000}"/>
    <cellStyle name="20% - Accent2 3 4 3" xfId="3086" xr:uid="{00000000-0005-0000-0000-000035020000}"/>
    <cellStyle name="20% - Accent2 3 4 4" xfId="4373" xr:uid="{00000000-0005-0000-0000-000036020000}"/>
    <cellStyle name="20% - Accent2 3 5" xfId="942" xr:uid="{00000000-0005-0000-0000-000037020000}"/>
    <cellStyle name="20% - Accent2 3 5 2" xfId="2234" xr:uid="{00000000-0005-0000-0000-000038020000}"/>
    <cellStyle name="20% - Accent2 3 5 3" xfId="3512" xr:uid="{00000000-0005-0000-0000-000039020000}"/>
    <cellStyle name="20% - Accent2 3 5 4" xfId="4799" xr:uid="{00000000-0005-0000-0000-00003A020000}"/>
    <cellStyle name="20% - Accent2 3 6" xfId="1382" xr:uid="{00000000-0005-0000-0000-00003B020000}"/>
    <cellStyle name="20% - Accent2 3 7" xfId="2660" xr:uid="{00000000-0005-0000-0000-00003C020000}"/>
    <cellStyle name="20% - Accent2 3 8" xfId="3947" xr:uid="{00000000-0005-0000-0000-00003D020000}"/>
    <cellStyle name="20% - Accent2 3 9" xfId="5219" xr:uid="{00000000-0005-0000-0000-00003E020000}"/>
    <cellStyle name="20% - Accent2 4" xfId="100" xr:uid="{00000000-0005-0000-0000-00003F020000}"/>
    <cellStyle name="20% - Accent2 4 2" xfId="305" xr:uid="{00000000-0005-0000-0000-000040020000}"/>
    <cellStyle name="20% - Accent2 4 2 2" xfId="731" xr:uid="{00000000-0005-0000-0000-000041020000}"/>
    <cellStyle name="20% - Accent2 4 2 2 2" xfId="2023" xr:uid="{00000000-0005-0000-0000-000042020000}"/>
    <cellStyle name="20% - Accent2 4 2 2 3" xfId="3301" xr:uid="{00000000-0005-0000-0000-000043020000}"/>
    <cellStyle name="20% - Accent2 4 2 2 4" xfId="4588" xr:uid="{00000000-0005-0000-0000-000044020000}"/>
    <cellStyle name="20% - Accent2 4 2 3" xfId="1157" xr:uid="{00000000-0005-0000-0000-000045020000}"/>
    <cellStyle name="20% - Accent2 4 2 3 2" xfId="2449" xr:uid="{00000000-0005-0000-0000-000046020000}"/>
    <cellStyle name="20% - Accent2 4 2 3 3" xfId="3727" xr:uid="{00000000-0005-0000-0000-000047020000}"/>
    <cellStyle name="20% - Accent2 4 2 3 4" xfId="5014" xr:uid="{00000000-0005-0000-0000-000048020000}"/>
    <cellStyle name="20% - Accent2 4 2 4" xfId="1597" xr:uid="{00000000-0005-0000-0000-000049020000}"/>
    <cellStyle name="20% - Accent2 4 2 5" xfId="2875" xr:uid="{00000000-0005-0000-0000-00004A020000}"/>
    <cellStyle name="20% - Accent2 4 2 6" xfId="4162" xr:uid="{00000000-0005-0000-0000-00004B020000}"/>
    <cellStyle name="20% - Accent2 4 3" xfId="518" xr:uid="{00000000-0005-0000-0000-00004C020000}"/>
    <cellStyle name="20% - Accent2 4 3 2" xfId="1810" xr:uid="{00000000-0005-0000-0000-00004D020000}"/>
    <cellStyle name="20% - Accent2 4 3 3" xfId="3088" xr:uid="{00000000-0005-0000-0000-00004E020000}"/>
    <cellStyle name="20% - Accent2 4 3 4" xfId="4375" xr:uid="{00000000-0005-0000-0000-00004F020000}"/>
    <cellStyle name="20% - Accent2 4 4" xfId="944" xr:uid="{00000000-0005-0000-0000-000050020000}"/>
    <cellStyle name="20% - Accent2 4 4 2" xfId="2236" xr:uid="{00000000-0005-0000-0000-000051020000}"/>
    <cellStyle name="20% - Accent2 4 4 3" xfId="3514" xr:uid="{00000000-0005-0000-0000-000052020000}"/>
    <cellStyle name="20% - Accent2 4 4 4" xfId="4801" xr:uid="{00000000-0005-0000-0000-000053020000}"/>
    <cellStyle name="20% - Accent2 4 5" xfId="1384" xr:uid="{00000000-0005-0000-0000-000054020000}"/>
    <cellStyle name="20% - Accent2 4 6" xfId="2662" xr:uid="{00000000-0005-0000-0000-000055020000}"/>
    <cellStyle name="20% - Accent2 4 7" xfId="3949" xr:uid="{00000000-0005-0000-0000-000056020000}"/>
    <cellStyle name="20% - Accent2 4 8" xfId="5221" xr:uid="{00000000-0005-0000-0000-000057020000}"/>
    <cellStyle name="20% - Accent2 5" xfId="101" xr:uid="{00000000-0005-0000-0000-000058020000}"/>
    <cellStyle name="20% - Accent2 5 2" xfId="306" xr:uid="{00000000-0005-0000-0000-000059020000}"/>
    <cellStyle name="20% - Accent2 5 2 2" xfId="732" xr:uid="{00000000-0005-0000-0000-00005A020000}"/>
    <cellStyle name="20% - Accent2 5 2 2 2" xfId="2024" xr:uid="{00000000-0005-0000-0000-00005B020000}"/>
    <cellStyle name="20% - Accent2 5 2 2 3" xfId="3302" xr:uid="{00000000-0005-0000-0000-00005C020000}"/>
    <cellStyle name="20% - Accent2 5 2 2 4" xfId="4589" xr:uid="{00000000-0005-0000-0000-00005D020000}"/>
    <cellStyle name="20% - Accent2 5 2 3" xfId="1158" xr:uid="{00000000-0005-0000-0000-00005E020000}"/>
    <cellStyle name="20% - Accent2 5 2 3 2" xfId="2450" xr:uid="{00000000-0005-0000-0000-00005F020000}"/>
    <cellStyle name="20% - Accent2 5 2 3 3" xfId="3728" xr:uid="{00000000-0005-0000-0000-000060020000}"/>
    <cellStyle name="20% - Accent2 5 2 3 4" xfId="5015" xr:uid="{00000000-0005-0000-0000-000061020000}"/>
    <cellStyle name="20% - Accent2 5 2 4" xfId="1598" xr:uid="{00000000-0005-0000-0000-000062020000}"/>
    <cellStyle name="20% - Accent2 5 2 5" xfId="2876" xr:uid="{00000000-0005-0000-0000-000063020000}"/>
    <cellStyle name="20% - Accent2 5 2 6" xfId="4163" xr:uid="{00000000-0005-0000-0000-000064020000}"/>
    <cellStyle name="20% - Accent2 5 3" xfId="519" xr:uid="{00000000-0005-0000-0000-000065020000}"/>
    <cellStyle name="20% - Accent2 5 3 2" xfId="1811" xr:uid="{00000000-0005-0000-0000-000066020000}"/>
    <cellStyle name="20% - Accent2 5 3 3" xfId="3089" xr:uid="{00000000-0005-0000-0000-000067020000}"/>
    <cellStyle name="20% - Accent2 5 3 4" xfId="4376" xr:uid="{00000000-0005-0000-0000-000068020000}"/>
    <cellStyle name="20% - Accent2 5 4" xfId="945" xr:uid="{00000000-0005-0000-0000-000069020000}"/>
    <cellStyle name="20% - Accent2 5 4 2" xfId="2237" xr:uid="{00000000-0005-0000-0000-00006A020000}"/>
    <cellStyle name="20% - Accent2 5 4 3" xfId="3515" xr:uid="{00000000-0005-0000-0000-00006B020000}"/>
    <cellStyle name="20% - Accent2 5 4 4" xfId="4802" xr:uid="{00000000-0005-0000-0000-00006C020000}"/>
    <cellStyle name="20% - Accent2 5 5" xfId="1385" xr:uid="{00000000-0005-0000-0000-00006D020000}"/>
    <cellStyle name="20% - Accent2 5 6" xfId="2663" xr:uid="{00000000-0005-0000-0000-00006E020000}"/>
    <cellStyle name="20% - Accent2 5 7" xfId="3950" xr:uid="{00000000-0005-0000-0000-00006F020000}"/>
    <cellStyle name="20% - Accent2 6" xfId="102" xr:uid="{00000000-0005-0000-0000-000070020000}"/>
    <cellStyle name="20% - Accent2 6 2" xfId="307" xr:uid="{00000000-0005-0000-0000-000071020000}"/>
    <cellStyle name="20% - Accent2 6 2 2" xfId="733" xr:uid="{00000000-0005-0000-0000-000072020000}"/>
    <cellStyle name="20% - Accent2 6 2 2 2" xfId="2025" xr:uid="{00000000-0005-0000-0000-000073020000}"/>
    <cellStyle name="20% - Accent2 6 2 2 3" xfId="3303" xr:uid="{00000000-0005-0000-0000-000074020000}"/>
    <cellStyle name="20% - Accent2 6 2 2 4" xfId="4590" xr:uid="{00000000-0005-0000-0000-000075020000}"/>
    <cellStyle name="20% - Accent2 6 2 3" xfId="1159" xr:uid="{00000000-0005-0000-0000-000076020000}"/>
    <cellStyle name="20% - Accent2 6 2 3 2" xfId="2451" xr:uid="{00000000-0005-0000-0000-000077020000}"/>
    <cellStyle name="20% - Accent2 6 2 3 3" xfId="3729" xr:uid="{00000000-0005-0000-0000-000078020000}"/>
    <cellStyle name="20% - Accent2 6 2 3 4" xfId="5016" xr:uid="{00000000-0005-0000-0000-000079020000}"/>
    <cellStyle name="20% - Accent2 6 2 4" xfId="1599" xr:uid="{00000000-0005-0000-0000-00007A020000}"/>
    <cellStyle name="20% - Accent2 6 2 5" xfId="2877" xr:uid="{00000000-0005-0000-0000-00007B020000}"/>
    <cellStyle name="20% - Accent2 6 2 6" xfId="4164" xr:uid="{00000000-0005-0000-0000-00007C020000}"/>
    <cellStyle name="20% - Accent2 6 3" xfId="520" xr:uid="{00000000-0005-0000-0000-00007D020000}"/>
    <cellStyle name="20% - Accent2 6 3 2" xfId="1812" xr:uid="{00000000-0005-0000-0000-00007E020000}"/>
    <cellStyle name="20% - Accent2 6 3 3" xfId="3090" xr:uid="{00000000-0005-0000-0000-00007F020000}"/>
    <cellStyle name="20% - Accent2 6 3 4" xfId="4377" xr:uid="{00000000-0005-0000-0000-000080020000}"/>
    <cellStyle name="20% - Accent2 6 4" xfId="946" xr:uid="{00000000-0005-0000-0000-000081020000}"/>
    <cellStyle name="20% - Accent2 6 4 2" xfId="2238" xr:uid="{00000000-0005-0000-0000-000082020000}"/>
    <cellStyle name="20% - Accent2 6 4 3" xfId="3516" xr:uid="{00000000-0005-0000-0000-000083020000}"/>
    <cellStyle name="20% - Accent2 6 4 4" xfId="4803" xr:uid="{00000000-0005-0000-0000-000084020000}"/>
    <cellStyle name="20% - Accent2 6 5" xfId="1386" xr:uid="{00000000-0005-0000-0000-000085020000}"/>
    <cellStyle name="20% - Accent2 6 6" xfId="2664" xr:uid="{00000000-0005-0000-0000-000086020000}"/>
    <cellStyle name="20% - Accent2 6 7" xfId="3951" xr:uid="{00000000-0005-0000-0000-000087020000}"/>
    <cellStyle name="20% - Accent2 7" xfId="255" xr:uid="{00000000-0005-0000-0000-000088020000}"/>
    <cellStyle name="20% - Accent2 7 2" xfId="468" xr:uid="{00000000-0005-0000-0000-000089020000}"/>
    <cellStyle name="20% - Accent2 7 2 2" xfId="893" xr:uid="{00000000-0005-0000-0000-00008A020000}"/>
    <cellStyle name="20% - Accent2 7 2 2 2" xfId="2185" xr:uid="{00000000-0005-0000-0000-00008B020000}"/>
    <cellStyle name="20% - Accent2 7 2 2 3" xfId="3463" xr:uid="{00000000-0005-0000-0000-00008C020000}"/>
    <cellStyle name="20% - Accent2 7 2 2 4" xfId="4750" xr:uid="{00000000-0005-0000-0000-00008D020000}"/>
    <cellStyle name="20% - Accent2 7 2 3" xfId="1319" xr:uid="{00000000-0005-0000-0000-00008E020000}"/>
    <cellStyle name="20% - Accent2 7 2 3 2" xfId="2611" xr:uid="{00000000-0005-0000-0000-00008F020000}"/>
    <cellStyle name="20% - Accent2 7 2 3 3" xfId="3889" xr:uid="{00000000-0005-0000-0000-000090020000}"/>
    <cellStyle name="20% - Accent2 7 2 3 4" xfId="5176" xr:uid="{00000000-0005-0000-0000-000091020000}"/>
    <cellStyle name="20% - Accent2 7 2 4" xfId="1759" xr:uid="{00000000-0005-0000-0000-000092020000}"/>
    <cellStyle name="20% - Accent2 7 2 5" xfId="3037" xr:uid="{00000000-0005-0000-0000-000093020000}"/>
    <cellStyle name="20% - Accent2 7 2 6" xfId="4324" xr:uid="{00000000-0005-0000-0000-000094020000}"/>
    <cellStyle name="20% - Accent2 7 3" xfId="680" xr:uid="{00000000-0005-0000-0000-000095020000}"/>
    <cellStyle name="20% - Accent2 7 3 2" xfId="1972" xr:uid="{00000000-0005-0000-0000-000096020000}"/>
    <cellStyle name="20% - Accent2 7 3 3" xfId="3250" xr:uid="{00000000-0005-0000-0000-000097020000}"/>
    <cellStyle name="20% - Accent2 7 3 4" xfId="4537" xr:uid="{00000000-0005-0000-0000-000098020000}"/>
    <cellStyle name="20% - Accent2 7 4" xfId="1106" xr:uid="{00000000-0005-0000-0000-000099020000}"/>
    <cellStyle name="20% - Accent2 7 4 2" xfId="2398" xr:uid="{00000000-0005-0000-0000-00009A020000}"/>
    <cellStyle name="20% - Accent2 7 4 3" xfId="3676" xr:uid="{00000000-0005-0000-0000-00009B020000}"/>
    <cellStyle name="20% - Accent2 7 4 4" xfId="4963" xr:uid="{00000000-0005-0000-0000-00009C020000}"/>
    <cellStyle name="20% - Accent2 7 5" xfId="1546" xr:uid="{00000000-0005-0000-0000-00009D020000}"/>
    <cellStyle name="20% - Accent2 7 6" xfId="2824" xr:uid="{00000000-0005-0000-0000-00009E020000}"/>
    <cellStyle name="20% - Accent2 7 7" xfId="4111" xr:uid="{00000000-0005-0000-0000-00009F020000}"/>
    <cellStyle name="20% - Accent2 8" xfId="296" xr:uid="{00000000-0005-0000-0000-0000A0020000}"/>
    <cellStyle name="20% - Accent2 8 2" xfId="722" xr:uid="{00000000-0005-0000-0000-0000A1020000}"/>
    <cellStyle name="20% - Accent2 8 2 2" xfId="2014" xr:uid="{00000000-0005-0000-0000-0000A2020000}"/>
    <cellStyle name="20% - Accent2 8 2 3" xfId="3292" xr:uid="{00000000-0005-0000-0000-0000A3020000}"/>
    <cellStyle name="20% - Accent2 8 2 4" xfId="4579" xr:uid="{00000000-0005-0000-0000-0000A4020000}"/>
    <cellStyle name="20% - Accent2 8 3" xfId="1148" xr:uid="{00000000-0005-0000-0000-0000A5020000}"/>
    <cellStyle name="20% - Accent2 8 3 2" xfId="2440" xr:uid="{00000000-0005-0000-0000-0000A6020000}"/>
    <cellStyle name="20% - Accent2 8 3 3" xfId="3718" xr:uid="{00000000-0005-0000-0000-0000A7020000}"/>
    <cellStyle name="20% - Accent2 8 3 4" xfId="5005" xr:uid="{00000000-0005-0000-0000-0000A8020000}"/>
    <cellStyle name="20% - Accent2 8 4" xfId="1588" xr:uid="{00000000-0005-0000-0000-0000A9020000}"/>
    <cellStyle name="20% - Accent2 8 5" xfId="2866" xr:uid="{00000000-0005-0000-0000-0000AA020000}"/>
    <cellStyle name="20% - Accent2 8 6" xfId="4153" xr:uid="{00000000-0005-0000-0000-0000AB020000}"/>
    <cellStyle name="20% - Accent2 9" xfId="509" xr:uid="{00000000-0005-0000-0000-0000AC020000}"/>
    <cellStyle name="20% - Accent2 9 2" xfId="1801" xr:uid="{00000000-0005-0000-0000-0000AD020000}"/>
    <cellStyle name="20% - Accent2 9 3" xfId="3079" xr:uid="{00000000-0005-0000-0000-0000AE020000}"/>
    <cellStyle name="20% - Accent2 9 4" xfId="4366" xr:uid="{00000000-0005-0000-0000-0000AF020000}"/>
    <cellStyle name="20% - Accent3" xfId="66" builtinId="38" customBuiltin="1"/>
    <cellStyle name="20% - Accent3 10" xfId="947" xr:uid="{00000000-0005-0000-0000-0000B1020000}"/>
    <cellStyle name="20% - Accent3 10 2" xfId="2239" xr:uid="{00000000-0005-0000-0000-0000B2020000}"/>
    <cellStyle name="20% - Accent3 10 3" xfId="3517" xr:uid="{00000000-0005-0000-0000-0000B3020000}"/>
    <cellStyle name="20% - Accent3 10 4" xfId="4804" xr:uid="{00000000-0005-0000-0000-0000B4020000}"/>
    <cellStyle name="20% - Accent3 11" xfId="1387" xr:uid="{00000000-0005-0000-0000-0000B5020000}"/>
    <cellStyle name="20% - Accent3 12" xfId="2665" xr:uid="{00000000-0005-0000-0000-0000B6020000}"/>
    <cellStyle name="20% - Accent3 13" xfId="3952" xr:uid="{00000000-0005-0000-0000-0000B7020000}"/>
    <cellStyle name="20% - Accent3 14" xfId="5222" xr:uid="{00000000-0005-0000-0000-0000B8020000}"/>
    <cellStyle name="20% - Accent3 2" xfId="12" xr:uid="{00000000-0005-0000-0000-0000B9020000}"/>
    <cellStyle name="20% - Accent3 2 10" xfId="1388" xr:uid="{00000000-0005-0000-0000-0000BA020000}"/>
    <cellStyle name="20% - Accent3 2 11" xfId="2666" xr:uid="{00000000-0005-0000-0000-0000BB020000}"/>
    <cellStyle name="20% - Accent3 2 12" xfId="3953" xr:uid="{00000000-0005-0000-0000-0000BC020000}"/>
    <cellStyle name="20% - Accent3 2 13" xfId="5223" xr:uid="{00000000-0005-0000-0000-0000BD020000}"/>
    <cellStyle name="20% - Accent3 2 2" xfId="103" xr:uid="{00000000-0005-0000-0000-0000BE020000}"/>
    <cellStyle name="20% - Accent3 2 2 2" xfId="104" xr:uid="{00000000-0005-0000-0000-0000BF020000}"/>
    <cellStyle name="20% - Accent3 2 2 2 2" xfId="311" xr:uid="{00000000-0005-0000-0000-0000C0020000}"/>
    <cellStyle name="20% - Accent3 2 2 2 2 2" xfId="737" xr:uid="{00000000-0005-0000-0000-0000C1020000}"/>
    <cellStyle name="20% - Accent3 2 2 2 2 2 2" xfId="2029" xr:uid="{00000000-0005-0000-0000-0000C2020000}"/>
    <cellStyle name="20% - Accent3 2 2 2 2 2 3" xfId="3307" xr:uid="{00000000-0005-0000-0000-0000C3020000}"/>
    <cellStyle name="20% - Accent3 2 2 2 2 2 4" xfId="4594" xr:uid="{00000000-0005-0000-0000-0000C4020000}"/>
    <cellStyle name="20% - Accent3 2 2 2 2 3" xfId="1163" xr:uid="{00000000-0005-0000-0000-0000C5020000}"/>
    <cellStyle name="20% - Accent3 2 2 2 2 3 2" xfId="2455" xr:uid="{00000000-0005-0000-0000-0000C6020000}"/>
    <cellStyle name="20% - Accent3 2 2 2 2 3 3" xfId="3733" xr:uid="{00000000-0005-0000-0000-0000C7020000}"/>
    <cellStyle name="20% - Accent3 2 2 2 2 3 4" xfId="5020" xr:uid="{00000000-0005-0000-0000-0000C8020000}"/>
    <cellStyle name="20% - Accent3 2 2 2 2 4" xfId="1603" xr:uid="{00000000-0005-0000-0000-0000C9020000}"/>
    <cellStyle name="20% - Accent3 2 2 2 2 5" xfId="2881" xr:uid="{00000000-0005-0000-0000-0000CA020000}"/>
    <cellStyle name="20% - Accent3 2 2 2 2 6" xfId="4168" xr:uid="{00000000-0005-0000-0000-0000CB020000}"/>
    <cellStyle name="20% - Accent3 2 2 2 3" xfId="524" xr:uid="{00000000-0005-0000-0000-0000CC020000}"/>
    <cellStyle name="20% - Accent3 2 2 2 3 2" xfId="1816" xr:uid="{00000000-0005-0000-0000-0000CD020000}"/>
    <cellStyle name="20% - Accent3 2 2 2 3 3" xfId="3094" xr:uid="{00000000-0005-0000-0000-0000CE020000}"/>
    <cellStyle name="20% - Accent3 2 2 2 3 4" xfId="4381" xr:uid="{00000000-0005-0000-0000-0000CF020000}"/>
    <cellStyle name="20% - Accent3 2 2 2 4" xfId="950" xr:uid="{00000000-0005-0000-0000-0000D0020000}"/>
    <cellStyle name="20% - Accent3 2 2 2 4 2" xfId="2242" xr:uid="{00000000-0005-0000-0000-0000D1020000}"/>
    <cellStyle name="20% - Accent3 2 2 2 4 3" xfId="3520" xr:uid="{00000000-0005-0000-0000-0000D2020000}"/>
    <cellStyle name="20% - Accent3 2 2 2 4 4" xfId="4807" xr:uid="{00000000-0005-0000-0000-0000D3020000}"/>
    <cellStyle name="20% - Accent3 2 2 2 5" xfId="1390" xr:uid="{00000000-0005-0000-0000-0000D4020000}"/>
    <cellStyle name="20% - Accent3 2 2 2 6" xfId="2668" xr:uid="{00000000-0005-0000-0000-0000D5020000}"/>
    <cellStyle name="20% - Accent3 2 2 2 7" xfId="3955" xr:uid="{00000000-0005-0000-0000-0000D6020000}"/>
    <cellStyle name="20% - Accent3 2 2 2 8" xfId="5225" xr:uid="{00000000-0005-0000-0000-0000D7020000}"/>
    <cellStyle name="20% - Accent3 2 2 3" xfId="310" xr:uid="{00000000-0005-0000-0000-0000D8020000}"/>
    <cellStyle name="20% - Accent3 2 2 3 2" xfId="736" xr:uid="{00000000-0005-0000-0000-0000D9020000}"/>
    <cellStyle name="20% - Accent3 2 2 3 2 2" xfId="2028" xr:uid="{00000000-0005-0000-0000-0000DA020000}"/>
    <cellStyle name="20% - Accent3 2 2 3 2 3" xfId="3306" xr:uid="{00000000-0005-0000-0000-0000DB020000}"/>
    <cellStyle name="20% - Accent3 2 2 3 2 4" xfId="4593" xr:uid="{00000000-0005-0000-0000-0000DC020000}"/>
    <cellStyle name="20% - Accent3 2 2 3 3" xfId="1162" xr:uid="{00000000-0005-0000-0000-0000DD020000}"/>
    <cellStyle name="20% - Accent3 2 2 3 3 2" xfId="2454" xr:uid="{00000000-0005-0000-0000-0000DE020000}"/>
    <cellStyle name="20% - Accent3 2 2 3 3 3" xfId="3732" xr:uid="{00000000-0005-0000-0000-0000DF020000}"/>
    <cellStyle name="20% - Accent3 2 2 3 3 4" xfId="5019" xr:uid="{00000000-0005-0000-0000-0000E0020000}"/>
    <cellStyle name="20% - Accent3 2 2 3 4" xfId="1602" xr:uid="{00000000-0005-0000-0000-0000E1020000}"/>
    <cellStyle name="20% - Accent3 2 2 3 5" xfId="2880" xr:uid="{00000000-0005-0000-0000-0000E2020000}"/>
    <cellStyle name="20% - Accent3 2 2 3 6" xfId="4167" xr:uid="{00000000-0005-0000-0000-0000E3020000}"/>
    <cellStyle name="20% - Accent3 2 2 4" xfId="523" xr:uid="{00000000-0005-0000-0000-0000E4020000}"/>
    <cellStyle name="20% - Accent3 2 2 4 2" xfId="1815" xr:uid="{00000000-0005-0000-0000-0000E5020000}"/>
    <cellStyle name="20% - Accent3 2 2 4 3" xfId="3093" xr:uid="{00000000-0005-0000-0000-0000E6020000}"/>
    <cellStyle name="20% - Accent3 2 2 4 4" xfId="4380" xr:uid="{00000000-0005-0000-0000-0000E7020000}"/>
    <cellStyle name="20% - Accent3 2 2 5" xfId="949" xr:uid="{00000000-0005-0000-0000-0000E8020000}"/>
    <cellStyle name="20% - Accent3 2 2 5 2" xfId="2241" xr:uid="{00000000-0005-0000-0000-0000E9020000}"/>
    <cellStyle name="20% - Accent3 2 2 5 3" xfId="3519" xr:uid="{00000000-0005-0000-0000-0000EA020000}"/>
    <cellStyle name="20% - Accent3 2 2 5 4" xfId="4806" xr:uid="{00000000-0005-0000-0000-0000EB020000}"/>
    <cellStyle name="20% - Accent3 2 2 6" xfId="1389" xr:uid="{00000000-0005-0000-0000-0000EC020000}"/>
    <cellStyle name="20% - Accent3 2 2 7" xfId="2667" xr:uid="{00000000-0005-0000-0000-0000ED020000}"/>
    <cellStyle name="20% - Accent3 2 2 8" xfId="3954" xr:uid="{00000000-0005-0000-0000-0000EE020000}"/>
    <cellStyle name="20% - Accent3 2 2 9" xfId="5224" xr:uid="{00000000-0005-0000-0000-0000EF020000}"/>
    <cellStyle name="20% - Accent3 2 3" xfId="105" xr:uid="{00000000-0005-0000-0000-0000F0020000}"/>
    <cellStyle name="20% - Accent3 2 3 2" xfId="312" xr:uid="{00000000-0005-0000-0000-0000F1020000}"/>
    <cellStyle name="20% - Accent3 2 3 2 2" xfId="738" xr:uid="{00000000-0005-0000-0000-0000F2020000}"/>
    <cellStyle name="20% - Accent3 2 3 2 2 2" xfId="2030" xr:uid="{00000000-0005-0000-0000-0000F3020000}"/>
    <cellStyle name="20% - Accent3 2 3 2 2 3" xfId="3308" xr:uid="{00000000-0005-0000-0000-0000F4020000}"/>
    <cellStyle name="20% - Accent3 2 3 2 2 4" xfId="4595" xr:uid="{00000000-0005-0000-0000-0000F5020000}"/>
    <cellStyle name="20% - Accent3 2 3 2 3" xfId="1164" xr:uid="{00000000-0005-0000-0000-0000F6020000}"/>
    <cellStyle name="20% - Accent3 2 3 2 3 2" xfId="2456" xr:uid="{00000000-0005-0000-0000-0000F7020000}"/>
    <cellStyle name="20% - Accent3 2 3 2 3 3" xfId="3734" xr:uid="{00000000-0005-0000-0000-0000F8020000}"/>
    <cellStyle name="20% - Accent3 2 3 2 3 4" xfId="5021" xr:uid="{00000000-0005-0000-0000-0000F9020000}"/>
    <cellStyle name="20% - Accent3 2 3 2 4" xfId="1604" xr:uid="{00000000-0005-0000-0000-0000FA020000}"/>
    <cellStyle name="20% - Accent3 2 3 2 5" xfId="2882" xr:uid="{00000000-0005-0000-0000-0000FB020000}"/>
    <cellStyle name="20% - Accent3 2 3 2 6" xfId="4169" xr:uid="{00000000-0005-0000-0000-0000FC020000}"/>
    <cellStyle name="20% - Accent3 2 3 3" xfId="525" xr:uid="{00000000-0005-0000-0000-0000FD020000}"/>
    <cellStyle name="20% - Accent3 2 3 3 2" xfId="1817" xr:uid="{00000000-0005-0000-0000-0000FE020000}"/>
    <cellStyle name="20% - Accent3 2 3 3 3" xfId="3095" xr:uid="{00000000-0005-0000-0000-0000FF020000}"/>
    <cellStyle name="20% - Accent3 2 3 3 4" xfId="4382" xr:uid="{00000000-0005-0000-0000-000000030000}"/>
    <cellStyle name="20% - Accent3 2 3 4" xfId="951" xr:uid="{00000000-0005-0000-0000-000001030000}"/>
    <cellStyle name="20% - Accent3 2 3 4 2" xfId="2243" xr:uid="{00000000-0005-0000-0000-000002030000}"/>
    <cellStyle name="20% - Accent3 2 3 4 3" xfId="3521" xr:uid="{00000000-0005-0000-0000-000003030000}"/>
    <cellStyle name="20% - Accent3 2 3 4 4" xfId="4808" xr:uid="{00000000-0005-0000-0000-000004030000}"/>
    <cellStyle name="20% - Accent3 2 3 5" xfId="1391" xr:uid="{00000000-0005-0000-0000-000005030000}"/>
    <cellStyle name="20% - Accent3 2 3 6" xfId="2669" xr:uid="{00000000-0005-0000-0000-000006030000}"/>
    <cellStyle name="20% - Accent3 2 3 7" xfId="3956" xr:uid="{00000000-0005-0000-0000-000007030000}"/>
    <cellStyle name="20% - Accent3 2 3 8" xfId="5226" xr:uid="{00000000-0005-0000-0000-000008030000}"/>
    <cellStyle name="20% - Accent3 2 4" xfId="106" xr:uid="{00000000-0005-0000-0000-000009030000}"/>
    <cellStyle name="20% - Accent3 2 4 2" xfId="313" xr:uid="{00000000-0005-0000-0000-00000A030000}"/>
    <cellStyle name="20% - Accent3 2 4 2 2" xfId="739" xr:uid="{00000000-0005-0000-0000-00000B030000}"/>
    <cellStyle name="20% - Accent3 2 4 2 2 2" xfId="2031" xr:uid="{00000000-0005-0000-0000-00000C030000}"/>
    <cellStyle name="20% - Accent3 2 4 2 2 3" xfId="3309" xr:uid="{00000000-0005-0000-0000-00000D030000}"/>
    <cellStyle name="20% - Accent3 2 4 2 2 4" xfId="4596" xr:uid="{00000000-0005-0000-0000-00000E030000}"/>
    <cellStyle name="20% - Accent3 2 4 2 3" xfId="1165" xr:uid="{00000000-0005-0000-0000-00000F030000}"/>
    <cellStyle name="20% - Accent3 2 4 2 3 2" xfId="2457" xr:uid="{00000000-0005-0000-0000-000010030000}"/>
    <cellStyle name="20% - Accent3 2 4 2 3 3" xfId="3735" xr:uid="{00000000-0005-0000-0000-000011030000}"/>
    <cellStyle name="20% - Accent3 2 4 2 3 4" xfId="5022" xr:uid="{00000000-0005-0000-0000-000012030000}"/>
    <cellStyle name="20% - Accent3 2 4 2 4" xfId="1605" xr:uid="{00000000-0005-0000-0000-000013030000}"/>
    <cellStyle name="20% - Accent3 2 4 2 5" xfId="2883" xr:uid="{00000000-0005-0000-0000-000014030000}"/>
    <cellStyle name="20% - Accent3 2 4 2 6" xfId="4170" xr:uid="{00000000-0005-0000-0000-000015030000}"/>
    <cellStyle name="20% - Accent3 2 4 3" xfId="526" xr:uid="{00000000-0005-0000-0000-000016030000}"/>
    <cellStyle name="20% - Accent3 2 4 3 2" xfId="1818" xr:uid="{00000000-0005-0000-0000-000017030000}"/>
    <cellStyle name="20% - Accent3 2 4 3 3" xfId="3096" xr:uid="{00000000-0005-0000-0000-000018030000}"/>
    <cellStyle name="20% - Accent3 2 4 3 4" xfId="4383" xr:uid="{00000000-0005-0000-0000-000019030000}"/>
    <cellStyle name="20% - Accent3 2 4 4" xfId="952" xr:uid="{00000000-0005-0000-0000-00001A030000}"/>
    <cellStyle name="20% - Accent3 2 4 4 2" xfId="2244" xr:uid="{00000000-0005-0000-0000-00001B030000}"/>
    <cellStyle name="20% - Accent3 2 4 4 3" xfId="3522" xr:uid="{00000000-0005-0000-0000-00001C030000}"/>
    <cellStyle name="20% - Accent3 2 4 4 4" xfId="4809" xr:uid="{00000000-0005-0000-0000-00001D030000}"/>
    <cellStyle name="20% - Accent3 2 4 5" xfId="1392" xr:uid="{00000000-0005-0000-0000-00001E030000}"/>
    <cellStyle name="20% - Accent3 2 4 6" xfId="2670" xr:uid="{00000000-0005-0000-0000-00001F030000}"/>
    <cellStyle name="20% - Accent3 2 4 7" xfId="3957" xr:uid="{00000000-0005-0000-0000-000020030000}"/>
    <cellStyle name="20% - Accent3 2 5" xfId="107" xr:uid="{00000000-0005-0000-0000-000021030000}"/>
    <cellStyle name="20% - Accent3 2 5 2" xfId="314" xr:uid="{00000000-0005-0000-0000-000022030000}"/>
    <cellStyle name="20% - Accent3 2 5 2 2" xfId="740" xr:uid="{00000000-0005-0000-0000-000023030000}"/>
    <cellStyle name="20% - Accent3 2 5 2 2 2" xfId="2032" xr:uid="{00000000-0005-0000-0000-000024030000}"/>
    <cellStyle name="20% - Accent3 2 5 2 2 3" xfId="3310" xr:uid="{00000000-0005-0000-0000-000025030000}"/>
    <cellStyle name="20% - Accent3 2 5 2 2 4" xfId="4597" xr:uid="{00000000-0005-0000-0000-000026030000}"/>
    <cellStyle name="20% - Accent3 2 5 2 3" xfId="1166" xr:uid="{00000000-0005-0000-0000-000027030000}"/>
    <cellStyle name="20% - Accent3 2 5 2 3 2" xfId="2458" xr:uid="{00000000-0005-0000-0000-000028030000}"/>
    <cellStyle name="20% - Accent3 2 5 2 3 3" xfId="3736" xr:uid="{00000000-0005-0000-0000-000029030000}"/>
    <cellStyle name="20% - Accent3 2 5 2 3 4" xfId="5023" xr:uid="{00000000-0005-0000-0000-00002A030000}"/>
    <cellStyle name="20% - Accent3 2 5 2 4" xfId="1606" xr:uid="{00000000-0005-0000-0000-00002B030000}"/>
    <cellStyle name="20% - Accent3 2 5 2 5" xfId="2884" xr:uid="{00000000-0005-0000-0000-00002C030000}"/>
    <cellStyle name="20% - Accent3 2 5 2 6" xfId="4171" xr:uid="{00000000-0005-0000-0000-00002D030000}"/>
    <cellStyle name="20% - Accent3 2 5 3" xfId="527" xr:uid="{00000000-0005-0000-0000-00002E030000}"/>
    <cellStyle name="20% - Accent3 2 5 3 2" xfId="1819" xr:uid="{00000000-0005-0000-0000-00002F030000}"/>
    <cellStyle name="20% - Accent3 2 5 3 3" xfId="3097" xr:uid="{00000000-0005-0000-0000-000030030000}"/>
    <cellStyle name="20% - Accent3 2 5 3 4" xfId="4384" xr:uid="{00000000-0005-0000-0000-000031030000}"/>
    <cellStyle name="20% - Accent3 2 5 4" xfId="953" xr:uid="{00000000-0005-0000-0000-000032030000}"/>
    <cellStyle name="20% - Accent3 2 5 4 2" xfId="2245" xr:uid="{00000000-0005-0000-0000-000033030000}"/>
    <cellStyle name="20% - Accent3 2 5 4 3" xfId="3523" xr:uid="{00000000-0005-0000-0000-000034030000}"/>
    <cellStyle name="20% - Accent3 2 5 4 4" xfId="4810" xr:uid="{00000000-0005-0000-0000-000035030000}"/>
    <cellStyle name="20% - Accent3 2 5 5" xfId="1393" xr:uid="{00000000-0005-0000-0000-000036030000}"/>
    <cellStyle name="20% - Accent3 2 5 6" xfId="2671" xr:uid="{00000000-0005-0000-0000-000037030000}"/>
    <cellStyle name="20% - Accent3 2 5 7" xfId="3958" xr:uid="{00000000-0005-0000-0000-000038030000}"/>
    <cellStyle name="20% - Accent3 2 6" xfId="273" xr:uid="{00000000-0005-0000-0000-000039030000}"/>
    <cellStyle name="20% - Accent3 2 6 2" xfId="486" xr:uid="{00000000-0005-0000-0000-00003A030000}"/>
    <cellStyle name="20% - Accent3 2 6 2 2" xfId="911" xr:uid="{00000000-0005-0000-0000-00003B030000}"/>
    <cellStyle name="20% - Accent3 2 6 2 2 2" xfId="2203" xr:uid="{00000000-0005-0000-0000-00003C030000}"/>
    <cellStyle name="20% - Accent3 2 6 2 2 3" xfId="3481" xr:uid="{00000000-0005-0000-0000-00003D030000}"/>
    <cellStyle name="20% - Accent3 2 6 2 2 4" xfId="4768" xr:uid="{00000000-0005-0000-0000-00003E030000}"/>
    <cellStyle name="20% - Accent3 2 6 2 3" xfId="1337" xr:uid="{00000000-0005-0000-0000-00003F030000}"/>
    <cellStyle name="20% - Accent3 2 6 2 3 2" xfId="2629" xr:uid="{00000000-0005-0000-0000-000040030000}"/>
    <cellStyle name="20% - Accent3 2 6 2 3 3" xfId="3907" xr:uid="{00000000-0005-0000-0000-000041030000}"/>
    <cellStyle name="20% - Accent3 2 6 2 3 4" xfId="5194" xr:uid="{00000000-0005-0000-0000-000042030000}"/>
    <cellStyle name="20% - Accent3 2 6 2 4" xfId="1777" xr:uid="{00000000-0005-0000-0000-000043030000}"/>
    <cellStyle name="20% - Accent3 2 6 2 5" xfId="3055" xr:uid="{00000000-0005-0000-0000-000044030000}"/>
    <cellStyle name="20% - Accent3 2 6 2 6" xfId="4342" xr:uid="{00000000-0005-0000-0000-000045030000}"/>
    <cellStyle name="20% - Accent3 2 6 3" xfId="698" xr:uid="{00000000-0005-0000-0000-000046030000}"/>
    <cellStyle name="20% - Accent3 2 6 3 2" xfId="1990" xr:uid="{00000000-0005-0000-0000-000047030000}"/>
    <cellStyle name="20% - Accent3 2 6 3 3" xfId="3268" xr:uid="{00000000-0005-0000-0000-000048030000}"/>
    <cellStyle name="20% - Accent3 2 6 3 4" xfId="4555" xr:uid="{00000000-0005-0000-0000-000049030000}"/>
    <cellStyle name="20% - Accent3 2 6 4" xfId="1124" xr:uid="{00000000-0005-0000-0000-00004A030000}"/>
    <cellStyle name="20% - Accent3 2 6 4 2" xfId="2416" xr:uid="{00000000-0005-0000-0000-00004B030000}"/>
    <cellStyle name="20% - Accent3 2 6 4 3" xfId="3694" xr:uid="{00000000-0005-0000-0000-00004C030000}"/>
    <cellStyle name="20% - Accent3 2 6 4 4" xfId="4981" xr:uid="{00000000-0005-0000-0000-00004D030000}"/>
    <cellStyle name="20% - Accent3 2 6 5" xfId="1564" xr:uid="{00000000-0005-0000-0000-00004E030000}"/>
    <cellStyle name="20% - Accent3 2 6 6" xfId="2842" xr:uid="{00000000-0005-0000-0000-00004F030000}"/>
    <cellStyle name="20% - Accent3 2 6 7" xfId="4129" xr:uid="{00000000-0005-0000-0000-000050030000}"/>
    <cellStyle name="20% - Accent3 2 7" xfId="309" xr:uid="{00000000-0005-0000-0000-000051030000}"/>
    <cellStyle name="20% - Accent3 2 7 2" xfId="735" xr:uid="{00000000-0005-0000-0000-000052030000}"/>
    <cellStyle name="20% - Accent3 2 7 2 2" xfId="2027" xr:uid="{00000000-0005-0000-0000-000053030000}"/>
    <cellStyle name="20% - Accent3 2 7 2 3" xfId="3305" xr:uid="{00000000-0005-0000-0000-000054030000}"/>
    <cellStyle name="20% - Accent3 2 7 2 4" xfId="4592" xr:uid="{00000000-0005-0000-0000-000055030000}"/>
    <cellStyle name="20% - Accent3 2 7 3" xfId="1161" xr:uid="{00000000-0005-0000-0000-000056030000}"/>
    <cellStyle name="20% - Accent3 2 7 3 2" xfId="2453" xr:uid="{00000000-0005-0000-0000-000057030000}"/>
    <cellStyle name="20% - Accent3 2 7 3 3" xfId="3731" xr:uid="{00000000-0005-0000-0000-000058030000}"/>
    <cellStyle name="20% - Accent3 2 7 3 4" xfId="5018" xr:uid="{00000000-0005-0000-0000-000059030000}"/>
    <cellStyle name="20% - Accent3 2 7 4" xfId="1601" xr:uid="{00000000-0005-0000-0000-00005A030000}"/>
    <cellStyle name="20% - Accent3 2 7 5" xfId="2879" xr:uid="{00000000-0005-0000-0000-00005B030000}"/>
    <cellStyle name="20% - Accent3 2 7 6" xfId="4166" xr:uid="{00000000-0005-0000-0000-00005C030000}"/>
    <cellStyle name="20% - Accent3 2 8" xfId="522" xr:uid="{00000000-0005-0000-0000-00005D030000}"/>
    <cellStyle name="20% - Accent3 2 8 2" xfId="1814" xr:uid="{00000000-0005-0000-0000-00005E030000}"/>
    <cellStyle name="20% - Accent3 2 8 3" xfId="3092" xr:uid="{00000000-0005-0000-0000-00005F030000}"/>
    <cellStyle name="20% - Accent3 2 8 4" xfId="4379" xr:uid="{00000000-0005-0000-0000-000060030000}"/>
    <cellStyle name="20% - Accent3 2 9" xfId="948" xr:uid="{00000000-0005-0000-0000-000061030000}"/>
    <cellStyle name="20% - Accent3 2 9 2" xfId="2240" xr:uid="{00000000-0005-0000-0000-000062030000}"/>
    <cellStyle name="20% - Accent3 2 9 3" xfId="3518" xr:uid="{00000000-0005-0000-0000-000063030000}"/>
    <cellStyle name="20% - Accent3 2 9 4" xfId="4805" xr:uid="{00000000-0005-0000-0000-000064030000}"/>
    <cellStyle name="20% - Accent3 3" xfId="108" xr:uid="{00000000-0005-0000-0000-000065030000}"/>
    <cellStyle name="20% - Accent3 3 2" xfId="109" xr:uid="{00000000-0005-0000-0000-000066030000}"/>
    <cellStyle name="20% - Accent3 3 2 2" xfId="316" xr:uid="{00000000-0005-0000-0000-000067030000}"/>
    <cellStyle name="20% - Accent3 3 2 2 2" xfId="742" xr:uid="{00000000-0005-0000-0000-000068030000}"/>
    <cellStyle name="20% - Accent3 3 2 2 2 2" xfId="2034" xr:uid="{00000000-0005-0000-0000-000069030000}"/>
    <cellStyle name="20% - Accent3 3 2 2 2 3" xfId="3312" xr:uid="{00000000-0005-0000-0000-00006A030000}"/>
    <cellStyle name="20% - Accent3 3 2 2 2 4" xfId="4599" xr:uid="{00000000-0005-0000-0000-00006B030000}"/>
    <cellStyle name="20% - Accent3 3 2 2 3" xfId="1168" xr:uid="{00000000-0005-0000-0000-00006C030000}"/>
    <cellStyle name="20% - Accent3 3 2 2 3 2" xfId="2460" xr:uid="{00000000-0005-0000-0000-00006D030000}"/>
    <cellStyle name="20% - Accent3 3 2 2 3 3" xfId="3738" xr:uid="{00000000-0005-0000-0000-00006E030000}"/>
    <cellStyle name="20% - Accent3 3 2 2 3 4" xfId="5025" xr:uid="{00000000-0005-0000-0000-00006F030000}"/>
    <cellStyle name="20% - Accent3 3 2 2 4" xfId="1608" xr:uid="{00000000-0005-0000-0000-000070030000}"/>
    <cellStyle name="20% - Accent3 3 2 2 5" xfId="2886" xr:uid="{00000000-0005-0000-0000-000071030000}"/>
    <cellStyle name="20% - Accent3 3 2 2 6" xfId="4173" xr:uid="{00000000-0005-0000-0000-000072030000}"/>
    <cellStyle name="20% - Accent3 3 2 3" xfId="529" xr:uid="{00000000-0005-0000-0000-000073030000}"/>
    <cellStyle name="20% - Accent3 3 2 3 2" xfId="1821" xr:uid="{00000000-0005-0000-0000-000074030000}"/>
    <cellStyle name="20% - Accent3 3 2 3 3" xfId="3099" xr:uid="{00000000-0005-0000-0000-000075030000}"/>
    <cellStyle name="20% - Accent3 3 2 3 4" xfId="4386" xr:uid="{00000000-0005-0000-0000-000076030000}"/>
    <cellStyle name="20% - Accent3 3 2 4" xfId="955" xr:uid="{00000000-0005-0000-0000-000077030000}"/>
    <cellStyle name="20% - Accent3 3 2 4 2" xfId="2247" xr:uid="{00000000-0005-0000-0000-000078030000}"/>
    <cellStyle name="20% - Accent3 3 2 4 3" xfId="3525" xr:uid="{00000000-0005-0000-0000-000079030000}"/>
    <cellStyle name="20% - Accent3 3 2 4 4" xfId="4812" xr:uid="{00000000-0005-0000-0000-00007A030000}"/>
    <cellStyle name="20% - Accent3 3 2 5" xfId="1395" xr:uid="{00000000-0005-0000-0000-00007B030000}"/>
    <cellStyle name="20% - Accent3 3 2 6" xfId="2673" xr:uid="{00000000-0005-0000-0000-00007C030000}"/>
    <cellStyle name="20% - Accent3 3 2 7" xfId="3960" xr:uid="{00000000-0005-0000-0000-00007D030000}"/>
    <cellStyle name="20% - Accent3 3 2 8" xfId="5228" xr:uid="{00000000-0005-0000-0000-00007E030000}"/>
    <cellStyle name="20% - Accent3 3 3" xfId="315" xr:uid="{00000000-0005-0000-0000-00007F030000}"/>
    <cellStyle name="20% - Accent3 3 3 2" xfId="741" xr:uid="{00000000-0005-0000-0000-000080030000}"/>
    <cellStyle name="20% - Accent3 3 3 2 2" xfId="2033" xr:uid="{00000000-0005-0000-0000-000081030000}"/>
    <cellStyle name="20% - Accent3 3 3 2 3" xfId="3311" xr:uid="{00000000-0005-0000-0000-000082030000}"/>
    <cellStyle name="20% - Accent3 3 3 2 4" xfId="4598" xr:uid="{00000000-0005-0000-0000-000083030000}"/>
    <cellStyle name="20% - Accent3 3 3 3" xfId="1167" xr:uid="{00000000-0005-0000-0000-000084030000}"/>
    <cellStyle name="20% - Accent3 3 3 3 2" xfId="2459" xr:uid="{00000000-0005-0000-0000-000085030000}"/>
    <cellStyle name="20% - Accent3 3 3 3 3" xfId="3737" xr:uid="{00000000-0005-0000-0000-000086030000}"/>
    <cellStyle name="20% - Accent3 3 3 3 4" xfId="5024" xr:uid="{00000000-0005-0000-0000-000087030000}"/>
    <cellStyle name="20% - Accent3 3 3 4" xfId="1607" xr:uid="{00000000-0005-0000-0000-000088030000}"/>
    <cellStyle name="20% - Accent3 3 3 5" xfId="2885" xr:uid="{00000000-0005-0000-0000-000089030000}"/>
    <cellStyle name="20% - Accent3 3 3 6" xfId="4172" xr:uid="{00000000-0005-0000-0000-00008A030000}"/>
    <cellStyle name="20% - Accent3 3 4" xfId="528" xr:uid="{00000000-0005-0000-0000-00008B030000}"/>
    <cellStyle name="20% - Accent3 3 4 2" xfId="1820" xr:uid="{00000000-0005-0000-0000-00008C030000}"/>
    <cellStyle name="20% - Accent3 3 4 3" xfId="3098" xr:uid="{00000000-0005-0000-0000-00008D030000}"/>
    <cellStyle name="20% - Accent3 3 4 4" xfId="4385" xr:uid="{00000000-0005-0000-0000-00008E030000}"/>
    <cellStyle name="20% - Accent3 3 5" xfId="954" xr:uid="{00000000-0005-0000-0000-00008F030000}"/>
    <cellStyle name="20% - Accent3 3 5 2" xfId="2246" xr:uid="{00000000-0005-0000-0000-000090030000}"/>
    <cellStyle name="20% - Accent3 3 5 3" xfId="3524" xr:uid="{00000000-0005-0000-0000-000091030000}"/>
    <cellStyle name="20% - Accent3 3 5 4" xfId="4811" xr:uid="{00000000-0005-0000-0000-000092030000}"/>
    <cellStyle name="20% - Accent3 3 6" xfId="1394" xr:uid="{00000000-0005-0000-0000-000093030000}"/>
    <cellStyle name="20% - Accent3 3 7" xfId="2672" xr:uid="{00000000-0005-0000-0000-000094030000}"/>
    <cellStyle name="20% - Accent3 3 8" xfId="3959" xr:uid="{00000000-0005-0000-0000-000095030000}"/>
    <cellStyle name="20% - Accent3 3 9" xfId="5227" xr:uid="{00000000-0005-0000-0000-000096030000}"/>
    <cellStyle name="20% - Accent3 4" xfId="110" xr:uid="{00000000-0005-0000-0000-000097030000}"/>
    <cellStyle name="20% - Accent3 4 2" xfId="317" xr:uid="{00000000-0005-0000-0000-000098030000}"/>
    <cellStyle name="20% - Accent3 4 2 2" xfId="743" xr:uid="{00000000-0005-0000-0000-000099030000}"/>
    <cellStyle name="20% - Accent3 4 2 2 2" xfId="2035" xr:uid="{00000000-0005-0000-0000-00009A030000}"/>
    <cellStyle name="20% - Accent3 4 2 2 3" xfId="3313" xr:uid="{00000000-0005-0000-0000-00009B030000}"/>
    <cellStyle name="20% - Accent3 4 2 2 4" xfId="4600" xr:uid="{00000000-0005-0000-0000-00009C030000}"/>
    <cellStyle name="20% - Accent3 4 2 3" xfId="1169" xr:uid="{00000000-0005-0000-0000-00009D030000}"/>
    <cellStyle name="20% - Accent3 4 2 3 2" xfId="2461" xr:uid="{00000000-0005-0000-0000-00009E030000}"/>
    <cellStyle name="20% - Accent3 4 2 3 3" xfId="3739" xr:uid="{00000000-0005-0000-0000-00009F030000}"/>
    <cellStyle name="20% - Accent3 4 2 3 4" xfId="5026" xr:uid="{00000000-0005-0000-0000-0000A0030000}"/>
    <cellStyle name="20% - Accent3 4 2 4" xfId="1609" xr:uid="{00000000-0005-0000-0000-0000A1030000}"/>
    <cellStyle name="20% - Accent3 4 2 5" xfId="2887" xr:uid="{00000000-0005-0000-0000-0000A2030000}"/>
    <cellStyle name="20% - Accent3 4 2 6" xfId="4174" xr:uid="{00000000-0005-0000-0000-0000A3030000}"/>
    <cellStyle name="20% - Accent3 4 3" xfId="530" xr:uid="{00000000-0005-0000-0000-0000A4030000}"/>
    <cellStyle name="20% - Accent3 4 3 2" xfId="1822" xr:uid="{00000000-0005-0000-0000-0000A5030000}"/>
    <cellStyle name="20% - Accent3 4 3 3" xfId="3100" xr:uid="{00000000-0005-0000-0000-0000A6030000}"/>
    <cellStyle name="20% - Accent3 4 3 4" xfId="4387" xr:uid="{00000000-0005-0000-0000-0000A7030000}"/>
    <cellStyle name="20% - Accent3 4 4" xfId="956" xr:uid="{00000000-0005-0000-0000-0000A8030000}"/>
    <cellStyle name="20% - Accent3 4 4 2" xfId="2248" xr:uid="{00000000-0005-0000-0000-0000A9030000}"/>
    <cellStyle name="20% - Accent3 4 4 3" xfId="3526" xr:uid="{00000000-0005-0000-0000-0000AA030000}"/>
    <cellStyle name="20% - Accent3 4 4 4" xfId="4813" xr:uid="{00000000-0005-0000-0000-0000AB030000}"/>
    <cellStyle name="20% - Accent3 4 5" xfId="1396" xr:uid="{00000000-0005-0000-0000-0000AC030000}"/>
    <cellStyle name="20% - Accent3 4 6" xfId="2674" xr:uid="{00000000-0005-0000-0000-0000AD030000}"/>
    <cellStyle name="20% - Accent3 4 7" xfId="3961" xr:uid="{00000000-0005-0000-0000-0000AE030000}"/>
    <cellStyle name="20% - Accent3 4 8" xfId="5229" xr:uid="{00000000-0005-0000-0000-0000AF030000}"/>
    <cellStyle name="20% - Accent3 5" xfId="111" xr:uid="{00000000-0005-0000-0000-0000B0030000}"/>
    <cellStyle name="20% - Accent3 5 2" xfId="318" xr:uid="{00000000-0005-0000-0000-0000B1030000}"/>
    <cellStyle name="20% - Accent3 5 2 2" xfId="744" xr:uid="{00000000-0005-0000-0000-0000B2030000}"/>
    <cellStyle name="20% - Accent3 5 2 2 2" xfId="2036" xr:uid="{00000000-0005-0000-0000-0000B3030000}"/>
    <cellStyle name="20% - Accent3 5 2 2 3" xfId="3314" xr:uid="{00000000-0005-0000-0000-0000B4030000}"/>
    <cellStyle name="20% - Accent3 5 2 2 4" xfId="4601" xr:uid="{00000000-0005-0000-0000-0000B5030000}"/>
    <cellStyle name="20% - Accent3 5 2 3" xfId="1170" xr:uid="{00000000-0005-0000-0000-0000B6030000}"/>
    <cellStyle name="20% - Accent3 5 2 3 2" xfId="2462" xr:uid="{00000000-0005-0000-0000-0000B7030000}"/>
    <cellStyle name="20% - Accent3 5 2 3 3" xfId="3740" xr:uid="{00000000-0005-0000-0000-0000B8030000}"/>
    <cellStyle name="20% - Accent3 5 2 3 4" xfId="5027" xr:uid="{00000000-0005-0000-0000-0000B9030000}"/>
    <cellStyle name="20% - Accent3 5 2 4" xfId="1610" xr:uid="{00000000-0005-0000-0000-0000BA030000}"/>
    <cellStyle name="20% - Accent3 5 2 5" xfId="2888" xr:uid="{00000000-0005-0000-0000-0000BB030000}"/>
    <cellStyle name="20% - Accent3 5 2 6" xfId="4175" xr:uid="{00000000-0005-0000-0000-0000BC030000}"/>
    <cellStyle name="20% - Accent3 5 3" xfId="531" xr:uid="{00000000-0005-0000-0000-0000BD030000}"/>
    <cellStyle name="20% - Accent3 5 3 2" xfId="1823" xr:uid="{00000000-0005-0000-0000-0000BE030000}"/>
    <cellStyle name="20% - Accent3 5 3 3" xfId="3101" xr:uid="{00000000-0005-0000-0000-0000BF030000}"/>
    <cellStyle name="20% - Accent3 5 3 4" xfId="4388" xr:uid="{00000000-0005-0000-0000-0000C0030000}"/>
    <cellStyle name="20% - Accent3 5 4" xfId="957" xr:uid="{00000000-0005-0000-0000-0000C1030000}"/>
    <cellStyle name="20% - Accent3 5 4 2" xfId="2249" xr:uid="{00000000-0005-0000-0000-0000C2030000}"/>
    <cellStyle name="20% - Accent3 5 4 3" xfId="3527" xr:uid="{00000000-0005-0000-0000-0000C3030000}"/>
    <cellStyle name="20% - Accent3 5 4 4" xfId="4814" xr:uid="{00000000-0005-0000-0000-0000C4030000}"/>
    <cellStyle name="20% - Accent3 5 5" xfId="1397" xr:uid="{00000000-0005-0000-0000-0000C5030000}"/>
    <cellStyle name="20% - Accent3 5 6" xfId="2675" xr:uid="{00000000-0005-0000-0000-0000C6030000}"/>
    <cellStyle name="20% - Accent3 5 7" xfId="3962" xr:uid="{00000000-0005-0000-0000-0000C7030000}"/>
    <cellStyle name="20% - Accent3 6" xfId="112" xr:uid="{00000000-0005-0000-0000-0000C8030000}"/>
    <cellStyle name="20% - Accent3 6 2" xfId="319" xr:uid="{00000000-0005-0000-0000-0000C9030000}"/>
    <cellStyle name="20% - Accent3 6 2 2" xfId="745" xr:uid="{00000000-0005-0000-0000-0000CA030000}"/>
    <cellStyle name="20% - Accent3 6 2 2 2" xfId="2037" xr:uid="{00000000-0005-0000-0000-0000CB030000}"/>
    <cellStyle name="20% - Accent3 6 2 2 3" xfId="3315" xr:uid="{00000000-0005-0000-0000-0000CC030000}"/>
    <cellStyle name="20% - Accent3 6 2 2 4" xfId="4602" xr:uid="{00000000-0005-0000-0000-0000CD030000}"/>
    <cellStyle name="20% - Accent3 6 2 3" xfId="1171" xr:uid="{00000000-0005-0000-0000-0000CE030000}"/>
    <cellStyle name="20% - Accent3 6 2 3 2" xfId="2463" xr:uid="{00000000-0005-0000-0000-0000CF030000}"/>
    <cellStyle name="20% - Accent3 6 2 3 3" xfId="3741" xr:uid="{00000000-0005-0000-0000-0000D0030000}"/>
    <cellStyle name="20% - Accent3 6 2 3 4" xfId="5028" xr:uid="{00000000-0005-0000-0000-0000D1030000}"/>
    <cellStyle name="20% - Accent3 6 2 4" xfId="1611" xr:uid="{00000000-0005-0000-0000-0000D2030000}"/>
    <cellStyle name="20% - Accent3 6 2 5" xfId="2889" xr:uid="{00000000-0005-0000-0000-0000D3030000}"/>
    <cellStyle name="20% - Accent3 6 2 6" xfId="4176" xr:uid="{00000000-0005-0000-0000-0000D4030000}"/>
    <cellStyle name="20% - Accent3 6 3" xfId="532" xr:uid="{00000000-0005-0000-0000-0000D5030000}"/>
    <cellStyle name="20% - Accent3 6 3 2" xfId="1824" xr:uid="{00000000-0005-0000-0000-0000D6030000}"/>
    <cellStyle name="20% - Accent3 6 3 3" xfId="3102" xr:uid="{00000000-0005-0000-0000-0000D7030000}"/>
    <cellStyle name="20% - Accent3 6 3 4" xfId="4389" xr:uid="{00000000-0005-0000-0000-0000D8030000}"/>
    <cellStyle name="20% - Accent3 6 4" xfId="958" xr:uid="{00000000-0005-0000-0000-0000D9030000}"/>
    <cellStyle name="20% - Accent3 6 4 2" xfId="2250" xr:uid="{00000000-0005-0000-0000-0000DA030000}"/>
    <cellStyle name="20% - Accent3 6 4 3" xfId="3528" xr:uid="{00000000-0005-0000-0000-0000DB030000}"/>
    <cellStyle name="20% - Accent3 6 4 4" xfId="4815" xr:uid="{00000000-0005-0000-0000-0000DC030000}"/>
    <cellStyle name="20% - Accent3 6 5" xfId="1398" xr:uid="{00000000-0005-0000-0000-0000DD030000}"/>
    <cellStyle name="20% - Accent3 6 6" xfId="2676" xr:uid="{00000000-0005-0000-0000-0000DE030000}"/>
    <cellStyle name="20% - Accent3 6 7" xfId="3963" xr:uid="{00000000-0005-0000-0000-0000DF030000}"/>
    <cellStyle name="20% - Accent3 7" xfId="256" xr:uid="{00000000-0005-0000-0000-0000E0030000}"/>
    <cellStyle name="20% - Accent3 7 2" xfId="469" xr:uid="{00000000-0005-0000-0000-0000E1030000}"/>
    <cellStyle name="20% - Accent3 7 2 2" xfId="894" xr:uid="{00000000-0005-0000-0000-0000E2030000}"/>
    <cellStyle name="20% - Accent3 7 2 2 2" xfId="2186" xr:uid="{00000000-0005-0000-0000-0000E3030000}"/>
    <cellStyle name="20% - Accent3 7 2 2 3" xfId="3464" xr:uid="{00000000-0005-0000-0000-0000E4030000}"/>
    <cellStyle name="20% - Accent3 7 2 2 4" xfId="4751" xr:uid="{00000000-0005-0000-0000-0000E5030000}"/>
    <cellStyle name="20% - Accent3 7 2 3" xfId="1320" xr:uid="{00000000-0005-0000-0000-0000E6030000}"/>
    <cellStyle name="20% - Accent3 7 2 3 2" xfId="2612" xr:uid="{00000000-0005-0000-0000-0000E7030000}"/>
    <cellStyle name="20% - Accent3 7 2 3 3" xfId="3890" xr:uid="{00000000-0005-0000-0000-0000E8030000}"/>
    <cellStyle name="20% - Accent3 7 2 3 4" xfId="5177" xr:uid="{00000000-0005-0000-0000-0000E9030000}"/>
    <cellStyle name="20% - Accent3 7 2 4" xfId="1760" xr:uid="{00000000-0005-0000-0000-0000EA030000}"/>
    <cellStyle name="20% - Accent3 7 2 5" xfId="3038" xr:uid="{00000000-0005-0000-0000-0000EB030000}"/>
    <cellStyle name="20% - Accent3 7 2 6" xfId="4325" xr:uid="{00000000-0005-0000-0000-0000EC030000}"/>
    <cellStyle name="20% - Accent3 7 3" xfId="681" xr:uid="{00000000-0005-0000-0000-0000ED030000}"/>
    <cellStyle name="20% - Accent3 7 3 2" xfId="1973" xr:uid="{00000000-0005-0000-0000-0000EE030000}"/>
    <cellStyle name="20% - Accent3 7 3 3" xfId="3251" xr:uid="{00000000-0005-0000-0000-0000EF030000}"/>
    <cellStyle name="20% - Accent3 7 3 4" xfId="4538" xr:uid="{00000000-0005-0000-0000-0000F0030000}"/>
    <cellStyle name="20% - Accent3 7 4" xfId="1107" xr:uid="{00000000-0005-0000-0000-0000F1030000}"/>
    <cellStyle name="20% - Accent3 7 4 2" xfId="2399" xr:uid="{00000000-0005-0000-0000-0000F2030000}"/>
    <cellStyle name="20% - Accent3 7 4 3" xfId="3677" xr:uid="{00000000-0005-0000-0000-0000F3030000}"/>
    <cellStyle name="20% - Accent3 7 4 4" xfId="4964" xr:uid="{00000000-0005-0000-0000-0000F4030000}"/>
    <cellStyle name="20% - Accent3 7 5" xfId="1547" xr:uid="{00000000-0005-0000-0000-0000F5030000}"/>
    <cellStyle name="20% - Accent3 7 6" xfId="2825" xr:uid="{00000000-0005-0000-0000-0000F6030000}"/>
    <cellStyle name="20% - Accent3 7 7" xfId="4112" xr:uid="{00000000-0005-0000-0000-0000F7030000}"/>
    <cellStyle name="20% - Accent3 8" xfId="308" xr:uid="{00000000-0005-0000-0000-0000F8030000}"/>
    <cellStyle name="20% - Accent3 8 2" xfId="734" xr:uid="{00000000-0005-0000-0000-0000F9030000}"/>
    <cellStyle name="20% - Accent3 8 2 2" xfId="2026" xr:uid="{00000000-0005-0000-0000-0000FA030000}"/>
    <cellStyle name="20% - Accent3 8 2 3" xfId="3304" xr:uid="{00000000-0005-0000-0000-0000FB030000}"/>
    <cellStyle name="20% - Accent3 8 2 4" xfId="4591" xr:uid="{00000000-0005-0000-0000-0000FC030000}"/>
    <cellStyle name="20% - Accent3 8 3" xfId="1160" xr:uid="{00000000-0005-0000-0000-0000FD030000}"/>
    <cellStyle name="20% - Accent3 8 3 2" xfId="2452" xr:uid="{00000000-0005-0000-0000-0000FE030000}"/>
    <cellStyle name="20% - Accent3 8 3 3" xfId="3730" xr:uid="{00000000-0005-0000-0000-0000FF030000}"/>
    <cellStyle name="20% - Accent3 8 3 4" xfId="5017" xr:uid="{00000000-0005-0000-0000-000000040000}"/>
    <cellStyle name="20% - Accent3 8 4" xfId="1600" xr:uid="{00000000-0005-0000-0000-000001040000}"/>
    <cellStyle name="20% - Accent3 8 5" xfId="2878" xr:uid="{00000000-0005-0000-0000-000002040000}"/>
    <cellStyle name="20% - Accent3 8 6" xfId="4165" xr:uid="{00000000-0005-0000-0000-000003040000}"/>
    <cellStyle name="20% - Accent3 9" xfId="521" xr:uid="{00000000-0005-0000-0000-000004040000}"/>
    <cellStyle name="20% - Accent3 9 2" xfId="1813" xr:uid="{00000000-0005-0000-0000-000005040000}"/>
    <cellStyle name="20% - Accent3 9 3" xfId="3091" xr:uid="{00000000-0005-0000-0000-000006040000}"/>
    <cellStyle name="20% - Accent3 9 4" xfId="4378" xr:uid="{00000000-0005-0000-0000-000007040000}"/>
    <cellStyle name="20% - Accent4" xfId="70" builtinId="42" customBuiltin="1"/>
    <cellStyle name="20% - Accent4 10" xfId="959" xr:uid="{00000000-0005-0000-0000-000009040000}"/>
    <cellStyle name="20% - Accent4 10 2" xfId="2251" xr:uid="{00000000-0005-0000-0000-00000A040000}"/>
    <cellStyle name="20% - Accent4 10 3" xfId="3529" xr:uid="{00000000-0005-0000-0000-00000B040000}"/>
    <cellStyle name="20% - Accent4 10 4" xfId="4816" xr:uid="{00000000-0005-0000-0000-00000C040000}"/>
    <cellStyle name="20% - Accent4 11" xfId="1399" xr:uid="{00000000-0005-0000-0000-00000D040000}"/>
    <cellStyle name="20% - Accent4 12" xfId="2677" xr:uid="{00000000-0005-0000-0000-00000E040000}"/>
    <cellStyle name="20% - Accent4 13" xfId="3964" xr:uid="{00000000-0005-0000-0000-00000F040000}"/>
    <cellStyle name="20% - Accent4 14" xfId="5230" xr:uid="{00000000-0005-0000-0000-000010040000}"/>
    <cellStyle name="20% - Accent4 2" xfId="13" xr:uid="{00000000-0005-0000-0000-000011040000}"/>
    <cellStyle name="20% - Accent4 2 10" xfId="1400" xr:uid="{00000000-0005-0000-0000-000012040000}"/>
    <cellStyle name="20% - Accent4 2 11" xfId="2678" xr:uid="{00000000-0005-0000-0000-000013040000}"/>
    <cellStyle name="20% - Accent4 2 12" xfId="3965" xr:uid="{00000000-0005-0000-0000-000014040000}"/>
    <cellStyle name="20% - Accent4 2 13" xfId="5231" xr:uid="{00000000-0005-0000-0000-000015040000}"/>
    <cellStyle name="20% - Accent4 2 2" xfId="113" xr:uid="{00000000-0005-0000-0000-000016040000}"/>
    <cellStyle name="20% - Accent4 2 2 2" xfId="114" xr:uid="{00000000-0005-0000-0000-000017040000}"/>
    <cellStyle name="20% - Accent4 2 2 2 2" xfId="323" xr:uid="{00000000-0005-0000-0000-000018040000}"/>
    <cellStyle name="20% - Accent4 2 2 2 2 2" xfId="749" xr:uid="{00000000-0005-0000-0000-000019040000}"/>
    <cellStyle name="20% - Accent4 2 2 2 2 2 2" xfId="2041" xr:uid="{00000000-0005-0000-0000-00001A040000}"/>
    <cellStyle name="20% - Accent4 2 2 2 2 2 3" xfId="3319" xr:uid="{00000000-0005-0000-0000-00001B040000}"/>
    <cellStyle name="20% - Accent4 2 2 2 2 2 4" xfId="4606" xr:uid="{00000000-0005-0000-0000-00001C040000}"/>
    <cellStyle name="20% - Accent4 2 2 2 2 3" xfId="1175" xr:uid="{00000000-0005-0000-0000-00001D040000}"/>
    <cellStyle name="20% - Accent4 2 2 2 2 3 2" xfId="2467" xr:uid="{00000000-0005-0000-0000-00001E040000}"/>
    <cellStyle name="20% - Accent4 2 2 2 2 3 3" xfId="3745" xr:uid="{00000000-0005-0000-0000-00001F040000}"/>
    <cellStyle name="20% - Accent4 2 2 2 2 3 4" xfId="5032" xr:uid="{00000000-0005-0000-0000-000020040000}"/>
    <cellStyle name="20% - Accent4 2 2 2 2 4" xfId="1615" xr:uid="{00000000-0005-0000-0000-000021040000}"/>
    <cellStyle name="20% - Accent4 2 2 2 2 5" xfId="2893" xr:uid="{00000000-0005-0000-0000-000022040000}"/>
    <cellStyle name="20% - Accent4 2 2 2 2 6" xfId="4180" xr:uid="{00000000-0005-0000-0000-000023040000}"/>
    <cellStyle name="20% - Accent4 2 2 2 3" xfId="536" xr:uid="{00000000-0005-0000-0000-000024040000}"/>
    <cellStyle name="20% - Accent4 2 2 2 3 2" xfId="1828" xr:uid="{00000000-0005-0000-0000-000025040000}"/>
    <cellStyle name="20% - Accent4 2 2 2 3 3" xfId="3106" xr:uid="{00000000-0005-0000-0000-000026040000}"/>
    <cellStyle name="20% - Accent4 2 2 2 3 4" xfId="4393" xr:uid="{00000000-0005-0000-0000-000027040000}"/>
    <cellStyle name="20% - Accent4 2 2 2 4" xfId="962" xr:uid="{00000000-0005-0000-0000-000028040000}"/>
    <cellStyle name="20% - Accent4 2 2 2 4 2" xfId="2254" xr:uid="{00000000-0005-0000-0000-000029040000}"/>
    <cellStyle name="20% - Accent4 2 2 2 4 3" xfId="3532" xr:uid="{00000000-0005-0000-0000-00002A040000}"/>
    <cellStyle name="20% - Accent4 2 2 2 4 4" xfId="4819" xr:uid="{00000000-0005-0000-0000-00002B040000}"/>
    <cellStyle name="20% - Accent4 2 2 2 5" xfId="1402" xr:uid="{00000000-0005-0000-0000-00002C040000}"/>
    <cellStyle name="20% - Accent4 2 2 2 6" xfId="2680" xr:uid="{00000000-0005-0000-0000-00002D040000}"/>
    <cellStyle name="20% - Accent4 2 2 2 7" xfId="3967" xr:uid="{00000000-0005-0000-0000-00002E040000}"/>
    <cellStyle name="20% - Accent4 2 2 2 8" xfId="5233" xr:uid="{00000000-0005-0000-0000-00002F040000}"/>
    <cellStyle name="20% - Accent4 2 2 3" xfId="322" xr:uid="{00000000-0005-0000-0000-000030040000}"/>
    <cellStyle name="20% - Accent4 2 2 3 2" xfId="748" xr:uid="{00000000-0005-0000-0000-000031040000}"/>
    <cellStyle name="20% - Accent4 2 2 3 2 2" xfId="2040" xr:uid="{00000000-0005-0000-0000-000032040000}"/>
    <cellStyle name="20% - Accent4 2 2 3 2 3" xfId="3318" xr:uid="{00000000-0005-0000-0000-000033040000}"/>
    <cellStyle name="20% - Accent4 2 2 3 2 4" xfId="4605" xr:uid="{00000000-0005-0000-0000-000034040000}"/>
    <cellStyle name="20% - Accent4 2 2 3 3" xfId="1174" xr:uid="{00000000-0005-0000-0000-000035040000}"/>
    <cellStyle name="20% - Accent4 2 2 3 3 2" xfId="2466" xr:uid="{00000000-0005-0000-0000-000036040000}"/>
    <cellStyle name="20% - Accent4 2 2 3 3 3" xfId="3744" xr:uid="{00000000-0005-0000-0000-000037040000}"/>
    <cellStyle name="20% - Accent4 2 2 3 3 4" xfId="5031" xr:uid="{00000000-0005-0000-0000-000038040000}"/>
    <cellStyle name="20% - Accent4 2 2 3 4" xfId="1614" xr:uid="{00000000-0005-0000-0000-000039040000}"/>
    <cellStyle name="20% - Accent4 2 2 3 5" xfId="2892" xr:uid="{00000000-0005-0000-0000-00003A040000}"/>
    <cellStyle name="20% - Accent4 2 2 3 6" xfId="4179" xr:uid="{00000000-0005-0000-0000-00003B040000}"/>
    <cellStyle name="20% - Accent4 2 2 4" xfId="535" xr:uid="{00000000-0005-0000-0000-00003C040000}"/>
    <cellStyle name="20% - Accent4 2 2 4 2" xfId="1827" xr:uid="{00000000-0005-0000-0000-00003D040000}"/>
    <cellStyle name="20% - Accent4 2 2 4 3" xfId="3105" xr:uid="{00000000-0005-0000-0000-00003E040000}"/>
    <cellStyle name="20% - Accent4 2 2 4 4" xfId="4392" xr:uid="{00000000-0005-0000-0000-00003F040000}"/>
    <cellStyle name="20% - Accent4 2 2 5" xfId="961" xr:uid="{00000000-0005-0000-0000-000040040000}"/>
    <cellStyle name="20% - Accent4 2 2 5 2" xfId="2253" xr:uid="{00000000-0005-0000-0000-000041040000}"/>
    <cellStyle name="20% - Accent4 2 2 5 3" xfId="3531" xr:uid="{00000000-0005-0000-0000-000042040000}"/>
    <cellStyle name="20% - Accent4 2 2 5 4" xfId="4818" xr:uid="{00000000-0005-0000-0000-000043040000}"/>
    <cellStyle name="20% - Accent4 2 2 6" xfId="1401" xr:uid="{00000000-0005-0000-0000-000044040000}"/>
    <cellStyle name="20% - Accent4 2 2 7" xfId="2679" xr:uid="{00000000-0005-0000-0000-000045040000}"/>
    <cellStyle name="20% - Accent4 2 2 8" xfId="3966" xr:uid="{00000000-0005-0000-0000-000046040000}"/>
    <cellStyle name="20% - Accent4 2 2 9" xfId="5232" xr:uid="{00000000-0005-0000-0000-000047040000}"/>
    <cellStyle name="20% - Accent4 2 3" xfId="115" xr:uid="{00000000-0005-0000-0000-000048040000}"/>
    <cellStyle name="20% - Accent4 2 3 2" xfId="324" xr:uid="{00000000-0005-0000-0000-000049040000}"/>
    <cellStyle name="20% - Accent4 2 3 2 2" xfId="750" xr:uid="{00000000-0005-0000-0000-00004A040000}"/>
    <cellStyle name="20% - Accent4 2 3 2 2 2" xfId="2042" xr:uid="{00000000-0005-0000-0000-00004B040000}"/>
    <cellStyle name="20% - Accent4 2 3 2 2 3" xfId="3320" xr:uid="{00000000-0005-0000-0000-00004C040000}"/>
    <cellStyle name="20% - Accent4 2 3 2 2 4" xfId="4607" xr:uid="{00000000-0005-0000-0000-00004D040000}"/>
    <cellStyle name="20% - Accent4 2 3 2 3" xfId="1176" xr:uid="{00000000-0005-0000-0000-00004E040000}"/>
    <cellStyle name="20% - Accent4 2 3 2 3 2" xfId="2468" xr:uid="{00000000-0005-0000-0000-00004F040000}"/>
    <cellStyle name="20% - Accent4 2 3 2 3 3" xfId="3746" xr:uid="{00000000-0005-0000-0000-000050040000}"/>
    <cellStyle name="20% - Accent4 2 3 2 3 4" xfId="5033" xr:uid="{00000000-0005-0000-0000-000051040000}"/>
    <cellStyle name="20% - Accent4 2 3 2 4" xfId="1616" xr:uid="{00000000-0005-0000-0000-000052040000}"/>
    <cellStyle name="20% - Accent4 2 3 2 5" xfId="2894" xr:uid="{00000000-0005-0000-0000-000053040000}"/>
    <cellStyle name="20% - Accent4 2 3 2 6" xfId="4181" xr:uid="{00000000-0005-0000-0000-000054040000}"/>
    <cellStyle name="20% - Accent4 2 3 3" xfId="537" xr:uid="{00000000-0005-0000-0000-000055040000}"/>
    <cellStyle name="20% - Accent4 2 3 3 2" xfId="1829" xr:uid="{00000000-0005-0000-0000-000056040000}"/>
    <cellStyle name="20% - Accent4 2 3 3 3" xfId="3107" xr:uid="{00000000-0005-0000-0000-000057040000}"/>
    <cellStyle name="20% - Accent4 2 3 3 4" xfId="4394" xr:uid="{00000000-0005-0000-0000-000058040000}"/>
    <cellStyle name="20% - Accent4 2 3 4" xfId="963" xr:uid="{00000000-0005-0000-0000-000059040000}"/>
    <cellStyle name="20% - Accent4 2 3 4 2" xfId="2255" xr:uid="{00000000-0005-0000-0000-00005A040000}"/>
    <cellStyle name="20% - Accent4 2 3 4 3" xfId="3533" xr:uid="{00000000-0005-0000-0000-00005B040000}"/>
    <cellStyle name="20% - Accent4 2 3 4 4" xfId="4820" xr:uid="{00000000-0005-0000-0000-00005C040000}"/>
    <cellStyle name="20% - Accent4 2 3 5" xfId="1403" xr:uid="{00000000-0005-0000-0000-00005D040000}"/>
    <cellStyle name="20% - Accent4 2 3 6" xfId="2681" xr:uid="{00000000-0005-0000-0000-00005E040000}"/>
    <cellStyle name="20% - Accent4 2 3 7" xfId="3968" xr:uid="{00000000-0005-0000-0000-00005F040000}"/>
    <cellStyle name="20% - Accent4 2 3 8" xfId="5234" xr:uid="{00000000-0005-0000-0000-000060040000}"/>
    <cellStyle name="20% - Accent4 2 4" xfId="116" xr:uid="{00000000-0005-0000-0000-000061040000}"/>
    <cellStyle name="20% - Accent4 2 4 2" xfId="325" xr:uid="{00000000-0005-0000-0000-000062040000}"/>
    <cellStyle name="20% - Accent4 2 4 2 2" xfId="751" xr:uid="{00000000-0005-0000-0000-000063040000}"/>
    <cellStyle name="20% - Accent4 2 4 2 2 2" xfId="2043" xr:uid="{00000000-0005-0000-0000-000064040000}"/>
    <cellStyle name="20% - Accent4 2 4 2 2 3" xfId="3321" xr:uid="{00000000-0005-0000-0000-000065040000}"/>
    <cellStyle name="20% - Accent4 2 4 2 2 4" xfId="4608" xr:uid="{00000000-0005-0000-0000-000066040000}"/>
    <cellStyle name="20% - Accent4 2 4 2 3" xfId="1177" xr:uid="{00000000-0005-0000-0000-000067040000}"/>
    <cellStyle name="20% - Accent4 2 4 2 3 2" xfId="2469" xr:uid="{00000000-0005-0000-0000-000068040000}"/>
    <cellStyle name="20% - Accent4 2 4 2 3 3" xfId="3747" xr:uid="{00000000-0005-0000-0000-000069040000}"/>
    <cellStyle name="20% - Accent4 2 4 2 3 4" xfId="5034" xr:uid="{00000000-0005-0000-0000-00006A040000}"/>
    <cellStyle name="20% - Accent4 2 4 2 4" xfId="1617" xr:uid="{00000000-0005-0000-0000-00006B040000}"/>
    <cellStyle name="20% - Accent4 2 4 2 5" xfId="2895" xr:uid="{00000000-0005-0000-0000-00006C040000}"/>
    <cellStyle name="20% - Accent4 2 4 2 6" xfId="4182" xr:uid="{00000000-0005-0000-0000-00006D040000}"/>
    <cellStyle name="20% - Accent4 2 4 3" xfId="538" xr:uid="{00000000-0005-0000-0000-00006E040000}"/>
    <cellStyle name="20% - Accent4 2 4 3 2" xfId="1830" xr:uid="{00000000-0005-0000-0000-00006F040000}"/>
    <cellStyle name="20% - Accent4 2 4 3 3" xfId="3108" xr:uid="{00000000-0005-0000-0000-000070040000}"/>
    <cellStyle name="20% - Accent4 2 4 3 4" xfId="4395" xr:uid="{00000000-0005-0000-0000-000071040000}"/>
    <cellStyle name="20% - Accent4 2 4 4" xfId="964" xr:uid="{00000000-0005-0000-0000-000072040000}"/>
    <cellStyle name="20% - Accent4 2 4 4 2" xfId="2256" xr:uid="{00000000-0005-0000-0000-000073040000}"/>
    <cellStyle name="20% - Accent4 2 4 4 3" xfId="3534" xr:uid="{00000000-0005-0000-0000-000074040000}"/>
    <cellStyle name="20% - Accent4 2 4 4 4" xfId="4821" xr:uid="{00000000-0005-0000-0000-000075040000}"/>
    <cellStyle name="20% - Accent4 2 4 5" xfId="1404" xr:uid="{00000000-0005-0000-0000-000076040000}"/>
    <cellStyle name="20% - Accent4 2 4 6" xfId="2682" xr:uid="{00000000-0005-0000-0000-000077040000}"/>
    <cellStyle name="20% - Accent4 2 4 7" xfId="3969" xr:uid="{00000000-0005-0000-0000-000078040000}"/>
    <cellStyle name="20% - Accent4 2 5" xfId="117" xr:uid="{00000000-0005-0000-0000-000079040000}"/>
    <cellStyle name="20% - Accent4 2 5 2" xfId="326" xr:uid="{00000000-0005-0000-0000-00007A040000}"/>
    <cellStyle name="20% - Accent4 2 5 2 2" xfId="752" xr:uid="{00000000-0005-0000-0000-00007B040000}"/>
    <cellStyle name="20% - Accent4 2 5 2 2 2" xfId="2044" xr:uid="{00000000-0005-0000-0000-00007C040000}"/>
    <cellStyle name="20% - Accent4 2 5 2 2 3" xfId="3322" xr:uid="{00000000-0005-0000-0000-00007D040000}"/>
    <cellStyle name="20% - Accent4 2 5 2 2 4" xfId="4609" xr:uid="{00000000-0005-0000-0000-00007E040000}"/>
    <cellStyle name="20% - Accent4 2 5 2 3" xfId="1178" xr:uid="{00000000-0005-0000-0000-00007F040000}"/>
    <cellStyle name="20% - Accent4 2 5 2 3 2" xfId="2470" xr:uid="{00000000-0005-0000-0000-000080040000}"/>
    <cellStyle name="20% - Accent4 2 5 2 3 3" xfId="3748" xr:uid="{00000000-0005-0000-0000-000081040000}"/>
    <cellStyle name="20% - Accent4 2 5 2 3 4" xfId="5035" xr:uid="{00000000-0005-0000-0000-000082040000}"/>
    <cellStyle name="20% - Accent4 2 5 2 4" xfId="1618" xr:uid="{00000000-0005-0000-0000-000083040000}"/>
    <cellStyle name="20% - Accent4 2 5 2 5" xfId="2896" xr:uid="{00000000-0005-0000-0000-000084040000}"/>
    <cellStyle name="20% - Accent4 2 5 2 6" xfId="4183" xr:uid="{00000000-0005-0000-0000-000085040000}"/>
    <cellStyle name="20% - Accent4 2 5 3" xfId="539" xr:uid="{00000000-0005-0000-0000-000086040000}"/>
    <cellStyle name="20% - Accent4 2 5 3 2" xfId="1831" xr:uid="{00000000-0005-0000-0000-000087040000}"/>
    <cellStyle name="20% - Accent4 2 5 3 3" xfId="3109" xr:uid="{00000000-0005-0000-0000-000088040000}"/>
    <cellStyle name="20% - Accent4 2 5 3 4" xfId="4396" xr:uid="{00000000-0005-0000-0000-000089040000}"/>
    <cellStyle name="20% - Accent4 2 5 4" xfId="965" xr:uid="{00000000-0005-0000-0000-00008A040000}"/>
    <cellStyle name="20% - Accent4 2 5 4 2" xfId="2257" xr:uid="{00000000-0005-0000-0000-00008B040000}"/>
    <cellStyle name="20% - Accent4 2 5 4 3" xfId="3535" xr:uid="{00000000-0005-0000-0000-00008C040000}"/>
    <cellStyle name="20% - Accent4 2 5 4 4" xfId="4822" xr:uid="{00000000-0005-0000-0000-00008D040000}"/>
    <cellStyle name="20% - Accent4 2 5 5" xfId="1405" xr:uid="{00000000-0005-0000-0000-00008E040000}"/>
    <cellStyle name="20% - Accent4 2 5 6" xfId="2683" xr:uid="{00000000-0005-0000-0000-00008F040000}"/>
    <cellStyle name="20% - Accent4 2 5 7" xfId="3970" xr:uid="{00000000-0005-0000-0000-000090040000}"/>
    <cellStyle name="20% - Accent4 2 6" xfId="275" xr:uid="{00000000-0005-0000-0000-000091040000}"/>
    <cellStyle name="20% - Accent4 2 6 2" xfId="488" xr:uid="{00000000-0005-0000-0000-000092040000}"/>
    <cellStyle name="20% - Accent4 2 6 2 2" xfId="913" xr:uid="{00000000-0005-0000-0000-000093040000}"/>
    <cellStyle name="20% - Accent4 2 6 2 2 2" xfId="2205" xr:uid="{00000000-0005-0000-0000-000094040000}"/>
    <cellStyle name="20% - Accent4 2 6 2 2 3" xfId="3483" xr:uid="{00000000-0005-0000-0000-000095040000}"/>
    <cellStyle name="20% - Accent4 2 6 2 2 4" xfId="4770" xr:uid="{00000000-0005-0000-0000-000096040000}"/>
    <cellStyle name="20% - Accent4 2 6 2 3" xfId="1339" xr:uid="{00000000-0005-0000-0000-000097040000}"/>
    <cellStyle name="20% - Accent4 2 6 2 3 2" xfId="2631" xr:uid="{00000000-0005-0000-0000-000098040000}"/>
    <cellStyle name="20% - Accent4 2 6 2 3 3" xfId="3909" xr:uid="{00000000-0005-0000-0000-000099040000}"/>
    <cellStyle name="20% - Accent4 2 6 2 3 4" xfId="5196" xr:uid="{00000000-0005-0000-0000-00009A040000}"/>
    <cellStyle name="20% - Accent4 2 6 2 4" xfId="1779" xr:uid="{00000000-0005-0000-0000-00009B040000}"/>
    <cellStyle name="20% - Accent4 2 6 2 5" xfId="3057" xr:uid="{00000000-0005-0000-0000-00009C040000}"/>
    <cellStyle name="20% - Accent4 2 6 2 6" xfId="4344" xr:uid="{00000000-0005-0000-0000-00009D040000}"/>
    <cellStyle name="20% - Accent4 2 6 3" xfId="700" xr:uid="{00000000-0005-0000-0000-00009E040000}"/>
    <cellStyle name="20% - Accent4 2 6 3 2" xfId="1992" xr:uid="{00000000-0005-0000-0000-00009F040000}"/>
    <cellStyle name="20% - Accent4 2 6 3 3" xfId="3270" xr:uid="{00000000-0005-0000-0000-0000A0040000}"/>
    <cellStyle name="20% - Accent4 2 6 3 4" xfId="4557" xr:uid="{00000000-0005-0000-0000-0000A1040000}"/>
    <cellStyle name="20% - Accent4 2 6 4" xfId="1126" xr:uid="{00000000-0005-0000-0000-0000A2040000}"/>
    <cellStyle name="20% - Accent4 2 6 4 2" xfId="2418" xr:uid="{00000000-0005-0000-0000-0000A3040000}"/>
    <cellStyle name="20% - Accent4 2 6 4 3" xfId="3696" xr:uid="{00000000-0005-0000-0000-0000A4040000}"/>
    <cellStyle name="20% - Accent4 2 6 4 4" xfId="4983" xr:uid="{00000000-0005-0000-0000-0000A5040000}"/>
    <cellStyle name="20% - Accent4 2 6 5" xfId="1566" xr:uid="{00000000-0005-0000-0000-0000A6040000}"/>
    <cellStyle name="20% - Accent4 2 6 6" xfId="2844" xr:uid="{00000000-0005-0000-0000-0000A7040000}"/>
    <cellStyle name="20% - Accent4 2 6 7" xfId="4131" xr:uid="{00000000-0005-0000-0000-0000A8040000}"/>
    <cellStyle name="20% - Accent4 2 7" xfId="321" xr:uid="{00000000-0005-0000-0000-0000A9040000}"/>
    <cellStyle name="20% - Accent4 2 7 2" xfId="747" xr:uid="{00000000-0005-0000-0000-0000AA040000}"/>
    <cellStyle name="20% - Accent4 2 7 2 2" xfId="2039" xr:uid="{00000000-0005-0000-0000-0000AB040000}"/>
    <cellStyle name="20% - Accent4 2 7 2 3" xfId="3317" xr:uid="{00000000-0005-0000-0000-0000AC040000}"/>
    <cellStyle name="20% - Accent4 2 7 2 4" xfId="4604" xr:uid="{00000000-0005-0000-0000-0000AD040000}"/>
    <cellStyle name="20% - Accent4 2 7 3" xfId="1173" xr:uid="{00000000-0005-0000-0000-0000AE040000}"/>
    <cellStyle name="20% - Accent4 2 7 3 2" xfId="2465" xr:uid="{00000000-0005-0000-0000-0000AF040000}"/>
    <cellStyle name="20% - Accent4 2 7 3 3" xfId="3743" xr:uid="{00000000-0005-0000-0000-0000B0040000}"/>
    <cellStyle name="20% - Accent4 2 7 3 4" xfId="5030" xr:uid="{00000000-0005-0000-0000-0000B1040000}"/>
    <cellStyle name="20% - Accent4 2 7 4" xfId="1613" xr:uid="{00000000-0005-0000-0000-0000B2040000}"/>
    <cellStyle name="20% - Accent4 2 7 5" xfId="2891" xr:uid="{00000000-0005-0000-0000-0000B3040000}"/>
    <cellStyle name="20% - Accent4 2 7 6" xfId="4178" xr:uid="{00000000-0005-0000-0000-0000B4040000}"/>
    <cellStyle name="20% - Accent4 2 8" xfId="534" xr:uid="{00000000-0005-0000-0000-0000B5040000}"/>
    <cellStyle name="20% - Accent4 2 8 2" xfId="1826" xr:uid="{00000000-0005-0000-0000-0000B6040000}"/>
    <cellStyle name="20% - Accent4 2 8 3" xfId="3104" xr:uid="{00000000-0005-0000-0000-0000B7040000}"/>
    <cellStyle name="20% - Accent4 2 8 4" xfId="4391" xr:uid="{00000000-0005-0000-0000-0000B8040000}"/>
    <cellStyle name="20% - Accent4 2 9" xfId="960" xr:uid="{00000000-0005-0000-0000-0000B9040000}"/>
    <cellStyle name="20% - Accent4 2 9 2" xfId="2252" xr:uid="{00000000-0005-0000-0000-0000BA040000}"/>
    <cellStyle name="20% - Accent4 2 9 3" xfId="3530" xr:uid="{00000000-0005-0000-0000-0000BB040000}"/>
    <cellStyle name="20% - Accent4 2 9 4" xfId="4817" xr:uid="{00000000-0005-0000-0000-0000BC040000}"/>
    <cellStyle name="20% - Accent4 3" xfId="118" xr:uid="{00000000-0005-0000-0000-0000BD040000}"/>
    <cellStyle name="20% - Accent4 3 2" xfId="119" xr:uid="{00000000-0005-0000-0000-0000BE040000}"/>
    <cellStyle name="20% - Accent4 3 2 2" xfId="328" xr:uid="{00000000-0005-0000-0000-0000BF040000}"/>
    <cellStyle name="20% - Accent4 3 2 2 2" xfId="754" xr:uid="{00000000-0005-0000-0000-0000C0040000}"/>
    <cellStyle name="20% - Accent4 3 2 2 2 2" xfId="2046" xr:uid="{00000000-0005-0000-0000-0000C1040000}"/>
    <cellStyle name="20% - Accent4 3 2 2 2 3" xfId="3324" xr:uid="{00000000-0005-0000-0000-0000C2040000}"/>
    <cellStyle name="20% - Accent4 3 2 2 2 4" xfId="4611" xr:uid="{00000000-0005-0000-0000-0000C3040000}"/>
    <cellStyle name="20% - Accent4 3 2 2 3" xfId="1180" xr:uid="{00000000-0005-0000-0000-0000C4040000}"/>
    <cellStyle name="20% - Accent4 3 2 2 3 2" xfId="2472" xr:uid="{00000000-0005-0000-0000-0000C5040000}"/>
    <cellStyle name="20% - Accent4 3 2 2 3 3" xfId="3750" xr:uid="{00000000-0005-0000-0000-0000C6040000}"/>
    <cellStyle name="20% - Accent4 3 2 2 3 4" xfId="5037" xr:uid="{00000000-0005-0000-0000-0000C7040000}"/>
    <cellStyle name="20% - Accent4 3 2 2 4" xfId="1620" xr:uid="{00000000-0005-0000-0000-0000C8040000}"/>
    <cellStyle name="20% - Accent4 3 2 2 5" xfId="2898" xr:uid="{00000000-0005-0000-0000-0000C9040000}"/>
    <cellStyle name="20% - Accent4 3 2 2 6" xfId="4185" xr:uid="{00000000-0005-0000-0000-0000CA040000}"/>
    <cellStyle name="20% - Accent4 3 2 3" xfId="541" xr:uid="{00000000-0005-0000-0000-0000CB040000}"/>
    <cellStyle name="20% - Accent4 3 2 3 2" xfId="1833" xr:uid="{00000000-0005-0000-0000-0000CC040000}"/>
    <cellStyle name="20% - Accent4 3 2 3 3" xfId="3111" xr:uid="{00000000-0005-0000-0000-0000CD040000}"/>
    <cellStyle name="20% - Accent4 3 2 3 4" xfId="4398" xr:uid="{00000000-0005-0000-0000-0000CE040000}"/>
    <cellStyle name="20% - Accent4 3 2 4" xfId="967" xr:uid="{00000000-0005-0000-0000-0000CF040000}"/>
    <cellStyle name="20% - Accent4 3 2 4 2" xfId="2259" xr:uid="{00000000-0005-0000-0000-0000D0040000}"/>
    <cellStyle name="20% - Accent4 3 2 4 3" xfId="3537" xr:uid="{00000000-0005-0000-0000-0000D1040000}"/>
    <cellStyle name="20% - Accent4 3 2 4 4" xfId="4824" xr:uid="{00000000-0005-0000-0000-0000D2040000}"/>
    <cellStyle name="20% - Accent4 3 2 5" xfId="1407" xr:uid="{00000000-0005-0000-0000-0000D3040000}"/>
    <cellStyle name="20% - Accent4 3 2 6" xfId="2685" xr:uid="{00000000-0005-0000-0000-0000D4040000}"/>
    <cellStyle name="20% - Accent4 3 2 7" xfId="3972" xr:uid="{00000000-0005-0000-0000-0000D5040000}"/>
    <cellStyle name="20% - Accent4 3 2 8" xfId="5236" xr:uid="{00000000-0005-0000-0000-0000D6040000}"/>
    <cellStyle name="20% - Accent4 3 3" xfId="327" xr:uid="{00000000-0005-0000-0000-0000D7040000}"/>
    <cellStyle name="20% - Accent4 3 3 2" xfId="753" xr:uid="{00000000-0005-0000-0000-0000D8040000}"/>
    <cellStyle name="20% - Accent4 3 3 2 2" xfId="2045" xr:uid="{00000000-0005-0000-0000-0000D9040000}"/>
    <cellStyle name="20% - Accent4 3 3 2 3" xfId="3323" xr:uid="{00000000-0005-0000-0000-0000DA040000}"/>
    <cellStyle name="20% - Accent4 3 3 2 4" xfId="4610" xr:uid="{00000000-0005-0000-0000-0000DB040000}"/>
    <cellStyle name="20% - Accent4 3 3 3" xfId="1179" xr:uid="{00000000-0005-0000-0000-0000DC040000}"/>
    <cellStyle name="20% - Accent4 3 3 3 2" xfId="2471" xr:uid="{00000000-0005-0000-0000-0000DD040000}"/>
    <cellStyle name="20% - Accent4 3 3 3 3" xfId="3749" xr:uid="{00000000-0005-0000-0000-0000DE040000}"/>
    <cellStyle name="20% - Accent4 3 3 3 4" xfId="5036" xr:uid="{00000000-0005-0000-0000-0000DF040000}"/>
    <cellStyle name="20% - Accent4 3 3 4" xfId="1619" xr:uid="{00000000-0005-0000-0000-0000E0040000}"/>
    <cellStyle name="20% - Accent4 3 3 5" xfId="2897" xr:uid="{00000000-0005-0000-0000-0000E1040000}"/>
    <cellStyle name="20% - Accent4 3 3 6" xfId="4184" xr:uid="{00000000-0005-0000-0000-0000E2040000}"/>
    <cellStyle name="20% - Accent4 3 4" xfId="540" xr:uid="{00000000-0005-0000-0000-0000E3040000}"/>
    <cellStyle name="20% - Accent4 3 4 2" xfId="1832" xr:uid="{00000000-0005-0000-0000-0000E4040000}"/>
    <cellStyle name="20% - Accent4 3 4 3" xfId="3110" xr:uid="{00000000-0005-0000-0000-0000E5040000}"/>
    <cellStyle name="20% - Accent4 3 4 4" xfId="4397" xr:uid="{00000000-0005-0000-0000-0000E6040000}"/>
    <cellStyle name="20% - Accent4 3 5" xfId="966" xr:uid="{00000000-0005-0000-0000-0000E7040000}"/>
    <cellStyle name="20% - Accent4 3 5 2" xfId="2258" xr:uid="{00000000-0005-0000-0000-0000E8040000}"/>
    <cellStyle name="20% - Accent4 3 5 3" xfId="3536" xr:uid="{00000000-0005-0000-0000-0000E9040000}"/>
    <cellStyle name="20% - Accent4 3 5 4" xfId="4823" xr:uid="{00000000-0005-0000-0000-0000EA040000}"/>
    <cellStyle name="20% - Accent4 3 6" xfId="1406" xr:uid="{00000000-0005-0000-0000-0000EB040000}"/>
    <cellStyle name="20% - Accent4 3 7" xfId="2684" xr:uid="{00000000-0005-0000-0000-0000EC040000}"/>
    <cellStyle name="20% - Accent4 3 8" xfId="3971" xr:uid="{00000000-0005-0000-0000-0000ED040000}"/>
    <cellStyle name="20% - Accent4 3 9" xfId="5235" xr:uid="{00000000-0005-0000-0000-0000EE040000}"/>
    <cellStyle name="20% - Accent4 4" xfId="120" xr:uid="{00000000-0005-0000-0000-0000EF040000}"/>
    <cellStyle name="20% - Accent4 4 2" xfId="329" xr:uid="{00000000-0005-0000-0000-0000F0040000}"/>
    <cellStyle name="20% - Accent4 4 2 2" xfId="755" xr:uid="{00000000-0005-0000-0000-0000F1040000}"/>
    <cellStyle name="20% - Accent4 4 2 2 2" xfId="2047" xr:uid="{00000000-0005-0000-0000-0000F2040000}"/>
    <cellStyle name="20% - Accent4 4 2 2 3" xfId="3325" xr:uid="{00000000-0005-0000-0000-0000F3040000}"/>
    <cellStyle name="20% - Accent4 4 2 2 4" xfId="4612" xr:uid="{00000000-0005-0000-0000-0000F4040000}"/>
    <cellStyle name="20% - Accent4 4 2 3" xfId="1181" xr:uid="{00000000-0005-0000-0000-0000F5040000}"/>
    <cellStyle name="20% - Accent4 4 2 3 2" xfId="2473" xr:uid="{00000000-0005-0000-0000-0000F6040000}"/>
    <cellStyle name="20% - Accent4 4 2 3 3" xfId="3751" xr:uid="{00000000-0005-0000-0000-0000F7040000}"/>
    <cellStyle name="20% - Accent4 4 2 3 4" xfId="5038" xr:uid="{00000000-0005-0000-0000-0000F8040000}"/>
    <cellStyle name="20% - Accent4 4 2 4" xfId="1621" xr:uid="{00000000-0005-0000-0000-0000F9040000}"/>
    <cellStyle name="20% - Accent4 4 2 5" xfId="2899" xr:uid="{00000000-0005-0000-0000-0000FA040000}"/>
    <cellStyle name="20% - Accent4 4 2 6" xfId="4186" xr:uid="{00000000-0005-0000-0000-0000FB040000}"/>
    <cellStyle name="20% - Accent4 4 3" xfId="542" xr:uid="{00000000-0005-0000-0000-0000FC040000}"/>
    <cellStyle name="20% - Accent4 4 3 2" xfId="1834" xr:uid="{00000000-0005-0000-0000-0000FD040000}"/>
    <cellStyle name="20% - Accent4 4 3 3" xfId="3112" xr:uid="{00000000-0005-0000-0000-0000FE040000}"/>
    <cellStyle name="20% - Accent4 4 3 4" xfId="4399" xr:uid="{00000000-0005-0000-0000-0000FF040000}"/>
    <cellStyle name="20% - Accent4 4 4" xfId="968" xr:uid="{00000000-0005-0000-0000-000000050000}"/>
    <cellStyle name="20% - Accent4 4 4 2" xfId="2260" xr:uid="{00000000-0005-0000-0000-000001050000}"/>
    <cellStyle name="20% - Accent4 4 4 3" xfId="3538" xr:uid="{00000000-0005-0000-0000-000002050000}"/>
    <cellStyle name="20% - Accent4 4 4 4" xfId="4825" xr:uid="{00000000-0005-0000-0000-000003050000}"/>
    <cellStyle name="20% - Accent4 4 5" xfId="1408" xr:uid="{00000000-0005-0000-0000-000004050000}"/>
    <cellStyle name="20% - Accent4 4 6" xfId="2686" xr:uid="{00000000-0005-0000-0000-000005050000}"/>
    <cellStyle name="20% - Accent4 4 7" xfId="3973" xr:uid="{00000000-0005-0000-0000-000006050000}"/>
    <cellStyle name="20% - Accent4 4 8" xfId="5237" xr:uid="{00000000-0005-0000-0000-000007050000}"/>
    <cellStyle name="20% - Accent4 5" xfId="121" xr:uid="{00000000-0005-0000-0000-000008050000}"/>
    <cellStyle name="20% - Accent4 5 2" xfId="330" xr:uid="{00000000-0005-0000-0000-000009050000}"/>
    <cellStyle name="20% - Accent4 5 2 2" xfId="756" xr:uid="{00000000-0005-0000-0000-00000A050000}"/>
    <cellStyle name="20% - Accent4 5 2 2 2" xfId="2048" xr:uid="{00000000-0005-0000-0000-00000B050000}"/>
    <cellStyle name="20% - Accent4 5 2 2 3" xfId="3326" xr:uid="{00000000-0005-0000-0000-00000C050000}"/>
    <cellStyle name="20% - Accent4 5 2 2 4" xfId="4613" xr:uid="{00000000-0005-0000-0000-00000D050000}"/>
    <cellStyle name="20% - Accent4 5 2 3" xfId="1182" xr:uid="{00000000-0005-0000-0000-00000E050000}"/>
    <cellStyle name="20% - Accent4 5 2 3 2" xfId="2474" xr:uid="{00000000-0005-0000-0000-00000F050000}"/>
    <cellStyle name="20% - Accent4 5 2 3 3" xfId="3752" xr:uid="{00000000-0005-0000-0000-000010050000}"/>
    <cellStyle name="20% - Accent4 5 2 3 4" xfId="5039" xr:uid="{00000000-0005-0000-0000-000011050000}"/>
    <cellStyle name="20% - Accent4 5 2 4" xfId="1622" xr:uid="{00000000-0005-0000-0000-000012050000}"/>
    <cellStyle name="20% - Accent4 5 2 5" xfId="2900" xr:uid="{00000000-0005-0000-0000-000013050000}"/>
    <cellStyle name="20% - Accent4 5 2 6" xfId="4187" xr:uid="{00000000-0005-0000-0000-000014050000}"/>
    <cellStyle name="20% - Accent4 5 3" xfId="543" xr:uid="{00000000-0005-0000-0000-000015050000}"/>
    <cellStyle name="20% - Accent4 5 3 2" xfId="1835" xr:uid="{00000000-0005-0000-0000-000016050000}"/>
    <cellStyle name="20% - Accent4 5 3 3" xfId="3113" xr:uid="{00000000-0005-0000-0000-000017050000}"/>
    <cellStyle name="20% - Accent4 5 3 4" xfId="4400" xr:uid="{00000000-0005-0000-0000-000018050000}"/>
    <cellStyle name="20% - Accent4 5 4" xfId="969" xr:uid="{00000000-0005-0000-0000-000019050000}"/>
    <cellStyle name="20% - Accent4 5 4 2" xfId="2261" xr:uid="{00000000-0005-0000-0000-00001A050000}"/>
    <cellStyle name="20% - Accent4 5 4 3" xfId="3539" xr:uid="{00000000-0005-0000-0000-00001B050000}"/>
    <cellStyle name="20% - Accent4 5 4 4" xfId="4826" xr:uid="{00000000-0005-0000-0000-00001C050000}"/>
    <cellStyle name="20% - Accent4 5 5" xfId="1409" xr:uid="{00000000-0005-0000-0000-00001D050000}"/>
    <cellStyle name="20% - Accent4 5 6" xfId="2687" xr:uid="{00000000-0005-0000-0000-00001E050000}"/>
    <cellStyle name="20% - Accent4 5 7" xfId="3974" xr:uid="{00000000-0005-0000-0000-00001F050000}"/>
    <cellStyle name="20% - Accent4 6" xfId="122" xr:uid="{00000000-0005-0000-0000-000020050000}"/>
    <cellStyle name="20% - Accent4 6 2" xfId="331" xr:uid="{00000000-0005-0000-0000-000021050000}"/>
    <cellStyle name="20% - Accent4 6 2 2" xfId="757" xr:uid="{00000000-0005-0000-0000-000022050000}"/>
    <cellStyle name="20% - Accent4 6 2 2 2" xfId="2049" xr:uid="{00000000-0005-0000-0000-000023050000}"/>
    <cellStyle name="20% - Accent4 6 2 2 3" xfId="3327" xr:uid="{00000000-0005-0000-0000-000024050000}"/>
    <cellStyle name="20% - Accent4 6 2 2 4" xfId="4614" xr:uid="{00000000-0005-0000-0000-000025050000}"/>
    <cellStyle name="20% - Accent4 6 2 3" xfId="1183" xr:uid="{00000000-0005-0000-0000-000026050000}"/>
    <cellStyle name="20% - Accent4 6 2 3 2" xfId="2475" xr:uid="{00000000-0005-0000-0000-000027050000}"/>
    <cellStyle name="20% - Accent4 6 2 3 3" xfId="3753" xr:uid="{00000000-0005-0000-0000-000028050000}"/>
    <cellStyle name="20% - Accent4 6 2 3 4" xfId="5040" xr:uid="{00000000-0005-0000-0000-000029050000}"/>
    <cellStyle name="20% - Accent4 6 2 4" xfId="1623" xr:uid="{00000000-0005-0000-0000-00002A050000}"/>
    <cellStyle name="20% - Accent4 6 2 5" xfId="2901" xr:uid="{00000000-0005-0000-0000-00002B050000}"/>
    <cellStyle name="20% - Accent4 6 2 6" xfId="4188" xr:uid="{00000000-0005-0000-0000-00002C050000}"/>
    <cellStyle name="20% - Accent4 6 3" xfId="544" xr:uid="{00000000-0005-0000-0000-00002D050000}"/>
    <cellStyle name="20% - Accent4 6 3 2" xfId="1836" xr:uid="{00000000-0005-0000-0000-00002E050000}"/>
    <cellStyle name="20% - Accent4 6 3 3" xfId="3114" xr:uid="{00000000-0005-0000-0000-00002F050000}"/>
    <cellStyle name="20% - Accent4 6 3 4" xfId="4401" xr:uid="{00000000-0005-0000-0000-000030050000}"/>
    <cellStyle name="20% - Accent4 6 4" xfId="970" xr:uid="{00000000-0005-0000-0000-000031050000}"/>
    <cellStyle name="20% - Accent4 6 4 2" xfId="2262" xr:uid="{00000000-0005-0000-0000-000032050000}"/>
    <cellStyle name="20% - Accent4 6 4 3" xfId="3540" xr:uid="{00000000-0005-0000-0000-000033050000}"/>
    <cellStyle name="20% - Accent4 6 4 4" xfId="4827" xr:uid="{00000000-0005-0000-0000-000034050000}"/>
    <cellStyle name="20% - Accent4 6 5" xfId="1410" xr:uid="{00000000-0005-0000-0000-000035050000}"/>
    <cellStyle name="20% - Accent4 6 6" xfId="2688" xr:uid="{00000000-0005-0000-0000-000036050000}"/>
    <cellStyle name="20% - Accent4 6 7" xfId="3975" xr:uid="{00000000-0005-0000-0000-000037050000}"/>
    <cellStyle name="20% - Accent4 7" xfId="257" xr:uid="{00000000-0005-0000-0000-000038050000}"/>
    <cellStyle name="20% - Accent4 7 2" xfId="470" xr:uid="{00000000-0005-0000-0000-000039050000}"/>
    <cellStyle name="20% - Accent4 7 2 2" xfId="895" xr:uid="{00000000-0005-0000-0000-00003A050000}"/>
    <cellStyle name="20% - Accent4 7 2 2 2" xfId="2187" xr:uid="{00000000-0005-0000-0000-00003B050000}"/>
    <cellStyle name="20% - Accent4 7 2 2 3" xfId="3465" xr:uid="{00000000-0005-0000-0000-00003C050000}"/>
    <cellStyle name="20% - Accent4 7 2 2 4" xfId="4752" xr:uid="{00000000-0005-0000-0000-00003D050000}"/>
    <cellStyle name="20% - Accent4 7 2 3" xfId="1321" xr:uid="{00000000-0005-0000-0000-00003E050000}"/>
    <cellStyle name="20% - Accent4 7 2 3 2" xfId="2613" xr:uid="{00000000-0005-0000-0000-00003F050000}"/>
    <cellStyle name="20% - Accent4 7 2 3 3" xfId="3891" xr:uid="{00000000-0005-0000-0000-000040050000}"/>
    <cellStyle name="20% - Accent4 7 2 3 4" xfId="5178" xr:uid="{00000000-0005-0000-0000-000041050000}"/>
    <cellStyle name="20% - Accent4 7 2 4" xfId="1761" xr:uid="{00000000-0005-0000-0000-000042050000}"/>
    <cellStyle name="20% - Accent4 7 2 5" xfId="3039" xr:uid="{00000000-0005-0000-0000-000043050000}"/>
    <cellStyle name="20% - Accent4 7 2 6" xfId="4326" xr:uid="{00000000-0005-0000-0000-000044050000}"/>
    <cellStyle name="20% - Accent4 7 3" xfId="682" xr:uid="{00000000-0005-0000-0000-000045050000}"/>
    <cellStyle name="20% - Accent4 7 3 2" xfId="1974" xr:uid="{00000000-0005-0000-0000-000046050000}"/>
    <cellStyle name="20% - Accent4 7 3 3" xfId="3252" xr:uid="{00000000-0005-0000-0000-000047050000}"/>
    <cellStyle name="20% - Accent4 7 3 4" xfId="4539" xr:uid="{00000000-0005-0000-0000-000048050000}"/>
    <cellStyle name="20% - Accent4 7 4" xfId="1108" xr:uid="{00000000-0005-0000-0000-000049050000}"/>
    <cellStyle name="20% - Accent4 7 4 2" xfId="2400" xr:uid="{00000000-0005-0000-0000-00004A050000}"/>
    <cellStyle name="20% - Accent4 7 4 3" xfId="3678" xr:uid="{00000000-0005-0000-0000-00004B050000}"/>
    <cellStyle name="20% - Accent4 7 4 4" xfId="4965" xr:uid="{00000000-0005-0000-0000-00004C050000}"/>
    <cellStyle name="20% - Accent4 7 5" xfId="1548" xr:uid="{00000000-0005-0000-0000-00004D050000}"/>
    <cellStyle name="20% - Accent4 7 6" xfId="2826" xr:uid="{00000000-0005-0000-0000-00004E050000}"/>
    <cellStyle name="20% - Accent4 7 7" xfId="4113" xr:uid="{00000000-0005-0000-0000-00004F050000}"/>
    <cellStyle name="20% - Accent4 8" xfId="320" xr:uid="{00000000-0005-0000-0000-000050050000}"/>
    <cellStyle name="20% - Accent4 8 2" xfId="746" xr:uid="{00000000-0005-0000-0000-000051050000}"/>
    <cellStyle name="20% - Accent4 8 2 2" xfId="2038" xr:uid="{00000000-0005-0000-0000-000052050000}"/>
    <cellStyle name="20% - Accent4 8 2 3" xfId="3316" xr:uid="{00000000-0005-0000-0000-000053050000}"/>
    <cellStyle name="20% - Accent4 8 2 4" xfId="4603" xr:uid="{00000000-0005-0000-0000-000054050000}"/>
    <cellStyle name="20% - Accent4 8 3" xfId="1172" xr:uid="{00000000-0005-0000-0000-000055050000}"/>
    <cellStyle name="20% - Accent4 8 3 2" xfId="2464" xr:uid="{00000000-0005-0000-0000-000056050000}"/>
    <cellStyle name="20% - Accent4 8 3 3" xfId="3742" xr:uid="{00000000-0005-0000-0000-000057050000}"/>
    <cellStyle name="20% - Accent4 8 3 4" xfId="5029" xr:uid="{00000000-0005-0000-0000-000058050000}"/>
    <cellStyle name="20% - Accent4 8 4" xfId="1612" xr:uid="{00000000-0005-0000-0000-000059050000}"/>
    <cellStyle name="20% - Accent4 8 5" xfId="2890" xr:uid="{00000000-0005-0000-0000-00005A050000}"/>
    <cellStyle name="20% - Accent4 8 6" xfId="4177" xr:uid="{00000000-0005-0000-0000-00005B050000}"/>
    <cellStyle name="20% - Accent4 9" xfId="533" xr:uid="{00000000-0005-0000-0000-00005C050000}"/>
    <cellStyle name="20% - Accent4 9 2" xfId="1825" xr:uid="{00000000-0005-0000-0000-00005D050000}"/>
    <cellStyle name="20% - Accent4 9 3" xfId="3103" xr:uid="{00000000-0005-0000-0000-00005E050000}"/>
    <cellStyle name="20% - Accent4 9 4" xfId="4390" xr:uid="{00000000-0005-0000-0000-00005F050000}"/>
    <cellStyle name="20% - Accent5" xfId="73" builtinId="46" customBuiltin="1"/>
    <cellStyle name="20% - Accent5 10" xfId="971" xr:uid="{00000000-0005-0000-0000-000061050000}"/>
    <cellStyle name="20% - Accent5 10 2" xfId="2263" xr:uid="{00000000-0005-0000-0000-000062050000}"/>
    <cellStyle name="20% - Accent5 10 3" xfId="3541" xr:uid="{00000000-0005-0000-0000-000063050000}"/>
    <cellStyle name="20% - Accent5 10 4" xfId="4828" xr:uid="{00000000-0005-0000-0000-000064050000}"/>
    <cellStyle name="20% - Accent5 11" xfId="1411" xr:uid="{00000000-0005-0000-0000-000065050000}"/>
    <cellStyle name="20% - Accent5 12" xfId="2689" xr:uid="{00000000-0005-0000-0000-000066050000}"/>
    <cellStyle name="20% - Accent5 13" xfId="3976" xr:uid="{00000000-0005-0000-0000-000067050000}"/>
    <cellStyle name="20% - Accent5 14" xfId="5238" xr:uid="{00000000-0005-0000-0000-000068050000}"/>
    <cellStyle name="20% - Accent5 2" xfId="14" xr:uid="{00000000-0005-0000-0000-000069050000}"/>
    <cellStyle name="20% - Accent5 2 10" xfId="1412" xr:uid="{00000000-0005-0000-0000-00006A050000}"/>
    <cellStyle name="20% - Accent5 2 11" xfId="2690" xr:uid="{00000000-0005-0000-0000-00006B050000}"/>
    <cellStyle name="20% - Accent5 2 12" xfId="3977" xr:uid="{00000000-0005-0000-0000-00006C050000}"/>
    <cellStyle name="20% - Accent5 2 13" xfId="5239" xr:uid="{00000000-0005-0000-0000-00006D050000}"/>
    <cellStyle name="20% - Accent5 2 2" xfId="123" xr:uid="{00000000-0005-0000-0000-00006E050000}"/>
    <cellStyle name="20% - Accent5 2 2 2" xfId="124" xr:uid="{00000000-0005-0000-0000-00006F050000}"/>
    <cellStyle name="20% - Accent5 2 2 2 2" xfId="335" xr:uid="{00000000-0005-0000-0000-000070050000}"/>
    <cellStyle name="20% - Accent5 2 2 2 2 2" xfId="761" xr:uid="{00000000-0005-0000-0000-000071050000}"/>
    <cellStyle name="20% - Accent5 2 2 2 2 2 2" xfId="2053" xr:uid="{00000000-0005-0000-0000-000072050000}"/>
    <cellStyle name="20% - Accent5 2 2 2 2 2 3" xfId="3331" xr:uid="{00000000-0005-0000-0000-000073050000}"/>
    <cellStyle name="20% - Accent5 2 2 2 2 2 4" xfId="4618" xr:uid="{00000000-0005-0000-0000-000074050000}"/>
    <cellStyle name="20% - Accent5 2 2 2 2 3" xfId="1187" xr:uid="{00000000-0005-0000-0000-000075050000}"/>
    <cellStyle name="20% - Accent5 2 2 2 2 3 2" xfId="2479" xr:uid="{00000000-0005-0000-0000-000076050000}"/>
    <cellStyle name="20% - Accent5 2 2 2 2 3 3" xfId="3757" xr:uid="{00000000-0005-0000-0000-000077050000}"/>
    <cellStyle name="20% - Accent5 2 2 2 2 3 4" xfId="5044" xr:uid="{00000000-0005-0000-0000-000078050000}"/>
    <cellStyle name="20% - Accent5 2 2 2 2 4" xfId="1627" xr:uid="{00000000-0005-0000-0000-000079050000}"/>
    <cellStyle name="20% - Accent5 2 2 2 2 5" xfId="2905" xr:uid="{00000000-0005-0000-0000-00007A050000}"/>
    <cellStyle name="20% - Accent5 2 2 2 2 6" xfId="4192" xr:uid="{00000000-0005-0000-0000-00007B050000}"/>
    <cellStyle name="20% - Accent5 2 2 2 3" xfId="548" xr:uid="{00000000-0005-0000-0000-00007C050000}"/>
    <cellStyle name="20% - Accent5 2 2 2 3 2" xfId="1840" xr:uid="{00000000-0005-0000-0000-00007D050000}"/>
    <cellStyle name="20% - Accent5 2 2 2 3 3" xfId="3118" xr:uid="{00000000-0005-0000-0000-00007E050000}"/>
    <cellStyle name="20% - Accent5 2 2 2 3 4" xfId="4405" xr:uid="{00000000-0005-0000-0000-00007F050000}"/>
    <cellStyle name="20% - Accent5 2 2 2 4" xfId="974" xr:uid="{00000000-0005-0000-0000-000080050000}"/>
    <cellStyle name="20% - Accent5 2 2 2 4 2" xfId="2266" xr:uid="{00000000-0005-0000-0000-000081050000}"/>
    <cellStyle name="20% - Accent5 2 2 2 4 3" xfId="3544" xr:uid="{00000000-0005-0000-0000-000082050000}"/>
    <cellStyle name="20% - Accent5 2 2 2 4 4" xfId="4831" xr:uid="{00000000-0005-0000-0000-000083050000}"/>
    <cellStyle name="20% - Accent5 2 2 2 5" xfId="1414" xr:uid="{00000000-0005-0000-0000-000084050000}"/>
    <cellStyle name="20% - Accent5 2 2 2 6" xfId="2692" xr:uid="{00000000-0005-0000-0000-000085050000}"/>
    <cellStyle name="20% - Accent5 2 2 2 7" xfId="3979" xr:uid="{00000000-0005-0000-0000-000086050000}"/>
    <cellStyle name="20% - Accent5 2 2 2 8" xfId="5241" xr:uid="{00000000-0005-0000-0000-000087050000}"/>
    <cellStyle name="20% - Accent5 2 2 3" xfId="334" xr:uid="{00000000-0005-0000-0000-000088050000}"/>
    <cellStyle name="20% - Accent5 2 2 3 2" xfId="760" xr:uid="{00000000-0005-0000-0000-000089050000}"/>
    <cellStyle name="20% - Accent5 2 2 3 2 2" xfId="2052" xr:uid="{00000000-0005-0000-0000-00008A050000}"/>
    <cellStyle name="20% - Accent5 2 2 3 2 3" xfId="3330" xr:uid="{00000000-0005-0000-0000-00008B050000}"/>
    <cellStyle name="20% - Accent5 2 2 3 2 4" xfId="4617" xr:uid="{00000000-0005-0000-0000-00008C050000}"/>
    <cellStyle name="20% - Accent5 2 2 3 3" xfId="1186" xr:uid="{00000000-0005-0000-0000-00008D050000}"/>
    <cellStyle name="20% - Accent5 2 2 3 3 2" xfId="2478" xr:uid="{00000000-0005-0000-0000-00008E050000}"/>
    <cellStyle name="20% - Accent5 2 2 3 3 3" xfId="3756" xr:uid="{00000000-0005-0000-0000-00008F050000}"/>
    <cellStyle name="20% - Accent5 2 2 3 3 4" xfId="5043" xr:uid="{00000000-0005-0000-0000-000090050000}"/>
    <cellStyle name="20% - Accent5 2 2 3 4" xfId="1626" xr:uid="{00000000-0005-0000-0000-000091050000}"/>
    <cellStyle name="20% - Accent5 2 2 3 5" xfId="2904" xr:uid="{00000000-0005-0000-0000-000092050000}"/>
    <cellStyle name="20% - Accent5 2 2 3 6" xfId="4191" xr:uid="{00000000-0005-0000-0000-000093050000}"/>
    <cellStyle name="20% - Accent5 2 2 4" xfId="547" xr:uid="{00000000-0005-0000-0000-000094050000}"/>
    <cellStyle name="20% - Accent5 2 2 4 2" xfId="1839" xr:uid="{00000000-0005-0000-0000-000095050000}"/>
    <cellStyle name="20% - Accent5 2 2 4 3" xfId="3117" xr:uid="{00000000-0005-0000-0000-000096050000}"/>
    <cellStyle name="20% - Accent5 2 2 4 4" xfId="4404" xr:uid="{00000000-0005-0000-0000-000097050000}"/>
    <cellStyle name="20% - Accent5 2 2 5" xfId="973" xr:uid="{00000000-0005-0000-0000-000098050000}"/>
    <cellStyle name="20% - Accent5 2 2 5 2" xfId="2265" xr:uid="{00000000-0005-0000-0000-000099050000}"/>
    <cellStyle name="20% - Accent5 2 2 5 3" xfId="3543" xr:uid="{00000000-0005-0000-0000-00009A050000}"/>
    <cellStyle name="20% - Accent5 2 2 5 4" xfId="4830" xr:uid="{00000000-0005-0000-0000-00009B050000}"/>
    <cellStyle name="20% - Accent5 2 2 6" xfId="1413" xr:uid="{00000000-0005-0000-0000-00009C050000}"/>
    <cellStyle name="20% - Accent5 2 2 7" xfId="2691" xr:uid="{00000000-0005-0000-0000-00009D050000}"/>
    <cellStyle name="20% - Accent5 2 2 8" xfId="3978" xr:uid="{00000000-0005-0000-0000-00009E050000}"/>
    <cellStyle name="20% - Accent5 2 2 9" xfId="5240" xr:uid="{00000000-0005-0000-0000-00009F050000}"/>
    <cellStyle name="20% - Accent5 2 3" xfId="125" xr:uid="{00000000-0005-0000-0000-0000A0050000}"/>
    <cellStyle name="20% - Accent5 2 3 2" xfId="336" xr:uid="{00000000-0005-0000-0000-0000A1050000}"/>
    <cellStyle name="20% - Accent5 2 3 2 2" xfId="762" xr:uid="{00000000-0005-0000-0000-0000A2050000}"/>
    <cellStyle name="20% - Accent5 2 3 2 2 2" xfId="2054" xr:uid="{00000000-0005-0000-0000-0000A3050000}"/>
    <cellStyle name="20% - Accent5 2 3 2 2 3" xfId="3332" xr:uid="{00000000-0005-0000-0000-0000A4050000}"/>
    <cellStyle name="20% - Accent5 2 3 2 2 4" xfId="4619" xr:uid="{00000000-0005-0000-0000-0000A5050000}"/>
    <cellStyle name="20% - Accent5 2 3 2 3" xfId="1188" xr:uid="{00000000-0005-0000-0000-0000A6050000}"/>
    <cellStyle name="20% - Accent5 2 3 2 3 2" xfId="2480" xr:uid="{00000000-0005-0000-0000-0000A7050000}"/>
    <cellStyle name="20% - Accent5 2 3 2 3 3" xfId="3758" xr:uid="{00000000-0005-0000-0000-0000A8050000}"/>
    <cellStyle name="20% - Accent5 2 3 2 3 4" xfId="5045" xr:uid="{00000000-0005-0000-0000-0000A9050000}"/>
    <cellStyle name="20% - Accent5 2 3 2 4" xfId="1628" xr:uid="{00000000-0005-0000-0000-0000AA050000}"/>
    <cellStyle name="20% - Accent5 2 3 2 5" xfId="2906" xr:uid="{00000000-0005-0000-0000-0000AB050000}"/>
    <cellStyle name="20% - Accent5 2 3 2 6" xfId="4193" xr:uid="{00000000-0005-0000-0000-0000AC050000}"/>
    <cellStyle name="20% - Accent5 2 3 3" xfId="549" xr:uid="{00000000-0005-0000-0000-0000AD050000}"/>
    <cellStyle name="20% - Accent5 2 3 3 2" xfId="1841" xr:uid="{00000000-0005-0000-0000-0000AE050000}"/>
    <cellStyle name="20% - Accent5 2 3 3 3" xfId="3119" xr:uid="{00000000-0005-0000-0000-0000AF050000}"/>
    <cellStyle name="20% - Accent5 2 3 3 4" xfId="4406" xr:uid="{00000000-0005-0000-0000-0000B0050000}"/>
    <cellStyle name="20% - Accent5 2 3 4" xfId="975" xr:uid="{00000000-0005-0000-0000-0000B1050000}"/>
    <cellStyle name="20% - Accent5 2 3 4 2" xfId="2267" xr:uid="{00000000-0005-0000-0000-0000B2050000}"/>
    <cellStyle name="20% - Accent5 2 3 4 3" xfId="3545" xr:uid="{00000000-0005-0000-0000-0000B3050000}"/>
    <cellStyle name="20% - Accent5 2 3 4 4" xfId="4832" xr:uid="{00000000-0005-0000-0000-0000B4050000}"/>
    <cellStyle name="20% - Accent5 2 3 5" xfId="1415" xr:uid="{00000000-0005-0000-0000-0000B5050000}"/>
    <cellStyle name="20% - Accent5 2 3 6" xfId="2693" xr:uid="{00000000-0005-0000-0000-0000B6050000}"/>
    <cellStyle name="20% - Accent5 2 3 7" xfId="3980" xr:uid="{00000000-0005-0000-0000-0000B7050000}"/>
    <cellStyle name="20% - Accent5 2 3 8" xfId="5242" xr:uid="{00000000-0005-0000-0000-0000B8050000}"/>
    <cellStyle name="20% - Accent5 2 4" xfId="126" xr:uid="{00000000-0005-0000-0000-0000B9050000}"/>
    <cellStyle name="20% - Accent5 2 4 2" xfId="337" xr:uid="{00000000-0005-0000-0000-0000BA050000}"/>
    <cellStyle name="20% - Accent5 2 4 2 2" xfId="763" xr:uid="{00000000-0005-0000-0000-0000BB050000}"/>
    <cellStyle name="20% - Accent5 2 4 2 2 2" xfId="2055" xr:uid="{00000000-0005-0000-0000-0000BC050000}"/>
    <cellStyle name="20% - Accent5 2 4 2 2 3" xfId="3333" xr:uid="{00000000-0005-0000-0000-0000BD050000}"/>
    <cellStyle name="20% - Accent5 2 4 2 2 4" xfId="4620" xr:uid="{00000000-0005-0000-0000-0000BE050000}"/>
    <cellStyle name="20% - Accent5 2 4 2 3" xfId="1189" xr:uid="{00000000-0005-0000-0000-0000BF050000}"/>
    <cellStyle name="20% - Accent5 2 4 2 3 2" xfId="2481" xr:uid="{00000000-0005-0000-0000-0000C0050000}"/>
    <cellStyle name="20% - Accent5 2 4 2 3 3" xfId="3759" xr:uid="{00000000-0005-0000-0000-0000C1050000}"/>
    <cellStyle name="20% - Accent5 2 4 2 3 4" xfId="5046" xr:uid="{00000000-0005-0000-0000-0000C2050000}"/>
    <cellStyle name="20% - Accent5 2 4 2 4" xfId="1629" xr:uid="{00000000-0005-0000-0000-0000C3050000}"/>
    <cellStyle name="20% - Accent5 2 4 2 5" xfId="2907" xr:uid="{00000000-0005-0000-0000-0000C4050000}"/>
    <cellStyle name="20% - Accent5 2 4 2 6" xfId="4194" xr:uid="{00000000-0005-0000-0000-0000C5050000}"/>
    <cellStyle name="20% - Accent5 2 4 3" xfId="550" xr:uid="{00000000-0005-0000-0000-0000C6050000}"/>
    <cellStyle name="20% - Accent5 2 4 3 2" xfId="1842" xr:uid="{00000000-0005-0000-0000-0000C7050000}"/>
    <cellStyle name="20% - Accent5 2 4 3 3" xfId="3120" xr:uid="{00000000-0005-0000-0000-0000C8050000}"/>
    <cellStyle name="20% - Accent5 2 4 3 4" xfId="4407" xr:uid="{00000000-0005-0000-0000-0000C9050000}"/>
    <cellStyle name="20% - Accent5 2 4 4" xfId="976" xr:uid="{00000000-0005-0000-0000-0000CA050000}"/>
    <cellStyle name="20% - Accent5 2 4 4 2" xfId="2268" xr:uid="{00000000-0005-0000-0000-0000CB050000}"/>
    <cellStyle name="20% - Accent5 2 4 4 3" xfId="3546" xr:uid="{00000000-0005-0000-0000-0000CC050000}"/>
    <cellStyle name="20% - Accent5 2 4 4 4" xfId="4833" xr:uid="{00000000-0005-0000-0000-0000CD050000}"/>
    <cellStyle name="20% - Accent5 2 4 5" xfId="1416" xr:uid="{00000000-0005-0000-0000-0000CE050000}"/>
    <cellStyle name="20% - Accent5 2 4 6" xfId="2694" xr:uid="{00000000-0005-0000-0000-0000CF050000}"/>
    <cellStyle name="20% - Accent5 2 4 7" xfId="3981" xr:uid="{00000000-0005-0000-0000-0000D0050000}"/>
    <cellStyle name="20% - Accent5 2 5" xfId="127" xr:uid="{00000000-0005-0000-0000-0000D1050000}"/>
    <cellStyle name="20% - Accent5 2 5 2" xfId="338" xr:uid="{00000000-0005-0000-0000-0000D2050000}"/>
    <cellStyle name="20% - Accent5 2 5 2 2" xfId="764" xr:uid="{00000000-0005-0000-0000-0000D3050000}"/>
    <cellStyle name="20% - Accent5 2 5 2 2 2" xfId="2056" xr:uid="{00000000-0005-0000-0000-0000D4050000}"/>
    <cellStyle name="20% - Accent5 2 5 2 2 3" xfId="3334" xr:uid="{00000000-0005-0000-0000-0000D5050000}"/>
    <cellStyle name="20% - Accent5 2 5 2 2 4" xfId="4621" xr:uid="{00000000-0005-0000-0000-0000D6050000}"/>
    <cellStyle name="20% - Accent5 2 5 2 3" xfId="1190" xr:uid="{00000000-0005-0000-0000-0000D7050000}"/>
    <cellStyle name="20% - Accent5 2 5 2 3 2" xfId="2482" xr:uid="{00000000-0005-0000-0000-0000D8050000}"/>
    <cellStyle name="20% - Accent5 2 5 2 3 3" xfId="3760" xr:uid="{00000000-0005-0000-0000-0000D9050000}"/>
    <cellStyle name="20% - Accent5 2 5 2 3 4" xfId="5047" xr:uid="{00000000-0005-0000-0000-0000DA050000}"/>
    <cellStyle name="20% - Accent5 2 5 2 4" xfId="1630" xr:uid="{00000000-0005-0000-0000-0000DB050000}"/>
    <cellStyle name="20% - Accent5 2 5 2 5" xfId="2908" xr:uid="{00000000-0005-0000-0000-0000DC050000}"/>
    <cellStyle name="20% - Accent5 2 5 2 6" xfId="4195" xr:uid="{00000000-0005-0000-0000-0000DD050000}"/>
    <cellStyle name="20% - Accent5 2 5 3" xfId="551" xr:uid="{00000000-0005-0000-0000-0000DE050000}"/>
    <cellStyle name="20% - Accent5 2 5 3 2" xfId="1843" xr:uid="{00000000-0005-0000-0000-0000DF050000}"/>
    <cellStyle name="20% - Accent5 2 5 3 3" xfId="3121" xr:uid="{00000000-0005-0000-0000-0000E0050000}"/>
    <cellStyle name="20% - Accent5 2 5 3 4" xfId="4408" xr:uid="{00000000-0005-0000-0000-0000E1050000}"/>
    <cellStyle name="20% - Accent5 2 5 4" xfId="977" xr:uid="{00000000-0005-0000-0000-0000E2050000}"/>
    <cellStyle name="20% - Accent5 2 5 4 2" xfId="2269" xr:uid="{00000000-0005-0000-0000-0000E3050000}"/>
    <cellStyle name="20% - Accent5 2 5 4 3" xfId="3547" xr:uid="{00000000-0005-0000-0000-0000E4050000}"/>
    <cellStyle name="20% - Accent5 2 5 4 4" xfId="4834" xr:uid="{00000000-0005-0000-0000-0000E5050000}"/>
    <cellStyle name="20% - Accent5 2 5 5" xfId="1417" xr:uid="{00000000-0005-0000-0000-0000E6050000}"/>
    <cellStyle name="20% - Accent5 2 5 6" xfId="2695" xr:uid="{00000000-0005-0000-0000-0000E7050000}"/>
    <cellStyle name="20% - Accent5 2 5 7" xfId="3982" xr:uid="{00000000-0005-0000-0000-0000E8050000}"/>
    <cellStyle name="20% - Accent5 2 6" xfId="277" xr:uid="{00000000-0005-0000-0000-0000E9050000}"/>
    <cellStyle name="20% - Accent5 2 6 2" xfId="490" xr:uid="{00000000-0005-0000-0000-0000EA050000}"/>
    <cellStyle name="20% - Accent5 2 6 2 2" xfId="915" xr:uid="{00000000-0005-0000-0000-0000EB050000}"/>
    <cellStyle name="20% - Accent5 2 6 2 2 2" xfId="2207" xr:uid="{00000000-0005-0000-0000-0000EC050000}"/>
    <cellStyle name="20% - Accent5 2 6 2 2 3" xfId="3485" xr:uid="{00000000-0005-0000-0000-0000ED050000}"/>
    <cellStyle name="20% - Accent5 2 6 2 2 4" xfId="4772" xr:uid="{00000000-0005-0000-0000-0000EE050000}"/>
    <cellStyle name="20% - Accent5 2 6 2 3" xfId="1341" xr:uid="{00000000-0005-0000-0000-0000EF050000}"/>
    <cellStyle name="20% - Accent5 2 6 2 3 2" xfId="2633" xr:uid="{00000000-0005-0000-0000-0000F0050000}"/>
    <cellStyle name="20% - Accent5 2 6 2 3 3" xfId="3911" xr:uid="{00000000-0005-0000-0000-0000F1050000}"/>
    <cellStyle name="20% - Accent5 2 6 2 3 4" xfId="5198" xr:uid="{00000000-0005-0000-0000-0000F2050000}"/>
    <cellStyle name="20% - Accent5 2 6 2 4" xfId="1781" xr:uid="{00000000-0005-0000-0000-0000F3050000}"/>
    <cellStyle name="20% - Accent5 2 6 2 5" xfId="3059" xr:uid="{00000000-0005-0000-0000-0000F4050000}"/>
    <cellStyle name="20% - Accent5 2 6 2 6" xfId="4346" xr:uid="{00000000-0005-0000-0000-0000F5050000}"/>
    <cellStyle name="20% - Accent5 2 6 3" xfId="702" xr:uid="{00000000-0005-0000-0000-0000F6050000}"/>
    <cellStyle name="20% - Accent5 2 6 3 2" xfId="1994" xr:uid="{00000000-0005-0000-0000-0000F7050000}"/>
    <cellStyle name="20% - Accent5 2 6 3 3" xfId="3272" xr:uid="{00000000-0005-0000-0000-0000F8050000}"/>
    <cellStyle name="20% - Accent5 2 6 3 4" xfId="4559" xr:uid="{00000000-0005-0000-0000-0000F9050000}"/>
    <cellStyle name="20% - Accent5 2 6 4" xfId="1128" xr:uid="{00000000-0005-0000-0000-0000FA050000}"/>
    <cellStyle name="20% - Accent5 2 6 4 2" xfId="2420" xr:uid="{00000000-0005-0000-0000-0000FB050000}"/>
    <cellStyle name="20% - Accent5 2 6 4 3" xfId="3698" xr:uid="{00000000-0005-0000-0000-0000FC050000}"/>
    <cellStyle name="20% - Accent5 2 6 4 4" xfId="4985" xr:uid="{00000000-0005-0000-0000-0000FD050000}"/>
    <cellStyle name="20% - Accent5 2 6 5" xfId="1568" xr:uid="{00000000-0005-0000-0000-0000FE050000}"/>
    <cellStyle name="20% - Accent5 2 6 6" xfId="2846" xr:uid="{00000000-0005-0000-0000-0000FF050000}"/>
    <cellStyle name="20% - Accent5 2 6 7" xfId="4133" xr:uid="{00000000-0005-0000-0000-000000060000}"/>
    <cellStyle name="20% - Accent5 2 7" xfId="333" xr:uid="{00000000-0005-0000-0000-000001060000}"/>
    <cellStyle name="20% - Accent5 2 7 2" xfId="759" xr:uid="{00000000-0005-0000-0000-000002060000}"/>
    <cellStyle name="20% - Accent5 2 7 2 2" xfId="2051" xr:uid="{00000000-0005-0000-0000-000003060000}"/>
    <cellStyle name="20% - Accent5 2 7 2 3" xfId="3329" xr:uid="{00000000-0005-0000-0000-000004060000}"/>
    <cellStyle name="20% - Accent5 2 7 2 4" xfId="4616" xr:uid="{00000000-0005-0000-0000-000005060000}"/>
    <cellStyle name="20% - Accent5 2 7 3" xfId="1185" xr:uid="{00000000-0005-0000-0000-000006060000}"/>
    <cellStyle name="20% - Accent5 2 7 3 2" xfId="2477" xr:uid="{00000000-0005-0000-0000-000007060000}"/>
    <cellStyle name="20% - Accent5 2 7 3 3" xfId="3755" xr:uid="{00000000-0005-0000-0000-000008060000}"/>
    <cellStyle name="20% - Accent5 2 7 3 4" xfId="5042" xr:uid="{00000000-0005-0000-0000-000009060000}"/>
    <cellStyle name="20% - Accent5 2 7 4" xfId="1625" xr:uid="{00000000-0005-0000-0000-00000A060000}"/>
    <cellStyle name="20% - Accent5 2 7 5" xfId="2903" xr:uid="{00000000-0005-0000-0000-00000B060000}"/>
    <cellStyle name="20% - Accent5 2 7 6" xfId="4190" xr:uid="{00000000-0005-0000-0000-00000C060000}"/>
    <cellStyle name="20% - Accent5 2 8" xfId="546" xr:uid="{00000000-0005-0000-0000-00000D060000}"/>
    <cellStyle name="20% - Accent5 2 8 2" xfId="1838" xr:uid="{00000000-0005-0000-0000-00000E060000}"/>
    <cellStyle name="20% - Accent5 2 8 3" xfId="3116" xr:uid="{00000000-0005-0000-0000-00000F060000}"/>
    <cellStyle name="20% - Accent5 2 8 4" xfId="4403" xr:uid="{00000000-0005-0000-0000-000010060000}"/>
    <cellStyle name="20% - Accent5 2 9" xfId="972" xr:uid="{00000000-0005-0000-0000-000011060000}"/>
    <cellStyle name="20% - Accent5 2 9 2" xfId="2264" xr:uid="{00000000-0005-0000-0000-000012060000}"/>
    <cellStyle name="20% - Accent5 2 9 3" xfId="3542" xr:uid="{00000000-0005-0000-0000-000013060000}"/>
    <cellStyle name="20% - Accent5 2 9 4" xfId="4829" xr:uid="{00000000-0005-0000-0000-000014060000}"/>
    <cellStyle name="20% - Accent5 3" xfId="128" xr:uid="{00000000-0005-0000-0000-000015060000}"/>
    <cellStyle name="20% - Accent5 3 2" xfId="129" xr:uid="{00000000-0005-0000-0000-000016060000}"/>
    <cellStyle name="20% - Accent5 3 2 2" xfId="340" xr:uid="{00000000-0005-0000-0000-000017060000}"/>
    <cellStyle name="20% - Accent5 3 2 2 2" xfId="766" xr:uid="{00000000-0005-0000-0000-000018060000}"/>
    <cellStyle name="20% - Accent5 3 2 2 2 2" xfId="2058" xr:uid="{00000000-0005-0000-0000-000019060000}"/>
    <cellStyle name="20% - Accent5 3 2 2 2 3" xfId="3336" xr:uid="{00000000-0005-0000-0000-00001A060000}"/>
    <cellStyle name="20% - Accent5 3 2 2 2 4" xfId="4623" xr:uid="{00000000-0005-0000-0000-00001B060000}"/>
    <cellStyle name="20% - Accent5 3 2 2 3" xfId="1192" xr:uid="{00000000-0005-0000-0000-00001C060000}"/>
    <cellStyle name="20% - Accent5 3 2 2 3 2" xfId="2484" xr:uid="{00000000-0005-0000-0000-00001D060000}"/>
    <cellStyle name="20% - Accent5 3 2 2 3 3" xfId="3762" xr:uid="{00000000-0005-0000-0000-00001E060000}"/>
    <cellStyle name="20% - Accent5 3 2 2 3 4" xfId="5049" xr:uid="{00000000-0005-0000-0000-00001F060000}"/>
    <cellStyle name="20% - Accent5 3 2 2 4" xfId="1632" xr:uid="{00000000-0005-0000-0000-000020060000}"/>
    <cellStyle name="20% - Accent5 3 2 2 5" xfId="2910" xr:uid="{00000000-0005-0000-0000-000021060000}"/>
    <cellStyle name="20% - Accent5 3 2 2 6" xfId="4197" xr:uid="{00000000-0005-0000-0000-000022060000}"/>
    <cellStyle name="20% - Accent5 3 2 3" xfId="553" xr:uid="{00000000-0005-0000-0000-000023060000}"/>
    <cellStyle name="20% - Accent5 3 2 3 2" xfId="1845" xr:uid="{00000000-0005-0000-0000-000024060000}"/>
    <cellStyle name="20% - Accent5 3 2 3 3" xfId="3123" xr:uid="{00000000-0005-0000-0000-000025060000}"/>
    <cellStyle name="20% - Accent5 3 2 3 4" xfId="4410" xr:uid="{00000000-0005-0000-0000-000026060000}"/>
    <cellStyle name="20% - Accent5 3 2 4" xfId="979" xr:uid="{00000000-0005-0000-0000-000027060000}"/>
    <cellStyle name="20% - Accent5 3 2 4 2" xfId="2271" xr:uid="{00000000-0005-0000-0000-000028060000}"/>
    <cellStyle name="20% - Accent5 3 2 4 3" xfId="3549" xr:uid="{00000000-0005-0000-0000-000029060000}"/>
    <cellStyle name="20% - Accent5 3 2 4 4" xfId="4836" xr:uid="{00000000-0005-0000-0000-00002A060000}"/>
    <cellStyle name="20% - Accent5 3 2 5" xfId="1419" xr:uid="{00000000-0005-0000-0000-00002B060000}"/>
    <cellStyle name="20% - Accent5 3 2 6" xfId="2697" xr:uid="{00000000-0005-0000-0000-00002C060000}"/>
    <cellStyle name="20% - Accent5 3 2 7" xfId="3984" xr:uid="{00000000-0005-0000-0000-00002D060000}"/>
    <cellStyle name="20% - Accent5 3 2 8" xfId="5244" xr:uid="{00000000-0005-0000-0000-00002E060000}"/>
    <cellStyle name="20% - Accent5 3 3" xfId="339" xr:uid="{00000000-0005-0000-0000-00002F060000}"/>
    <cellStyle name="20% - Accent5 3 3 2" xfId="765" xr:uid="{00000000-0005-0000-0000-000030060000}"/>
    <cellStyle name="20% - Accent5 3 3 2 2" xfId="2057" xr:uid="{00000000-0005-0000-0000-000031060000}"/>
    <cellStyle name="20% - Accent5 3 3 2 3" xfId="3335" xr:uid="{00000000-0005-0000-0000-000032060000}"/>
    <cellStyle name="20% - Accent5 3 3 2 4" xfId="4622" xr:uid="{00000000-0005-0000-0000-000033060000}"/>
    <cellStyle name="20% - Accent5 3 3 3" xfId="1191" xr:uid="{00000000-0005-0000-0000-000034060000}"/>
    <cellStyle name="20% - Accent5 3 3 3 2" xfId="2483" xr:uid="{00000000-0005-0000-0000-000035060000}"/>
    <cellStyle name="20% - Accent5 3 3 3 3" xfId="3761" xr:uid="{00000000-0005-0000-0000-000036060000}"/>
    <cellStyle name="20% - Accent5 3 3 3 4" xfId="5048" xr:uid="{00000000-0005-0000-0000-000037060000}"/>
    <cellStyle name="20% - Accent5 3 3 4" xfId="1631" xr:uid="{00000000-0005-0000-0000-000038060000}"/>
    <cellStyle name="20% - Accent5 3 3 5" xfId="2909" xr:uid="{00000000-0005-0000-0000-000039060000}"/>
    <cellStyle name="20% - Accent5 3 3 6" xfId="4196" xr:uid="{00000000-0005-0000-0000-00003A060000}"/>
    <cellStyle name="20% - Accent5 3 4" xfId="552" xr:uid="{00000000-0005-0000-0000-00003B060000}"/>
    <cellStyle name="20% - Accent5 3 4 2" xfId="1844" xr:uid="{00000000-0005-0000-0000-00003C060000}"/>
    <cellStyle name="20% - Accent5 3 4 3" xfId="3122" xr:uid="{00000000-0005-0000-0000-00003D060000}"/>
    <cellStyle name="20% - Accent5 3 4 4" xfId="4409" xr:uid="{00000000-0005-0000-0000-00003E060000}"/>
    <cellStyle name="20% - Accent5 3 5" xfId="978" xr:uid="{00000000-0005-0000-0000-00003F060000}"/>
    <cellStyle name="20% - Accent5 3 5 2" xfId="2270" xr:uid="{00000000-0005-0000-0000-000040060000}"/>
    <cellStyle name="20% - Accent5 3 5 3" xfId="3548" xr:uid="{00000000-0005-0000-0000-000041060000}"/>
    <cellStyle name="20% - Accent5 3 5 4" xfId="4835" xr:uid="{00000000-0005-0000-0000-000042060000}"/>
    <cellStyle name="20% - Accent5 3 6" xfId="1418" xr:uid="{00000000-0005-0000-0000-000043060000}"/>
    <cellStyle name="20% - Accent5 3 7" xfId="2696" xr:uid="{00000000-0005-0000-0000-000044060000}"/>
    <cellStyle name="20% - Accent5 3 8" xfId="3983" xr:uid="{00000000-0005-0000-0000-000045060000}"/>
    <cellStyle name="20% - Accent5 3 9" xfId="5243" xr:uid="{00000000-0005-0000-0000-000046060000}"/>
    <cellStyle name="20% - Accent5 4" xfId="130" xr:uid="{00000000-0005-0000-0000-000047060000}"/>
    <cellStyle name="20% - Accent5 4 2" xfId="341" xr:uid="{00000000-0005-0000-0000-000048060000}"/>
    <cellStyle name="20% - Accent5 4 2 2" xfId="767" xr:uid="{00000000-0005-0000-0000-000049060000}"/>
    <cellStyle name="20% - Accent5 4 2 2 2" xfId="2059" xr:uid="{00000000-0005-0000-0000-00004A060000}"/>
    <cellStyle name="20% - Accent5 4 2 2 3" xfId="3337" xr:uid="{00000000-0005-0000-0000-00004B060000}"/>
    <cellStyle name="20% - Accent5 4 2 2 4" xfId="4624" xr:uid="{00000000-0005-0000-0000-00004C060000}"/>
    <cellStyle name="20% - Accent5 4 2 3" xfId="1193" xr:uid="{00000000-0005-0000-0000-00004D060000}"/>
    <cellStyle name="20% - Accent5 4 2 3 2" xfId="2485" xr:uid="{00000000-0005-0000-0000-00004E060000}"/>
    <cellStyle name="20% - Accent5 4 2 3 3" xfId="3763" xr:uid="{00000000-0005-0000-0000-00004F060000}"/>
    <cellStyle name="20% - Accent5 4 2 3 4" xfId="5050" xr:uid="{00000000-0005-0000-0000-000050060000}"/>
    <cellStyle name="20% - Accent5 4 2 4" xfId="1633" xr:uid="{00000000-0005-0000-0000-000051060000}"/>
    <cellStyle name="20% - Accent5 4 2 5" xfId="2911" xr:uid="{00000000-0005-0000-0000-000052060000}"/>
    <cellStyle name="20% - Accent5 4 2 6" xfId="4198" xr:uid="{00000000-0005-0000-0000-000053060000}"/>
    <cellStyle name="20% - Accent5 4 3" xfId="554" xr:uid="{00000000-0005-0000-0000-000054060000}"/>
    <cellStyle name="20% - Accent5 4 3 2" xfId="1846" xr:uid="{00000000-0005-0000-0000-000055060000}"/>
    <cellStyle name="20% - Accent5 4 3 3" xfId="3124" xr:uid="{00000000-0005-0000-0000-000056060000}"/>
    <cellStyle name="20% - Accent5 4 3 4" xfId="4411" xr:uid="{00000000-0005-0000-0000-000057060000}"/>
    <cellStyle name="20% - Accent5 4 4" xfId="980" xr:uid="{00000000-0005-0000-0000-000058060000}"/>
    <cellStyle name="20% - Accent5 4 4 2" xfId="2272" xr:uid="{00000000-0005-0000-0000-000059060000}"/>
    <cellStyle name="20% - Accent5 4 4 3" xfId="3550" xr:uid="{00000000-0005-0000-0000-00005A060000}"/>
    <cellStyle name="20% - Accent5 4 4 4" xfId="4837" xr:uid="{00000000-0005-0000-0000-00005B060000}"/>
    <cellStyle name="20% - Accent5 4 5" xfId="1420" xr:uid="{00000000-0005-0000-0000-00005C060000}"/>
    <cellStyle name="20% - Accent5 4 6" xfId="2698" xr:uid="{00000000-0005-0000-0000-00005D060000}"/>
    <cellStyle name="20% - Accent5 4 7" xfId="3985" xr:uid="{00000000-0005-0000-0000-00005E060000}"/>
    <cellStyle name="20% - Accent5 4 8" xfId="5245" xr:uid="{00000000-0005-0000-0000-00005F060000}"/>
    <cellStyle name="20% - Accent5 5" xfId="131" xr:uid="{00000000-0005-0000-0000-000060060000}"/>
    <cellStyle name="20% - Accent5 5 2" xfId="342" xr:uid="{00000000-0005-0000-0000-000061060000}"/>
    <cellStyle name="20% - Accent5 5 2 2" xfId="768" xr:uid="{00000000-0005-0000-0000-000062060000}"/>
    <cellStyle name="20% - Accent5 5 2 2 2" xfId="2060" xr:uid="{00000000-0005-0000-0000-000063060000}"/>
    <cellStyle name="20% - Accent5 5 2 2 3" xfId="3338" xr:uid="{00000000-0005-0000-0000-000064060000}"/>
    <cellStyle name="20% - Accent5 5 2 2 4" xfId="4625" xr:uid="{00000000-0005-0000-0000-000065060000}"/>
    <cellStyle name="20% - Accent5 5 2 3" xfId="1194" xr:uid="{00000000-0005-0000-0000-000066060000}"/>
    <cellStyle name="20% - Accent5 5 2 3 2" xfId="2486" xr:uid="{00000000-0005-0000-0000-000067060000}"/>
    <cellStyle name="20% - Accent5 5 2 3 3" xfId="3764" xr:uid="{00000000-0005-0000-0000-000068060000}"/>
    <cellStyle name="20% - Accent5 5 2 3 4" xfId="5051" xr:uid="{00000000-0005-0000-0000-000069060000}"/>
    <cellStyle name="20% - Accent5 5 2 4" xfId="1634" xr:uid="{00000000-0005-0000-0000-00006A060000}"/>
    <cellStyle name="20% - Accent5 5 2 5" xfId="2912" xr:uid="{00000000-0005-0000-0000-00006B060000}"/>
    <cellStyle name="20% - Accent5 5 2 6" xfId="4199" xr:uid="{00000000-0005-0000-0000-00006C060000}"/>
    <cellStyle name="20% - Accent5 5 3" xfId="555" xr:uid="{00000000-0005-0000-0000-00006D060000}"/>
    <cellStyle name="20% - Accent5 5 3 2" xfId="1847" xr:uid="{00000000-0005-0000-0000-00006E060000}"/>
    <cellStyle name="20% - Accent5 5 3 3" xfId="3125" xr:uid="{00000000-0005-0000-0000-00006F060000}"/>
    <cellStyle name="20% - Accent5 5 3 4" xfId="4412" xr:uid="{00000000-0005-0000-0000-000070060000}"/>
    <cellStyle name="20% - Accent5 5 4" xfId="981" xr:uid="{00000000-0005-0000-0000-000071060000}"/>
    <cellStyle name="20% - Accent5 5 4 2" xfId="2273" xr:uid="{00000000-0005-0000-0000-000072060000}"/>
    <cellStyle name="20% - Accent5 5 4 3" xfId="3551" xr:uid="{00000000-0005-0000-0000-000073060000}"/>
    <cellStyle name="20% - Accent5 5 4 4" xfId="4838" xr:uid="{00000000-0005-0000-0000-000074060000}"/>
    <cellStyle name="20% - Accent5 5 5" xfId="1421" xr:uid="{00000000-0005-0000-0000-000075060000}"/>
    <cellStyle name="20% - Accent5 5 6" xfId="2699" xr:uid="{00000000-0005-0000-0000-000076060000}"/>
    <cellStyle name="20% - Accent5 5 7" xfId="3986" xr:uid="{00000000-0005-0000-0000-000077060000}"/>
    <cellStyle name="20% - Accent5 6" xfId="132" xr:uid="{00000000-0005-0000-0000-000078060000}"/>
    <cellStyle name="20% - Accent5 6 2" xfId="343" xr:uid="{00000000-0005-0000-0000-000079060000}"/>
    <cellStyle name="20% - Accent5 6 2 2" xfId="769" xr:uid="{00000000-0005-0000-0000-00007A060000}"/>
    <cellStyle name="20% - Accent5 6 2 2 2" xfId="2061" xr:uid="{00000000-0005-0000-0000-00007B060000}"/>
    <cellStyle name="20% - Accent5 6 2 2 3" xfId="3339" xr:uid="{00000000-0005-0000-0000-00007C060000}"/>
    <cellStyle name="20% - Accent5 6 2 2 4" xfId="4626" xr:uid="{00000000-0005-0000-0000-00007D060000}"/>
    <cellStyle name="20% - Accent5 6 2 3" xfId="1195" xr:uid="{00000000-0005-0000-0000-00007E060000}"/>
    <cellStyle name="20% - Accent5 6 2 3 2" xfId="2487" xr:uid="{00000000-0005-0000-0000-00007F060000}"/>
    <cellStyle name="20% - Accent5 6 2 3 3" xfId="3765" xr:uid="{00000000-0005-0000-0000-000080060000}"/>
    <cellStyle name="20% - Accent5 6 2 3 4" xfId="5052" xr:uid="{00000000-0005-0000-0000-000081060000}"/>
    <cellStyle name="20% - Accent5 6 2 4" xfId="1635" xr:uid="{00000000-0005-0000-0000-000082060000}"/>
    <cellStyle name="20% - Accent5 6 2 5" xfId="2913" xr:uid="{00000000-0005-0000-0000-000083060000}"/>
    <cellStyle name="20% - Accent5 6 2 6" xfId="4200" xr:uid="{00000000-0005-0000-0000-000084060000}"/>
    <cellStyle name="20% - Accent5 6 3" xfId="556" xr:uid="{00000000-0005-0000-0000-000085060000}"/>
    <cellStyle name="20% - Accent5 6 3 2" xfId="1848" xr:uid="{00000000-0005-0000-0000-000086060000}"/>
    <cellStyle name="20% - Accent5 6 3 3" xfId="3126" xr:uid="{00000000-0005-0000-0000-000087060000}"/>
    <cellStyle name="20% - Accent5 6 3 4" xfId="4413" xr:uid="{00000000-0005-0000-0000-000088060000}"/>
    <cellStyle name="20% - Accent5 6 4" xfId="982" xr:uid="{00000000-0005-0000-0000-000089060000}"/>
    <cellStyle name="20% - Accent5 6 4 2" xfId="2274" xr:uid="{00000000-0005-0000-0000-00008A060000}"/>
    <cellStyle name="20% - Accent5 6 4 3" xfId="3552" xr:uid="{00000000-0005-0000-0000-00008B060000}"/>
    <cellStyle name="20% - Accent5 6 4 4" xfId="4839" xr:uid="{00000000-0005-0000-0000-00008C060000}"/>
    <cellStyle name="20% - Accent5 6 5" xfId="1422" xr:uid="{00000000-0005-0000-0000-00008D060000}"/>
    <cellStyle name="20% - Accent5 6 6" xfId="2700" xr:uid="{00000000-0005-0000-0000-00008E060000}"/>
    <cellStyle name="20% - Accent5 6 7" xfId="3987" xr:uid="{00000000-0005-0000-0000-00008F060000}"/>
    <cellStyle name="20% - Accent5 7" xfId="258" xr:uid="{00000000-0005-0000-0000-000090060000}"/>
    <cellStyle name="20% - Accent5 7 2" xfId="471" xr:uid="{00000000-0005-0000-0000-000091060000}"/>
    <cellStyle name="20% - Accent5 7 2 2" xfId="896" xr:uid="{00000000-0005-0000-0000-000092060000}"/>
    <cellStyle name="20% - Accent5 7 2 2 2" xfId="2188" xr:uid="{00000000-0005-0000-0000-000093060000}"/>
    <cellStyle name="20% - Accent5 7 2 2 3" xfId="3466" xr:uid="{00000000-0005-0000-0000-000094060000}"/>
    <cellStyle name="20% - Accent5 7 2 2 4" xfId="4753" xr:uid="{00000000-0005-0000-0000-000095060000}"/>
    <cellStyle name="20% - Accent5 7 2 3" xfId="1322" xr:uid="{00000000-0005-0000-0000-000096060000}"/>
    <cellStyle name="20% - Accent5 7 2 3 2" xfId="2614" xr:uid="{00000000-0005-0000-0000-000097060000}"/>
    <cellStyle name="20% - Accent5 7 2 3 3" xfId="3892" xr:uid="{00000000-0005-0000-0000-000098060000}"/>
    <cellStyle name="20% - Accent5 7 2 3 4" xfId="5179" xr:uid="{00000000-0005-0000-0000-000099060000}"/>
    <cellStyle name="20% - Accent5 7 2 4" xfId="1762" xr:uid="{00000000-0005-0000-0000-00009A060000}"/>
    <cellStyle name="20% - Accent5 7 2 5" xfId="3040" xr:uid="{00000000-0005-0000-0000-00009B060000}"/>
    <cellStyle name="20% - Accent5 7 2 6" xfId="4327" xr:uid="{00000000-0005-0000-0000-00009C060000}"/>
    <cellStyle name="20% - Accent5 7 3" xfId="683" xr:uid="{00000000-0005-0000-0000-00009D060000}"/>
    <cellStyle name="20% - Accent5 7 3 2" xfId="1975" xr:uid="{00000000-0005-0000-0000-00009E060000}"/>
    <cellStyle name="20% - Accent5 7 3 3" xfId="3253" xr:uid="{00000000-0005-0000-0000-00009F060000}"/>
    <cellStyle name="20% - Accent5 7 3 4" xfId="4540" xr:uid="{00000000-0005-0000-0000-0000A0060000}"/>
    <cellStyle name="20% - Accent5 7 4" xfId="1109" xr:uid="{00000000-0005-0000-0000-0000A1060000}"/>
    <cellStyle name="20% - Accent5 7 4 2" xfId="2401" xr:uid="{00000000-0005-0000-0000-0000A2060000}"/>
    <cellStyle name="20% - Accent5 7 4 3" xfId="3679" xr:uid="{00000000-0005-0000-0000-0000A3060000}"/>
    <cellStyle name="20% - Accent5 7 4 4" xfId="4966" xr:uid="{00000000-0005-0000-0000-0000A4060000}"/>
    <cellStyle name="20% - Accent5 7 5" xfId="1549" xr:uid="{00000000-0005-0000-0000-0000A5060000}"/>
    <cellStyle name="20% - Accent5 7 6" xfId="2827" xr:uid="{00000000-0005-0000-0000-0000A6060000}"/>
    <cellStyle name="20% - Accent5 7 7" xfId="4114" xr:uid="{00000000-0005-0000-0000-0000A7060000}"/>
    <cellStyle name="20% - Accent5 8" xfId="332" xr:uid="{00000000-0005-0000-0000-0000A8060000}"/>
    <cellStyle name="20% - Accent5 8 2" xfId="758" xr:uid="{00000000-0005-0000-0000-0000A9060000}"/>
    <cellStyle name="20% - Accent5 8 2 2" xfId="2050" xr:uid="{00000000-0005-0000-0000-0000AA060000}"/>
    <cellStyle name="20% - Accent5 8 2 3" xfId="3328" xr:uid="{00000000-0005-0000-0000-0000AB060000}"/>
    <cellStyle name="20% - Accent5 8 2 4" xfId="4615" xr:uid="{00000000-0005-0000-0000-0000AC060000}"/>
    <cellStyle name="20% - Accent5 8 3" xfId="1184" xr:uid="{00000000-0005-0000-0000-0000AD060000}"/>
    <cellStyle name="20% - Accent5 8 3 2" xfId="2476" xr:uid="{00000000-0005-0000-0000-0000AE060000}"/>
    <cellStyle name="20% - Accent5 8 3 3" xfId="3754" xr:uid="{00000000-0005-0000-0000-0000AF060000}"/>
    <cellStyle name="20% - Accent5 8 3 4" xfId="5041" xr:uid="{00000000-0005-0000-0000-0000B0060000}"/>
    <cellStyle name="20% - Accent5 8 4" xfId="1624" xr:uid="{00000000-0005-0000-0000-0000B1060000}"/>
    <cellStyle name="20% - Accent5 8 5" xfId="2902" xr:uid="{00000000-0005-0000-0000-0000B2060000}"/>
    <cellStyle name="20% - Accent5 8 6" xfId="4189" xr:uid="{00000000-0005-0000-0000-0000B3060000}"/>
    <cellStyle name="20% - Accent5 9" xfId="545" xr:uid="{00000000-0005-0000-0000-0000B4060000}"/>
    <cellStyle name="20% - Accent5 9 2" xfId="1837" xr:uid="{00000000-0005-0000-0000-0000B5060000}"/>
    <cellStyle name="20% - Accent5 9 3" xfId="3115" xr:uid="{00000000-0005-0000-0000-0000B6060000}"/>
    <cellStyle name="20% - Accent5 9 4" xfId="4402" xr:uid="{00000000-0005-0000-0000-0000B7060000}"/>
    <cellStyle name="20% - Accent6" xfId="77" builtinId="50" customBuiltin="1"/>
    <cellStyle name="20% - Accent6 10" xfId="983" xr:uid="{00000000-0005-0000-0000-0000B9060000}"/>
    <cellStyle name="20% - Accent6 10 2" xfId="2275" xr:uid="{00000000-0005-0000-0000-0000BA060000}"/>
    <cellStyle name="20% - Accent6 10 3" xfId="3553" xr:uid="{00000000-0005-0000-0000-0000BB060000}"/>
    <cellStyle name="20% - Accent6 10 4" xfId="4840" xr:uid="{00000000-0005-0000-0000-0000BC060000}"/>
    <cellStyle name="20% - Accent6 11" xfId="1423" xr:uid="{00000000-0005-0000-0000-0000BD060000}"/>
    <cellStyle name="20% - Accent6 12" xfId="2701" xr:uid="{00000000-0005-0000-0000-0000BE060000}"/>
    <cellStyle name="20% - Accent6 13" xfId="3988" xr:uid="{00000000-0005-0000-0000-0000BF060000}"/>
    <cellStyle name="20% - Accent6 14" xfId="5246" xr:uid="{00000000-0005-0000-0000-0000C0060000}"/>
    <cellStyle name="20% - Accent6 2" xfId="15" xr:uid="{00000000-0005-0000-0000-0000C1060000}"/>
    <cellStyle name="20% - Accent6 2 10" xfId="1424" xr:uid="{00000000-0005-0000-0000-0000C2060000}"/>
    <cellStyle name="20% - Accent6 2 11" xfId="2702" xr:uid="{00000000-0005-0000-0000-0000C3060000}"/>
    <cellStyle name="20% - Accent6 2 12" xfId="3989" xr:uid="{00000000-0005-0000-0000-0000C4060000}"/>
    <cellStyle name="20% - Accent6 2 13" xfId="5247" xr:uid="{00000000-0005-0000-0000-0000C5060000}"/>
    <cellStyle name="20% - Accent6 2 2" xfId="133" xr:uid="{00000000-0005-0000-0000-0000C6060000}"/>
    <cellStyle name="20% - Accent6 2 2 2" xfId="134" xr:uid="{00000000-0005-0000-0000-0000C7060000}"/>
    <cellStyle name="20% - Accent6 2 2 2 2" xfId="347" xr:uid="{00000000-0005-0000-0000-0000C8060000}"/>
    <cellStyle name="20% - Accent6 2 2 2 2 2" xfId="773" xr:uid="{00000000-0005-0000-0000-0000C9060000}"/>
    <cellStyle name="20% - Accent6 2 2 2 2 2 2" xfId="2065" xr:uid="{00000000-0005-0000-0000-0000CA060000}"/>
    <cellStyle name="20% - Accent6 2 2 2 2 2 3" xfId="3343" xr:uid="{00000000-0005-0000-0000-0000CB060000}"/>
    <cellStyle name="20% - Accent6 2 2 2 2 2 4" xfId="4630" xr:uid="{00000000-0005-0000-0000-0000CC060000}"/>
    <cellStyle name="20% - Accent6 2 2 2 2 3" xfId="1199" xr:uid="{00000000-0005-0000-0000-0000CD060000}"/>
    <cellStyle name="20% - Accent6 2 2 2 2 3 2" xfId="2491" xr:uid="{00000000-0005-0000-0000-0000CE060000}"/>
    <cellStyle name="20% - Accent6 2 2 2 2 3 3" xfId="3769" xr:uid="{00000000-0005-0000-0000-0000CF060000}"/>
    <cellStyle name="20% - Accent6 2 2 2 2 3 4" xfId="5056" xr:uid="{00000000-0005-0000-0000-0000D0060000}"/>
    <cellStyle name="20% - Accent6 2 2 2 2 4" xfId="1639" xr:uid="{00000000-0005-0000-0000-0000D1060000}"/>
    <cellStyle name="20% - Accent6 2 2 2 2 5" xfId="2917" xr:uid="{00000000-0005-0000-0000-0000D2060000}"/>
    <cellStyle name="20% - Accent6 2 2 2 2 6" xfId="4204" xr:uid="{00000000-0005-0000-0000-0000D3060000}"/>
    <cellStyle name="20% - Accent6 2 2 2 3" xfId="560" xr:uid="{00000000-0005-0000-0000-0000D4060000}"/>
    <cellStyle name="20% - Accent6 2 2 2 3 2" xfId="1852" xr:uid="{00000000-0005-0000-0000-0000D5060000}"/>
    <cellStyle name="20% - Accent6 2 2 2 3 3" xfId="3130" xr:uid="{00000000-0005-0000-0000-0000D6060000}"/>
    <cellStyle name="20% - Accent6 2 2 2 3 4" xfId="4417" xr:uid="{00000000-0005-0000-0000-0000D7060000}"/>
    <cellStyle name="20% - Accent6 2 2 2 4" xfId="986" xr:uid="{00000000-0005-0000-0000-0000D8060000}"/>
    <cellStyle name="20% - Accent6 2 2 2 4 2" xfId="2278" xr:uid="{00000000-0005-0000-0000-0000D9060000}"/>
    <cellStyle name="20% - Accent6 2 2 2 4 3" xfId="3556" xr:uid="{00000000-0005-0000-0000-0000DA060000}"/>
    <cellStyle name="20% - Accent6 2 2 2 4 4" xfId="4843" xr:uid="{00000000-0005-0000-0000-0000DB060000}"/>
    <cellStyle name="20% - Accent6 2 2 2 5" xfId="1426" xr:uid="{00000000-0005-0000-0000-0000DC060000}"/>
    <cellStyle name="20% - Accent6 2 2 2 6" xfId="2704" xr:uid="{00000000-0005-0000-0000-0000DD060000}"/>
    <cellStyle name="20% - Accent6 2 2 2 7" xfId="3991" xr:uid="{00000000-0005-0000-0000-0000DE060000}"/>
    <cellStyle name="20% - Accent6 2 2 2 8" xfId="5249" xr:uid="{00000000-0005-0000-0000-0000DF060000}"/>
    <cellStyle name="20% - Accent6 2 2 3" xfId="346" xr:uid="{00000000-0005-0000-0000-0000E0060000}"/>
    <cellStyle name="20% - Accent6 2 2 3 2" xfId="772" xr:uid="{00000000-0005-0000-0000-0000E1060000}"/>
    <cellStyle name="20% - Accent6 2 2 3 2 2" xfId="2064" xr:uid="{00000000-0005-0000-0000-0000E2060000}"/>
    <cellStyle name="20% - Accent6 2 2 3 2 3" xfId="3342" xr:uid="{00000000-0005-0000-0000-0000E3060000}"/>
    <cellStyle name="20% - Accent6 2 2 3 2 4" xfId="4629" xr:uid="{00000000-0005-0000-0000-0000E4060000}"/>
    <cellStyle name="20% - Accent6 2 2 3 3" xfId="1198" xr:uid="{00000000-0005-0000-0000-0000E5060000}"/>
    <cellStyle name="20% - Accent6 2 2 3 3 2" xfId="2490" xr:uid="{00000000-0005-0000-0000-0000E6060000}"/>
    <cellStyle name="20% - Accent6 2 2 3 3 3" xfId="3768" xr:uid="{00000000-0005-0000-0000-0000E7060000}"/>
    <cellStyle name="20% - Accent6 2 2 3 3 4" xfId="5055" xr:uid="{00000000-0005-0000-0000-0000E8060000}"/>
    <cellStyle name="20% - Accent6 2 2 3 4" xfId="1638" xr:uid="{00000000-0005-0000-0000-0000E9060000}"/>
    <cellStyle name="20% - Accent6 2 2 3 5" xfId="2916" xr:uid="{00000000-0005-0000-0000-0000EA060000}"/>
    <cellStyle name="20% - Accent6 2 2 3 6" xfId="4203" xr:uid="{00000000-0005-0000-0000-0000EB060000}"/>
    <cellStyle name="20% - Accent6 2 2 4" xfId="559" xr:uid="{00000000-0005-0000-0000-0000EC060000}"/>
    <cellStyle name="20% - Accent6 2 2 4 2" xfId="1851" xr:uid="{00000000-0005-0000-0000-0000ED060000}"/>
    <cellStyle name="20% - Accent6 2 2 4 3" xfId="3129" xr:uid="{00000000-0005-0000-0000-0000EE060000}"/>
    <cellStyle name="20% - Accent6 2 2 4 4" xfId="4416" xr:uid="{00000000-0005-0000-0000-0000EF060000}"/>
    <cellStyle name="20% - Accent6 2 2 5" xfId="985" xr:uid="{00000000-0005-0000-0000-0000F0060000}"/>
    <cellStyle name="20% - Accent6 2 2 5 2" xfId="2277" xr:uid="{00000000-0005-0000-0000-0000F1060000}"/>
    <cellStyle name="20% - Accent6 2 2 5 3" xfId="3555" xr:uid="{00000000-0005-0000-0000-0000F2060000}"/>
    <cellStyle name="20% - Accent6 2 2 5 4" xfId="4842" xr:uid="{00000000-0005-0000-0000-0000F3060000}"/>
    <cellStyle name="20% - Accent6 2 2 6" xfId="1425" xr:uid="{00000000-0005-0000-0000-0000F4060000}"/>
    <cellStyle name="20% - Accent6 2 2 7" xfId="2703" xr:uid="{00000000-0005-0000-0000-0000F5060000}"/>
    <cellStyle name="20% - Accent6 2 2 8" xfId="3990" xr:uid="{00000000-0005-0000-0000-0000F6060000}"/>
    <cellStyle name="20% - Accent6 2 2 9" xfId="5248" xr:uid="{00000000-0005-0000-0000-0000F7060000}"/>
    <cellStyle name="20% - Accent6 2 3" xfId="135" xr:uid="{00000000-0005-0000-0000-0000F8060000}"/>
    <cellStyle name="20% - Accent6 2 3 2" xfId="348" xr:uid="{00000000-0005-0000-0000-0000F9060000}"/>
    <cellStyle name="20% - Accent6 2 3 2 2" xfId="774" xr:uid="{00000000-0005-0000-0000-0000FA060000}"/>
    <cellStyle name="20% - Accent6 2 3 2 2 2" xfId="2066" xr:uid="{00000000-0005-0000-0000-0000FB060000}"/>
    <cellStyle name="20% - Accent6 2 3 2 2 3" xfId="3344" xr:uid="{00000000-0005-0000-0000-0000FC060000}"/>
    <cellStyle name="20% - Accent6 2 3 2 2 4" xfId="4631" xr:uid="{00000000-0005-0000-0000-0000FD060000}"/>
    <cellStyle name="20% - Accent6 2 3 2 3" xfId="1200" xr:uid="{00000000-0005-0000-0000-0000FE060000}"/>
    <cellStyle name="20% - Accent6 2 3 2 3 2" xfId="2492" xr:uid="{00000000-0005-0000-0000-0000FF060000}"/>
    <cellStyle name="20% - Accent6 2 3 2 3 3" xfId="3770" xr:uid="{00000000-0005-0000-0000-000000070000}"/>
    <cellStyle name="20% - Accent6 2 3 2 3 4" xfId="5057" xr:uid="{00000000-0005-0000-0000-000001070000}"/>
    <cellStyle name="20% - Accent6 2 3 2 4" xfId="1640" xr:uid="{00000000-0005-0000-0000-000002070000}"/>
    <cellStyle name="20% - Accent6 2 3 2 5" xfId="2918" xr:uid="{00000000-0005-0000-0000-000003070000}"/>
    <cellStyle name="20% - Accent6 2 3 2 6" xfId="4205" xr:uid="{00000000-0005-0000-0000-000004070000}"/>
    <cellStyle name="20% - Accent6 2 3 3" xfId="561" xr:uid="{00000000-0005-0000-0000-000005070000}"/>
    <cellStyle name="20% - Accent6 2 3 3 2" xfId="1853" xr:uid="{00000000-0005-0000-0000-000006070000}"/>
    <cellStyle name="20% - Accent6 2 3 3 3" xfId="3131" xr:uid="{00000000-0005-0000-0000-000007070000}"/>
    <cellStyle name="20% - Accent6 2 3 3 4" xfId="4418" xr:uid="{00000000-0005-0000-0000-000008070000}"/>
    <cellStyle name="20% - Accent6 2 3 4" xfId="987" xr:uid="{00000000-0005-0000-0000-000009070000}"/>
    <cellStyle name="20% - Accent6 2 3 4 2" xfId="2279" xr:uid="{00000000-0005-0000-0000-00000A070000}"/>
    <cellStyle name="20% - Accent6 2 3 4 3" xfId="3557" xr:uid="{00000000-0005-0000-0000-00000B070000}"/>
    <cellStyle name="20% - Accent6 2 3 4 4" xfId="4844" xr:uid="{00000000-0005-0000-0000-00000C070000}"/>
    <cellStyle name="20% - Accent6 2 3 5" xfId="1427" xr:uid="{00000000-0005-0000-0000-00000D070000}"/>
    <cellStyle name="20% - Accent6 2 3 6" xfId="2705" xr:uid="{00000000-0005-0000-0000-00000E070000}"/>
    <cellStyle name="20% - Accent6 2 3 7" xfId="3992" xr:uid="{00000000-0005-0000-0000-00000F070000}"/>
    <cellStyle name="20% - Accent6 2 3 8" xfId="5250" xr:uid="{00000000-0005-0000-0000-000010070000}"/>
    <cellStyle name="20% - Accent6 2 4" xfId="136" xr:uid="{00000000-0005-0000-0000-000011070000}"/>
    <cellStyle name="20% - Accent6 2 4 2" xfId="349" xr:uid="{00000000-0005-0000-0000-000012070000}"/>
    <cellStyle name="20% - Accent6 2 4 2 2" xfId="775" xr:uid="{00000000-0005-0000-0000-000013070000}"/>
    <cellStyle name="20% - Accent6 2 4 2 2 2" xfId="2067" xr:uid="{00000000-0005-0000-0000-000014070000}"/>
    <cellStyle name="20% - Accent6 2 4 2 2 3" xfId="3345" xr:uid="{00000000-0005-0000-0000-000015070000}"/>
    <cellStyle name="20% - Accent6 2 4 2 2 4" xfId="4632" xr:uid="{00000000-0005-0000-0000-000016070000}"/>
    <cellStyle name="20% - Accent6 2 4 2 3" xfId="1201" xr:uid="{00000000-0005-0000-0000-000017070000}"/>
    <cellStyle name="20% - Accent6 2 4 2 3 2" xfId="2493" xr:uid="{00000000-0005-0000-0000-000018070000}"/>
    <cellStyle name="20% - Accent6 2 4 2 3 3" xfId="3771" xr:uid="{00000000-0005-0000-0000-000019070000}"/>
    <cellStyle name="20% - Accent6 2 4 2 3 4" xfId="5058" xr:uid="{00000000-0005-0000-0000-00001A070000}"/>
    <cellStyle name="20% - Accent6 2 4 2 4" xfId="1641" xr:uid="{00000000-0005-0000-0000-00001B070000}"/>
    <cellStyle name="20% - Accent6 2 4 2 5" xfId="2919" xr:uid="{00000000-0005-0000-0000-00001C070000}"/>
    <cellStyle name="20% - Accent6 2 4 2 6" xfId="4206" xr:uid="{00000000-0005-0000-0000-00001D070000}"/>
    <cellStyle name="20% - Accent6 2 4 3" xfId="562" xr:uid="{00000000-0005-0000-0000-00001E070000}"/>
    <cellStyle name="20% - Accent6 2 4 3 2" xfId="1854" xr:uid="{00000000-0005-0000-0000-00001F070000}"/>
    <cellStyle name="20% - Accent6 2 4 3 3" xfId="3132" xr:uid="{00000000-0005-0000-0000-000020070000}"/>
    <cellStyle name="20% - Accent6 2 4 3 4" xfId="4419" xr:uid="{00000000-0005-0000-0000-000021070000}"/>
    <cellStyle name="20% - Accent6 2 4 4" xfId="988" xr:uid="{00000000-0005-0000-0000-000022070000}"/>
    <cellStyle name="20% - Accent6 2 4 4 2" xfId="2280" xr:uid="{00000000-0005-0000-0000-000023070000}"/>
    <cellStyle name="20% - Accent6 2 4 4 3" xfId="3558" xr:uid="{00000000-0005-0000-0000-000024070000}"/>
    <cellStyle name="20% - Accent6 2 4 4 4" xfId="4845" xr:uid="{00000000-0005-0000-0000-000025070000}"/>
    <cellStyle name="20% - Accent6 2 4 5" xfId="1428" xr:uid="{00000000-0005-0000-0000-000026070000}"/>
    <cellStyle name="20% - Accent6 2 4 6" xfId="2706" xr:uid="{00000000-0005-0000-0000-000027070000}"/>
    <cellStyle name="20% - Accent6 2 4 7" xfId="3993" xr:uid="{00000000-0005-0000-0000-000028070000}"/>
    <cellStyle name="20% - Accent6 2 5" xfId="137" xr:uid="{00000000-0005-0000-0000-000029070000}"/>
    <cellStyle name="20% - Accent6 2 5 2" xfId="350" xr:uid="{00000000-0005-0000-0000-00002A070000}"/>
    <cellStyle name="20% - Accent6 2 5 2 2" xfId="776" xr:uid="{00000000-0005-0000-0000-00002B070000}"/>
    <cellStyle name="20% - Accent6 2 5 2 2 2" xfId="2068" xr:uid="{00000000-0005-0000-0000-00002C070000}"/>
    <cellStyle name="20% - Accent6 2 5 2 2 3" xfId="3346" xr:uid="{00000000-0005-0000-0000-00002D070000}"/>
    <cellStyle name="20% - Accent6 2 5 2 2 4" xfId="4633" xr:uid="{00000000-0005-0000-0000-00002E070000}"/>
    <cellStyle name="20% - Accent6 2 5 2 3" xfId="1202" xr:uid="{00000000-0005-0000-0000-00002F070000}"/>
    <cellStyle name="20% - Accent6 2 5 2 3 2" xfId="2494" xr:uid="{00000000-0005-0000-0000-000030070000}"/>
    <cellStyle name="20% - Accent6 2 5 2 3 3" xfId="3772" xr:uid="{00000000-0005-0000-0000-000031070000}"/>
    <cellStyle name="20% - Accent6 2 5 2 3 4" xfId="5059" xr:uid="{00000000-0005-0000-0000-000032070000}"/>
    <cellStyle name="20% - Accent6 2 5 2 4" xfId="1642" xr:uid="{00000000-0005-0000-0000-000033070000}"/>
    <cellStyle name="20% - Accent6 2 5 2 5" xfId="2920" xr:uid="{00000000-0005-0000-0000-000034070000}"/>
    <cellStyle name="20% - Accent6 2 5 2 6" xfId="4207" xr:uid="{00000000-0005-0000-0000-000035070000}"/>
    <cellStyle name="20% - Accent6 2 5 3" xfId="563" xr:uid="{00000000-0005-0000-0000-000036070000}"/>
    <cellStyle name="20% - Accent6 2 5 3 2" xfId="1855" xr:uid="{00000000-0005-0000-0000-000037070000}"/>
    <cellStyle name="20% - Accent6 2 5 3 3" xfId="3133" xr:uid="{00000000-0005-0000-0000-000038070000}"/>
    <cellStyle name="20% - Accent6 2 5 3 4" xfId="4420" xr:uid="{00000000-0005-0000-0000-000039070000}"/>
    <cellStyle name="20% - Accent6 2 5 4" xfId="989" xr:uid="{00000000-0005-0000-0000-00003A070000}"/>
    <cellStyle name="20% - Accent6 2 5 4 2" xfId="2281" xr:uid="{00000000-0005-0000-0000-00003B070000}"/>
    <cellStyle name="20% - Accent6 2 5 4 3" xfId="3559" xr:uid="{00000000-0005-0000-0000-00003C070000}"/>
    <cellStyle name="20% - Accent6 2 5 4 4" xfId="4846" xr:uid="{00000000-0005-0000-0000-00003D070000}"/>
    <cellStyle name="20% - Accent6 2 5 5" xfId="1429" xr:uid="{00000000-0005-0000-0000-00003E070000}"/>
    <cellStyle name="20% - Accent6 2 5 6" xfId="2707" xr:uid="{00000000-0005-0000-0000-00003F070000}"/>
    <cellStyle name="20% - Accent6 2 5 7" xfId="3994" xr:uid="{00000000-0005-0000-0000-000040070000}"/>
    <cellStyle name="20% - Accent6 2 6" xfId="279" xr:uid="{00000000-0005-0000-0000-000041070000}"/>
    <cellStyle name="20% - Accent6 2 6 2" xfId="492" xr:uid="{00000000-0005-0000-0000-000042070000}"/>
    <cellStyle name="20% - Accent6 2 6 2 2" xfId="917" xr:uid="{00000000-0005-0000-0000-000043070000}"/>
    <cellStyle name="20% - Accent6 2 6 2 2 2" xfId="2209" xr:uid="{00000000-0005-0000-0000-000044070000}"/>
    <cellStyle name="20% - Accent6 2 6 2 2 3" xfId="3487" xr:uid="{00000000-0005-0000-0000-000045070000}"/>
    <cellStyle name="20% - Accent6 2 6 2 2 4" xfId="4774" xr:uid="{00000000-0005-0000-0000-000046070000}"/>
    <cellStyle name="20% - Accent6 2 6 2 3" xfId="1343" xr:uid="{00000000-0005-0000-0000-000047070000}"/>
    <cellStyle name="20% - Accent6 2 6 2 3 2" xfId="2635" xr:uid="{00000000-0005-0000-0000-000048070000}"/>
    <cellStyle name="20% - Accent6 2 6 2 3 3" xfId="3913" xr:uid="{00000000-0005-0000-0000-000049070000}"/>
    <cellStyle name="20% - Accent6 2 6 2 3 4" xfId="5200" xr:uid="{00000000-0005-0000-0000-00004A070000}"/>
    <cellStyle name="20% - Accent6 2 6 2 4" xfId="1783" xr:uid="{00000000-0005-0000-0000-00004B070000}"/>
    <cellStyle name="20% - Accent6 2 6 2 5" xfId="3061" xr:uid="{00000000-0005-0000-0000-00004C070000}"/>
    <cellStyle name="20% - Accent6 2 6 2 6" xfId="4348" xr:uid="{00000000-0005-0000-0000-00004D070000}"/>
    <cellStyle name="20% - Accent6 2 6 3" xfId="704" xr:uid="{00000000-0005-0000-0000-00004E070000}"/>
    <cellStyle name="20% - Accent6 2 6 3 2" xfId="1996" xr:uid="{00000000-0005-0000-0000-00004F070000}"/>
    <cellStyle name="20% - Accent6 2 6 3 3" xfId="3274" xr:uid="{00000000-0005-0000-0000-000050070000}"/>
    <cellStyle name="20% - Accent6 2 6 3 4" xfId="4561" xr:uid="{00000000-0005-0000-0000-000051070000}"/>
    <cellStyle name="20% - Accent6 2 6 4" xfId="1130" xr:uid="{00000000-0005-0000-0000-000052070000}"/>
    <cellStyle name="20% - Accent6 2 6 4 2" xfId="2422" xr:uid="{00000000-0005-0000-0000-000053070000}"/>
    <cellStyle name="20% - Accent6 2 6 4 3" xfId="3700" xr:uid="{00000000-0005-0000-0000-000054070000}"/>
    <cellStyle name="20% - Accent6 2 6 4 4" xfId="4987" xr:uid="{00000000-0005-0000-0000-000055070000}"/>
    <cellStyle name="20% - Accent6 2 6 5" xfId="1570" xr:uid="{00000000-0005-0000-0000-000056070000}"/>
    <cellStyle name="20% - Accent6 2 6 6" xfId="2848" xr:uid="{00000000-0005-0000-0000-000057070000}"/>
    <cellStyle name="20% - Accent6 2 6 7" xfId="4135" xr:uid="{00000000-0005-0000-0000-000058070000}"/>
    <cellStyle name="20% - Accent6 2 7" xfId="345" xr:uid="{00000000-0005-0000-0000-000059070000}"/>
    <cellStyle name="20% - Accent6 2 7 2" xfId="771" xr:uid="{00000000-0005-0000-0000-00005A070000}"/>
    <cellStyle name="20% - Accent6 2 7 2 2" xfId="2063" xr:uid="{00000000-0005-0000-0000-00005B070000}"/>
    <cellStyle name="20% - Accent6 2 7 2 3" xfId="3341" xr:uid="{00000000-0005-0000-0000-00005C070000}"/>
    <cellStyle name="20% - Accent6 2 7 2 4" xfId="4628" xr:uid="{00000000-0005-0000-0000-00005D070000}"/>
    <cellStyle name="20% - Accent6 2 7 3" xfId="1197" xr:uid="{00000000-0005-0000-0000-00005E070000}"/>
    <cellStyle name="20% - Accent6 2 7 3 2" xfId="2489" xr:uid="{00000000-0005-0000-0000-00005F070000}"/>
    <cellStyle name="20% - Accent6 2 7 3 3" xfId="3767" xr:uid="{00000000-0005-0000-0000-000060070000}"/>
    <cellStyle name="20% - Accent6 2 7 3 4" xfId="5054" xr:uid="{00000000-0005-0000-0000-000061070000}"/>
    <cellStyle name="20% - Accent6 2 7 4" xfId="1637" xr:uid="{00000000-0005-0000-0000-000062070000}"/>
    <cellStyle name="20% - Accent6 2 7 5" xfId="2915" xr:uid="{00000000-0005-0000-0000-000063070000}"/>
    <cellStyle name="20% - Accent6 2 7 6" xfId="4202" xr:uid="{00000000-0005-0000-0000-000064070000}"/>
    <cellStyle name="20% - Accent6 2 8" xfId="558" xr:uid="{00000000-0005-0000-0000-000065070000}"/>
    <cellStyle name="20% - Accent6 2 8 2" xfId="1850" xr:uid="{00000000-0005-0000-0000-000066070000}"/>
    <cellStyle name="20% - Accent6 2 8 3" xfId="3128" xr:uid="{00000000-0005-0000-0000-000067070000}"/>
    <cellStyle name="20% - Accent6 2 8 4" xfId="4415" xr:uid="{00000000-0005-0000-0000-000068070000}"/>
    <cellStyle name="20% - Accent6 2 9" xfId="984" xr:uid="{00000000-0005-0000-0000-000069070000}"/>
    <cellStyle name="20% - Accent6 2 9 2" xfId="2276" xr:uid="{00000000-0005-0000-0000-00006A070000}"/>
    <cellStyle name="20% - Accent6 2 9 3" xfId="3554" xr:uid="{00000000-0005-0000-0000-00006B070000}"/>
    <cellStyle name="20% - Accent6 2 9 4" xfId="4841" xr:uid="{00000000-0005-0000-0000-00006C070000}"/>
    <cellStyle name="20% - Accent6 3" xfId="138" xr:uid="{00000000-0005-0000-0000-00006D070000}"/>
    <cellStyle name="20% - Accent6 3 2" xfId="139" xr:uid="{00000000-0005-0000-0000-00006E070000}"/>
    <cellStyle name="20% - Accent6 3 2 2" xfId="352" xr:uid="{00000000-0005-0000-0000-00006F070000}"/>
    <cellStyle name="20% - Accent6 3 2 2 2" xfId="778" xr:uid="{00000000-0005-0000-0000-000070070000}"/>
    <cellStyle name="20% - Accent6 3 2 2 2 2" xfId="2070" xr:uid="{00000000-0005-0000-0000-000071070000}"/>
    <cellStyle name="20% - Accent6 3 2 2 2 3" xfId="3348" xr:uid="{00000000-0005-0000-0000-000072070000}"/>
    <cellStyle name="20% - Accent6 3 2 2 2 4" xfId="4635" xr:uid="{00000000-0005-0000-0000-000073070000}"/>
    <cellStyle name="20% - Accent6 3 2 2 3" xfId="1204" xr:uid="{00000000-0005-0000-0000-000074070000}"/>
    <cellStyle name="20% - Accent6 3 2 2 3 2" xfId="2496" xr:uid="{00000000-0005-0000-0000-000075070000}"/>
    <cellStyle name="20% - Accent6 3 2 2 3 3" xfId="3774" xr:uid="{00000000-0005-0000-0000-000076070000}"/>
    <cellStyle name="20% - Accent6 3 2 2 3 4" xfId="5061" xr:uid="{00000000-0005-0000-0000-000077070000}"/>
    <cellStyle name="20% - Accent6 3 2 2 4" xfId="1644" xr:uid="{00000000-0005-0000-0000-000078070000}"/>
    <cellStyle name="20% - Accent6 3 2 2 5" xfId="2922" xr:uid="{00000000-0005-0000-0000-000079070000}"/>
    <cellStyle name="20% - Accent6 3 2 2 6" xfId="4209" xr:uid="{00000000-0005-0000-0000-00007A070000}"/>
    <cellStyle name="20% - Accent6 3 2 3" xfId="565" xr:uid="{00000000-0005-0000-0000-00007B070000}"/>
    <cellStyle name="20% - Accent6 3 2 3 2" xfId="1857" xr:uid="{00000000-0005-0000-0000-00007C070000}"/>
    <cellStyle name="20% - Accent6 3 2 3 3" xfId="3135" xr:uid="{00000000-0005-0000-0000-00007D070000}"/>
    <cellStyle name="20% - Accent6 3 2 3 4" xfId="4422" xr:uid="{00000000-0005-0000-0000-00007E070000}"/>
    <cellStyle name="20% - Accent6 3 2 4" xfId="991" xr:uid="{00000000-0005-0000-0000-00007F070000}"/>
    <cellStyle name="20% - Accent6 3 2 4 2" xfId="2283" xr:uid="{00000000-0005-0000-0000-000080070000}"/>
    <cellStyle name="20% - Accent6 3 2 4 3" xfId="3561" xr:uid="{00000000-0005-0000-0000-000081070000}"/>
    <cellStyle name="20% - Accent6 3 2 4 4" xfId="4848" xr:uid="{00000000-0005-0000-0000-000082070000}"/>
    <cellStyle name="20% - Accent6 3 2 5" xfId="1431" xr:uid="{00000000-0005-0000-0000-000083070000}"/>
    <cellStyle name="20% - Accent6 3 2 6" xfId="2709" xr:uid="{00000000-0005-0000-0000-000084070000}"/>
    <cellStyle name="20% - Accent6 3 2 7" xfId="3996" xr:uid="{00000000-0005-0000-0000-000085070000}"/>
    <cellStyle name="20% - Accent6 3 2 8" xfId="5252" xr:uid="{00000000-0005-0000-0000-000086070000}"/>
    <cellStyle name="20% - Accent6 3 3" xfId="351" xr:uid="{00000000-0005-0000-0000-000087070000}"/>
    <cellStyle name="20% - Accent6 3 3 2" xfId="777" xr:uid="{00000000-0005-0000-0000-000088070000}"/>
    <cellStyle name="20% - Accent6 3 3 2 2" xfId="2069" xr:uid="{00000000-0005-0000-0000-000089070000}"/>
    <cellStyle name="20% - Accent6 3 3 2 3" xfId="3347" xr:uid="{00000000-0005-0000-0000-00008A070000}"/>
    <cellStyle name="20% - Accent6 3 3 2 4" xfId="4634" xr:uid="{00000000-0005-0000-0000-00008B070000}"/>
    <cellStyle name="20% - Accent6 3 3 3" xfId="1203" xr:uid="{00000000-0005-0000-0000-00008C070000}"/>
    <cellStyle name="20% - Accent6 3 3 3 2" xfId="2495" xr:uid="{00000000-0005-0000-0000-00008D070000}"/>
    <cellStyle name="20% - Accent6 3 3 3 3" xfId="3773" xr:uid="{00000000-0005-0000-0000-00008E070000}"/>
    <cellStyle name="20% - Accent6 3 3 3 4" xfId="5060" xr:uid="{00000000-0005-0000-0000-00008F070000}"/>
    <cellStyle name="20% - Accent6 3 3 4" xfId="1643" xr:uid="{00000000-0005-0000-0000-000090070000}"/>
    <cellStyle name="20% - Accent6 3 3 5" xfId="2921" xr:uid="{00000000-0005-0000-0000-000091070000}"/>
    <cellStyle name="20% - Accent6 3 3 6" xfId="4208" xr:uid="{00000000-0005-0000-0000-000092070000}"/>
    <cellStyle name="20% - Accent6 3 4" xfId="564" xr:uid="{00000000-0005-0000-0000-000093070000}"/>
    <cellStyle name="20% - Accent6 3 4 2" xfId="1856" xr:uid="{00000000-0005-0000-0000-000094070000}"/>
    <cellStyle name="20% - Accent6 3 4 3" xfId="3134" xr:uid="{00000000-0005-0000-0000-000095070000}"/>
    <cellStyle name="20% - Accent6 3 4 4" xfId="4421" xr:uid="{00000000-0005-0000-0000-000096070000}"/>
    <cellStyle name="20% - Accent6 3 5" xfId="990" xr:uid="{00000000-0005-0000-0000-000097070000}"/>
    <cellStyle name="20% - Accent6 3 5 2" xfId="2282" xr:uid="{00000000-0005-0000-0000-000098070000}"/>
    <cellStyle name="20% - Accent6 3 5 3" xfId="3560" xr:uid="{00000000-0005-0000-0000-000099070000}"/>
    <cellStyle name="20% - Accent6 3 5 4" xfId="4847" xr:uid="{00000000-0005-0000-0000-00009A070000}"/>
    <cellStyle name="20% - Accent6 3 6" xfId="1430" xr:uid="{00000000-0005-0000-0000-00009B070000}"/>
    <cellStyle name="20% - Accent6 3 7" xfId="2708" xr:uid="{00000000-0005-0000-0000-00009C070000}"/>
    <cellStyle name="20% - Accent6 3 8" xfId="3995" xr:uid="{00000000-0005-0000-0000-00009D070000}"/>
    <cellStyle name="20% - Accent6 3 9" xfId="5251" xr:uid="{00000000-0005-0000-0000-00009E070000}"/>
    <cellStyle name="20% - Accent6 4" xfId="140" xr:uid="{00000000-0005-0000-0000-00009F070000}"/>
    <cellStyle name="20% - Accent6 4 2" xfId="353" xr:uid="{00000000-0005-0000-0000-0000A0070000}"/>
    <cellStyle name="20% - Accent6 4 2 2" xfId="779" xr:uid="{00000000-0005-0000-0000-0000A1070000}"/>
    <cellStyle name="20% - Accent6 4 2 2 2" xfId="2071" xr:uid="{00000000-0005-0000-0000-0000A2070000}"/>
    <cellStyle name="20% - Accent6 4 2 2 3" xfId="3349" xr:uid="{00000000-0005-0000-0000-0000A3070000}"/>
    <cellStyle name="20% - Accent6 4 2 2 4" xfId="4636" xr:uid="{00000000-0005-0000-0000-0000A4070000}"/>
    <cellStyle name="20% - Accent6 4 2 3" xfId="1205" xr:uid="{00000000-0005-0000-0000-0000A5070000}"/>
    <cellStyle name="20% - Accent6 4 2 3 2" xfId="2497" xr:uid="{00000000-0005-0000-0000-0000A6070000}"/>
    <cellStyle name="20% - Accent6 4 2 3 3" xfId="3775" xr:uid="{00000000-0005-0000-0000-0000A7070000}"/>
    <cellStyle name="20% - Accent6 4 2 3 4" xfId="5062" xr:uid="{00000000-0005-0000-0000-0000A8070000}"/>
    <cellStyle name="20% - Accent6 4 2 4" xfId="1645" xr:uid="{00000000-0005-0000-0000-0000A9070000}"/>
    <cellStyle name="20% - Accent6 4 2 5" xfId="2923" xr:uid="{00000000-0005-0000-0000-0000AA070000}"/>
    <cellStyle name="20% - Accent6 4 2 6" xfId="4210" xr:uid="{00000000-0005-0000-0000-0000AB070000}"/>
    <cellStyle name="20% - Accent6 4 3" xfId="566" xr:uid="{00000000-0005-0000-0000-0000AC070000}"/>
    <cellStyle name="20% - Accent6 4 3 2" xfId="1858" xr:uid="{00000000-0005-0000-0000-0000AD070000}"/>
    <cellStyle name="20% - Accent6 4 3 3" xfId="3136" xr:uid="{00000000-0005-0000-0000-0000AE070000}"/>
    <cellStyle name="20% - Accent6 4 3 4" xfId="4423" xr:uid="{00000000-0005-0000-0000-0000AF070000}"/>
    <cellStyle name="20% - Accent6 4 4" xfId="992" xr:uid="{00000000-0005-0000-0000-0000B0070000}"/>
    <cellStyle name="20% - Accent6 4 4 2" xfId="2284" xr:uid="{00000000-0005-0000-0000-0000B1070000}"/>
    <cellStyle name="20% - Accent6 4 4 3" xfId="3562" xr:uid="{00000000-0005-0000-0000-0000B2070000}"/>
    <cellStyle name="20% - Accent6 4 4 4" xfId="4849" xr:uid="{00000000-0005-0000-0000-0000B3070000}"/>
    <cellStyle name="20% - Accent6 4 5" xfId="1432" xr:uid="{00000000-0005-0000-0000-0000B4070000}"/>
    <cellStyle name="20% - Accent6 4 6" xfId="2710" xr:uid="{00000000-0005-0000-0000-0000B5070000}"/>
    <cellStyle name="20% - Accent6 4 7" xfId="3997" xr:uid="{00000000-0005-0000-0000-0000B6070000}"/>
    <cellStyle name="20% - Accent6 4 8" xfId="5253" xr:uid="{00000000-0005-0000-0000-0000B7070000}"/>
    <cellStyle name="20% - Accent6 5" xfId="141" xr:uid="{00000000-0005-0000-0000-0000B8070000}"/>
    <cellStyle name="20% - Accent6 5 2" xfId="354" xr:uid="{00000000-0005-0000-0000-0000B9070000}"/>
    <cellStyle name="20% - Accent6 5 2 2" xfId="780" xr:uid="{00000000-0005-0000-0000-0000BA070000}"/>
    <cellStyle name="20% - Accent6 5 2 2 2" xfId="2072" xr:uid="{00000000-0005-0000-0000-0000BB070000}"/>
    <cellStyle name="20% - Accent6 5 2 2 3" xfId="3350" xr:uid="{00000000-0005-0000-0000-0000BC070000}"/>
    <cellStyle name="20% - Accent6 5 2 2 4" xfId="4637" xr:uid="{00000000-0005-0000-0000-0000BD070000}"/>
    <cellStyle name="20% - Accent6 5 2 3" xfId="1206" xr:uid="{00000000-0005-0000-0000-0000BE070000}"/>
    <cellStyle name="20% - Accent6 5 2 3 2" xfId="2498" xr:uid="{00000000-0005-0000-0000-0000BF070000}"/>
    <cellStyle name="20% - Accent6 5 2 3 3" xfId="3776" xr:uid="{00000000-0005-0000-0000-0000C0070000}"/>
    <cellStyle name="20% - Accent6 5 2 3 4" xfId="5063" xr:uid="{00000000-0005-0000-0000-0000C1070000}"/>
    <cellStyle name="20% - Accent6 5 2 4" xfId="1646" xr:uid="{00000000-0005-0000-0000-0000C2070000}"/>
    <cellStyle name="20% - Accent6 5 2 5" xfId="2924" xr:uid="{00000000-0005-0000-0000-0000C3070000}"/>
    <cellStyle name="20% - Accent6 5 2 6" xfId="4211" xr:uid="{00000000-0005-0000-0000-0000C4070000}"/>
    <cellStyle name="20% - Accent6 5 3" xfId="567" xr:uid="{00000000-0005-0000-0000-0000C5070000}"/>
    <cellStyle name="20% - Accent6 5 3 2" xfId="1859" xr:uid="{00000000-0005-0000-0000-0000C6070000}"/>
    <cellStyle name="20% - Accent6 5 3 3" xfId="3137" xr:uid="{00000000-0005-0000-0000-0000C7070000}"/>
    <cellStyle name="20% - Accent6 5 3 4" xfId="4424" xr:uid="{00000000-0005-0000-0000-0000C8070000}"/>
    <cellStyle name="20% - Accent6 5 4" xfId="993" xr:uid="{00000000-0005-0000-0000-0000C9070000}"/>
    <cellStyle name="20% - Accent6 5 4 2" xfId="2285" xr:uid="{00000000-0005-0000-0000-0000CA070000}"/>
    <cellStyle name="20% - Accent6 5 4 3" xfId="3563" xr:uid="{00000000-0005-0000-0000-0000CB070000}"/>
    <cellStyle name="20% - Accent6 5 4 4" xfId="4850" xr:uid="{00000000-0005-0000-0000-0000CC070000}"/>
    <cellStyle name="20% - Accent6 5 5" xfId="1433" xr:uid="{00000000-0005-0000-0000-0000CD070000}"/>
    <cellStyle name="20% - Accent6 5 6" xfId="2711" xr:uid="{00000000-0005-0000-0000-0000CE070000}"/>
    <cellStyle name="20% - Accent6 5 7" xfId="3998" xr:uid="{00000000-0005-0000-0000-0000CF070000}"/>
    <cellStyle name="20% - Accent6 6" xfId="142" xr:uid="{00000000-0005-0000-0000-0000D0070000}"/>
    <cellStyle name="20% - Accent6 6 2" xfId="355" xr:uid="{00000000-0005-0000-0000-0000D1070000}"/>
    <cellStyle name="20% - Accent6 6 2 2" xfId="781" xr:uid="{00000000-0005-0000-0000-0000D2070000}"/>
    <cellStyle name="20% - Accent6 6 2 2 2" xfId="2073" xr:uid="{00000000-0005-0000-0000-0000D3070000}"/>
    <cellStyle name="20% - Accent6 6 2 2 3" xfId="3351" xr:uid="{00000000-0005-0000-0000-0000D4070000}"/>
    <cellStyle name="20% - Accent6 6 2 2 4" xfId="4638" xr:uid="{00000000-0005-0000-0000-0000D5070000}"/>
    <cellStyle name="20% - Accent6 6 2 3" xfId="1207" xr:uid="{00000000-0005-0000-0000-0000D6070000}"/>
    <cellStyle name="20% - Accent6 6 2 3 2" xfId="2499" xr:uid="{00000000-0005-0000-0000-0000D7070000}"/>
    <cellStyle name="20% - Accent6 6 2 3 3" xfId="3777" xr:uid="{00000000-0005-0000-0000-0000D8070000}"/>
    <cellStyle name="20% - Accent6 6 2 3 4" xfId="5064" xr:uid="{00000000-0005-0000-0000-0000D9070000}"/>
    <cellStyle name="20% - Accent6 6 2 4" xfId="1647" xr:uid="{00000000-0005-0000-0000-0000DA070000}"/>
    <cellStyle name="20% - Accent6 6 2 5" xfId="2925" xr:uid="{00000000-0005-0000-0000-0000DB070000}"/>
    <cellStyle name="20% - Accent6 6 2 6" xfId="4212" xr:uid="{00000000-0005-0000-0000-0000DC070000}"/>
    <cellStyle name="20% - Accent6 6 3" xfId="568" xr:uid="{00000000-0005-0000-0000-0000DD070000}"/>
    <cellStyle name="20% - Accent6 6 3 2" xfId="1860" xr:uid="{00000000-0005-0000-0000-0000DE070000}"/>
    <cellStyle name="20% - Accent6 6 3 3" xfId="3138" xr:uid="{00000000-0005-0000-0000-0000DF070000}"/>
    <cellStyle name="20% - Accent6 6 3 4" xfId="4425" xr:uid="{00000000-0005-0000-0000-0000E0070000}"/>
    <cellStyle name="20% - Accent6 6 4" xfId="994" xr:uid="{00000000-0005-0000-0000-0000E1070000}"/>
    <cellStyle name="20% - Accent6 6 4 2" xfId="2286" xr:uid="{00000000-0005-0000-0000-0000E2070000}"/>
    <cellStyle name="20% - Accent6 6 4 3" xfId="3564" xr:uid="{00000000-0005-0000-0000-0000E3070000}"/>
    <cellStyle name="20% - Accent6 6 4 4" xfId="4851" xr:uid="{00000000-0005-0000-0000-0000E4070000}"/>
    <cellStyle name="20% - Accent6 6 5" xfId="1434" xr:uid="{00000000-0005-0000-0000-0000E5070000}"/>
    <cellStyle name="20% - Accent6 6 6" xfId="2712" xr:uid="{00000000-0005-0000-0000-0000E6070000}"/>
    <cellStyle name="20% - Accent6 6 7" xfId="3999" xr:uid="{00000000-0005-0000-0000-0000E7070000}"/>
    <cellStyle name="20% - Accent6 7" xfId="259" xr:uid="{00000000-0005-0000-0000-0000E8070000}"/>
    <cellStyle name="20% - Accent6 7 2" xfId="472" xr:uid="{00000000-0005-0000-0000-0000E9070000}"/>
    <cellStyle name="20% - Accent6 7 2 2" xfId="897" xr:uid="{00000000-0005-0000-0000-0000EA070000}"/>
    <cellStyle name="20% - Accent6 7 2 2 2" xfId="2189" xr:uid="{00000000-0005-0000-0000-0000EB070000}"/>
    <cellStyle name="20% - Accent6 7 2 2 3" xfId="3467" xr:uid="{00000000-0005-0000-0000-0000EC070000}"/>
    <cellStyle name="20% - Accent6 7 2 2 4" xfId="4754" xr:uid="{00000000-0005-0000-0000-0000ED070000}"/>
    <cellStyle name="20% - Accent6 7 2 3" xfId="1323" xr:uid="{00000000-0005-0000-0000-0000EE070000}"/>
    <cellStyle name="20% - Accent6 7 2 3 2" xfId="2615" xr:uid="{00000000-0005-0000-0000-0000EF070000}"/>
    <cellStyle name="20% - Accent6 7 2 3 3" xfId="3893" xr:uid="{00000000-0005-0000-0000-0000F0070000}"/>
    <cellStyle name="20% - Accent6 7 2 3 4" xfId="5180" xr:uid="{00000000-0005-0000-0000-0000F1070000}"/>
    <cellStyle name="20% - Accent6 7 2 4" xfId="1763" xr:uid="{00000000-0005-0000-0000-0000F2070000}"/>
    <cellStyle name="20% - Accent6 7 2 5" xfId="3041" xr:uid="{00000000-0005-0000-0000-0000F3070000}"/>
    <cellStyle name="20% - Accent6 7 2 6" xfId="4328" xr:uid="{00000000-0005-0000-0000-0000F4070000}"/>
    <cellStyle name="20% - Accent6 7 3" xfId="684" xr:uid="{00000000-0005-0000-0000-0000F5070000}"/>
    <cellStyle name="20% - Accent6 7 3 2" xfId="1976" xr:uid="{00000000-0005-0000-0000-0000F6070000}"/>
    <cellStyle name="20% - Accent6 7 3 3" xfId="3254" xr:uid="{00000000-0005-0000-0000-0000F7070000}"/>
    <cellStyle name="20% - Accent6 7 3 4" xfId="4541" xr:uid="{00000000-0005-0000-0000-0000F8070000}"/>
    <cellStyle name="20% - Accent6 7 4" xfId="1110" xr:uid="{00000000-0005-0000-0000-0000F9070000}"/>
    <cellStyle name="20% - Accent6 7 4 2" xfId="2402" xr:uid="{00000000-0005-0000-0000-0000FA070000}"/>
    <cellStyle name="20% - Accent6 7 4 3" xfId="3680" xr:uid="{00000000-0005-0000-0000-0000FB070000}"/>
    <cellStyle name="20% - Accent6 7 4 4" xfId="4967" xr:uid="{00000000-0005-0000-0000-0000FC070000}"/>
    <cellStyle name="20% - Accent6 7 5" xfId="1550" xr:uid="{00000000-0005-0000-0000-0000FD070000}"/>
    <cellStyle name="20% - Accent6 7 6" xfId="2828" xr:uid="{00000000-0005-0000-0000-0000FE070000}"/>
    <cellStyle name="20% - Accent6 7 7" xfId="4115" xr:uid="{00000000-0005-0000-0000-0000FF070000}"/>
    <cellStyle name="20% - Accent6 8" xfId="344" xr:uid="{00000000-0005-0000-0000-000000080000}"/>
    <cellStyle name="20% - Accent6 8 2" xfId="770" xr:uid="{00000000-0005-0000-0000-000001080000}"/>
    <cellStyle name="20% - Accent6 8 2 2" xfId="2062" xr:uid="{00000000-0005-0000-0000-000002080000}"/>
    <cellStyle name="20% - Accent6 8 2 3" xfId="3340" xr:uid="{00000000-0005-0000-0000-000003080000}"/>
    <cellStyle name="20% - Accent6 8 2 4" xfId="4627" xr:uid="{00000000-0005-0000-0000-000004080000}"/>
    <cellStyle name="20% - Accent6 8 3" xfId="1196" xr:uid="{00000000-0005-0000-0000-000005080000}"/>
    <cellStyle name="20% - Accent6 8 3 2" xfId="2488" xr:uid="{00000000-0005-0000-0000-000006080000}"/>
    <cellStyle name="20% - Accent6 8 3 3" xfId="3766" xr:uid="{00000000-0005-0000-0000-000007080000}"/>
    <cellStyle name="20% - Accent6 8 3 4" xfId="5053" xr:uid="{00000000-0005-0000-0000-000008080000}"/>
    <cellStyle name="20% - Accent6 8 4" xfId="1636" xr:uid="{00000000-0005-0000-0000-000009080000}"/>
    <cellStyle name="20% - Accent6 8 5" xfId="2914" xr:uid="{00000000-0005-0000-0000-00000A080000}"/>
    <cellStyle name="20% - Accent6 8 6" xfId="4201" xr:uid="{00000000-0005-0000-0000-00000B080000}"/>
    <cellStyle name="20% - Accent6 9" xfId="557" xr:uid="{00000000-0005-0000-0000-00000C080000}"/>
    <cellStyle name="20% - Accent6 9 2" xfId="1849" xr:uid="{00000000-0005-0000-0000-00000D080000}"/>
    <cellStyle name="20% - Accent6 9 3" xfId="3127" xr:uid="{00000000-0005-0000-0000-00000E080000}"/>
    <cellStyle name="20% - Accent6 9 4" xfId="4414" xr:uid="{00000000-0005-0000-0000-00000F080000}"/>
    <cellStyle name="40% - Accent1" xfId="59" builtinId="31" customBuiltin="1"/>
    <cellStyle name="40% - Accent1 10" xfId="995" xr:uid="{00000000-0005-0000-0000-000011080000}"/>
    <cellStyle name="40% - Accent1 10 2" xfId="2287" xr:uid="{00000000-0005-0000-0000-000012080000}"/>
    <cellStyle name="40% - Accent1 10 3" xfId="3565" xr:uid="{00000000-0005-0000-0000-000013080000}"/>
    <cellStyle name="40% - Accent1 10 4" xfId="4852" xr:uid="{00000000-0005-0000-0000-000014080000}"/>
    <cellStyle name="40% - Accent1 11" xfId="1435" xr:uid="{00000000-0005-0000-0000-000015080000}"/>
    <cellStyle name="40% - Accent1 12" xfId="2713" xr:uid="{00000000-0005-0000-0000-000016080000}"/>
    <cellStyle name="40% - Accent1 13" xfId="4000" xr:uid="{00000000-0005-0000-0000-000017080000}"/>
    <cellStyle name="40% - Accent1 14" xfId="5254" xr:uid="{00000000-0005-0000-0000-000018080000}"/>
    <cellStyle name="40% - Accent1 2" xfId="16" xr:uid="{00000000-0005-0000-0000-000019080000}"/>
    <cellStyle name="40% - Accent1 2 10" xfId="1436" xr:uid="{00000000-0005-0000-0000-00001A080000}"/>
    <cellStyle name="40% - Accent1 2 11" xfId="2714" xr:uid="{00000000-0005-0000-0000-00001B080000}"/>
    <cellStyle name="40% - Accent1 2 12" xfId="4001" xr:uid="{00000000-0005-0000-0000-00001C080000}"/>
    <cellStyle name="40% - Accent1 2 13" xfId="5255" xr:uid="{00000000-0005-0000-0000-00001D080000}"/>
    <cellStyle name="40% - Accent1 2 2" xfId="143" xr:uid="{00000000-0005-0000-0000-00001E080000}"/>
    <cellStyle name="40% - Accent1 2 2 2" xfId="144" xr:uid="{00000000-0005-0000-0000-00001F080000}"/>
    <cellStyle name="40% - Accent1 2 2 2 2" xfId="359" xr:uid="{00000000-0005-0000-0000-000020080000}"/>
    <cellStyle name="40% - Accent1 2 2 2 2 2" xfId="785" xr:uid="{00000000-0005-0000-0000-000021080000}"/>
    <cellStyle name="40% - Accent1 2 2 2 2 2 2" xfId="2077" xr:uid="{00000000-0005-0000-0000-000022080000}"/>
    <cellStyle name="40% - Accent1 2 2 2 2 2 3" xfId="3355" xr:uid="{00000000-0005-0000-0000-000023080000}"/>
    <cellStyle name="40% - Accent1 2 2 2 2 2 4" xfId="4642" xr:uid="{00000000-0005-0000-0000-000024080000}"/>
    <cellStyle name="40% - Accent1 2 2 2 2 3" xfId="1211" xr:uid="{00000000-0005-0000-0000-000025080000}"/>
    <cellStyle name="40% - Accent1 2 2 2 2 3 2" xfId="2503" xr:uid="{00000000-0005-0000-0000-000026080000}"/>
    <cellStyle name="40% - Accent1 2 2 2 2 3 3" xfId="3781" xr:uid="{00000000-0005-0000-0000-000027080000}"/>
    <cellStyle name="40% - Accent1 2 2 2 2 3 4" xfId="5068" xr:uid="{00000000-0005-0000-0000-000028080000}"/>
    <cellStyle name="40% - Accent1 2 2 2 2 4" xfId="1651" xr:uid="{00000000-0005-0000-0000-000029080000}"/>
    <cellStyle name="40% - Accent1 2 2 2 2 5" xfId="2929" xr:uid="{00000000-0005-0000-0000-00002A080000}"/>
    <cellStyle name="40% - Accent1 2 2 2 2 6" xfId="4216" xr:uid="{00000000-0005-0000-0000-00002B080000}"/>
    <cellStyle name="40% - Accent1 2 2 2 3" xfId="572" xr:uid="{00000000-0005-0000-0000-00002C080000}"/>
    <cellStyle name="40% - Accent1 2 2 2 3 2" xfId="1864" xr:uid="{00000000-0005-0000-0000-00002D080000}"/>
    <cellStyle name="40% - Accent1 2 2 2 3 3" xfId="3142" xr:uid="{00000000-0005-0000-0000-00002E080000}"/>
    <cellStyle name="40% - Accent1 2 2 2 3 4" xfId="4429" xr:uid="{00000000-0005-0000-0000-00002F080000}"/>
    <cellStyle name="40% - Accent1 2 2 2 4" xfId="998" xr:uid="{00000000-0005-0000-0000-000030080000}"/>
    <cellStyle name="40% - Accent1 2 2 2 4 2" xfId="2290" xr:uid="{00000000-0005-0000-0000-000031080000}"/>
    <cellStyle name="40% - Accent1 2 2 2 4 3" xfId="3568" xr:uid="{00000000-0005-0000-0000-000032080000}"/>
    <cellStyle name="40% - Accent1 2 2 2 4 4" xfId="4855" xr:uid="{00000000-0005-0000-0000-000033080000}"/>
    <cellStyle name="40% - Accent1 2 2 2 5" xfId="1438" xr:uid="{00000000-0005-0000-0000-000034080000}"/>
    <cellStyle name="40% - Accent1 2 2 2 6" xfId="2716" xr:uid="{00000000-0005-0000-0000-000035080000}"/>
    <cellStyle name="40% - Accent1 2 2 2 7" xfId="4003" xr:uid="{00000000-0005-0000-0000-000036080000}"/>
    <cellStyle name="40% - Accent1 2 2 2 8" xfId="5257" xr:uid="{00000000-0005-0000-0000-000037080000}"/>
    <cellStyle name="40% - Accent1 2 2 3" xfId="358" xr:uid="{00000000-0005-0000-0000-000038080000}"/>
    <cellStyle name="40% - Accent1 2 2 3 2" xfId="784" xr:uid="{00000000-0005-0000-0000-000039080000}"/>
    <cellStyle name="40% - Accent1 2 2 3 2 2" xfId="2076" xr:uid="{00000000-0005-0000-0000-00003A080000}"/>
    <cellStyle name="40% - Accent1 2 2 3 2 3" xfId="3354" xr:uid="{00000000-0005-0000-0000-00003B080000}"/>
    <cellStyle name="40% - Accent1 2 2 3 2 4" xfId="4641" xr:uid="{00000000-0005-0000-0000-00003C080000}"/>
    <cellStyle name="40% - Accent1 2 2 3 3" xfId="1210" xr:uid="{00000000-0005-0000-0000-00003D080000}"/>
    <cellStyle name="40% - Accent1 2 2 3 3 2" xfId="2502" xr:uid="{00000000-0005-0000-0000-00003E080000}"/>
    <cellStyle name="40% - Accent1 2 2 3 3 3" xfId="3780" xr:uid="{00000000-0005-0000-0000-00003F080000}"/>
    <cellStyle name="40% - Accent1 2 2 3 3 4" xfId="5067" xr:uid="{00000000-0005-0000-0000-000040080000}"/>
    <cellStyle name="40% - Accent1 2 2 3 4" xfId="1650" xr:uid="{00000000-0005-0000-0000-000041080000}"/>
    <cellStyle name="40% - Accent1 2 2 3 5" xfId="2928" xr:uid="{00000000-0005-0000-0000-000042080000}"/>
    <cellStyle name="40% - Accent1 2 2 3 6" xfId="4215" xr:uid="{00000000-0005-0000-0000-000043080000}"/>
    <cellStyle name="40% - Accent1 2 2 4" xfId="571" xr:uid="{00000000-0005-0000-0000-000044080000}"/>
    <cellStyle name="40% - Accent1 2 2 4 2" xfId="1863" xr:uid="{00000000-0005-0000-0000-000045080000}"/>
    <cellStyle name="40% - Accent1 2 2 4 3" xfId="3141" xr:uid="{00000000-0005-0000-0000-000046080000}"/>
    <cellStyle name="40% - Accent1 2 2 4 4" xfId="4428" xr:uid="{00000000-0005-0000-0000-000047080000}"/>
    <cellStyle name="40% - Accent1 2 2 5" xfId="997" xr:uid="{00000000-0005-0000-0000-000048080000}"/>
    <cellStyle name="40% - Accent1 2 2 5 2" xfId="2289" xr:uid="{00000000-0005-0000-0000-000049080000}"/>
    <cellStyle name="40% - Accent1 2 2 5 3" xfId="3567" xr:uid="{00000000-0005-0000-0000-00004A080000}"/>
    <cellStyle name="40% - Accent1 2 2 5 4" xfId="4854" xr:uid="{00000000-0005-0000-0000-00004B080000}"/>
    <cellStyle name="40% - Accent1 2 2 6" xfId="1437" xr:uid="{00000000-0005-0000-0000-00004C080000}"/>
    <cellStyle name="40% - Accent1 2 2 7" xfId="2715" xr:uid="{00000000-0005-0000-0000-00004D080000}"/>
    <cellStyle name="40% - Accent1 2 2 8" xfId="4002" xr:uid="{00000000-0005-0000-0000-00004E080000}"/>
    <cellStyle name="40% - Accent1 2 2 9" xfId="5256" xr:uid="{00000000-0005-0000-0000-00004F080000}"/>
    <cellStyle name="40% - Accent1 2 3" xfId="145" xr:uid="{00000000-0005-0000-0000-000050080000}"/>
    <cellStyle name="40% - Accent1 2 3 2" xfId="360" xr:uid="{00000000-0005-0000-0000-000051080000}"/>
    <cellStyle name="40% - Accent1 2 3 2 2" xfId="786" xr:uid="{00000000-0005-0000-0000-000052080000}"/>
    <cellStyle name="40% - Accent1 2 3 2 2 2" xfId="2078" xr:uid="{00000000-0005-0000-0000-000053080000}"/>
    <cellStyle name="40% - Accent1 2 3 2 2 3" xfId="3356" xr:uid="{00000000-0005-0000-0000-000054080000}"/>
    <cellStyle name="40% - Accent1 2 3 2 2 4" xfId="4643" xr:uid="{00000000-0005-0000-0000-000055080000}"/>
    <cellStyle name="40% - Accent1 2 3 2 3" xfId="1212" xr:uid="{00000000-0005-0000-0000-000056080000}"/>
    <cellStyle name="40% - Accent1 2 3 2 3 2" xfId="2504" xr:uid="{00000000-0005-0000-0000-000057080000}"/>
    <cellStyle name="40% - Accent1 2 3 2 3 3" xfId="3782" xr:uid="{00000000-0005-0000-0000-000058080000}"/>
    <cellStyle name="40% - Accent1 2 3 2 3 4" xfId="5069" xr:uid="{00000000-0005-0000-0000-000059080000}"/>
    <cellStyle name="40% - Accent1 2 3 2 4" xfId="1652" xr:uid="{00000000-0005-0000-0000-00005A080000}"/>
    <cellStyle name="40% - Accent1 2 3 2 5" xfId="2930" xr:uid="{00000000-0005-0000-0000-00005B080000}"/>
    <cellStyle name="40% - Accent1 2 3 2 6" xfId="4217" xr:uid="{00000000-0005-0000-0000-00005C080000}"/>
    <cellStyle name="40% - Accent1 2 3 3" xfId="573" xr:uid="{00000000-0005-0000-0000-00005D080000}"/>
    <cellStyle name="40% - Accent1 2 3 3 2" xfId="1865" xr:uid="{00000000-0005-0000-0000-00005E080000}"/>
    <cellStyle name="40% - Accent1 2 3 3 3" xfId="3143" xr:uid="{00000000-0005-0000-0000-00005F080000}"/>
    <cellStyle name="40% - Accent1 2 3 3 4" xfId="4430" xr:uid="{00000000-0005-0000-0000-000060080000}"/>
    <cellStyle name="40% - Accent1 2 3 4" xfId="999" xr:uid="{00000000-0005-0000-0000-000061080000}"/>
    <cellStyle name="40% - Accent1 2 3 4 2" xfId="2291" xr:uid="{00000000-0005-0000-0000-000062080000}"/>
    <cellStyle name="40% - Accent1 2 3 4 3" xfId="3569" xr:uid="{00000000-0005-0000-0000-000063080000}"/>
    <cellStyle name="40% - Accent1 2 3 4 4" xfId="4856" xr:uid="{00000000-0005-0000-0000-000064080000}"/>
    <cellStyle name="40% - Accent1 2 3 5" xfId="1439" xr:uid="{00000000-0005-0000-0000-000065080000}"/>
    <cellStyle name="40% - Accent1 2 3 6" xfId="2717" xr:uid="{00000000-0005-0000-0000-000066080000}"/>
    <cellStyle name="40% - Accent1 2 3 7" xfId="4004" xr:uid="{00000000-0005-0000-0000-000067080000}"/>
    <cellStyle name="40% - Accent1 2 3 8" xfId="5258" xr:uid="{00000000-0005-0000-0000-000068080000}"/>
    <cellStyle name="40% - Accent1 2 4" xfId="146" xr:uid="{00000000-0005-0000-0000-000069080000}"/>
    <cellStyle name="40% - Accent1 2 4 2" xfId="361" xr:uid="{00000000-0005-0000-0000-00006A080000}"/>
    <cellStyle name="40% - Accent1 2 4 2 2" xfId="787" xr:uid="{00000000-0005-0000-0000-00006B080000}"/>
    <cellStyle name="40% - Accent1 2 4 2 2 2" xfId="2079" xr:uid="{00000000-0005-0000-0000-00006C080000}"/>
    <cellStyle name="40% - Accent1 2 4 2 2 3" xfId="3357" xr:uid="{00000000-0005-0000-0000-00006D080000}"/>
    <cellStyle name="40% - Accent1 2 4 2 2 4" xfId="4644" xr:uid="{00000000-0005-0000-0000-00006E080000}"/>
    <cellStyle name="40% - Accent1 2 4 2 3" xfId="1213" xr:uid="{00000000-0005-0000-0000-00006F080000}"/>
    <cellStyle name="40% - Accent1 2 4 2 3 2" xfId="2505" xr:uid="{00000000-0005-0000-0000-000070080000}"/>
    <cellStyle name="40% - Accent1 2 4 2 3 3" xfId="3783" xr:uid="{00000000-0005-0000-0000-000071080000}"/>
    <cellStyle name="40% - Accent1 2 4 2 3 4" xfId="5070" xr:uid="{00000000-0005-0000-0000-000072080000}"/>
    <cellStyle name="40% - Accent1 2 4 2 4" xfId="1653" xr:uid="{00000000-0005-0000-0000-000073080000}"/>
    <cellStyle name="40% - Accent1 2 4 2 5" xfId="2931" xr:uid="{00000000-0005-0000-0000-000074080000}"/>
    <cellStyle name="40% - Accent1 2 4 2 6" xfId="4218" xr:uid="{00000000-0005-0000-0000-000075080000}"/>
    <cellStyle name="40% - Accent1 2 4 3" xfId="574" xr:uid="{00000000-0005-0000-0000-000076080000}"/>
    <cellStyle name="40% - Accent1 2 4 3 2" xfId="1866" xr:uid="{00000000-0005-0000-0000-000077080000}"/>
    <cellStyle name="40% - Accent1 2 4 3 3" xfId="3144" xr:uid="{00000000-0005-0000-0000-000078080000}"/>
    <cellStyle name="40% - Accent1 2 4 3 4" xfId="4431" xr:uid="{00000000-0005-0000-0000-000079080000}"/>
    <cellStyle name="40% - Accent1 2 4 4" xfId="1000" xr:uid="{00000000-0005-0000-0000-00007A080000}"/>
    <cellStyle name="40% - Accent1 2 4 4 2" xfId="2292" xr:uid="{00000000-0005-0000-0000-00007B080000}"/>
    <cellStyle name="40% - Accent1 2 4 4 3" xfId="3570" xr:uid="{00000000-0005-0000-0000-00007C080000}"/>
    <cellStyle name="40% - Accent1 2 4 4 4" xfId="4857" xr:uid="{00000000-0005-0000-0000-00007D080000}"/>
    <cellStyle name="40% - Accent1 2 4 5" xfId="1440" xr:uid="{00000000-0005-0000-0000-00007E080000}"/>
    <cellStyle name="40% - Accent1 2 4 6" xfId="2718" xr:uid="{00000000-0005-0000-0000-00007F080000}"/>
    <cellStyle name="40% - Accent1 2 4 7" xfId="4005" xr:uid="{00000000-0005-0000-0000-000080080000}"/>
    <cellStyle name="40% - Accent1 2 5" xfId="147" xr:uid="{00000000-0005-0000-0000-000081080000}"/>
    <cellStyle name="40% - Accent1 2 5 2" xfId="362" xr:uid="{00000000-0005-0000-0000-000082080000}"/>
    <cellStyle name="40% - Accent1 2 5 2 2" xfId="788" xr:uid="{00000000-0005-0000-0000-000083080000}"/>
    <cellStyle name="40% - Accent1 2 5 2 2 2" xfId="2080" xr:uid="{00000000-0005-0000-0000-000084080000}"/>
    <cellStyle name="40% - Accent1 2 5 2 2 3" xfId="3358" xr:uid="{00000000-0005-0000-0000-000085080000}"/>
    <cellStyle name="40% - Accent1 2 5 2 2 4" xfId="4645" xr:uid="{00000000-0005-0000-0000-000086080000}"/>
    <cellStyle name="40% - Accent1 2 5 2 3" xfId="1214" xr:uid="{00000000-0005-0000-0000-000087080000}"/>
    <cellStyle name="40% - Accent1 2 5 2 3 2" xfId="2506" xr:uid="{00000000-0005-0000-0000-000088080000}"/>
    <cellStyle name="40% - Accent1 2 5 2 3 3" xfId="3784" xr:uid="{00000000-0005-0000-0000-000089080000}"/>
    <cellStyle name="40% - Accent1 2 5 2 3 4" xfId="5071" xr:uid="{00000000-0005-0000-0000-00008A080000}"/>
    <cellStyle name="40% - Accent1 2 5 2 4" xfId="1654" xr:uid="{00000000-0005-0000-0000-00008B080000}"/>
    <cellStyle name="40% - Accent1 2 5 2 5" xfId="2932" xr:uid="{00000000-0005-0000-0000-00008C080000}"/>
    <cellStyle name="40% - Accent1 2 5 2 6" xfId="4219" xr:uid="{00000000-0005-0000-0000-00008D080000}"/>
    <cellStyle name="40% - Accent1 2 5 3" xfId="575" xr:uid="{00000000-0005-0000-0000-00008E080000}"/>
    <cellStyle name="40% - Accent1 2 5 3 2" xfId="1867" xr:uid="{00000000-0005-0000-0000-00008F080000}"/>
    <cellStyle name="40% - Accent1 2 5 3 3" xfId="3145" xr:uid="{00000000-0005-0000-0000-000090080000}"/>
    <cellStyle name="40% - Accent1 2 5 3 4" xfId="4432" xr:uid="{00000000-0005-0000-0000-000091080000}"/>
    <cellStyle name="40% - Accent1 2 5 4" xfId="1001" xr:uid="{00000000-0005-0000-0000-000092080000}"/>
    <cellStyle name="40% - Accent1 2 5 4 2" xfId="2293" xr:uid="{00000000-0005-0000-0000-000093080000}"/>
    <cellStyle name="40% - Accent1 2 5 4 3" xfId="3571" xr:uid="{00000000-0005-0000-0000-000094080000}"/>
    <cellStyle name="40% - Accent1 2 5 4 4" xfId="4858" xr:uid="{00000000-0005-0000-0000-000095080000}"/>
    <cellStyle name="40% - Accent1 2 5 5" xfId="1441" xr:uid="{00000000-0005-0000-0000-000096080000}"/>
    <cellStyle name="40% - Accent1 2 5 6" xfId="2719" xr:uid="{00000000-0005-0000-0000-000097080000}"/>
    <cellStyle name="40% - Accent1 2 5 7" xfId="4006" xr:uid="{00000000-0005-0000-0000-000098080000}"/>
    <cellStyle name="40% - Accent1 2 6" xfId="270" xr:uid="{00000000-0005-0000-0000-000099080000}"/>
    <cellStyle name="40% - Accent1 2 6 2" xfId="483" xr:uid="{00000000-0005-0000-0000-00009A080000}"/>
    <cellStyle name="40% - Accent1 2 6 2 2" xfId="908" xr:uid="{00000000-0005-0000-0000-00009B080000}"/>
    <cellStyle name="40% - Accent1 2 6 2 2 2" xfId="2200" xr:uid="{00000000-0005-0000-0000-00009C080000}"/>
    <cellStyle name="40% - Accent1 2 6 2 2 3" xfId="3478" xr:uid="{00000000-0005-0000-0000-00009D080000}"/>
    <cellStyle name="40% - Accent1 2 6 2 2 4" xfId="4765" xr:uid="{00000000-0005-0000-0000-00009E080000}"/>
    <cellStyle name="40% - Accent1 2 6 2 3" xfId="1334" xr:uid="{00000000-0005-0000-0000-00009F080000}"/>
    <cellStyle name="40% - Accent1 2 6 2 3 2" xfId="2626" xr:uid="{00000000-0005-0000-0000-0000A0080000}"/>
    <cellStyle name="40% - Accent1 2 6 2 3 3" xfId="3904" xr:uid="{00000000-0005-0000-0000-0000A1080000}"/>
    <cellStyle name="40% - Accent1 2 6 2 3 4" xfId="5191" xr:uid="{00000000-0005-0000-0000-0000A2080000}"/>
    <cellStyle name="40% - Accent1 2 6 2 4" xfId="1774" xr:uid="{00000000-0005-0000-0000-0000A3080000}"/>
    <cellStyle name="40% - Accent1 2 6 2 5" xfId="3052" xr:uid="{00000000-0005-0000-0000-0000A4080000}"/>
    <cellStyle name="40% - Accent1 2 6 2 6" xfId="4339" xr:uid="{00000000-0005-0000-0000-0000A5080000}"/>
    <cellStyle name="40% - Accent1 2 6 3" xfId="695" xr:uid="{00000000-0005-0000-0000-0000A6080000}"/>
    <cellStyle name="40% - Accent1 2 6 3 2" xfId="1987" xr:uid="{00000000-0005-0000-0000-0000A7080000}"/>
    <cellStyle name="40% - Accent1 2 6 3 3" xfId="3265" xr:uid="{00000000-0005-0000-0000-0000A8080000}"/>
    <cellStyle name="40% - Accent1 2 6 3 4" xfId="4552" xr:uid="{00000000-0005-0000-0000-0000A9080000}"/>
    <cellStyle name="40% - Accent1 2 6 4" xfId="1121" xr:uid="{00000000-0005-0000-0000-0000AA080000}"/>
    <cellStyle name="40% - Accent1 2 6 4 2" xfId="2413" xr:uid="{00000000-0005-0000-0000-0000AB080000}"/>
    <cellStyle name="40% - Accent1 2 6 4 3" xfId="3691" xr:uid="{00000000-0005-0000-0000-0000AC080000}"/>
    <cellStyle name="40% - Accent1 2 6 4 4" xfId="4978" xr:uid="{00000000-0005-0000-0000-0000AD080000}"/>
    <cellStyle name="40% - Accent1 2 6 5" xfId="1561" xr:uid="{00000000-0005-0000-0000-0000AE080000}"/>
    <cellStyle name="40% - Accent1 2 6 6" xfId="2839" xr:uid="{00000000-0005-0000-0000-0000AF080000}"/>
    <cellStyle name="40% - Accent1 2 6 7" xfId="4126" xr:uid="{00000000-0005-0000-0000-0000B0080000}"/>
    <cellStyle name="40% - Accent1 2 7" xfId="357" xr:uid="{00000000-0005-0000-0000-0000B1080000}"/>
    <cellStyle name="40% - Accent1 2 7 2" xfId="783" xr:uid="{00000000-0005-0000-0000-0000B2080000}"/>
    <cellStyle name="40% - Accent1 2 7 2 2" xfId="2075" xr:uid="{00000000-0005-0000-0000-0000B3080000}"/>
    <cellStyle name="40% - Accent1 2 7 2 3" xfId="3353" xr:uid="{00000000-0005-0000-0000-0000B4080000}"/>
    <cellStyle name="40% - Accent1 2 7 2 4" xfId="4640" xr:uid="{00000000-0005-0000-0000-0000B5080000}"/>
    <cellStyle name="40% - Accent1 2 7 3" xfId="1209" xr:uid="{00000000-0005-0000-0000-0000B6080000}"/>
    <cellStyle name="40% - Accent1 2 7 3 2" xfId="2501" xr:uid="{00000000-0005-0000-0000-0000B7080000}"/>
    <cellStyle name="40% - Accent1 2 7 3 3" xfId="3779" xr:uid="{00000000-0005-0000-0000-0000B8080000}"/>
    <cellStyle name="40% - Accent1 2 7 3 4" xfId="5066" xr:uid="{00000000-0005-0000-0000-0000B9080000}"/>
    <cellStyle name="40% - Accent1 2 7 4" xfId="1649" xr:uid="{00000000-0005-0000-0000-0000BA080000}"/>
    <cellStyle name="40% - Accent1 2 7 5" xfId="2927" xr:uid="{00000000-0005-0000-0000-0000BB080000}"/>
    <cellStyle name="40% - Accent1 2 7 6" xfId="4214" xr:uid="{00000000-0005-0000-0000-0000BC080000}"/>
    <cellStyle name="40% - Accent1 2 8" xfId="570" xr:uid="{00000000-0005-0000-0000-0000BD080000}"/>
    <cellStyle name="40% - Accent1 2 8 2" xfId="1862" xr:uid="{00000000-0005-0000-0000-0000BE080000}"/>
    <cellStyle name="40% - Accent1 2 8 3" xfId="3140" xr:uid="{00000000-0005-0000-0000-0000BF080000}"/>
    <cellStyle name="40% - Accent1 2 8 4" xfId="4427" xr:uid="{00000000-0005-0000-0000-0000C0080000}"/>
    <cellStyle name="40% - Accent1 2 9" xfId="996" xr:uid="{00000000-0005-0000-0000-0000C1080000}"/>
    <cellStyle name="40% - Accent1 2 9 2" xfId="2288" xr:uid="{00000000-0005-0000-0000-0000C2080000}"/>
    <cellStyle name="40% - Accent1 2 9 3" xfId="3566" xr:uid="{00000000-0005-0000-0000-0000C3080000}"/>
    <cellStyle name="40% - Accent1 2 9 4" xfId="4853" xr:uid="{00000000-0005-0000-0000-0000C4080000}"/>
    <cellStyle name="40% - Accent1 3" xfId="148" xr:uid="{00000000-0005-0000-0000-0000C5080000}"/>
    <cellStyle name="40% - Accent1 3 2" xfId="149" xr:uid="{00000000-0005-0000-0000-0000C6080000}"/>
    <cellStyle name="40% - Accent1 3 2 2" xfId="364" xr:uid="{00000000-0005-0000-0000-0000C7080000}"/>
    <cellStyle name="40% - Accent1 3 2 2 2" xfId="790" xr:uid="{00000000-0005-0000-0000-0000C8080000}"/>
    <cellStyle name="40% - Accent1 3 2 2 2 2" xfId="2082" xr:uid="{00000000-0005-0000-0000-0000C9080000}"/>
    <cellStyle name="40% - Accent1 3 2 2 2 3" xfId="3360" xr:uid="{00000000-0005-0000-0000-0000CA080000}"/>
    <cellStyle name="40% - Accent1 3 2 2 2 4" xfId="4647" xr:uid="{00000000-0005-0000-0000-0000CB080000}"/>
    <cellStyle name="40% - Accent1 3 2 2 3" xfId="1216" xr:uid="{00000000-0005-0000-0000-0000CC080000}"/>
    <cellStyle name="40% - Accent1 3 2 2 3 2" xfId="2508" xr:uid="{00000000-0005-0000-0000-0000CD080000}"/>
    <cellStyle name="40% - Accent1 3 2 2 3 3" xfId="3786" xr:uid="{00000000-0005-0000-0000-0000CE080000}"/>
    <cellStyle name="40% - Accent1 3 2 2 3 4" xfId="5073" xr:uid="{00000000-0005-0000-0000-0000CF080000}"/>
    <cellStyle name="40% - Accent1 3 2 2 4" xfId="1656" xr:uid="{00000000-0005-0000-0000-0000D0080000}"/>
    <cellStyle name="40% - Accent1 3 2 2 5" xfId="2934" xr:uid="{00000000-0005-0000-0000-0000D1080000}"/>
    <cellStyle name="40% - Accent1 3 2 2 6" xfId="4221" xr:uid="{00000000-0005-0000-0000-0000D2080000}"/>
    <cellStyle name="40% - Accent1 3 2 3" xfId="577" xr:uid="{00000000-0005-0000-0000-0000D3080000}"/>
    <cellStyle name="40% - Accent1 3 2 3 2" xfId="1869" xr:uid="{00000000-0005-0000-0000-0000D4080000}"/>
    <cellStyle name="40% - Accent1 3 2 3 3" xfId="3147" xr:uid="{00000000-0005-0000-0000-0000D5080000}"/>
    <cellStyle name="40% - Accent1 3 2 3 4" xfId="4434" xr:uid="{00000000-0005-0000-0000-0000D6080000}"/>
    <cellStyle name="40% - Accent1 3 2 4" xfId="1003" xr:uid="{00000000-0005-0000-0000-0000D7080000}"/>
    <cellStyle name="40% - Accent1 3 2 4 2" xfId="2295" xr:uid="{00000000-0005-0000-0000-0000D8080000}"/>
    <cellStyle name="40% - Accent1 3 2 4 3" xfId="3573" xr:uid="{00000000-0005-0000-0000-0000D9080000}"/>
    <cellStyle name="40% - Accent1 3 2 4 4" xfId="4860" xr:uid="{00000000-0005-0000-0000-0000DA080000}"/>
    <cellStyle name="40% - Accent1 3 2 5" xfId="1443" xr:uid="{00000000-0005-0000-0000-0000DB080000}"/>
    <cellStyle name="40% - Accent1 3 2 6" xfId="2721" xr:uid="{00000000-0005-0000-0000-0000DC080000}"/>
    <cellStyle name="40% - Accent1 3 2 7" xfId="4008" xr:uid="{00000000-0005-0000-0000-0000DD080000}"/>
    <cellStyle name="40% - Accent1 3 2 8" xfId="5260" xr:uid="{00000000-0005-0000-0000-0000DE080000}"/>
    <cellStyle name="40% - Accent1 3 3" xfId="363" xr:uid="{00000000-0005-0000-0000-0000DF080000}"/>
    <cellStyle name="40% - Accent1 3 3 2" xfId="789" xr:uid="{00000000-0005-0000-0000-0000E0080000}"/>
    <cellStyle name="40% - Accent1 3 3 2 2" xfId="2081" xr:uid="{00000000-0005-0000-0000-0000E1080000}"/>
    <cellStyle name="40% - Accent1 3 3 2 3" xfId="3359" xr:uid="{00000000-0005-0000-0000-0000E2080000}"/>
    <cellStyle name="40% - Accent1 3 3 2 4" xfId="4646" xr:uid="{00000000-0005-0000-0000-0000E3080000}"/>
    <cellStyle name="40% - Accent1 3 3 3" xfId="1215" xr:uid="{00000000-0005-0000-0000-0000E4080000}"/>
    <cellStyle name="40% - Accent1 3 3 3 2" xfId="2507" xr:uid="{00000000-0005-0000-0000-0000E5080000}"/>
    <cellStyle name="40% - Accent1 3 3 3 3" xfId="3785" xr:uid="{00000000-0005-0000-0000-0000E6080000}"/>
    <cellStyle name="40% - Accent1 3 3 3 4" xfId="5072" xr:uid="{00000000-0005-0000-0000-0000E7080000}"/>
    <cellStyle name="40% - Accent1 3 3 4" xfId="1655" xr:uid="{00000000-0005-0000-0000-0000E8080000}"/>
    <cellStyle name="40% - Accent1 3 3 5" xfId="2933" xr:uid="{00000000-0005-0000-0000-0000E9080000}"/>
    <cellStyle name="40% - Accent1 3 3 6" xfId="4220" xr:uid="{00000000-0005-0000-0000-0000EA080000}"/>
    <cellStyle name="40% - Accent1 3 4" xfId="576" xr:uid="{00000000-0005-0000-0000-0000EB080000}"/>
    <cellStyle name="40% - Accent1 3 4 2" xfId="1868" xr:uid="{00000000-0005-0000-0000-0000EC080000}"/>
    <cellStyle name="40% - Accent1 3 4 3" xfId="3146" xr:uid="{00000000-0005-0000-0000-0000ED080000}"/>
    <cellStyle name="40% - Accent1 3 4 4" xfId="4433" xr:uid="{00000000-0005-0000-0000-0000EE080000}"/>
    <cellStyle name="40% - Accent1 3 5" xfId="1002" xr:uid="{00000000-0005-0000-0000-0000EF080000}"/>
    <cellStyle name="40% - Accent1 3 5 2" xfId="2294" xr:uid="{00000000-0005-0000-0000-0000F0080000}"/>
    <cellStyle name="40% - Accent1 3 5 3" xfId="3572" xr:uid="{00000000-0005-0000-0000-0000F1080000}"/>
    <cellStyle name="40% - Accent1 3 5 4" xfId="4859" xr:uid="{00000000-0005-0000-0000-0000F2080000}"/>
    <cellStyle name="40% - Accent1 3 6" xfId="1442" xr:uid="{00000000-0005-0000-0000-0000F3080000}"/>
    <cellStyle name="40% - Accent1 3 7" xfId="2720" xr:uid="{00000000-0005-0000-0000-0000F4080000}"/>
    <cellStyle name="40% - Accent1 3 8" xfId="4007" xr:uid="{00000000-0005-0000-0000-0000F5080000}"/>
    <cellStyle name="40% - Accent1 3 9" xfId="5259" xr:uid="{00000000-0005-0000-0000-0000F6080000}"/>
    <cellStyle name="40% - Accent1 4" xfId="150" xr:uid="{00000000-0005-0000-0000-0000F7080000}"/>
    <cellStyle name="40% - Accent1 4 2" xfId="365" xr:uid="{00000000-0005-0000-0000-0000F8080000}"/>
    <cellStyle name="40% - Accent1 4 2 2" xfId="791" xr:uid="{00000000-0005-0000-0000-0000F9080000}"/>
    <cellStyle name="40% - Accent1 4 2 2 2" xfId="2083" xr:uid="{00000000-0005-0000-0000-0000FA080000}"/>
    <cellStyle name="40% - Accent1 4 2 2 3" xfId="3361" xr:uid="{00000000-0005-0000-0000-0000FB080000}"/>
    <cellStyle name="40% - Accent1 4 2 2 4" xfId="4648" xr:uid="{00000000-0005-0000-0000-0000FC080000}"/>
    <cellStyle name="40% - Accent1 4 2 3" xfId="1217" xr:uid="{00000000-0005-0000-0000-0000FD080000}"/>
    <cellStyle name="40% - Accent1 4 2 3 2" xfId="2509" xr:uid="{00000000-0005-0000-0000-0000FE080000}"/>
    <cellStyle name="40% - Accent1 4 2 3 3" xfId="3787" xr:uid="{00000000-0005-0000-0000-0000FF080000}"/>
    <cellStyle name="40% - Accent1 4 2 3 4" xfId="5074" xr:uid="{00000000-0005-0000-0000-000000090000}"/>
    <cellStyle name="40% - Accent1 4 2 4" xfId="1657" xr:uid="{00000000-0005-0000-0000-000001090000}"/>
    <cellStyle name="40% - Accent1 4 2 5" xfId="2935" xr:uid="{00000000-0005-0000-0000-000002090000}"/>
    <cellStyle name="40% - Accent1 4 2 6" xfId="4222" xr:uid="{00000000-0005-0000-0000-000003090000}"/>
    <cellStyle name="40% - Accent1 4 3" xfId="578" xr:uid="{00000000-0005-0000-0000-000004090000}"/>
    <cellStyle name="40% - Accent1 4 3 2" xfId="1870" xr:uid="{00000000-0005-0000-0000-000005090000}"/>
    <cellStyle name="40% - Accent1 4 3 3" xfId="3148" xr:uid="{00000000-0005-0000-0000-000006090000}"/>
    <cellStyle name="40% - Accent1 4 3 4" xfId="4435" xr:uid="{00000000-0005-0000-0000-000007090000}"/>
    <cellStyle name="40% - Accent1 4 4" xfId="1004" xr:uid="{00000000-0005-0000-0000-000008090000}"/>
    <cellStyle name="40% - Accent1 4 4 2" xfId="2296" xr:uid="{00000000-0005-0000-0000-000009090000}"/>
    <cellStyle name="40% - Accent1 4 4 3" xfId="3574" xr:uid="{00000000-0005-0000-0000-00000A090000}"/>
    <cellStyle name="40% - Accent1 4 4 4" xfId="4861" xr:uid="{00000000-0005-0000-0000-00000B090000}"/>
    <cellStyle name="40% - Accent1 4 5" xfId="1444" xr:uid="{00000000-0005-0000-0000-00000C090000}"/>
    <cellStyle name="40% - Accent1 4 6" xfId="2722" xr:uid="{00000000-0005-0000-0000-00000D090000}"/>
    <cellStyle name="40% - Accent1 4 7" xfId="4009" xr:uid="{00000000-0005-0000-0000-00000E090000}"/>
    <cellStyle name="40% - Accent1 4 8" xfId="5261" xr:uid="{00000000-0005-0000-0000-00000F090000}"/>
    <cellStyle name="40% - Accent1 5" xfId="151" xr:uid="{00000000-0005-0000-0000-000010090000}"/>
    <cellStyle name="40% - Accent1 5 2" xfId="366" xr:uid="{00000000-0005-0000-0000-000011090000}"/>
    <cellStyle name="40% - Accent1 5 2 2" xfId="792" xr:uid="{00000000-0005-0000-0000-000012090000}"/>
    <cellStyle name="40% - Accent1 5 2 2 2" xfId="2084" xr:uid="{00000000-0005-0000-0000-000013090000}"/>
    <cellStyle name="40% - Accent1 5 2 2 3" xfId="3362" xr:uid="{00000000-0005-0000-0000-000014090000}"/>
    <cellStyle name="40% - Accent1 5 2 2 4" xfId="4649" xr:uid="{00000000-0005-0000-0000-000015090000}"/>
    <cellStyle name="40% - Accent1 5 2 3" xfId="1218" xr:uid="{00000000-0005-0000-0000-000016090000}"/>
    <cellStyle name="40% - Accent1 5 2 3 2" xfId="2510" xr:uid="{00000000-0005-0000-0000-000017090000}"/>
    <cellStyle name="40% - Accent1 5 2 3 3" xfId="3788" xr:uid="{00000000-0005-0000-0000-000018090000}"/>
    <cellStyle name="40% - Accent1 5 2 3 4" xfId="5075" xr:uid="{00000000-0005-0000-0000-000019090000}"/>
    <cellStyle name="40% - Accent1 5 2 4" xfId="1658" xr:uid="{00000000-0005-0000-0000-00001A090000}"/>
    <cellStyle name="40% - Accent1 5 2 5" xfId="2936" xr:uid="{00000000-0005-0000-0000-00001B090000}"/>
    <cellStyle name="40% - Accent1 5 2 6" xfId="4223" xr:uid="{00000000-0005-0000-0000-00001C090000}"/>
    <cellStyle name="40% - Accent1 5 3" xfId="579" xr:uid="{00000000-0005-0000-0000-00001D090000}"/>
    <cellStyle name="40% - Accent1 5 3 2" xfId="1871" xr:uid="{00000000-0005-0000-0000-00001E090000}"/>
    <cellStyle name="40% - Accent1 5 3 3" xfId="3149" xr:uid="{00000000-0005-0000-0000-00001F090000}"/>
    <cellStyle name="40% - Accent1 5 3 4" xfId="4436" xr:uid="{00000000-0005-0000-0000-000020090000}"/>
    <cellStyle name="40% - Accent1 5 4" xfId="1005" xr:uid="{00000000-0005-0000-0000-000021090000}"/>
    <cellStyle name="40% - Accent1 5 4 2" xfId="2297" xr:uid="{00000000-0005-0000-0000-000022090000}"/>
    <cellStyle name="40% - Accent1 5 4 3" xfId="3575" xr:uid="{00000000-0005-0000-0000-000023090000}"/>
    <cellStyle name="40% - Accent1 5 4 4" xfId="4862" xr:uid="{00000000-0005-0000-0000-000024090000}"/>
    <cellStyle name="40% - Accent1 5 5" xfId="1445" xr:uid="{00000000-0005-0000-0000-000025090000}"/>
    <cellStyle name="40% - Accent1 5 6" xfId="2723" xr:uid="{00000000-0005-0000-0000-000026090000}"/>
    <cellStyle name="40% - Accent1 5 7" xfId="4010" xr:uid="{00000000-0005-0000-0000-000027090000}"/>
    <cellStyle name="40% - Accent1 6" xfId="152" xr:uid="{00000000-0005-0000-0000-000028090000}"/>
    <cellStyle name="40% - Accent1 6 2" xfId="367" xr:uid="{00000000-0005-0000-0000-000029090000}"/>
    <cellStyle name="40% - Accent1 6 2 2" xfId="793" xr:uid="{00000000-0005-0000-0000-00002A090000}"/>
    <cellStyle name="40% - Accent1 6 2 2 2" xfId="2085" xr:uid="{00000000-0005-0000-0000-00002B090000}"/>
    <cellStyle name="40% - Accent1 6 2 2 3" xfId="3363" xr:uid="{00000000-0005-0000-0000-00002C090000}"/>
    <cellStyle name="40% - Accent1 6 2 2 4" xfId="4650" xr:uid="{00000000-0005-0000-0000-00002D090000}"/>
    <cellStyle name="40% - Accent1 6 2 3" xfId="1219" xr:uid="{00000000-0005-0000-0000-00002E090000}"/>
    <cellStyle name="40% - Accent1 6 2 3 2" xfId="2511" xr:uid="{00000000-0005-0000-0000-00002F090000}"/>
    <cellStyle name="40% - Accent1 6 2 3 3" xfId="3789" xr:uid="{00000000-0005-0000-0000-000030090000}"/>
    <cellStyle name="40% - Accent1 6 2 3 4" xfId="5076" xr:uid="{00000000-0005-0000-0000-000031090000}"/>
    <cellStyle name="40% - Accent1 6 2 4" xfId="1659" xr:uid="{00000000-0005-0000-0000-000032090000}"/>
    <cellStyle name="40% - Accent1 6 2 5" xfId="2937" xr:uid="{00000000-0005-0000-0000-000033090000}"/>
    <cellStyle name="40% - Accent1 6 2 6" xfId="4224" xr:uid="{00000000-0005-0000-0000-000034090000}"/>
    <cellStyle name="40% - Accent1 6 3" xfId="580" xr:uid="{00000000-0005-0000-0000-000035090000}"/>
    <cellStyle name="40% - Accent1 6 3 2" xfId="1872" xr:uid="{00000000-0005-0000-0000-000036090000}"/>
    <cellStyle name="40% - Accent1 6 3 3" xfId="3150" xr:uid="{00000000-0005-0000-0000-000037090000}"/>
    <cellStyle name="40% - Accent1 6 3 4" xfId="4437" xr:uid="{00000000-0005-0000-0000-000038090000}"/>
    <cellStyle name="40% - Accent1 6 4" xfId="1006" xr:uid="{00000000-0005-0000-0000-000039090000}"/>
    <cellStyle name="40% - Accent1 6 4 2" xfId="2298" xr:uid="{00000000-0005-0000-0000-00003A090000}"/>
    <cellStyle name="40% - Accent1 6 4 3" xfId="3576" xr:uid="{00000000-0005-0000-0000-00003B090000}"/>
    <cellStyle name="40% - Accent1 6 4 4" xfId="4863" xr:uid="{00000000-0005-0000-0000-00003C090000}"/>
    <cellStyle name="40% - Accent1 6 5" xfId="1446" xr:uid="{00000000-0005-0000-0000-00003D090000}"/>
    <cellStyle name="40% - Accent1 6 6" xfId="2724" xr:uid="{00000000-0005-0000-0000-00003E090000}"/>
    <cellStyle name="40% - Accent1 6 7" xfId="4011" xr:uid="{00000000-0005-0000-0000-00003F090000}"/>
    <cellStyle name="40% - Accent1 7" xfId="260" xr:uid="{00000000-0005-0000-0000-000040090000}"/>
    <cellStyle name="40% - Accent1 7 2" xfId="473" xr:uid="{00000000-0005-0000-0000-000041090000}"/>
    <cellStyle name="40% - Accent1 7 2 2" xfId="898" xr:uid="{00000000-0005-0000-0000-000042090000}"/>
    <cellStyle name="40% - Accent1 7 2 2 2" xfId="2190" xr:uid="{00000000-0005-0000-0000-000043090000}"/>
    <cellStyle name="40% - Accent1 7 2 2 3" xfId="3468" xr:uid="{00000000-0005-0000-0000-000044090000}"/>
    <cellStyle name="40% - Accent1 7 2 2 4" xfId="4755" xr:uid="{00000000-0005-0000-0000-000045090000}"/>
    <cellStyle name="40% - Accent1 7 2 3" xfId="1324" xr:uid="{00000000-0005-0000-0000-000046090000}"/>
    <cellStyle name="40% - Accent1 7 2 3 2" xfId="2616" xr:uid="{00000000-0005-0000-0000-000047090000}"/>
    <cellStyle name="40% - Accent1 7 2 3 3" xfId="3894" xr:uid="{00000000-0005-0000-0000-000048090000}"/>
    <cellStyle name="40% - Accent1 7 2 3 4" xfId="5181" xr:uid="{00000000-0005-0000-0000-000049090000}"/>
    <cellStyle name="40% - Accent1 7 2 4" xfId="1764" xr:uid="{00000000-0005-0000-0000-00004A090000}"/>
    <cellStyle name="40% - Accent1 7 2 5" xfId="3042" xr:uid="{00000000-0005-0000-0000-00004B090000}"/>
    <cellStyle name="40% - Accent1 7 2 6" xfId="4329" xr:uid="{00000000-0005-0000-0000-00004C090000}"/>
    <cellStyle name="40% - Accent1 7 3" xfId="685" xr:uid="{00000000-0005-0000-0000-00004D090000}"/>
    <cellStyle name="40% - Accent1 7 3 2" xfId="1977" xr:uid="{00000000-0005-0000-0000-00004E090000}"/>
    <cellStyle name="40% - Accent1 7 3 3" xfId="3255" xr:uid="{00000000-0005-0000-0000-00004F090000}"/>
    <cellStyle name="40% - Accent1 7 3 4" xfId="4542" xr:uid="{00000000-0005-0000-0000-000050090000}"/>
    <cellStyle name="40% - Accent1 7 4" xfId="1111" xr:uid="{00000000-0005-0000-0000-000051090000}"/>
    <cellStyle name="40% - Accent1 7 4 2" xfId="2403" xr:uid="{00000000-0005-0000-0000-000052090000}"/>
    <cellStyle name="40% - Accent1 7 4 3" xfId="3681" xr:uid="{00000000-0005-0000-0000-000053090000}"/>
    <cellStyle name="40% - Accent1 7 4 4" xfId="4968" xr:uid="{00000000-0005-0000-0000-000054090000}"/>
    <cellStyle name="40% - Accent1 7 5" xfId="1551" xr:uid="{00000000-0005-0000-0000-000055090000}"/>
    <cellStyle name="40% - Accent1 7 6" xfId="2829" xr:uid="{00000000-0005-0000-0000-000056090000}"/>
    <cellStyle name="40% - Accent1 7 7" xfId="4116" xr:uid="{00000000-0005-0000-0000-000057090000}"/>
    <cellStyle name="40% - Accent1 8" xfId="356" xr:uid="{00000000-0005-0000-0000-000058090000}"/>
    <cellStyle name="40% - Accent1 8 2" xfId="782" xr:uid="{00000000-0005-0000-0000-000059090000}"/>
    <cellStyle name="40% - Accent1 8 2 2" xfId="2074" xr:uid="{00000000-0005-0000-0000-00005A090000}"/>
    <cellStyle name="40% - Accent1 8 2 3" xfId="3352" xr:uid="{00000000-0005-0000-0000-00005B090000}"/>
    <cellStyle name="40% - Accent1 8 2 4" xfId="4639" xr:uid="{00000000-0005-0000-0000-00005C090000}"/>
    <cellStyle name="40% - Accent1 8 3" xfId="1208" xr:uid="{00000000-0005-0000-0000-00005D090000}"/>
    <cellStyle name="40% - Accent1 8 3 2" xfId="2500" xr:uid="{00000000-0005-0000-0000-00005E090000}"/>
    <cellStyle name="40% - Accent1 8 3 3" xfId="3778" xr:uid="{00000000-0005-0000-0000-00005F090000}"/>
    <cellStyle name="40% - Accent1 8 3 4" xfId="5065" xr:uid="{00000000-0005-0000-0000-000060090000}"/>
    <cellStyle name="40% - Accent1 8 4" xfId="1648" xr:uid="{00000000-0005-0000-0000-000061090000}"/>
    <cellStyle name="40% - Accent1 8 5" xfId="2926" xr:uid="{00000000-0005-0000-0000-000062090000}"/>
    <cellStyle name="40% - Accent1 8 6" xfId="4213" xr:uid="{00000000-0005-0000-0000-000063090000}"/>
    <cellStyle name="40% - Accent1 9" xfId="569" xr:uid="{00000000-0005-0000-0000-000064090000}"/>
    <cellStyle name="40% - Accent1 9 2" xfId="1861" xr:uid="{00000000-0005-0000-0000-000065090000}"/>
    <cellStyle name="40% - Accent1 9 3" xfId="3139" xr:uid="{00000000-0005-0000-0000-000066090000}"/>
    <cellStyle name="40% - Accent1 9 4" xfId="4426" xr:uid="{00000000-0005-0000-0000-000067090000}"/>
    <cellStyle name="40% - Accent2" xfId="63" builtinId="35" customBuiltin="1"/>
    <cellStyle name="40% - Accent2 10" xfId="1007" xr:uid="{00000000-0005-0000-0000-000069090000}"/>
    <cellStyle name="40% - Accent2 10 2" xfId="2299" xr:uid="{00000000-0005-0000-0000-00006A090000}"/>
    <cellStyle name="40% - Accent2 10 3" xfId="3577" xr:uid="{00000000-0005-0000-0000-00006B090000}"/>
    <cellStyle name="40% - Accent2 10 4" xfId="4864" xr:uid="{00000000-0005-0000-0000-00006C090000}"/>
    <cellStyle name="40% - Accent2 11" xfId="1447" xr:uid="{00000000-0005-0000-0000-00006D090000}"/>
    <cellStyle name="40% - Accent2 12" xfId="2725" xr:uid="{00000000-0005-0000-0000-00006E090000}"/>
    <cellStyle name="40% - Accent2 13" xfId="4012" xr:uid="{00000000-0005-0000-0000-00006F090000}"/>
    <cellStyle name="40% - Accent2 14" xfId="5262" xr:uid="{00000000-0005-0000-0000-000070090000}"/>
    <cellStyle name="40% - Accent2 2" xfId="17" xr:uid="{00000000-0005-0000-0000-000071090000}"/>
    <cellStyle name="40% - Accent2 2 10" xfId="1448" xr:uid="{00000000-0005-0000-0000-000072090000}"/>
    <cellStyle name="40% - Accent2 2 11" xfId="2726" xr:uid="{00000000-0005-0000-0000-000073090000}"/>
    <cellStyle name="40% - Accent2 2 12" xfId="4013" xr:uid="{00000000-0005-0000-0000-000074090000}"/>
    <cellStyle name="40% - Accent2 2 13" xfId="5263" xr:uid="{00000000-0005-0000-0000-000075090000}"/>
    <cellStyle name="40% - Accent2 2 2" xfId="153" xr:uid="{00000000-0005-0000-0000-000076090000}"/>
    <cellStyle name="40% - Accent2 2 2 2" xfId="154" xr:uid="{00000000-0005-0000-0000-000077090000}"/>
    <cellStyle name="40% - Accent2 2 2 2 2" xfId="371" xr:uid="{00000000-0005-0000-0000-000078090000}"/>
    <cellStyle name="40% - Accent2 2 2 2 2 2" xfId="797" xr:uid="{00000000-0005-0000-0000-000079090000}"/>
    <cellStyle name="40% - Accent2 2 2 2 2 2 2" xfId="2089" xr:uid="{00000000-0005-0000-0000-00007A090000}"/>
    <cellStyle name="40% - Accent2 2 2 2 2 2 3" xfId="3367" xr:uid="{00000000-0005-0000-0000-00007B090000}"/>
    <cellStyle name="40% - Accent2 2 2 2 2 2 4" xfId="4654" xr:uid="{00000000-0005-0000-0000-00007C090000}"/>
    <cellStyle name="40% - Accent2 2 2 2 2 3" xfId="1223" xr:uid="{00000000-0005-0000-0000-00007D090000}"/>
    <cellStyle name="40% - Accent2 2 2 2 2 3 2" xfId="2515" xr:uid="{00000000-0005-0000-0000-00007E090000}"/>
    <cellStyle name="40% - Accent2 2 2 2 2 3 3" xfId="3793" xr:uid="{00000000-0005-0000-0000-00007F090000}"/>
    <cellStyle name="40% - Accent2 2 2 2 2 3 4" xfId="5080" xr:uid="{00000000-0005-0000-0000-000080090000}"/>
    <cellStyle name="40% - Accent2 2 2 2 2 4" xfId="1663" xr:uid="{00000000-0005-0000-0000-000081090000}"/>
    <cellStyle name="40% - Accent2 2 2 2 2 5" xfId="2941" xr:uid="{00000000-0005-0000-0000-000082090000}"/>
    <cellStyle name="40% - Accent2 2 2 2 2 6" xfId="4228" xr:uid="{00000000-0005-0000-0000-000083090000}"/>
    <cellStyle name="40% - Accent2 2 2 2 3" xfId="584" xr:uid="{00000000-0005-0000-0000-000084090000}"/>
    <cellStyle name="40% - Accent2 2 2 2 3 2" xfId="1876" xr:uid="{00000000-0005-0000-0000-000085090000}"/>
    <cellStyle name="40% - Accent2 2 2 2 3 3" xfId="3154" xr:uid="{00000000-0005-0000-0000-000086090000}"/>
    <cellStyle name="40% - Accent2 2 2 2 3 4" xfId="4441" xr:uid="{00000000-0005-0000-0000-000087090000}"/>
    <cellStyle name="40% - Accent2 2 2 2 4" xfId="1010" xr:uid="{00000000-0005-0000-0000-000088090000}"/>
    <cellStyle name="40% - Accent2 2 2 2 4 2" xfId="2302" xr:uid="{00000000-0005-0000-0000-000089090000}"/>
    <cellStyle name="40% - Accent2 2 2 2 4 3" xfId="3580" xr:uid="{00000000-0005-0000-0000-00008A090000}"/>
    <cellStyle name="40% - Accent2 2 2 2 4 4" xfId="4867" xr:uid="{00000000-0005-0000-0000-00008B090000}"/>
    <cellStyle name="40% - Accent2 2 2 2 5" xfId="1450" xr:uid="{00000000-0005-0000-0000-00008C090000}"/>
    <cellStyle name="40% - Accent2 2 2 2 6" xfId="2728" xr:uid="{00000000-0005-0000-0000-00008D090000}"/>
    <cellStyle name="40% - Accent2 2 2 2 7" xfId="4015" xr:uid="{00000000-0005-0000-0000-00008E090000}"/>
    <cellStyle name="40% - Accent2 2 2 2 8" xfId="5265" xr:uid="{00000000-0005-0000-0000-00008F090000}"/>
    <cellStyle name="40% - Accent2 2 2 3" xfId="370" xr:uid="{00000000-0005-0000-0000-000090090000}"/>
    <cellStyle name="40% - Accent2 2 2 3 2" xfId="796" xr:uid="{00000000-0005-0000-0000-000091090000}"/>
    <cellStyle name="40% - Accent2 2 2 3 2 2" xfId="2088" xr:uid="{00000000-0005-0000-0000-000092090000}"/>
    <cellStyle name="40% - Accent2 2 2 3 2 3" xfId="3366" xr:uid="{00000000-0005-0000-0000-000093090000}"/>
    <cellStyle name="40% - Accent2 2 2 3 2 4" xfId="4653" xr:uid="{00000000-0005-0000-0000-000094090000}"/>
    <cellStyle name="40% - Accent2 2 2 3 3" xfId="1222" xr:uid="{00000000-0005-0000-0000-000095090000}"/>
    <cellStyle name="40% - Accent2 2 2 3 3 2" xfId="2514" xr:uid="{00000000-0005-0000-0000-000096090000}"/>
    <cellStyle name="40% - Accent2 2 2 3 3 3" xfId="3792" xr:uid="{00000000-0005-0000-0000-000097090000}"/>
    <cellStyle name="40% - Accent2 2 2 3 3 4" xfId="5079" xr:uid="{00000000-0005-0000-0000-000098090000}"/>
    <cellStyle name="40% - Accent2 2 2 3 4" xfId="1662" xr:uid="{00000000-0005-0000-0000-000099090000}"/>
    <cellStyle name="40% - Accent2 2 2 3 5" xfId="2940" xr:uid="{00000000-0005-0000-0000-00009A090000}"/>
    <cellStyle name="40% - Accent2 2 2 3 6" xfId="4227" xr:uid="{00000000-0005-0000-0000-00009B090000}"/>
    <cellStyle name="40% - Accent2 2 2 4" xfId="583" xr:uid="{00000000-0005-0000-0000-00009C090000}"/>
    <cellStyle name="40% - Accent2 2 2 4 2" xfId="1875" xr:uid="{00000000-0005-0000-0000-00009D090000}"/>
    <cellStyle name="40% - Accent2 2 2 4 3" xfId="3153" xr:uid="{00000000-0005-0000-0000-00009E090000}"/>
    <cellStyle name="40% - Accent2 2 2 4 4" xfId="4440" xr:uid="{00000000-0005-0000-0000-00009F090000}"/>
    <cellStyle name="40% - Accent2 2 2 5" xfId="1009" xr:uid="{00000000-0005-0000-0000-0000A0090000}"/>
    <cellStyle name="40% - Accent2 2 2 5 2" xfId="2301" xr:uid="{00000000-0005-0000-0000-0000A1090000}"/>
    <cellStyle name="40% - Accent2 2 2 5 3" xfId="3579" xr:uid="{00000000-0005-0000-0000-0000A2090000}"/>
    <cellStyle name="40% - Accent2 2 2 5 4" xfId="4866" xr:uid="{00000000-0005-0000-0000-0000A3090000}"/>
    <cellStyle name="40% - Accent2 2 2 6" xfId="1449" xr:uid="{00000000-0005-0000-0000-0000A4090000}"/>
    <cellStyle name="40% - Accent2 2 2 7" xfId="2727" xr:uid="{00000000-0005-0000-0000-0000A5090000}"/>
    <cellStyle name="40% - Accent2 2 2 8" xfId="4014" xr:uid="{00000000-0005-0000-0000-0000A6090000}"/>
    <cellStyle name="40% - Accent2 2 2 9" xfId="5264" xr:uid="{00000000-0005-0000-0000-0000A7090000}"/>
    <cellStyle name="40% - Accent2 2 3" xfId="155" xr:uid="{00000000-0005-0000-0000-0000A8090000}"/>
    <cellStyle name="40% - Accent2 2 3 2" xfId="372" xr:uid="{00000000-0005-0000-0000-0000A9090000}"/>
    <cellStyle name="40% - Accent2 2 3 2 2" xfId="798" xr:uid="{00000000-0005-0000-0000-0000AA090000}"/>
    <cellStyle name="40% - Accent2 2 3 2 2 2" xfId="2090" xr:uid="{00000000-0005-0000-0000-0000AB090000}"/>
    <cellStyle name="40% - Accent2 2 3 2 2 3" xfId="3368" xr:uid="{00000000-0005-0000-0000-0000AC090000}"/>
    <cellStyle name="40% - Accent2 2 3 2 2 4" xfId="4655" xr:uid="{00000000-0005-0000-0000-0000AD090000}"/>
    <cellStyle name="40% - Accent2 2 3 2 3" xfId="1224" xr:uid="{00000000-0005-0000-0000-0000AE090000}"/>
    <cellStyle name="40% - Accent2 2 3 2 3 2" xfId="2516" xr:uid="{00000000-0005-0000-0000-0000AF090000}"/>
    <cellStyle name="40% - Accent2 2 3 2 3 3" xfId="3794" xr:uid="{00000000-0005-0000-0000-0000B0090000}"/>
    <cellStyle name="40% - Accent2 2 3 2 3 4" xfId="5081" xr:uid="{00000000-0005-0000-0000-0000B1090000}"/>
    <cellStyle name="40% - Accent2 2 3 2 4" xfId="1664" xr:uid="{00000000-0005-0000-0000-0000B2090000}"/>
    <cellStyle name="40% - Accent2 2 3 2 5" xfId="2942" xr:uid="{00000000-0005-0000-0000-0000B3090000}"/>
    <cellStyle name="40% - Accent2 2 3 2 6" xfId="4229" xr:uid="{00000000-0005-0000-0000-0000B4090000}"/>
    <cellStyle name="40% - Accent2 2 3 3" xfId="585" xr:uid="{00000000-0005-0000-0000-0000B5090000}"/>
    <cellStyle name="40% - Accent2 2 3 3 2" xfId="1877" xr:uid="{00000000-0005-0000-0000-0000B6090000}"/>
    <cellStyle name="40% - Accent2 2 3 3 3" xfId="3155" xr:uid="{00000000-0005-0000-0000-0000B7090000}"/>
    <cellStyle name="40% - Accent2 2 3 3 4" xfId="4442" xr:uid="{00000000-0005-0000-0000-0000B8090000}"/>
    <cellStyle name="40% - Accent2 2 3 4" xfId="1011" xr:uid="{00000000-0005-0000-0000-0000B9090000}"/>
    <cellStyle name="40% - Accent2 2 3 4 2" xfId="2303" xr:uid="{00000000-0005-0000-0000-0000BA090000}"/>
    <cellStyle name="40% - Accent2 2 3 4 3" xfId="3581" xr:uid="{00000000-0005-0000-0000-0000BB090000}"/>
    <cellStyle name="40% - Accent2 2 3 4 4" xfId="4868" xr:uid="{00000000-0005-0000-0000-0000BC090000}"/>
    <cellStyle name="40% - Accent2 2 3 5" xfId="1451" xr:uid="{00000000-0005-0000-0000-0000BD090000}"/>
    <cellStyle name="40% - Accent2 2 3 6" xfId="2729" xr:uid="{00000000-0005-0000-0000-0000BE090000}"/>
    <cellStyle name="40% - Accent2 2 3 7" xfId="4016" xr:uid="{00000000-0005-0000-0000-0000BF090000}"/>
    <cellStyle name="40% - Accent2 2 3 8" xfId="5266" xr:uid="{00000000-0005-0000-0000-0000C0090000}"/>
    <cellStyle name="40% - Accent2 2 4" xfId="156" xr:uid="{00000000-0005-0000-0000-0000C1090000}"/>
    <cellStyle name="40% - Accent2 2 4 2" xfId="373" xr:uid="{00000000-0005-0000-0000-0000C2090000}"/>
    <cellStyle name="40% - Accent2 2 4 2 2" xfId="799" xr:uid="{00000000-0005-0000-0000-0000C3090000}"/>
    <cellStyle name="40% - Accent2 2 4 2 2 2" xfId="2091" xr:uid="{00000000-0005-0000-0000-0000C4090000}"/>
    <cellStyle name="40% - Accent2 2 4 2 2 3" xfId="3369" xr:uid="{00000000-0005-0000-0000-0000C5090000}"/>
    <cellStyle name="40% - Accent2 2 4 2 2 4" xfId="4656" xr:uid="{00000000-0005-0000-0000-0000C6090000}"/>
    <cellStyle name="40% - Accent2 2 4 2 3" xfId="1225" xr:uid="{00000000-0005-0000-0000-0000C7090000}"/>
    <cellStyle name="40% - Accent2 2 4 2 3 2" xfId="2517" xr:uid="{00000000-0005-0000-0000-0000C8090000}"/>
    <cellStyle name="40% - Accent2 2 4 2 3 3" xfId="3795" xr:uid="{00000000-0005-0000-0000-0000C9090000}"/>
    <cellStyle name="40% - Accent2 2 4 2 3 4" xfId="5082" xr:uid="{00000000-0005-0000-0000-0000CA090000}"/>
    <cellStyle name="40% - Accent2 2 4 2 4" xfId="1665" xr:uid="{00000000-0005-0000-0000-0000CB090000}"/>
    <cellStyle name="40% - Accent2 2 4 2 5" xfId="2943" xr:uid="{00000000-0005-0000-0000-0000CC090000}"/>
    <cellStyle name="40% - Accent2 2 4 2 6" xfId="4230" xr:uid="{00000000-0005-0000-0000-0000CD090000}"/>
    <cellStyle name="40% - Accent2 2 4 3" xfId="586" xr:uid="{00000000-0005-0000-0000-0000CE090000}"/>
    <cellStyle name="40% - Accent2 2 4 3 2" xfId="1878" xr:uid="{00000000-0005-0000-0000-0000CF090000}"/>
    <cellStyle name="40% - Accent2 2 4 3 3" xfId="3156" xr:uid="{00000000-0005-0000-0000-0000D0090000}"/>
    <cellStyle name="40% - Accent2 2 4 3 4" xfId="4443" xr:uid="{00000000-0005-0000-0000-0000D1090000}"/>
    <cellStyle name="40% - Accent2 2 4 4" xfId="1012" xr:uid="{00000000-0005-0000-0000-0000D2090000}"/>
    <cellStyle name="40% - Accent2 2 4 4 2" xfId="2304" xr:uid="{00000000-0005-0000-0000-0000D3090000}"/>
    <cellStyle name="40% - Accent2 2 4 4 3" xfId="3582" xr:uid="{00000000-0005-0000-0000-0000D4090000}"/>
    <cellStyle name="40% - Accent2 2 4 4 4" xfId="4869" xr:uid="{00000000-0005-0000-0000-0000D5090000}"/>
    <cellStyle name="40% - Accent2 2 4 5" xfId="1452" xr:uid="{00000000-0005-0000-0000-0000D6090000}"/>
    <cellStyle name="40% - Accent2 2 4 6" xfId="2730" xr:uid="{00000000-0005-0000-0000-0000D7090000}"/>
    <cellStyle name="40% - Accent2 2 4 7" xfId="4017" xr:uid="{00000000-0005-0000-0000-0000D8090000}"/>
    <cellStyle name="40% - Accent2 2 5" xfId="157" xr:uid="{00000000-0005-0000-0000-0000D9090000}"/>
    <cellStyle name="40% - Accent2 2 5 2" xfId="374" xr:uid="{00000000-0005-0000-0000-0000DA090000}"/>
    <cellStyle name="40% - Accent2 2 5 2 2" xfId="800" xr:uid="{00000000-0005-0000-0000-0000DB090000}"/>
    <cellStyle name="40% - Accent2 2 5 2 2 2" xfId="2092" xr:uid="{00000000-0005-0000-0000-0000DC090000}"/>
    <cellStyle name="40% - Accent2 2 5 2 2 3" xfId="3370" xr:uid="{00000000-0005-0000-0000-0000DD090000}"/>
    <cellStyle name="40% - Accent2 2 5 2 2 4" xfId="4657" xr:uid="{00000000-0005-0000-0000-0000DE090000}"/>
    <cellStyle name="40% - Accent2 2 5 2 3" xfId="1226" xr:uid="{00000000-0005-0000-0000-0000DF090000}"/>
    <cellStyle name="40% - Accent2 2 5 2 3 2" xfId="2518" xr:uid="{00000000-0005-0000-0000-0000E0090000}"/>
    <cellStyle name="40% - Accent2 2 5 2 3 3" xfId="3796" xr:uid="{00000000-0005-0000-0000-0000E1090000}"/>
    <cellStyle name="40% - Accent2 2 5 2 3 4" xfId="5083" xr:uid="{00000000-0005-0000-0000-0000E2090000}"/>
    <cellStyle name="40% - Accent2 2 5 2 4" xfId="1666" xr:uid="{00000000-0005-0000-0000-0000E3090000}"/>
    <cellStyle name="40% - Accent2 2 5 2 5" xfId="2944" xr:uid="{00000000-0005-0000-0000-0000E4090000}"/>
    <cellStyle name="40% - Accent2 2 5 2 6" xfId="4231" xr:uid="{00000000-0005-0000-0000-0000E5090000}"/>
    <cellStyle name="40% - Accent2 2 5 3" xfId="587" xr:uid="{00000000-0005-0000-0000-0000E6090000}"/>
    <cellStyle name="40% - Accent2 2 5 3 2" xfId="1879" xr:uid="{00000000-0005-0000-0000-0000E7090000}"/>
    <cellStyle name="40% - Accent2 2 5 3 3" xfId="3157" xr:uid="{00000000-0005-0000-0000-0000E8090000}"/>
    <cellStyle name="40% - Accent2 2 5 3 4" xfId="4444" xr:uid="{00000000-0005-0000-0000-0000E9090000}"/>
    <cellStyle name="40% - Accent2 2 5 4" xfId="1013" xr:uid="{00000000-0005-0000-0000-0000EA090000}"/>
    <cellStyle name="40% - Accent2 2 5 4 2" xfId="2305" xr:uid="{00000000-0005-0000-0000-0000EB090000}"/>
    <cellStyle name="40% - Accent2 2 5 4 3" xfId="3583" xr:uid="{00000000-0005-0000-0000-0000EC090000}"/>
    <cellStyle name="40% - Accent2 2 5 4 4" xfId="4870" xr:uid="{00000000-0005-0000-0000-0000ED090000}"/>
    <cellStyle name="40% - Accent2 2 5 5" xfId="1453" xr:uid="{00000000-0005-0000-0000-0000EE090000}"/>
    <cellStyle name="40% - Accent2 2 5 6" xfId="2731" xr:uid="{00000000-0005-0000-0000-0000EF090000}"/>
    <cellStyle name="40% - Accent2 2 5 7" xfId="4018" xr:uid="{00000000-0005-0000-0000-0000F0090000}"/>
    <cellStyle name="40% - Accent2 2 6" xfId="272" xr:uid="{00000000-0005-0000-0000-0000F1090000}"/>
    <cellStyle name="40% - Accent2 2 6 2" xfId="485" xr:uid="{00000000-0005-0000-0000-0000F2090000}"/>
    <cellStyle name="40% - Accent2 2 6 2 2" xfId="910" xr:uid="{00000000-0005-0000-0000-0000F3090000}"/>
    <cellStyle name="40% - Accent2 2 6 2 2 2" xfId="2202" xr:uid="{00000000-0005-0000-0000-0000F4090000}"/>
    <cellStyle name="40% - Accent2 2 6 2 2 3" xfId="3480" xr:uid="{00000000-0005-0000-0000-0000F5090000}"/>
    <cellStyle name="40% - Accent2 2 6 2 2 4" xfId="4767" xr:uid="{00000000-0005-0000-0000-0000F6090000}"/>
    <cellStyle name="40% - Accent2 2 6 2 3" xfId="1336" xr:uid="{00000000-0005-0000-0000-0000F7090000}"/>
    <cellStyle name="40% - Accent2 2 6 2 3 2" xfId="2628" xr:uid="{00000000-0005-0000-0000-0000F8090000}"/>
    <cellStyle name="40% - Accent2 2 6 2 3 3" xfId="3906" xr:uid="{00000000-0005-0000-0000-0000F9090000}"/>
    <cellStyle name="40% - Accent2 2 6 2 3 4" xfId="5193" xr:uid="{00000000-0005-0000-0000-0000FA090000}"/>
    <cellStyle name="40% - Accent2 2 6 2 4" xfId="1776" xr:uid="{00000000-0005-0000-0000-0000FB090000}"/>
    <cellStyle name="40% - Accent2 2 6 2 5" xfId="3054" xr:uid="{00000000-0005-0000-0000-0000FC090000}"/>
    <cellStyle name="40% - Accent2 2 6 2 6" xfId="4341" xr:uid="{00000000-0005-0000-0000-0000FD090000}"/>
    <cellStyle name="40% - Accent2 2 6 3" xfId="697" xr:uid="{00000000-0005-0000-0000-0000FE090000}"/>
    <cellStyle name="40% - Accent2 2 6 3 2" xfId="1989" xr:uid="{00000000-0005-0000-0000-0000FF090000}"/>
    <cellStyle name="40% - Accent2 2 6 3 3" xfId="3267" xr:uid="{00000000-0005-0000-0000-0000000A0000}"/>
    <cellStyle name="40% - Accent2 2 6 3 4" xfId="4554" xr:uid="{00000000-0005-0000-0000-0000010A0000}"/>
    <cellStyle name="40% - Accent2 2 6 4" xfId="1123" xr:uid="{00000000-0005-0000-0000-0000020A0000}"/>
    <cellStyle name="40% - Accent2 2 6 4 2" xfId="2415" xr:uid="{00000000-0005-0000-0000-0000030A0000}"/>
    <cellStyle name="40% - Accent2 2 6 4 3" xfId="3693" xr:uid="{00000000-0005-0000-0000-0000040A0000}"/>
    <cellStyle name="40% - Accent2 2 6 4 4" xfId="4980" xr:uid="{00000000-0005-0000-0000-0000050A0000}"/>
    <cellStyle name="40% - Accent2 2 6 5" xfId="1563" xr:uid="{00000000-0005-0000-0000-0000060A0000}"/>
    <cellStyle name="40% - Accent2 2 6 6" xfId="2841" xr:uid="{00000000-0005-0000-0000-0000070A0000}"/>
    <cellStyle name="40% - Accent2 2 6 7" xfId="4128" xr:uid="{00000000-0005-0000-0000-0000080A0000}"/>
    <cellStyle name="40% - Accent2 2 7" xfId="369" xr:uid="{00000000-0005-0000-0000-0000090A0000}"/>
    <cellStyle name="40% - Accent2 2 7 2" xfId="795" xr:uid="{00000000-0005-0000-0000-00000A0A0000}"/>
    <cellStyle name="40% - Accent2 2 7 2 2" xfId="2087" xr:uid="{00000000-0005-0000-0000-00000B0A0000}"/>
    <cellStyle name="40% - Accent2 2 7 2 3" xfId="3365" xr:uid="{00000000-0005-0000-0000-00000C0A0000}"/>
    <cellStyle name="40% - Accent2 2 7 2 4" xfId="4652" xr:uid="{00000000-0005-0000-0000-00000D0A0000}"/>
    <cellStyle name="40% - Accent2 2 7 3" xfId="1221" xr:uid="{00000000-0005-0000-0000-00000E0A0000}"/>
    <cellStyle name="40% - Accent2 2 7 3 2" xfId="2513" xr:uid="{00000000-0005-0000-0000-00000F0A0000}"/>
    <cellStyle name="40% - Accent2 2 7 3 3" xfId="3791" xr:uid="{00000000-0005-0000-0000-0000100A0000}"/>
    <cellStyle name="40% - Accent2 2 7 3 4" xfId="5078" xr:uid="{00000000-0005-0000-0000-0000110A0000}"/>
    <cellStyle name="40% - Accent2 2 7 4" xfId="1661" xr:uid="{00000000-0005-0000-0000-0000120A0000}"/>
    <cellStyle name="40% - Accent2 2 7 5" xfId="2939" xr:uid="{00000000-0005-0000-0000-0000130A0000}"/>
    <cellStyle name="40% - Accent2 2 7 6" xfId="4226" xr:uid="{00000000-0005-0000-0000-0000140A0000}"/>
    <cellStyle name="40% - Accent2 2 8" xfId="582" xr:uid="{00000000-0005-0000-0000-0000150A0000}"/>
    <cellStyle name="40% - Accent2 2 8 2" xfId="1874" xr:uid="{00000000-0005-0000-0000-0000160A0000}"/>
    <cellStyle name="40% - Accent2 2 8 3" xfId="3152" xr:uid="{00000000-0005-0000-0000-0000170A0000}"/>
    <cellStyle name="40% - Accent2 2 8 4" xfId="4439" xr:uid="{00000000-0005-0000-0000-0000180A0000}"/>
    <cellStyle name="40% - Accent2 2 9" xfId="1008" xr:uid="{00000000-0005-0000-0000-0000190A0000}"/>
    <cellStyle name="40% - Accent2 2 9 2" xfId="2300" xr:uid="{00000000-0005-0000-0000-00001A0A0000}"/>
    <cellStyle name="40% - Accent2 2 9 3" xfId="3578" xr:uid="{00000000-0005-0000-0000-00001B0A0000}"/>
    <cellStyle name="40% - Accent2 2 9 4" xfId="4865" xr:uid="{00000000-0005-0000-0000-00001C0A0000}"/>
    <cellStyle name="40% - Accent2 3" xfId="158" xr:uid="{00000000-0005-0000-0000-00001D0A0000}"/>
    <cellStyle name="40% - Accent2 3 2" xfId="159" xr:uid="{00000000-0005-0000-0000-00001E0A0000}"/>
    <cellStyle name="40% - Accent2 3 2 2" xfId="376" xr:uid="{00000000-0005-0000-0000-00001F0A0000}"/>
    <cellStyle name="40% - Accent2 3 2 2 2" xfId="802" xr:uid="{00000000-0005-0000-0000-0000200A0000}"/>
    <cellStyle name="40% - Accent2 3 2 2 2 2" xfId="2094" xr:uid="{00000000-0005-0000-0000-0000210A0000}"/>
    <cellStyle name="40% - Accent2 3 2 2 2 3" xfId="3372" xr:uid="{00000000-0005-0000-0000-0000220A0000}"/>
    <cellStyle name="40% - Accent2 3 2 2 2 4" xfId="4659" xr:uid="{00000000-0005-0000-0000-0000230A0000}"/>
    <cellStyle name="40% - Accent2 3 2 2 3" xfId="1228" xr:uid="{00000000-0005-0000-0000-0000240A0000}"/>
    <cellStyle name="40% - Accent2 3 2 2 3 2" xfId="2520" xr:uid="{00000000-0005-0000-0000-0000250A0000}"/>
    <cellStyle name="40% - Accent2 3 2 2 3 3" xfId="3798" xr:uid="{00000000-0005-0000-0000-0000260A0000}"/>
    <cellStyle name="40% - Accent2 3 2 2 3 4" xfId="5085" xr:uid="{00000000-0005-0000-0000-0000270A0000}"/>
    <cellStyle name="40% - Accent2 3 2 2 4" xfId="1668" xr:uid="{00000000-0005-0000-0000-0000280A0000}"/>
    <cellStyle name="40% - Accent2 3 2 2 5" xfId="2946" xr:uid="{00000000-0005-0000-0000-0000290A0000}"/>
    <cellStyle name="40% - Accent2 3 2 2 6" xfId="4233" xr:uid="{00000000-0005-0000-0000-00002A0A0000}"/>
    <cellStyle name="40% - Accent2 3 2 3" xfId="589" xr:uid="{00000000-0005-0000-0000-00002B0A0000}"/>
    <cellStyle name="40% - Accent2 3 2 3 2" xfId="1881" xr:uid="{00000000-0005-0000-0000-00002C0A0000}"/>
    <cellStyle name="40% - Accent2 3 2 3 3" xfId="3159" xr:uid="{00000000-0005-0000-0000-00002D0A0000}"/>
    <cellStyle name="40% - Accent2 3 2 3 4" xfId="4446" xr:uid="{00000000-0005-0000-0000-00002E0A0000}"/>
    <cellStyle name="40% - Accent2 3 2 4" xfId="1015" xr:uid="{00000000-0005-0000-0000-00002F0A0000}"/>
    <cellStyle name="40% - Accent2 3 2 4 2" xfId="2307" xr:uid="{00000000-0005-0000-0000-0000300A0000}"/>
    <cellStyle name="40% - Accent2 3 2 4 3" xfId="3585" xr:uid="{00000000-0005-0000-0000-0000310A0000}"/>
    <cellStyle name="40% - Accent2 3 2 4 4" xfId="4872" xr:uid="{00000000-0005-0000-0000-0000320A0000}"/>
    <cellStyle name="40% - Accent2 3 2 5" xfId="1455" xr:uid="{00000000-0005-0000-0000-0000330A0000}"/>
    <cellStyle name="40% - Accent2 3 2 6" xfId="2733" xr:uid="{00000000-0005-0000-0000-0000340A0000}"/>
    <cellStyle name="40% - Accent2 3 2 7" xfId="4020" xr:uid="{00000000-0005-0000-0000-0000350A0000}"/>
    <cellStyle name="40% - Accent2 3 2 8" xfId="5268" xr:uid="{00000000-0005-0000-0000-0000360A0000}"/>
    <cellStyle name="40% - Accent2 3 3" xfId="375" xr:uid="{00000000-0005-0000-0000-0000370A0000}"/>
    <cellStyle name="40% - Accent2 3 3 2" xfId="801" xr:uid="{00000000-0005-0000-0000-0000380A0000}"/>
    <cellStyle name="40% - Accent2 3 3 2 2" xfId="2093" xr:uid="{00000000-0005-0000-0000-0000390A0000}"/>
    <cellStyle name="40% - Accent2 3 3 2 3" xfId="3371" xr:uid="{00000000-0005-0000-0000-00003A0A0000}"/>
    <cellStyle name="40% - Accent2 3 3 2 4" xfId="4658" xr:uid="{00000000-0005-0000-0000-00003B0A0000}"/>
    <cellStyle name="40% - Accent2 3 3 3" xfId="1227" xr:uid="{00000000-0005-0000-0000-00003C0A0000}"/>
    <cellStyle name="40% - Accent2 3 3 3 2" xfId="2519" xr:uid="{00000000-0005-0000-0000-00003D0A0000}"/>
    <cellStyle name="40% - Accent2 3 3 3 3" xfId="3797" xr:uid="{00000000-0005-0000-0000-00003E0A0000}"/>
    <cellStyle name="40% - Accent2 3 3 3 4" xfId="5084" xr:uid="{00000000-0005-0000-0000-00003F0A0000}"/>
    <cellStyle name="40% - Accent2 3 3 4" xfId="1667" xr:uid="{00000000-0005-0000-0000-0000400A0000}"/>
    <cellStyle name="40% - Accent2 3 3 5" xfId="2945" xr:uid="{00000000-0005-0000-0000-0000410A0000}"/>
    <cellStyle name="40% - Accent2 3 3 6" xfId="4232" xr:uid="{00000000-0005-0000-0000-0000420A0000}"/>
    <cellStyle name="40% - Accent2 3 4" xfId="588" xr:uid="{00000000-0005-0000-0000-0000430A0000}"/>
    <cellStyle name="40% - Accent2 3 4 2" xfId="1880" xr:uid="{00000000-0005-0000-0000-0000440A0000}"/>
    <cellStyle name="40% - Accent2 3 4 3" xfId="3158" xr:uid="{00000000-0005-0000-0000-0000450A0000}"/>
    <cellStyle name="40% - Accent2 3 4 4" xfId="4445" xr:uid="{00000000-0005-0000-0000-0000460A0000}"/>
    <cellStyle name="40% - Accent2 3 5" xfId="1014" xr:uid="{00000000-0005-0000-0000-0000470A0000}"/>
    <cellStyle name="40% - Accent2 3 5 2" xfId="2306" xr:uid="{00000000-0005-0000-0000-0000480A0000}"/>
    <cellStyle name="40% - Accent2 3 5 3" xfId="3584" xr:uid="{00000000-0005-0000-0000-0000490A0000}"/>
    <cellStyle name="40% - Accent2 3 5 4" xfId="4871" xr:uid="{00000000-0005-0000-0000-00004A0A0000}"/>
    <cellStyle name="40% - Accent2 3 6" xfId="1454" xr:uid="{00000000-0005-0000-0000-00004B0A0000}"/>
    <cellStyle name="40% - Accent2 3 7" xfId="2732" xr:uid="{00000000-0005-0000-0000-00004C0A0000}"/>
    <cellStyle name="40% - Accent2 3 8" xfId="4019" xr:uid="{00000000-0005-0000-0000-00004D0A0000}"/>
    <cellStyle name="40% - Accent2 3 9" xfId="5267" xr:uid="{00000000-0005-0000-0000-00004E0A0000}"/>
    <cellStyle name="40% - Accent2 4" xfId="160" xr:uid="{00000000-0005-0000-0000-00004F0A0000}"/>
    <cellStyle name="40% - Accent2 4 2" xfId="377" xr:uid="{00000000-0005-0000-0000-0000500A0000}"/>
    <cellStyle name="40% - Accent2 4 2 2" xfId="803" xr:uid="{00000000-0005-0000-0000-0000510A0000}"/>
    <cellStyle name="40% - Accent2 4 2 2 2" xfId="2095" xr:uid="{00000000-0005-0000-0000-0000520A0000}"/>
    <cellStyle name="40% - Accent2 4 2 2 3" xfId="3373" xr:uid="{00000000-0005-0000-0000-0000530A0000}"/>
    <cellStyle name="40% - Accent2 4 2 2 4" xfId="4660" xr:uid="{00000000-0005-0000-0000-0000540A0000}"/>
    <cellStyle name="40% - Accent2 4 2 3" xfId="1229" xr:uid="{00000000-0005-0000-0000-0000550A0000}"/>
    <cellStyle name="40% - Accent2 4 2 3 2" xfId="2521" xr:uid="{00000000-0005-0000-0000-0000560A0000}"/>
    <cellStyle name="40% - Accent2 4 2 3 3" xfId="3799" xr:uid="{00000000-0005-0000-0000-0000570A0000}"/>
    <cellStyle name="40% - Accent2 4 2 3 4" xfId="5086" xr:uid="{00000000-0005-0000-0000-0000580A0000}"/>
    <cellStyle name="40% - Accent2 4 2 4" xfId="1669" xr:uid="{00000000-0005-0000-0000-0000590A0000}"/>
    <cellStyle name="40% - Accent2 4 2 5" xfId="2947" xr:uid="{00000000-0005-0000-0000-00005A0A0000}"/>
    <cellStyle name="40% - Accent2 4 2 6" xfId="4234" xr:uid="{00000000-0005-0000-0000-00005B0A0000}"/>
    <cellStyle name="40% - Accent2 4 3" xfId="590" xr:uid="{00000000-0005-0000-0000-00005C0A0000}"/>
    <cellStyle name="40% - Accent2 4 3 2" xfId="1882" xr:uid="{00000000-0005-0000-0000-00005D0A0000}"/>
    <cellStyle name="40% - Accent2 4 3 3" xfId="3160" xr:uid="{00000000-0005-0000-0000-00005E0A0000}"/>
    <cellStyle name="40% - Accent2 4 3 4" xfId="4447" xr:uid="{00000000-0005-0000-0000-00005F0A0000}"/>
    <cellStyle name="40% - Accent2 4 4" xfId="1016" xr:uid="{00000000-0005-0000-0000-0000600A0000}"/>
    <cellStyle name="40% - Accent2 4 4 2" xfId="2308" xr:uid="{00000000-0005-0000-0000-0000610A0000}"/>
    <cellStyle name="40% - Accent2 4 4 3" xfId="3586" xr:uid="{00000000-0005-0000-0000-0000620A0000}"/>
    <cellStyle name="40% - Accent2 4 4 4" xfId="4873" xr:uid="{00000000-0005-0000-0000-0000630A0000}"/>
    <cellStyle name="40% - Accent2 4 5" xfId="1456" xr:uid="{00000000-0005-0000-0000-0000640A0000}"/>
    <cellStyle name="40% - Accent2 4 6" xfId="2734" xr:uid="{00000000-0005-0000-0000-0000650A0000}"/>
    <cellStyle name="40% - Accent2 4 7" xfId="4021" xr:uid="{00000000-0005-0000-0000-0000660A0000}"/>
    <cellStyle name="40% - Accent2 4 8" xfId="5269" xr:uid="{00000000-0005-0000-0000-0000670A0000}"/>
    <cellStyle name="40% - Accent2 5" xfId="161" xr:uid="{00000000-0005-0000-0000-0000680A0000}"/>
    <cellStyle name="40% - Accent2 5 2" xfId="378" xr:uid="{00000000-0005-0000-0000-0000690A0000}"/>
    <cellStyle name="40% - Accent2 5 2 2" xfId="804" xr:uid="{00000000-0005-0000-0000-00006A0A0000}"/>
    <cellStyle name="40% - Accent2 5 2 2 2" xfId="2096" xr:uid="{00000000-0005-0000-0000-00006B0A0000}"/>
    <cellStyle name="40% - Accent2 5 2 2 3" xfId="3374" xr:uid="{00000000-0005-0000-0000-00006C0A0000}"/>
    <cellStyle name="40% - Accent2 5 2 2 4" xfId="4661" xr:uid="{00000000-0005-0000-0000-00006D0A0000}"/>
    <cellStyle name="40% - Accent2 5 2 3" xfId="1230" xr:uid="{00000000-0005-0000-0000-00006E0A0000}"/>
    <cellStyle name="40% - Accent2 5 2 3 2" xfId="2522" xr:uid="{00000000-0005-0000-0000-00006F0A0000}"/>
    <cellStyle name="40% - Accent2 5 2 3 3" xfId="3800" xr:uid="{00000000-0005-0000-0000-0000700A0000}"/>
    <cellStyle name="40% - Accent2 5 2 3 4" xfId="5087" xr:uid="{00000000-0005-0000-0000-0000710A0000}"/>
    <cellStyle name="40% - Accent2 5 2 4" xfId="1670" xr:uid="{00000000-0005-0000-0000-0000720A0000}"/>
    <cellStyle name="40% - Accent2 5 2 5" xfId="2948" xr:uid="{00000000-0005-0000-0000-0000730A0000}"/>
    <cellStyle name="40% - Accent2 5 2 6" xfId="4235" xr:uid="{00000000-0005-0000-0000-0000740A0000}"/>
    <cellStyle name="40% - Accent2 5 3" xfId="591" xr:uid="{00000000-0005-0000-0000-0000750A0000}"/>
    <cellStyle name="40% - Accent2 5 3 2" xfId="1883" xr:uid="{00000000-0005-0000-0000-0000760A0000}"/>
    <cellStyle name="40% - Accent2 5 3 3" xfId="3161" xr:uid="{00000000-0005-0000-0000-0000770A0000}"/>
    <cellStyle name="40% - Accent2 5 3 4" xfId="4448" xr:uid="{00000000-0005-0000-0000-0000780A0000}"/>
    <cellStyle name="40% - Accent2 5 4" xfId="1017" xr:uid="{00000000-0005-0000-0000-0000790A0000}"/>
    <cellStyle name="40% - Accent2 5 4 2" xfId="2309" xr:uid="{00000000-0005-0000-0000-00007A0A0000}"/>
    <cellStyle name="40% - Accent2 5 4 3" xfId="3587" xr:uid="{00000000-0005-0000-0000-00007B0A0000}"/>
    <cellStyle name="40% - Accent2 5 4 4" xfId="4874" xr:uid="{00000000-0005-0000-0000-00007C0A0000}"/>
    <cellStyle name="40% - Accent2 5 5" xfId="1457" xr:uid="{00000000-0005-0000-0000-00007D0A0000}"/>
    <cellStyle name="40% - Accent2 5 6" xfId="2735" xr:uid="{00000000-0005-0000-0000-00007E0A0000}"/>
    <cellStyle name="40% - Accent2 5 7" xfId="4022" xr:uid="{00000000-0005-0000-0000-00007F0A0000}"/>
    <cellStyle name="40% - Accent2 6" xfId="162" xr:uid="{00000000-0005-0000-0000-0000800A0000}"/>
    <cellStyle name="40% - Accent2 6 2" xfId="379" xr:uid="{00000000-0005-0000-0000-0000810A0000}"/>
    <cellStyle name="40% - Accent2 6 2 2" xfId="805" xr:uid="{00000000-0005-0000-0000-0000820A0000}"/>
    <cellStyle name="40% - Accent2 6 2 2 2" xfId="2097" xr:uid="{00000000-0005-0000-0000-0000830A0000}"/>
    <cellStyle name="40% - Accent2 6 2 2 3" xfId="3375" xr:uid="{00000000-0005-0000-0000-0000840A0000}"/>
    <cellStyle name="40% - Accent2 6 2 2 4" xfId="4662" xr:uid="{00000000-0005-0000-0000-0000850A0000}"/>
    <cellStyle name="40% - Accent2 6 2 3" xfId="1231" xr:uid="{00000000-0005-0000-0000-0000860A0000}"/>
    <cellStyle name="40% - Accent2 6 2 3 2" xfId="2523" xr:uid="{00000000-0005-0000-0000-0000870A0000}"/>
    <cellStyle name="40% - Accent2 6 2 3 3" xfId="3801" xr:uid="{00000000-0005-0000-0000-0000880A0000}"/>
    <cellStyle name="40% - Accent2 6 2 3 4" xfId="5088" xr:uid="{00000000-0005-0000-0000-0000890A0000}"/>
    <cellStyle name="40% - Accent2 6 2 4" xfId="1671" xr:uid="{00000000-0005-0000-0000-00008A0A0000}"/>
    <cellStyle name="40% - Accent2 6 2 5" xfId="2949" xr:uid="{00000000-0005-0000-0000-00008B0A0000}"/>
    <cellStyle name="40% - Accent2 6 2 6" xfId="4236" xr:uid="{00000000-0005-0000-0000-00008C0A0000}"/>
    <cellStyle name="40% - Accent2 6 3" xfId="592" xr:uid="{00000000-0005-0000-0000-00008D0A0000}"/>
    <cellStyle name="40% - Accent2 6 3 2" xfId="1884" xr:uid="{00000000-0005-0000-0000-00008E0A0000}"/>
    <cellStyle name="40% - Accent2 6 3 3" xfId="3162" xr:uid="{00000000-0005-0000-0000-00008F0A0000}"/>
    <cellStyle name="40% - Accent2 6 3 4" xfId="4449" xr:uid="{00000000-0005-0000-0000-0000900A0000}"/>
    <cellStyle name="40% - Accent2 6 4" xfId="1018" xr:uid="{00000000-0005-0000-0000-0000910A0000}"/>
    <cellStyle name="40% - Accent2 6 4 2" xfId="2310" xr:uid="{00000000-0005-0000-0000-0000920A0000}"/>
    <cellStyle name="40% - Accent2 6 4 3" xfId="3588" xr:uid="{00000000-0005-0000-0000-0000930A0000}"/>
    <cellStyle name="40% - Accent2 6 4 4" xfId="4875" xr:uid="{00000000-0005-0000-0000-0000940A0000}"/>
    <cellStyle name="40% - Accent2 6 5" xfId="1458" xr:uid="{00000000-0005-0000-0000-0000950A0000}"/>
    <cellStyle name="40% - Accent2 6 6" xfId="2736" xr:uid="{00000000-0005-0000-0000-0000960A0000}"/>
    <cellStyle name="40% - Accent2 6 7" xfId="4023" xr:uid="{00000000-0005-0000-0000-0000970A0000}"/>
    <cellStyle name="40% - Accent2 7" xfId="261" xr:uid="{00000000-0005-0000-0000-0000980A0000}"/>
    <cellStyle name="40% - Accent2 7 2" xfId="474" xr:uid="{00000000-0005-0000-0000-0000990A0000}"/>
    <cellStyle name="40% - Accent2 7 2 2" xfId="899" xr:uid="{00000000-0005-0000-0000-00009A0A0000}"/>
    <cellStyle name="40% - Accent2 7 2 2 2" xfId="2191" xr:uid="{00000000-0005-0000-0000-00009B0A0000}"/>
    <cellStyle name="40% - Accent2 7 2 2 3" xfId="3469" xr:uid="{00000000-0005-0000-0000-00009C0A0000}"/>
    <cellStyle name="40% - Accent2 7 2 2 4" xfId="4756" xr:uid="{00000000-0005-0000-0000-00009D0A0000}"/>
    <cellStyle name="40% - Accent2 7 2 3" xfId="1325" xr:uid="{00000000-0005-0000-0000-00009E0A0000}"/>
    <cellStyle name="40% - Accent2 7 2 3 2" xfId="2617" xr:uid="{00000000-0005-0000-0000-00009F0A0000}"/>
    <cellStyle name="40% - Accent2 7 2 3 3" xfId="3895" xr:uid="{00000000-0005-0000-0000-0000A00A0000}"/>
    <cellStyle name="40% - Accent2 7 2 3 4" xfId="5182" xr:uid="{00000000-0005-0000-0000-0000A10A0000}"/>
    <cellStyle name="40% - Accent2 7 2 4" xfId="1765" xr:uid="{00000000-0005-0000-0000-0000A20A0000}"/>
    <cellStyle name="40% - Accent2 7 2 5" xfId="3043" xr:uid="{00000000-0005-0000-0000-0000A30A0000}"/>
    <cellStyle name="40% - Accent2 7 2 6" xfId="4330" xr:uid="{00000000-0005-0000-0000-0000A40A0000}"/>
    <cellStyle name="40% - Accent2 7 3" xfId="686" xr:uid="{00000000-0005-0000-0000-0000A50A0000}"/>
    <cellStyle name="40% - Accent2 7 3 2" xfId="1978" xr:uid="{00000000-0005-0000-0000-0000A60A0000}"/>
    <cellStyle name="40% - Accent2 7 3 3" xfId="3256" xr:uid="{00000000-0005-0000-0000-0000A70A0000}"/>
    <cellStyle name="40% - Accent2 7 3 4" xfId="4543" xr:uid="{00000000-0005-0000-0000-0000A80A0000}"/>
    <cellStyle name="40% - Accent2 7 4" xfId="1112" xr:uid="{00000000-0005-0000-0000-0000A90A0000}"/>
    <cellStyle name="40% - Accent2 7 4 2" xfId="2404" xr:uid="{00000000-0005-0000-0000-0000AA0A0000}"/>
    <cellStyle name="40% - Accent2 7 4 3" xfId="3682" xr:uid="{00000000-0005-0000-0000-0000AB0A0000}"/>
    <cellStyle name="40% - Accent2 7 4 4" xfId="4969" xr:uid="{00000000-0005-0000-0000-0000AC0A0000}"/>
    <cellStyle name="40% - Accent2 7 5" xfId="1552" xr:uid="{00000000-0005-0000-0000-0000AD0A0000}"/>
    <cellStyle name="40% - Accent2 7 6" xfId="2830" xr:uid="{00000000-0005-0000-0000-0000AE0A0000}"/>
    <cellStyle name="40% - Accent2 7 7" xfId="4117" xr:uid="{00000000-0005-0000-0000-0000AF0A0000}"/>
    <cellStyle name="40% - Accent2 8" xfId="368" xr:uid="{00000000-0005-0000-0000-0000B00A0000}"/>
    <cellStyle name="40% - Accent2 8 2" xfId="794" xr:uid="{00000000-0005-0000-0000-0000B10A0000}"/>
    <cellStyle name="40% - Accent2 8 2 2" xfId="2086" xr:uid="{00000000-0005-0000-0000-0000B20A0000}"/>
    <cellStyle name="40% - Accent2 8 2 3" xfId="3364" xr:uid="{00000000-0005-0000-0000-0000B30A0000}"/>
    <cellStyle name="40% - Accent2 8 2 4" xfId="4651" xr:uid="{00000000-0005-0000-0000-0000B40A0000}"/>
    <cellStyle name="40% - Accent2 8 3" xfId="1220" xr:uid="{00000000-0005-0000-0000-0000B50A0000}"/>
    <cellStyle name="40% - Accent2 8 3 2" xfId="2512" xr:uid="{00000000-0005-0000-0000-0000B60A0000}"/>
    <cellStyle name="40% - Accent2 8 3 3" xfId="3790" xr:uid="{00000000-0005-0000-0000-0000B70A0000}"/>
    <cellStyle name="40% - Accent2 8 3 4" xfId="5077" xr:uid="{00000000-0005-0000-0000-0000B80A0000}"/>
    <cellStyle name="40% - Accent2 8 4" xfId="1660" xr:uid="{00000000-0005-0000-0000-0000B90A0000}"/>
    <cellStyle name="40% - Accent2 8 5" xfId="2938" xr:uid="{00000000-0005-0000-0000-0000BA0A0000}"/>
    <cellStyle name="40% - Accent2 8 6" xfId="4225" xr:uid="{00000000-0005-0000-0000-0000BB0A0000}"/>
    <cellStyle name="40% - Accent2 9" xfId="581" xr:uid="{00000000-0005-0000-0000-0000BC0A0000}"/>
    <cellStyle name="40% - Accent2 9 2" xfId="1873" xr:uid="{00000000-0005-0000-0000-0000BD0A0000}"/>
    <cellStyle name="40% - Accent2 9 3" xfId="3151" xr:uid="{00000000-0005-0000-0000-0000BE0A0000}"/>
    <cellStyle name="40% - Accent2 9 4" xfId="4438" xr:uid="{00000000-0005-0000-0000-0000BF0A0000}"/>
    <cellStyle name="40% - Accent3" xfId="67" builtinId="39" customBuiltin="1"/>
    <cellStyle name="40% - Accent3 10" xfId="1019" xr:uid="{00000000-0005-0000-0000-0000C10A0000}"/>
    <cellStyle name="40% - Accent3 10 2" xfId="2311" xr:uid="{00000000-0005-0000-0000-0000C20A0000}"/>
    <cellStyle name="40% - Accent3 10 3" xfId="3589" xr:uid="{00000000-0005-0000-0000-0000C30A0000}"/>
    <cellStyle name="40% - Accent3 10 4" xfId="4876" xr:uid="{00000000-0005-0000-0000-0000C40A0000}"/>
    <cellStyle name="40% - Accent3 11" xfId="1459" xr:uid="{00000000-0005-0000-0000-0000C50A0000}"/>
    <cellStyle name="40% - Accent3 12" xfId="2737" xr:uid="{00000000-0005-0000-0000-0000C60A0000}"/>
    <cellStyle name="40% - Accent3 13" xfId="4024" xr:uid="{00000000-0005-0000-0000-0000C70A0000}"/>
    <cellStyle name="40% - Accent3 14" xfId="5270" xr:uid="{00000000-0005-0000-0000-0000C80A0000}"/>
    <cellStyle name="40% - Accent3 2" xfId="18" xr:uid="{00000000-0005-0000-0000-0000C90A0000}"/>
    <cellStyle name="40% - Accent3 2 10" xfId="1460" xr:uid="{00000000-0005-0000-0000-0000CA0A0000}"/>
    <cellStyle name="40% - Accent3 2 11" xfId="2738" xr:uid="{00000000-0005-0000-0000-0000CB0A0000}"/>
    <cellStyle name="40% - Accent3 2 12" xfId="4025" xr:uid="{00000000-0005-0000-0000-0000CC0A0000}"/>
    <cellStyle name="40% - Accent3 2 13" xfId="5271" xr:uid="{00000000-0005-0000-0000-0000CD0A0000}"/>
    <cellStyle name="40% - Accent3 2 2" xfId="163" xr:uid="{00000000-0005-0000-0000-0000CE0A0000}"/>
    <cellStyle name="40% - Accent3 2 2 2" xfId="164" xr:uid="{00000000-0005-0000-0000-0000CF0A0000}"/>
    <cellStyle name="40% - Accent3 2 2 2 2" xfId="383" xr:uid="{00000000-0005-0000-0000-0000D00A0000}"/>
    <cellStyle name="40% - Accent3 2 2 2 2 2" xfId="809" xr:uid="{00000000-0005-0000-0000-0000D10A0000}"/>
    <cellStyle name="40% - Accent3 2 2 2 2 2 2" xfId="2101" xr:uid="{00000000-0005-0000-0000-0000D20A0000}"/>
    <cellStyle name="40% - Accent3 2 2 2 2 2 3" xfId="3379" xr:uid="{00000000-0005-0000-0000-0000D30A0000}"/>
    <cellStyle name="40% - Accent3 2 2 2 2 2 4" xfId="4666" xr:uid="{00000000-0005-0000-0000-0000D40A0000}"/>
    <cellStyle name="40% - Accent3 2 2 2 2 3" xfId="1235" xr:uid="{00000000-0005-0000-0000-0000D50A0000}"/>
    <cellStyle name="40% - Accent3 2 2 2 2 3 2" xfId="2527" xr:uid="{00000000-0005-0000-0000-0000D60A0000}"/>
    <cellStyle name="40% - Accent3 2 2 2 2 3 3" xfId="3805" xr:uid="{00000000-0005-0000-0000-0000D70A0000}"/>
    <cellStyle name="40% - Accent3 2 2 2 2 3 4" xfId="5092" xr:uid="{00000000-0005-0000-0000-0000D80A0000}"/>
    <cellStyle name="40% - Accent3 2 2 2 2 4" xfId="1675" xr:uid="{00000000-0005-0000-0000-0000D90A0000}"/>
    <cellStyle name="40% - Accent3 2 2 2 2 5" xfId="2953" xr:uid="{00000000-0005-0000-0000-0000DA0A0000}"/>
    <cellStyle name="40% - Accent3 2 2 2 2 6" xfId="4240" xr:uid="{00000000-0005-0000-0000-0000DB0A0000}"/>
    <cellStyle name="40% - Accent3 2 2 2 3" xfId="596" xr:uid="{00000000-0005-0000-0000-0000DC0A0000}"/>
    <cellStyle name="40% - Accent3 2 2 2 3 2" xfId="1888" xr:uid="{00000000-0005-0000-0000-0000DD0A0000}"/>
    <cellStyle name="40% - Accent3 2 2 2 3 3" xfId="3166" xr:uid="{00000000-0005-0000-0000-0000DE0A0000}"/>
    <cellStyle name="40% - Accent3 2 2 2 3 4" xfId="4453" xr:uid="{00000000-0005-0000-0000-0000DF0A0000}"/>
    <cellStyle name="40% - Accent3 2 2 2 4" xfId="1022" xr:uid="{00000000-0005-0000-0000-0000E00A0000}"/>
    <cellStyle name="40% - Accent3 2 2 2 4 2" xfId="2314" xr:uid="{00000000-0005-0000-0000-0000E10A0000}"/>
    <cellStyle name="40% - Accent3 2 2 2 4 3" xfId="3592" xr:uid="{00000000-0005-0000-0000-0000E20A0000}"/>
    <cellStyle name="40% - Accent3 2 2 2 4 4" xfId="4879" xr:uid="{00000000-0005-0000-0000-0000E30A0000}"/>
    <cellStyle name="40% - Accent3 2 2 2 5" xfId="1462" xr:uid="{00000000-0005-0000-0000-0000E40A0000}"/>
    <cellStyle name="40% - Accent3 2 2 2 6" xfId="2740" xr:uid="{00000000-0005-0000-0000-0000E50A0000}"/>
    <cellStyle name="40% - Accent3 2 2 2 7" xfId="4027" xr:uid="{00000000-0005-0000-0000-0000E60A0000}"/>
    <cellStyle name="40% - Accent3 2 2 2 8" xfId="5273" xr:uid="{00000000-0005-0000-0000-0000E70A0000}"/>
    <cellStyle name="40% - Accent3 2 2 3" xfId="382" xr:uid="{00000000-0005-0000-0000-0000E80A0000}"/>
    <cellStyle name="40% - Accent3 2 2 3 2" xfId="808" xr:uid="{00000000-0005-0000-0000-0000E90A0000}"/>
    <cellStyle name="40% - Accent3 2 2 3 2 2" xfId="2100" xr:uid="{00000000-0005-0000-0000-0000EA0A0000}"/>
    <cellStyle name="40% - Accent3 2 2 3 2 3" xfId="3378" xr:uid="{00000000-0005-0000-0000-0000EB0A0000}"/>
    <cellStyle name="40% - Accent3 2 2 3 2 4" xfId="4665" xr:uid="{00000000-0005-0000-0000-0000EC0A0000}"/>
    <cellStyle name="40% - Accent3 2 2 3 3" xfId="1234" xr:uid="{00000000-0005-0000-0000-0000ED0A0000}"/>
    <cellStyle name="40% - Accent3 2 2 3 3 2" xfId="2526" xr:uid="{00000000-0005-0000-0000-0000EE0A0000}"/>
    <cellStyle name="40% - Accent3 2 2 3 3 3" xfId="3804" xr:uid="{00000000-0005-0000-0000-0000EF0A0000}"/>
    <cellStyle name="40% - Accent3 2 2 3 3 4" xfId="5091" xr:uid="{00000000-0005-0000-0000-0000F00A0000}"/>
    <cellStyle name="40% - Accent3 2 2 3 4" xfId="1674" xr:uid="{00000000-0005-0000-0000-0000F10A0000}"/>
    <cellStyle name="40% - Accent3 2 2 3 5" xfId="2952" xr:uid="{00000000-0005-0000-0000-0000F20A0000}"/>
    <cellStyle name="40% - Accent3 2 2 3 6" xfId="4239" xr:uid="{00000000-0005-0000-0000-0000F30A0000}"/>
    <cellStyle name="40% - Accent3 2 2 4" xfId="595" xr:uid="{00000000-0005-0000-0000-0000F40A0000}"/>
    <cellStyle name="40% - Accent3 2 2 4 2" xfId="1887" xr:uid="{00000000-0005-0000-0000-0000F50A0000}"/>
    <cellStyle name="40% - Accent3 2 2 4 3" xfId="3165" xr:uid="{00000000-0005-0000-0000-0000F60A0000}"/>
    <cellStyle name="40% - Accent3 2 2 4 4" xfId="4452" xr:uid="{00000000-0005-0000-0000-0000F70A0000}"/>
    <cellStyle name="40% - Accent3 2 2 5" xfId="1021" xr:uid="{00000000-0005-0000-0000-0000F80A0000}"/>
    <cellStyle name="40% - Accent3 2 2 5 2" xfId="2313" xr:uid="{00000000-0005-0000-0000-0000F90A0000}"/>
    <cellStyle name="40% - Accent3 2 2 5 3" xfId="3591" xr:uid="{00000000-0005-0000-0000-0000FA0A0000}"/>
    <cellStyle name="40% - Accent3 2 2 5 4" xfId="4878" xr:uid="{00000000-0005-0000-0000-0000FB0A0000}"/>
    <cellStyle name="40% - Accent3 2 2 6" xfId="1461" xr:uid="{00000000-0005-0000-0000-0000FC0A0000}"/>
    <cellStyle name="40% - Accent3 2 2 7" xfId="2739" xr:uid="{00000000-0005-0000-0000-0000FD0A0000}"/>
    <cellStyle name="40% - Accent3 2 2 8" xfId="4026" xr:uid="{00000000-0005-0000-0000-0000FE0A0000}"/>
    <cellStyle name="40% - Accent3 2 2 9" xfId="5272" xr:uid="{00000000-0005-0000-0000-0000FF0A0000}"/>
    <cellStyle name="40% - Accent3 2 3" xfId="165" xr:uid="{00000000-0005-0000-0000-0000000B0000}"/>
    <cellStyle name="40% - Accent3 2 3 2" xfId="384" xr:uid="{00000000-0005-0000-0000-0000010B0000}"/>
    <cellStyle name="40% - Accent3 2 3 2 2" xfId="810" xr:uid="{00000000-0005-0000-0000-0000020B0000}"/>
    <cellStyle name="40% - Accent3 2 3 2 2 2" xfId="2102" xr:uid="{00000000-0005-0000-0000-0000030B0000}"/>
    <cellStyle name="40% - Accent3 2 3 2 2 3" xfId="3380" xr:uid="{00000000-0005-0000-0000-0000040B0000}"/>
    <cellStyle name="40% - Accent3 2 3 2 2 4" xfId="4667" xr:uid="{00000000-0005-0000-0000-0000050B0000}"/>
    <cellStyle name="40% - Accent3 2 3 2 3" xfId="1236" xr:uid="{00000000-0005-0000-0000-0000060B0000}"/>
    <cellStyle name="40% - Accent3 2 3 2 3 2" xfId="2528" xr:uid="{00000000-0005-0000-0000-0000070B0000}"/>
    <cellStyle name="40% - Accent3 2 3 2 3 3" xfId="3806" xr:uid="{00000000-0005-0000-0000-0000080B0000}"/>
    <cellStyle name="40% - Accent3 2 3 2 3 4" xfId="5093" xr:uid="{00000000-0005-0000-0000-0000090B0000}"/>
    <cellStyle name="40% - Accent3 2 3 2 4" xfId="1676" xr:uid="{00000000-0005-0000-0000-00000A0B0000}"/>
    <cellStyle name="40% - Accent3 2 3 2 5" xfId="2954" xr:uid="{00000000-0005-0000-0000-00000B0B0000}"/>
    <cellStyle name="40% - Accent3 2 3 2 6" xfId="4241" xr:uid="{00000000-0005-0000-0000-00000C0B0000}"/>
    <cellStyle name="40% - Accent3 2 3 3" xfId="597" xr:uid="{00000000-0005-0000-0000-00000D0B0000}"/>
    <cellStyle name="40% - Accent3 2 3 3 2" xfId="1889" xr:uid="{00000000-0005-0000-0000-00000E0B0000}"/>
    <cellStyle name="40% - Accent3 2 3 3 3" xfId="3167" xr:uid="{00000000-0005-0000-0000-00000F0B0000}"/>
    <cellStyle name="40% - Accent3 2 3 3 4" xfId="4454" xr:uid="{00000000-0005-0000-0000-0000100B0000}"/>
    <cellStyle name="40% - Accent3 2 3 4" xfId="1023" xr:uid="{00000000-0005-0000-0000-0000110B0000}"/>
    <cellStyle name="40% - Accent3 2 3 4 2" xfId="2315" xr:uid="{00000000-0005-0000-0000-0000120B0000}"/>
    <cellStyle name="40% - Accent3 2 3 4 3" xfId="3593" xr:uid="{00000000-0005-0000-0000-0000130B0000}"/>
    <cellStyle name="40% - Accent3 2 3 4 4" xfId="4880" xr:uid="{00000000-0005-0000-0000-0000140B0000}"/>
    <cellStyle name="40% - Accent3 2 3 5" xfId="1463" xr:uid="{00000000-0005-0000-0000-0000150B0000}"/>
    <cellStyle name="40% - Accent3 2 3 6" xfId="2741" xr:uid="{00000000-0005-0000-0000-0000160B0000}"/>
    <cellStyle name="40% - Accent3 2 3 7" xfId="4028" xr:uid="{00000000-0005-0000-0000-0000170B0000}"/>
    <cellStyle name="40% - Accent3 2 3 8" xfId="5274" xr:uid="{00000000-0005-0000-0000-0000180B0000}"/>
    <cellStyle name="40% - Accent3 2 4" xfId="166" xr:uid="{00000000-0005-0000-0000-0000190B0000}"/>
    <cellStyle name="40% - Accent3 2 4 2" xfId="385" xr:uid="{00000000-0005-0000-0000-00001A0B0000}"/>
    <cellStyle name="40% - Accent3 2 4 2 2" xfId="811" xr:uid="{00000000-0005-0000-0000-00001B0B0000}"/>
    <cellStyle name="40% - Accent3 2 4 2 2 2" xfId="2103" xr:uid="{00000000-0005-0000-0000-00001C0B0000}"/>
    <cellStyle name="40% - Accent3 2 4 2 2 3" xfId="3381" xr:uid="{00000000-0005-0000-0000-00001D0B0000}"/>
    <cellStyle name="40% - Accent3 2 4 2 2 4" xfId="4668" xr:uid="{00000000-0005-0000-0000-00001E0B0000}"/>
    <cellStyle name="40% - Accent3 2 4 2 3" xfId="1237" xr:uid="{00000000-0005-0000-0000-00001F0B0000}"/>
    <cellStyle name="40% - Accent3 2 4 2 3 2" xfId="2529" xr:uid="{00000000-0005-0000-0000-0000200B0000}"/>
    <cellStyle name="40% - Accent3 2 4 2 3 3" xfId="3807" xr:uid="{00000000-0005-0000-0000-0000210B0000}"/>
    <cellStyle name="40% - Accent3 2 4 2 3 4" xfId="5094" xr:uid="{00000000-0005-0000-0000-0000220B0000}"/>
    <cellStyle name="40% - Accent3 2 4 2 4" xfId="1677" xr:uid="{00000000-0005-0000-0000-0000230B0000}"/>
    <cellStyle name="40% - Accent3 2 4 2 5" xfId="2955" xr:uid="{00000000-0005-0000-0000-0000240B0000}"/>
    <cellStyle name="40% - Accent3 2 4 2 6" xfId="4242" xr:uid="{00000000-0005-0000-0000-0000250B0000}"/>
    <cellStyle name="40% - Accent3 2 4 3" xfId="598" xr:uid="{00000000-0005-0000-0000-0000260B0000}"/>
    <cellStyle name="40% - Accent3 2 4 3 2" xfId="1890" xr:uid="{00000000-0005-0000-0000-0000270B0000}"/>
    <cellStyle name="40% - Accent3 2 4 3 3" xfId="3168" xr:uid="{00000000-0005-0000-0000-0000280B0000}"/>
    <cellStyle name="40% - Accent3 2 4 3 4" xfId="4455" xr:uid="{00000000-0005-0000-0000-0000290B0000}"/>
    <cellStyle name="40% - Accent3 2 4 4" xfId="1024" xr:uid="{00000000-0005-0000-0000-00002A0B0000}"/>
    <cellStyle name="40% - Accent3 2 4 4 2" xfId="2316" xr:uid="{00000000-0005-0000-0000-00002B0B0000}"/>
    <cellStyle name="40% - Accent3 2 4 4 3" xfId="3594" xr:uid="{00000000-0005-0000-0000-00002C0B0000}"/>
    <cellStyle name="40% - Accent3 2 4 4 4" xfId="4881" xr:uid="{00000000-0005-0000-0000-00002D0B0000}"/>
    <cellStyle name="40% - Accent3 2 4 5" xfId="1464" xr:uid="{00000000-0005-0000-0000-00002E0B0000}"/>
    <cellStyle name="40% - Accent3 2 4 6" xfId="2742" xr:uid="{00000000-0005-0000-0000-00002F0B0000}"/>
    <cellStyle name="40% - Accent3 2 4 7" xfId="4029" xr:uid="{00000000-0005-0000-0000-0000300B0000}"/>
    <cellStyle name="40% - Accent3 2 5" xfId="167" xr:uid="{00000000-0005-0000-0000-0000310B0000}"/>
    <cellStyle name="40% - Accent3 2 5 2" xfId="386" xr:uid="{00000000-0005-0000-0000-0000320B0000}"/>
    <cellStyle name="40% - Accent3 2 5 2 2" xfId="812" xr:uid="{00000000-0005-0000-0000-0000330B0000}"/>
    <cellStyle name="40% - Accent3 2 5 2 2 2" xfId="2104" xr:uid="{00000000-0005-0000-0000-0000340B0000}"/>
    <cellStyle name="40% - Accent3 2 5 2 2 3" xfId="3382" xr:uid="{00000000-0005-0000-0000-0000350B0000}"/>
    <cellStyle name="40% - Accent3 2 5 2 2 4" xfId="4669" xr:uid="{00000000-0005-0000-0000-0000360B0000}"/>
    <cellStyle name="40% - Accent3 2 5 2 3" xfId="1238" xr:uid="{00000000-0005-0000-0000-0000370B0000}"/>
    <cellStyle name="40% - Accent3 2 5 2 3 2" xfId="2530" xr:uid="{00000000-0005-0000-0000-0000380B0000}"/>
    <cellStyle name="40% - Accent3 2 5 2 3 3" xfId="3808" xr:uid="{00000000-0005-0000-0000-0000390B0000}"/>
    <cellStyle name="40% - Accent3 2 5 2 3 4" xfId="5095" xr:uid="{00000000-0005-0000-0000-00003A0B0000}"/>
    <cellStyle name="40% - Accent3 2 5 2 4" xfId="1678" xr:uid="{00000000-0005-0000-0000-00003B0B0000}"/>
    <cellStyle name="40% - Accent3 2 5 2 5" xfId="2956" xr:uid="{00000000-0005-0000-0000-00003C0B0000}"/>
    <cellStyle name="40% - Accent3 2 5 2 6" xfId="4243" xr:uid="{00000000-0005-0000-0000-00003D0B0000}"/>
    <cellStyle name="40% - Accent3 2 5 3" xfId="599" xr:uid="{00000000-0005-0000-0000-00003E0B0000}"/>
    <cellStyle name="40% - Accent3 2 5 3 2" xfId="1891" xr:uid="{00000000-0005-0000-0000-00003F0B0000}"/>
    <cellStyle name="40% - Accent3 2 5 3 3" xfId="3169" xr:uid="{00000000-0005-0000-0000-0000400B0000}"/>
    <cellStyle name="40% - Accent3 2 5 3 4" xfId="4456" xr:uid="{00000000-0005-0000-0000-0000410B0000}"/>
    <cellStyle name="40% - Accent3 2 5 4" xfId="1025" xr:uid="{00000000-0005-0000-0000-0000420B0000}"/>
    <cellStyle name="40% - Accent3 2 5 4 2" xfId="2317" xr:uid="{00000000-0005-0000-0000-0000430B0000}"/>
    <cellStyle name="40% - Accent3 2 5 4 3" xfId="3595" xr:uid="{00000000-0005-0000-0000-0000440B0000}"/>
    <cellStyle name="40% - Accent3 2 5 4 4" xfId="4882" xr:uid="{00000000-0005-0000-0000-0000450B0000}"/>
    <cellStyle name="40% - Accent3 2 5 5" xfId="1465" xr:uid="{00000000-0005-0000-0000-0000460B0000}"/>
    <cellStyle name="40% - Accent3 2 5 6" xfId="2743" xr:uid="{00000000-0005-0000-0000-0000470B0000}"/>
    <cellStyle name="40% - Accent3 2 5 7" xfId="4030" xr:uid="{00000000-0005-0000-0000-0000480B0000}"/>
    <cellStyle name="40% - Accent3 2 6" xfId="274" xr:uid="{00000000-0005-0000-0000-0000490B0000}"/>
    <cellStyle name="40% - Accent3 2 6 2" xfId="487" xr:uid="{00000000-0005-0000-0000-00004A0B0000}"/>
    <cellStyle name="40% - Accent3 2 6 2 2" xfId="912" xr:uid="{00000000-0005-0000-0000-00004B0B0000}"/>
    <cellStyle name="40% - Accent3 2 6 2 2 2" xfId="2204" xr:uid="{00000000-0005-0000-0000-00004C0B0000}"/>
    <cellStyle name="40% - Accent3 2 6 2 2 3" xfId="3482" xr:uid="{00000000-0005-0000-0000-00004D0B0000}"/>
    <cellStyle name="40% - Accent3 2 6 2 2 4" xfId="4769" xr:uid="{00000000-0005-0000-0000-00004E0B0000}"/>
    <cellStyle name="40% - Accent3 2 6 2 3" xfId="1338" xr:uid="{00000000-0005-0000-0000-00004F0B0000}"/>
    <cellStyle name="40% - Accent3 2 6 2 3 2" xfId="2630" xr:uid="{00000000-0005-0000-0000-0000500B0000}"/>
    <cellStyle name="40% - Accent3 2 6 2 3 3" xfId="3908" xr:uid="{00000000-0005-0000-0000-0000510B0000}"/>
    <cellStyle name="40% - Accent3 2 6 2 3 4" xfId="5195" xr:uid="{00000000-0005-0000-0000-0000520B0000}"/>
    <cellStyle name="40% - Accent3 2 6 2 4" xfId="1778" xr:uid="{00000000-0005-0000-0000-0000530B0000}"/>
    <cellStyle name="40% - Accent3 2 6 2 5" xfId="3056" xr:uid="{00000000-0005-0000-0000-0000540B0000}"/>
    <cellStyle name="40% - Accent3 2 6 2 6" xfId="4343" xr:uid="{00000000-0005-0000-0000-0000550B0000}"/>
    <cellStyle name="40% - Accent3 2 6 3" xfId="699" xr:uid="{00000000-0005-0000-0000-0000560B0000}"/>
    <cellStyle name="40% - Accent3 2 6 3 2" xfId="1991" xr:uid="{00000000-0005-0000-0000-0000570B0000}"/>
    <cellStyle name="40% - Accent3 2 6 3 3" xfId="3269" xr:uid="{00000000-0005-0000-0000-0000580B0000}"/>
    <cellStyle name="40% - Accent3 2 6 3 4" xfId="4556" xr:uid="{00000000-0005-0000-0000-0000590B0000}"/>
    <cellStyle name="40% - Accent3 2 6 4" xfId="1125" xr:uid="{00000000-0005-0000-0000-00005A0B0000}"/>
    <cellStyle name="40% - Accent3 2 6 4 2" xfId="2417" xr:uid="{00000000-0005-0000-0000-00005B0B0000}"/>
    <cellStyle name="40% - Accent3 2 6 4 3" xfId="3695" xr:uid="{00000000-0005-0000-0000-00005C0B0000}"/>
    <cellStyle name="40% - Accent3 2 6 4 4" xfId="4982" xr:uid="{00000000-0005-0000-0000-00005D0B0000}"/>
    <cellStyle name="40% - Accent3 2 6 5" xfId="1565" xr:uid="{00000000-0005-0000-0000-00005E0B0000}"/>
    <cellStyle name="40% - Accent3 2 6 6" xfId="2843" xr:uid="{00000000-0005-0000-0000-00005F0B0000}"/>
    <cellStyle name="40% - Accent3 2 6 7" xfId="4130" xr:uid="{00000000-0005-0000-0000-0000600B0000}"/>
    <cellStyle name="40% - Accent3 2 7" xfId="381" xr:uid="{00000000-0005-0000-0000-0000610B0000}"/>
    <cellStyle name="40% - Accent3 2 7 2" xfId="807" xr:uid="{00000000-0005-0000-0000-0000620B0000}"/>
    <cellStyle name="40% - Accent3 2 7 2 2" xfId="2099" xr:uid="{00000000-0005-0000-0000-0000630B0000}"/>
    <cellStyle name="40% - Accent3 2 7 2 3" xfId="3377" xr:uid="{00000000-0005-0000-0000-0000640B0000}"/>
    <cellStyle name="40% - Accent3 2 7 2 4" xfId="4664" xr:uid="{00000000-0005-0000-0000-0000650B0000}"/>
    <cellStyle name="40% - Accent3 2 7 3" xfId="1233" xr:uid="{00000000-0005-0000-0000-0000660B0000}"/>
    <cellStyle name="40% - Accent3 2 7 3 2" xfId="2525" xr:uid="{00000000-0005-0000-0000-0000670B0000}"/>
    <cellStyle name="40% - Accent3 2 7 3 3" xfId="3803" xr:uid="{00000000-0005-0000-0000-0000680B0000}"/>
    <cellStyle name="40% - Accent3 2 7 3 4" xfId="5090" xr:uid="{00000000-0005-0000-0000-0000690B0000}"/>
    <cellStyle name="40% - Accent3 2 7 4" xfId="1673" xr:uid="{00000000-0005-0000-0000-00006A0B0000}"/>
    <cellStyle name="40% - Accent3 2 7 5" xfId="2951" xr:uid="{00000000-0005-0000-0000-00006B0B0000}"/>
    <cellStyle name="40% - Accent3 2 7 6" xfId="4238" xr:uid="{00000000-0005-0000-0000-00006C0B0000}"/>
    <cellStyle name="40% - Accent3 2 8" xfId="594" xr:uid="{00000000-0005-0000-0000-00006D0B0000}"/>
    <cellStyle name="40% - Accent3 2 8 2" xfId="1886" xr:uid="{00000000-0005-0000-0000-00006E0B0000}"/>
    <cellStyle name="40% - Accent3 2 8 3" xfId="3164" xr:uid="{00000000-0005-0000-0000-00006F0B0000}"/>
    <cellStyle name="40% - Accent3 2 8 4" xfId="4451" xr:uid="{00000000-0005-0000-0000-0000700B0000}"/>
    <cellStyle name="40% - Accent3 2 9" xfId="1020" xr:uid="{00000000-0005-0000-0000-0000710B0000}"/>
    <cellStyle name="40% - Accent3 2 9 2" xfId="2312" xr:uid="{00000000-0005-0000-0000-0000720B0000}"/>
    <cellStyle name="40% - Accent3 2 9 3" xfId="3590" xr:uid="{00000000-0005-0000-0000-0000730B0000}"/>
    <cellStyle name="40% - Accent3 2 9 4" xfId="4877" xr:uid="{00000000-0005-0000-0000-0000740B0000}"/>
    <cellStyle name="40% - Accent3 3" xfId="168" xr:uid="{00000000-0005-0000-0000-0000750B0000}"/>
    <cellStyle name="40% - Accent3 3 2" xfId="169" xr:uid="{00000000-0005-0000-0000-0000760B0000}"/>
    <cellStyle name="40% - Accent3 3 2 2" xfId="388" xr:uid="{00000000-0005-0000-0000-0000770B0000}"/>
    <cellStyle name="40% - Accent3 3 2 2 2" xfId="814" xr:uid="{00000000-0005-0000-0000-0000780B0000}"/>
    <cellStyle name="40% - Accent3 3 2 2 2 2" xfId="2106" xr:uid="{00000000-0005-0000-0000-0000790B0000}"/>
    <cellStyle name="40% - Accent3 3 2 2 2 3" xfId="3384" xr:uid="{00000000-0005-0000-0000-00007A0B0000}"/>
    <cellStyle name="40% - Accent3 3 2 2 2 4" xfId="4671" xr:uid="{00000000-0005-0000-0000-00007B0B0000}"/>
    <cellStyle name="40% - Accent3 3 2 2 3" xfId="1240" xr:uid="{00000000-0005-0000-0000-00007C0B0000}"/>
    <cellStyle name="40% - Accent3 3 2 2 3 2" xfId="2532" xr:uid="{00000000-0005-0000-0000-00007D0B0000}"/>
    <cellStyle name="40% - Accent3 3 2 2 3 3" xfId="3810" xr:uid="{00000000-0005-0000-0000-00007E0B0000}"/>
    <cellStyle name="40% - Accent3 3 2 2 3 4" xfId="5097" xr:uid="{00000000-0005-0000-0000-00007F0B0000}"/>
    <cellStyle name="40% - Accent3 3 2 2 4" xfId="1680" xr:uid="{00000000-0005-0000-0000-0000800B0000}"/>
    <cellStyle name="40% - Accent3 3 2 2 5" xfId="2958" xr:uid="{00000000-0005-0000-0000-0000810B0000}"/>
    <cellStyle name="40% - Accent3 3 2 2 6" xfId="4245" xr:uid="{00000000-0005-0000-0000-0000820B0000}"/>
    <cellStyle name="40% - Accent3 3 2 3" xfId="601" xr:uid="{00000000-0005-0000-0000-0000830B0000}"/>
    <cellStyle name="40% - Accent3 3 2 3 2" xfId="1893" xr:uid="{00000000-0005-0000-0000-0000840B0000}"/>
    <cellStyle name="40% - Accent3 3 2 3 3" xfId="3171" xr:uid="{00000000-0005-0000-0000-0000850B0000}"/>
    <cellStyle name="40% - Accent3 3 2 3 4" xfId="4458" xr:uid="{00000000-0005-0000-0000-0000860B0000}"/>
    <cellStyle name="40% - Accent3 3 2 4" xfId="1027" xr:uid="{00000000-0005-0000-0000-0000870B0000}"/>
    <cellStyle name="40% - Accent3 3 2 4 2" xfId="2319" xr:uid="{00000000-0005-0000-0000-0000880B0000}"/>
    <cellStyle name="40% - Accent3 3 2 4 3" xfId="3597" xr:uid="{00000000-0005-0000-0000-0000890B0000}"/>
    <cellStyle name="40% - Accent3 3 2 4 4" xfId="4884" xr:uid="{00000000-0005-0000-0000-00008A0B0000}"/>
    <cellStyle name="40% - Accent3 3 2 5" xfId="1467" xr:uid="{00000000-0005-0000-0000-00008B0B0000}"/>
    <cellStyle name="40% - Accent3 3 2 6" xfId="2745" xr:uid="{00000000-0005-0000-0000-00008C0B0000}"/>
    <cellStyle name="40% - Accent3 3 2 7" xfId="4032" xr:uid="{00000000-0005-0000-0000-00008D0B0000}"/>
    <cellStyle name="40% - Accent3 3 2 8" xfId="5276" xr:uid="{00000000-0005-0000-0000-00008E0B0000}"/>
    <cellStyle name="40% - Accent3 3 3" xfId="387" xr:uid="{00000000-0005-0000-0000-00008F0B0000}"/>
    <cellStyle name="40% - Accent3 3 3 2" xfId="813" xr:uid="{00000000-0005-0000-0000-0000900B0000}"/>
    <cellStyle name="40% - Accent3 3 3 2 2" xfId="2105" xr:uid="{00000000-0005-0000-0000-0000910B0000}"/>
    <cellStyle name="40% - Accent3 3 3 2 3" xfId="3383" xr:uid="{00000000-0005-0000-0000-0000920B0000}"/>
    <cellStyle name="40% - Accent3 3 3 2 4" xfId="4670" xr:uid="{00000000-0005-0000-0000-0000930B0000}"/>
    <cellStyle name="40% - Accent3 3 3 3" xfId="1239" xr:uid="{00000000-0005-0000-0000-0000940B0000}"/>
    <cellStyle name="40% - Accent3 3 3 3 2" xfId="2531" xr:uid="{00000000-0005-0000-0000-0000950B0000}"/>
    <cellStyle name="40% - Accent3 3 3 3 3" xfId="3809" xr:uid="{00000000-0005-0000-0000-0000960B0000}"/>
    <cellStyle name="40% - Accent3 3 3 3 4" xfId="5096" xr:uid="{00000000-0005-0000-0000-0000970B0000}"/>
    <cellStyle name="40% - Accent3 3 3 4" xfId="1679" xr:uid="{00000000-0005-0000-0000-0000980B0000}"/>
    <cellStyle name="40% - Accent3 3 3 5" xfId="2957" xr:uid="{00000000-0005-0000-0000-0000990B0000}"/>
    <cellStyle name="40% - Accent3 3 3 6" xfId="4244" xr:uid="{00000000-0005-0000-0000-00009A0B0000}"/>
    <cellStyle name="40% - Accent3 3 4" xfId="600" xr:uid="{00000000-0005-0000-0000-00009B0B0000}"/>
    <cellStyle name="40% - Accent3 3 4 2" xfId="1892" xr:uid="{00000000-0005-0000-0000-00009C0B0000}"/>
    <cellStyle name="40% - Accent3 3 4 3" xfId="3170" xr:uid="{00000000-0005-0000-0000-00009D0B0000}"/>
    <cellStyle name="40% - Accent3 3 4 4" xfId="4457" xr:uid="{00000000-0005-0000-0000-00009E0B0000}"/>
    <cellStyle name="40% - Accent3 3 5" xfId="1026" xr:uid="{00000000-0005-0000-0000-00009F0B0000}"/>
    <cellStyle name="40% - Accent3 3 5 2" xfId="2318" xr:uid="{00000000-0005-0000-0000-0000A00B0000}"/>
    <cellStyle name="40% - Accent3 3 5 3" xfId="3596" xr:uid="{00000000-0005-0000-0000-0000A10B0000}"/>
    <cellStyle name="40% - Accent3 3 5 4" xfId="4883" xr:uid="{00000000-0005-0000-0000-0000A20B0000}"/>
    <cellStyle name="40% - Accent3 3 6" xfId="1466" xr:uid="{00000000-0005-0000-0000-0000A30B0000}"/>
    <cellStyle name="40% - Accent3 3 7" xfId="2744" xr:uid="{00000000-0005-0000-0000-0000A40B0000}"/>
    <cellStyle name="40% - Accent3 3 8" xfId="4031" xr:uid="{00000000-0005-0000-0000-0000A50B0000}"/>
    <cellStyle name="40% - Accent3 3 9" xfId="5275" xr:uid="{00000000-0005-0000-0000-0000A60B0000}"/>
    <cellStyle name="40% - Accent3 4" xfId="170" xr:uid="{00000000-0005-0000-0000-0000A70B0000}"/>
    <cellStyle name="40% - Accent3 4 2" xfId="389" xr:uid="{00000000-0005-0000-0000-0000A80B0000}"/>
    <cellStyle name="40% - Accent3 4 2 2" xfId="815" xr:uid="{00000000-0005-0000-0000-0000A90B0000}"/>
    <cellStyle name="40% - Accent3 4 2 2 2" xfId="2107" xr:uid="{00000000-0005-0000-0000-0000AA0B0000}"/>
    <cellStyle name="40% - Accent3 4 2 2 3" xfId="3385" xr:uid="{00000000-0005-0000-0000-0000AB0B0000}"/>
    <cellStyle name="40% - Accent3 4 2 2 4" xfId="4672" xr:uid="{00000000-0005-0000-0000-0000AC0B0000}"/>
    <cellStyle name="40% - Accent3 4 2 3" xfId="1241" xr:uid="{00000000-0005-0000-0000-0000AD0B0000}"/>
    <cellStyle name="40% - Accent3 4 2 3 2" xfId="2533" xr:uid="{00000000-0005-0000-0000-0000AE0B0000}"/>
    <cellStyle name="40% - Accent3 4 2 3 3" xfId="3811" xr:uid="{00000000-0005-0000-0000-0000AF0B0000}"/>
    <cellStyle name="40% - Accent3 4 2 3 4" xfId="5098" xr:uid="{00000000-0005-0000-0000-0000B00B0000}"/>
    <cellStyle name="40% - Accent3 4 2 4" xfId="1681" xr:uid="{00000000-0005-0000-0000-0000B10B0000}"/>
    <cellStyle name="40% - Accent3 4 2 5" xfId="2959" xr:uid="{00000000-0005-0000-0000-0000B20B0000}"/>
    <cellStyle name="40% - Accent3 4 2 6" xfId="4246" xr:uid="{00000000-0005-0000-0000-0000B30B0000}"/>
    <cellStyle name="40% - Accent3 4 3" xfId="602" xr:uid="{00000000-0005-0000-0000-0000B40B0000}"/>
    <cellStyle name="40% - Accent3 4 3 2" xfId="1894" xr:uid="{00000000-0005-0000-0000-0000B50B0000}"/>
    <cellStyle name="40% - Accent3 4 3 3" xfId="3172" xr:uid="{00000000-0005-0000-0000-0000B60B0000}"/>
    <cellStyle name="40% - Accent3 4 3 4" xfId="4459" xr:uid="{00000000-0005-0000-0000-0000B70B0000}"/>
    <cellStyle name="40% - Accent3 4 4" xfId="1028" xr:uid="{00000000-0005-0000-0000-0000B80B0000}"/>
    <cellStyle name="40% - Accent3 4 4 2" xfId="2320" xr:uid="{00000000-0005-0000-0000-0000B90B0000}"/>
    <cellStyle name="40% - Accent3 4 4 3" xfId="3598" xr:uid="{00000000-0005-0000-0000-0000BA0B0000}"/>
    <cellStyle name="40% - Accent3 4 4 4" xfId="4885" xr:uid="{00000000-0005-0000-0000-0000BB0B0000}"/>
    <cellStyle name="40% - Accent3 4 5" xfId="1468" xr:uid="{00000000-0005-0000-0000-0000BC0B0000}"/>
    <cellStyle name="40% - Accent3 4 6" xfId="2746" xr:uid="{00000000-0005-0000-0000-0000BD0B0000}"/>
    <cellStyle name="40% - Accent3 4 7" xfId="4033" xr:uid="{00000000-0005-0000-0000-0000BE0B0000}"/>
    <cellStyle name="40% - Accent3 4 8" xfId="5277" xr:uid="{00000000-0005-0000-0000-0000BF0B0000}"/>
    <cellStyle name="40% - Accent3 5" xfId="171" xr:uid="{00000000-0005-0000-0000-0000C00B0000}"/>
    <cellStyle name="40% - Accent3 5 2" xfId="390" xr:uid="{00000000-0005-0000-0000-0000C10B0000}"/>
    <cellStyle name="40% - Accent3 5 2 2" xfId="816" xr:uid="{00000000-0005-0000-0000-0000C20B0000}"/>
    <cellStyle name="40% - Accent3 5 2 2 2" xfId="2108" xr:uid="{00000000-0005-0000-0000-0000C30B0000}"/>
    <cellStyle name="40% - Accent3 5 2 2 3" xfId="3386" xr:uid="{00000000-0005-0000-0000-0000C40B0000}"/>
    <cellStyle name="40% - Accent3 5 2 2 4" xfId="4673" xr:uid="{00000000-0005-0000-0000-0000C50B0000}"/>
    <cellStyle name="40% - Accent3 5 2 3" xfId="1242" xr:uid="{00000000-0005-0000-0000-0000C60B0000}"/>
    <cellStyle name="40% - Accent3 5 2 3 2" xfId="2534" xr:uid="{00000000-0005-0000-0000-0000C70B0000}"/>
    <cellStyle name="40% - Accent3 5 2 3 3" xfId="3812" xr:uid="{00000000-0005-0000-0000-0000C80B0000}"/>
    <cellStyle name="40% - Accent3 5 2 3 4" xfId="5099" xr:uid="{00000000-0005-0000-0000-0000C90B0000}"/>
    <cellStyle name="40% - Accent3 5 2 4" xfId="1682" xr:uid="{00000000-0005-0000-0000-0000CA0B0000}"/>
    <cellStyle name="40% - Accent3 5 2 5" xfId="2960" xr:uid="{00000000-0005-0000-0000-0000CB0B0000}"/>
    <cellStyle name="40% - Accent3 5 2 6" xfId="4247" xr:uid="{00000000-0005-0000-0000-0000CC0B0000}"/>
    <cellStyle name="40% - Accent3 5 3" xfId="603" xr:uid="{00000000-0005-0000-0000-0000CD0B0000}"/>
    <cellStyle name="40% - Accent3 5 3 2" xfId="1895" xr:uid="{00000000-0005-0000-0000-0000CE0B0000}"/>
    <cellStyle name="40% - Accent3 5 3 3" xfId="3173" xr:uid="{00000000-0005-0000-0000-0000CF0B0000}"/>
    <cellStyle name="40% - Accent3 5 3 4" xfId="4460" xr:uid="{00000000-0005-0000-0000-0000D00B0000}"/>
    <cellStyle name="40% - Accent3 5 4" xfId="1029" xr:uid="{00000000-0005-0000-0000-0000D10B0000}"/>
    <cellStyle name="40% - Accent3 5 4 2" xfId="2321" xr:uid="{00000000-0005-0000-0000-0000D20B0000}"/>
    <cellStyle name="40% - Accent3 5 4 3" xfId="3599" xr:uid="{00000000-0005-0000-0000-0000D30B0000}"/>
    <cellStyle name="40% - Accent3 5 4 4" xfId="4886" xr:uid="{00000000-0005-0000-0000-0000D40B0000}"/>
    <cellStyle name="40% - Accent3 5 5" xfId="1469" xr:uid="{00000000-0005-0000-0000-0000D50B0000}"/>
    <cellStyle name="40% - Accent3 5 6" xfId="2747" xr:uid="{00000000-0005-0000-0000-0000D60B0000}"/>
    <cellStyle name="40% - Accent3 5 7" xfId="4034" xr:uid="{00000000-0005-0000-0000-0000D70B0000}"/>
    <cellStyle name="40% - Accent3 6" xfId="172" xr:uid="{00000000-0005-0000-0000-0000D80B0000}"/>
    <cellStyle name="40% - Accent3 6 2" xfId="391" xr:uid="{00000000-0005-0000-0000-0000D90B0000}"/>
    <cellStyle name="40% - Accent3 6 2 2" xfId="817" xr:uid="{00000000-0005-0000-0000-0000DA0B0000}"/>
    <cellStyle name="40% - Accent3 6 2 2 2" xfId="2109" xr:uid="{00000000-0005-0000-0000-0000DB0B0000}"/>
    <cellStyle name="40% - Accent3 6 2 2 3" xfId="3387" xr:uid="{00000000-0005-0000-0000-0000DC0B0000}"/>
    <cellStyle name="40% - Accent3 6 2 2 4" xfId="4674" xr:uid="{00000000-0005-0000-0000-0000DD0B0000}"/>
    <cellStyle name="40% - Accent3 6 2 3" xfId="1243" xr:uid="{00000000-0005-0000-0000-0000DE0B0000}"/>
    <cellStyle name="40% - Accent3 6 2 3 2" xfId="2535" xr:uid="{00000000-0005-0000-0000-0000DF0B0000}"/>
    <cellStyle name="40% - Accent3 6 2 3 3" xfId="3813" xr:uid="{00000000-0005-0000-0000-0000E00B0000}"/>
    <cellStyle name="40% - Accent3 6 2 3 4" xfId="5100" xr:uid="{00000000-0005-0000-0000-0000E10B0000}"/>
    <cellStyle name="40% - Accent3 6 2 4" xfId="1683" xr:uid="{00000000-0005-0000-0000-0000E20B0000}"/>
    <cellStyle name="40% - Accent3 6 2 5" xfId="2961" xr:uid="{00000000-0005-0000-0000-0000E30B0000}"/>
    <cellStyle name="40% - Accent3 6 2 6" xfId="4248" xr:uid="{00000000-0005-0000-0000-0000E40B0000}"/>
    <cellStyle name="40% - Accent3 6 3" xfId="604" xr:uid="{00000000-0005-0000-0000-0000E50B0000}"/>
    <cellStyle name="40% - Accent3 6 3 2" xfId="1896" xr:uid="{00000000-0005-0000-0000-0000E60B0000}"/>
    <cellStyle name="40% - Accent3 6 3 3" xfId="3174" xr:uid="{00000000-0005-0000-0000-0000E70B0000}"/>
    <cellStyle name="40% - Accent3 6 3 4" xfId="4461" xr:uid="{00000000-0005-0000-0000-0000E80B0000}"/>
    <cellStyle name="40% - Accent3 6 4" xfId="1030" xr:uid="{00000000-0005-0000-0000-0000E90B0000}"/>
    <cellStyle name="40% - Accent3 6 4 2" xfId="2322" xr:uid="{00000000-0005-0000-0000-0000EA0B0000}"/>
    <cellStyle name="40% - Accent3 6 4 3" xfId="3600" xr:uid="{00000000-0005-0000-0000-0000EB0B0000}"/>
    <cellStyle name="40% - Accent3 6 4 4" xfId="4887" xr:uid="{00000000-0005-0000-0000-0000EC0B0000}"/>
    <cellStyle name="40% - Accent3 6 5" xfId="1470" xr:uid="{00000000-0005-0000-0000-0000ED0B0000}"/>
    <cellStyle name="40% - Accent3 6 6" xfId="2748" xr:uid="{00000000-0005-0000-0000-0000EE0B0000}"/>
    <cellStyle name="40% - Accent3 6 7" xfId="4035" xr:uid="{00000000-0005-0000-0000-0000EF0B0000}"/>
    <cellStyle name="40% - Accent3 7" xfId="262" xr:uid="{00000000-0005-0000-0000-0000F00B0000}"/>
    <cellStyle name="40% - Accent3 7 2" xfId="475" xr:uid="{00000000-0005-0000-0000-0000F10B0000}"/>
    <cellStyle name="40% - Accent3 7 2 2" xfId="900" xr:uid="{00000000-0005-0000-0000-0000F20B0000}"/>
    <cellStyle name="40% - Accent3 7 2 2 2" xfId="2192" xr:uid="{00000000-0005-0000-0000-0000F30B0000}"/>
    <cellStyle name="40% - Accent3 7 2 2 3" xfId="3470" xr:uid="{00000000-0005-0000-0000-0000F40B0000}"/>
    <cellStyle name="40% - Accent3 7 2 2 4" xfId="4757" xr:uid="{00000000-0005-0000-0000-0000F50B0000}"/>
    <cellStyle name="40% - Accent3 7 2 3" xfId="1326" xr:uid="{00000000-0005-0000-0000-0000F60B0000}"/>
    <cellStyle name="40% - Accent3 7 2 3 2" xfId="2618" xr:uid="{00000000-0005-0000-0000-0000F70B0000}"/>
    <cellStyle name="40% - Accent3 7 2 3 3" xfId="3896" xr:uid="{00000000-0005-0000-0000-0000F80B0000}"/>
    <cellStyle name="40% - Accent3 7 2 3 4" xfId="5183" xr:uid="{00000000-0005-0000-0000-0000F90B0000}"/>
    <cellStyle name="40% - Accent3 7 2 4" xfId="1766" xr:uid="{00000000-0005-0000-0000-0000FA0B0000}"/>
    <cellStyle name="40% - Accent3 7 2 5" xfId="3044" xr:uid="{00000000-0005-0000-0000-0000FB0B0000}"/>
    <cellStyle name="40% - Accent3 7 2 6" xfId="4331" xr:uid="{00000000-0005-0000-0000-0000FC0B0000}"/>
    <cellStyle name="40% - Accent3 7 3" xfId="687" xr:uid="{00000000-0005-0000-0000-0000FD0B0000}"/>
    <cellStyle name="40% - Accent3 7 3 2" xfId="1979" xr:uid="{00000000-0005-0000-0000-0000FE0B0000}"/>
    <cellStyle name="40% - Accent3 7 3 3" xfId="3257" xr:uid="{00000000-0005-0000-0000-0000FF0B0000}"/>
    <cellStyle name="40% - Accent3 7 3 4" xfId="4544" xr:uid="{00000000-0005-0000-0000-0000000C0000}"/>
    <cellStyle name="40% - Accent3 7 4" xfId="1113" xr:uid="{00000000-0005-0000-0000-0000010C0000}"/>
    <cellStyle name="40% - Accent3 7 4 2" xfId="2405" xr:uid="{00000000-0005-0000-0000-0000020C0000}"/>
    <cellStyle name="40% - Accent3 7 4 3" xfId="3683" xr:uid="{00000000-0005-0000-0000-0000030C0000}"/>
    <cellStyle name="40% - Accent3 7 4 4" xfId="4970" xr:uid="{00000000-0005-0000-0000-0000040C0000}"/>
    <cellStyle name="40% - Accent3 7 5" xfId="1553" xr:uid="{00000000-0005-0000-0000-0000050C0000}"/>
    <cellStyle name="40% - Accent3 7 6" xfId="2831" xr:uid="{00000000-0005-0000-0000-0000060C0000}"/>
    <cellStyle name="40% - Accent3 7 7" xfId="4118" xr:uid="{00000000-0005-0000-0000-0000070C0000}"/>
    <cellStyle name="40% - Accent3 8" xfId="380" xr:uid="{00000000-0005-0000-0000-0000080C0000}"/>
    <cellStyle name="40% - Accent3 8 2" xfId="806" xr:uid="{00000000-0005-0000-0000-0000090C0000}"/>
    <cellStyle name="40% - Accent3 8 2 2" xfId="2098" xr:uid="{00000000-0005-0000-0000-00000A0C0000}"/>
    <cellStyle name="40% - Accent3 8 2 3" xfId="3376" xr:uid="{00000000-0005-0000-0000-00000B0C0000}"/>
    <cellStyle name="40% - Accent3 8 2 4" xfId="4663" xr:uid="{00000000-0005-0000-0000-00000C0C0000}"/>
    <cellStyle name="40% - Accent3 8 3" xfId="1232" xr:uid="{00000000-0005-0000-0000-00000D0C0000}"/>
    <cellStyle name="40% - Accent3 8 3 2" xfId="2524" xr:uid="{00000000-0005-0000-0000-00000E0C0000}"/>
    <cellStyle name="40% - Accent3 8 3 3" xfId="3802" xr:uid="{00000000-0005-0000-0000-00000F0C0000}"/>
    <cellStyle name="40% - Accent3 8 3 4" xfId="5089" xr:uid="{00000000-0005-0000-0000-0000100C0000}"/>
    <cellStyle name="40% - Accent3 8 4" xfId="1672" xr:uid="{00000000-0005-0000-0000-0000110C0000}"/>
    <cellStyle name="40% - Accent3 8 5" xfId="2950" xr:uid="{00000000-0005-0000-0000-0000120C0000}"/>
    <cellStyle name="40% - Accent3 8 6" xfId="4237" xr:uid="{00000000-0005-0000-0000-0000130C0000}"/>
    <cellStyle name="40% - Accent3 9" xfId="593" xr:uid="{00000000-0005-0000-0000-0000140C0000}"/>
    <cellStyle name="40% - Accent3 9 2" xfId="1885" xr:uid="{00000000-0005-0000-0000-0000150C0000}"/>
    <cellStyle name="40% - Accent3 9 3" xfId="3163" xr:uid="{00000000-0005-0000-0000-0000160C0000}"/>
    <cellStyle name="40% - Accent3 9 4" xfId="4450" xr:uid="{00000000-0005-0000-0000-0000170C0000}"/>
    <cellStyle name="40% - Accent4" xfId="4" builtinId="43" customBuiltin="1"/>
    <cellStyle name="40% - Accent4 10" xfId="1031" xr:uid="{00000000-0005-0000-0000-0000190C0000}"/>
    <cellStyle name="40% - Accent4 10 2" xfId="2323" xr:uid="{00000000-0005-0000-0000-00001A0C0000}"/>
    <cellStyle name="40% - Accent4 10 3" xfId="3601" xr:uid="{00000000-0005-0000-0000-00001B0C0000}"/>
    <cellStyle name="40% - Accent4 10 4" xfId="4888" xr:uid="{00000000-0005-0000-0000-00001C0C0000}"/>
    <cellStyle name="40% - Accent4 11" xfId="1471" xr:uid="{00000000-0005-0000-0000-00001D0C0000}"/>
    <cellStyle name="40% - Accent4 12" xfId="2749" xr:uid="{00000000-0005-0000-0000-00001E0C0000}"/>
    <cellStyle name="40% - Accent4 13" xfId="4036" xr:uid="{00000000-0005-0000-0000-00001F0C0000}"/>
    <cellStyle name="40% - Accent4 14" xfId="5278" xr:uid="{00000000-0005-0000-0000-0000200C0000}"/>
    <cellStyle name="40% - Accent4 2" xfId="19" xr:uid="{00000000-0005-0000-0000-0000210C0000}"/>
    <cellStyle name="40% - Accent4 2 10" xfId="1472" xr:uid="{00000000-0005-0000-0000-0000220C0000}"/>
    <cellStyle name="40% - Accent4 2 11" xfId="2750" xr:uid="{00000000-0005-0000-0000-0000230C0000}"/>
    <cellStyle name="40% - Accent4 2 12" xfId="4037" xr:uid="{00000000-0005-0000-0000-0000240C0000}"/>
    <cellStyle name="40% - Accent4 2 13" xfId="5279" xr:uid="{00000000-0005-0000-0000-0000250C0000}"/>
    <cellStyle name="40% - Accent4 2 2" xfId="173" xr:uid="{00000000-0005-0000-0000-0000260C0000}"/>
    <cellStyle name="40% - Accent4 2 2 2" xfId="174" xr:uid="{00000000-0005-0000-0000-0000270C0000}"/>
    <cellStyle name="40% - Accent4 2 2 2 2" xfId="395" xr:uid="{00000000-0005-0000-0000-0000280C0000}"/>
    <cellStyle name="40% - Accent4 2 2 2 2 2" xfId="821" xr:uid="{00000000-0005-0000-0000-0000290C0000}"/>
    <cellStyle name="40% - Accent4 2 2 2 2 2 2" xfId="2113" xr:uid="{00000000-0005-0000-0000-00002A0C0000}"/>
    <cellStyle name="40% - Accent4 2 2 2 2 2 3" xfId="3391" xr:uid="{00000000-0005-0000-0000-00002B0C0000}"/>
    <cellStyle name="40% - Accent4 2 2 2 2 2 4" xfId="4678" xr:uid="{00000000-0005-0000-0000-00002C0C0000}"/>
    <cellStyle name="40% - Accent4 2 2 2 2 3" xfId="1247" xr:uid="{00000000-0005-0000-0000-00002D0C0000}"/>
    <cellStyle name="40% - Accent4 2 2 2 2 3 2" xfId="2539" xr:uid="{00000000-0005-0000-0000-00002E0C0000}"/>
    <cellStyle name="40% - Accent4 2 2 2 2 3 3" xfId="3817" xr:uid="{00000000-0005-0000-0000-00002F0C0000}"/>
    <cellStyle name="40% - Accent4 2 2 2 2 3 4" xfId="5104" xr:uid="{00000000-0005-0000-0000-0000300C0000}"/>
    <cellStyle name="40% - Accent4 2 2 2 2 4" xfId="1687" xr:uid="{00000000-0005-0000-0000-0000310C0000}"/>
    <cellStyle name="40% - Accent4 2 2 2 2 5" xfId="2965" xr:uid="{00000000-0005-0000-0000-0000320C0000}"/>
    <cellStyle name="40% - Accent4 2 2 2 2 6" xfId="4252" xr:uid="{00000000-0005-0000-0000-0000330C0000}"/>
    <cellStyle name="40% - Accent4 2 2 2 3" xfId="608" xr:uid="{00000000-0005-0000-0000-0000340C0000}"/>
    <cellStyle name="40% - Accent4 2 2 2 3 2" xfId="1900" xr:uid="{00000000-0005-0000-0000-0000350C0000}"/>
    <cellStyle name="40% - Accent4 2 2 2 3 3" xfId="3178" xr:uid="{00000000-0005-0000-0000-0000360C0000}"/>
    <cellStyle name="40% - Accent4 2 2 2 3 4" xfId="4465" xr:uid="{00000000-0005-0000-0000-0000370C0000}"/>
    <cellStyle name="40% - Accent4 2 2 2 4" xfId="1034" xr:uid="{00000000-0005-0000-0000-0000380C0000}"/>
    <cellStyle name="40% - Accent4 2 2 2 4 2" xfId="2326" xr:uid="{00000000-0005-0000-0000-0000390C0000}"/>
    <cellStyle name="40% - Accent4 2 2 2 4 3" xfId="3604" xr:uid="{00000000-0005-0000-0000-00003A0C0000}"/>
    <cellStyle name="40% - Accent4 2 2 2 4 4" xfId="4891" xr:uid="{00000000-0005-0000-0000-00003B0C0000}"/>
    <cellStyle name="40% - Accent4 2 2 2 5" xfId="1474" xr:uid="{00000000-0005-0000-0000-00003C0C0000}"/>
    <cellStyle name="40% - Accent4 2 2 2 6" xfId="2752" xr:uid="{00000000-0005-0000-0000-00003D0C0000}"/>
    <cellStyle name="40% - Accent4 2 2 2 7" xfId="4039" xr:uid="{00000000-0005-0000-0000-00003E0C0000}"/>
    <cellStyle name="40% - Accent4 2 2 2 8" xfId="5281" xr:uid="{00000000-0005-0000-0000-00003F0C0000}"/>
    <cellStyle name="40% - Accent4 2 2 3" xfId="394" xr:uid="{00000000-0005-0000-0000-0000400C0000}"/>
    <cellStyle name="40% - Accent4 2 2 3 2" xfId="820" xr:uid="{00000000-0005-0000-0000-0000410C0000}"/>
    <cellStyle name="40% - Accent4 2 2 3 2 2" xfId="2112" xr:uid="{00000000-0005-0000-0000-0000420C0000}"/>
    <cellStyle name="40% - Accent4 2 2 3 2 3" xfId="3390" xr:uid="{00000000-0005-0000-0000-0000430C0000}"/>
    <cellStyle name="40% - Accent4 2 2 3 2 4" xfId="4677" xr:uid="{00000000-0005-0000-0000-0000440C0000}"/>
    <cellStyle name="40% - Accent4 2 2 3 3" xfId="1246" xr:uid="{00000000-0005-0000-0000-0000450C0000}"/>
    <cellStyle name="40% - Accent4 2 2 3 3 2" xfId="2538" xr:uid="{00000000-0005-0000-0000-0000460C0000}"/>
    <cellStyle name="40% - Accent4 2 2 3 3 3" xfId="3816" xr:uid="{00000000-0005-0000-0000-0000470C0000}"/>
    <cellStyle name="40% - Accent4 2 2 3 3 4" xfId="5103" xr:uid="{00000000-0005-0000-0000-0000480C0000}"/>
    <cellStyle name="40% - Accent4 2 2 3 4" xfId="1686" xr:uid="{00000000-0005-0000-0000-0000490C0000}"/>
    <cellStyle name="40% - Accent4 2 2 3 5" xfId="2964" xr:uid="{00000000-0005-0000-0000-00004A0C0000}"/>
    <cellStyle name="40% - Accent4 2 2 3 6" xfId="4251" xr:uid="{00000000-0005-0000-0000-00004B0C0000}"/>
    <cellStyle name="40% - Accent4 2 2 4" xfId="607" xr:uid="{00000000-0005-0000-0000-00004C0C0000}"/>
    <cellStyle name="40% - Accent4 2 2 4 2" xfId="1899" xr:uid="{00000000-0005-0000-0000-00004D0C0000}"/>
    <cellStyle name="40% - Accent4 2 2 4 3" xfId="3177" xr:uid="{00000000-0005-0000-0000-00004E0C0000}"/>
    <cellStyle name="40% - Accent4 2 2 4 4" xfId="4464" xr:uid="{00000000-0005-0000-0000-00004F0C0000}"/>
    <cellStyle name="40% - Accent4 2 2 5" xfId="1033" xr:uid="{00000000-0005-0000-0000-0000500C0000}"/>
    <cellStyle name="40% - Accent4 2 2 5 2" xfId="2325" xr:uid="{00000000-0005-0000-0000-0000510C0000}"/>
    <cellStyle name="40% - Accent4 2 2 5 3" xfId="3603" xr:uid="{00000000-0005-0000-0000-0000520C0000}"/>
    <cellStyle name="40% - Accent4 2 2 5 4" xfId="4890" xr:uid="{00000000-0005-0000-0000-0000530C0000}"/>
    <cellStyle name="40% - Accent4 2 2 6" xfId="1473" xr:uid="{00000000-0005-0000-0000-0000540C0000}"/>
    <cellStyle name="40% - Accent4 2 2 7" xfId="2751" xr:uid="{00000000-0005-0000-0000-0000550C0000}"/>
    <cellStyle name="40% - Accent4 2 2 8" xfId="4038" xr:uid="{00000000-0005-0000-0000-0000560C0000}"/>
    <cellStyle name="40% - Accent4 2 2 9" xfId="5280" xr:uid="{00000000-0005-0000-0000-0000570C0000}"/>
    <cellStyle name="40% - Accent4 2 3" xfId="175" xr:uid="{00000000-0005-0000-0000-0000580C0000}"/>
    <cellStyle name="40% - Accent4 2 3 2" xfId="396" xr:uid="{00000000-0005-0000-0000-0000590C0000}"/>
    <cellStyle name="40% - Accent4 2 3 2 2" xfId="822" xr:uid="{00000000-0005-0000-0000-00005A0C0000}"/>
    <cellStyle name="40% - Accent4 2 3 2 2 2" xfId="2114" xr:uid="{00000000-0005-0000-0000-00005B0C0000}"/>
    <cellStyle name="40% - Accent4 2 3 2 2 3" xfId="3392" xr:uid="{00000000-0005-0000-0000-00005C0C0000}"/>
    <cellStyle name="40% - Accent4 2 3 2 2 4" xfId="4679" xr:uid="{00000000-0005-0000-0000-00005D0C0000}"/>
    <cellStyle name="40% - Accent4 2 3 2 3" xfId="1248" xr:uid="{00000000-0005-0000-0000-00005E0C0000}"/>
    <cellStyle name="40% - Accent4 2 3 2 3 2" xfId="2540" xr:uid="{00000000-0005-0000-0000-00005F0C0000}"/>
    <cellStyle name="40% - Accent4 2 3 2 3 3" xfId="3818" xr:uid="{00000000-0005-0000-0000-0000600C0000}"/>
    <cellStyle name="40% - Accent4 2 3 2 3 4" xfId="5105" xr:uid="{00000000-0005-0000-0000-0000610C0000}"/>
    <cellStyle name="40% - Accent4 2 3 2 4" xfId="1688" xr:uid="{00000000-0005-0000-0000-0000620C0000}"/>
    <cellStyle name="40% - Accent4 2 3 2 5" xfId="2966" xr:uid="{00000000-0005-0000-0000-0000630C0000}"/>
    <cellStyle name="40% - Accent4 2 3 2 6" xfId="4253" xr:uid="{00000000-0005-0000-0000-0000640C0000}"/>
    <cellStyle name="40% - Accent4 2 3 3" xfId="609" xr:uid="{00000000-0005-0000-0000-0000650C0000}"/>
    <cellStyle name="40% - Accent4 2 3 3 2" xfId="1901" xr:uid="{00000000-0005-0000-0000-0000660C0000}"/>
    <cellStyle name="40% - Accent4 2 3 3 3" xfId="3179" xr:uid="{00000000-0005-0000-0000-0000670C0000}"/>
    <cellStyle name="40% - Accent4 2 3 3 4" xfId="4466" xr:uid="{00000000-0005-0000-0000-0000680C0000}"/>
    <cellStyle name="40% - Accent4 2 3 4" xfId="1035" xr:uid="{00000000-0005-0000-0000-0000690C0000}"/>
    <cellStyle name="40% - Accent4 2 3 4 2" xfId="2327" xr:uid="{00000000-0005-0000-0000-00006A0C0000}"/>
    <cellStyle name="40% - Accent4 2 3 4 3" xfId="3605" xr:uid="{00000000-0005-0000-0000-00006B0C0000}"/>
    <cellStyle name="40% - Accent4 2 3 4 4" xfId="4892" xr:uid="{00000000-0005-0000-0000-00006C0C0000}"/>
    <cellStyle name="40% - Accent4 2 3 5" xfId="1475" xr:uid="{00000000-0005-0000-0000-00006D0C0000}"/>
    <cellStyle name="40% - Accent4 2 3 6" xfId="2753" xr:uid="{00000000-0005-0000-0000-00006E0C0000}"/>
    <cellStyle name="40% - Accent4 2 3 7" xfId="4040" xr:uid="{00000000-0005-0000-0000-00006F0C0000}"/>
    <cellStyle name="40% - Accent4 2 3 8" xfId="5282" xr:uid="{00000000-0005-0000-0000-0000700C0000}"/>
    <cellStyle name="40% - Accent4 2 4" xfId="176" xr:uid="{00000000-0005-0000-0000-0000710C0000}"/>
    <cellStyle name="40% - Accent4 2 4 2" xfId="397" xr:uid="{00000000-0005-0000-0000-0000720C0000}"/>
    <cellStyle name="40% - Accent4 2 4 2 2" xfId="823" xr:uid="{00000000-0005-0000-0000-0000730C0000}"/>
    <cellStyle name="40% - Accent4 2 4 2 2 2" xfId="2115" xr:uid="{00000000-0005-0000-0000-0000740C0000}"/>
    <cellStyle name="40% - Accent4 2 4 2 2 3" xfId="3393" xr:uid="{00000000-0005-0000-0000-0000750C0000}"/>
    <cellStyle name="40% - Accent4 2 4 2 2 4" xfId="4680" xr:uid="{00000000-0005-0000-0000-0000760C0000}"/>
    <cellStyle name="40% - Accent4 2 4 2 3" xfId="1249" xr:uid="{00000000-0005-0000-0000-0000770C0000}"/>
    <cellStyle name="40% - Accent4 2 4 2 3 2" xfId="2541" xr:uid="{00000000-0005-0000-0000-0000780C0000}"/>
    <cellStyle name="40% - Accent4 2 4 2 3 3" xfId="3819" xr:uid="{00000000-0005-0000-0000-0000790C0000}"/>
    <cellStyle name="40% - Accent4 2 4 2 3 4" xfId="5106" xr:uid="{00000000-0005-0000-0000-00007A0C0000}"/>
    <cellStyle name="40% - Accent4 2 4 2 4" xfId="1689" xr:uid="{00000000-0005-0000-0000-00007B0C0000}"/>
    <cellStyle name="40% - Accent4 2 4 2 5" xfId="2967" xr:uid="{00000000-0005-0000-0000-00007C0C0000}"/>
    <cellStyle name="40% - Accent4 2 4 2 6" xfId="4254" xr:uid="{00000000-0005-0000-0000-00007D0C0000}"/>
    <cellStyle name="40% - Accent4 2 4 3" xfId="610" xr:uid="{00000000-0005-0000-0000-00007E0C0000}"/>
    <cellStyle name="40% - Accent4 2 4 3 2" xfId="1902" xr:uid="{00000000-0005-0000-0000-00007F0C0000}"/>
    <cellStyle name="40% - Accent4 2 4 3 3" xfId="3180" xr:uid="{00000000-0005-0000-0000-0000800C0000}"/>
    <cellStyle name="40% - Accent4 2 4 3 4" xfId="4467" xr:uid="{00000000-0005-0000-0000-0000810C0000}"/>
    <cellStyle name="40% - Accent4 2 4 4" xfId="1036" xr:uid="{00000000-0005-0000-0000-0000820C0000}"/>
    <cellStyle name="40% - Accent4 2 4 4 2" xfId="2328" xr:uid="{00000000-0005-0000-0000-0000830C0000}"/>
    <cellStyle name="40% - Accent4 2 4 4 3" xfId="3606" xr:uid="{00000000-0005-0000-0000-0000840C0000}"/>
    <cellStyle name="40% - Accent4 2 4 4 4" xfId="4893" xr:uid="{00000000-0005-0000-0000-0000850C0000}"/>
    <cellStyle name="40% - Accent4 2 4 5" xfId="1476" xr:uid="{00000000-0005-0000-0000-0000860C0000}"/>
    <cellStyle name="40% - Accent4 2 4 6" xfId="2754" xr:uid="{00000000-0005-0000-0000-0000870C0000}"/>
    <cellStyle name="40% - Accent4 2 4 7" xfId="4041" xr:uid="{00000000-0005-0000-0000-0000880C0000}"/>
    <cellStyle name="40% - Accent4 2 5" xfId="177" xr:uid="{00000000-0005-0000-0000-0000890C0000}"/>
    <cellStyle name="40% - Accent4 2 5 2" xfId="398" xr:uid="{00000000-0005-0000-0000-00008A0C0000}"/>
    <cellStyle name="40% - Accent4 2 5 2 2" xfId="824" xr:uid="{00000000-0005-0000-0000-00008B0C0000}"/>
    <cellStyle name="40% - Accent4 2 5 2 2 2" xfId="2116" xr:uid="{00000000-0005-0000-0000-00008C0C0000}"/>
    <cellStyle name="40% - Accent4 2 5 2 2 3" xfId="3394" xr:uid="{00000000-0005-0000-0000-00008D0C0000}"/>
    <cellStyle name="40% - Accent4 2 5 2 2 4" xfId="4681" xr:uid="{00000000-0005-0000-0000-00008E0C0000}"/>
    <cellStyle name="40% - Accent4 2 5 2 3" xfId="1250" xr:uid="{00000000-0005-0000-0000-00008F0C0000}"/>
    <cellStyle name="40% - Accent4 2 5 2 3 2" xfId="2542" xr:uid="{00000000-0005-0000-0000-0000900C0000}"/>
    <cellStyle name="40% - Accent4 2 5 2 3 3" xfId="3820" xr:uid="{00000000-0005-0000-0000-0000910C0000}"/>
    <cellStyle name="40% - Accent4 2 5 2 3 4" xfId="5107" xr:uid="{00000000-0005-0000-0000-0000920C0000}"/>
    <cellStyle name="40% - Accent4 2 5 2 4" xfId="1690" xr:uid="{00000000-0005-0000-0000-0000930C0000}"/>
    <cellStyle name="40% - Accent4 2 5 2 5" xfId="2968" xr:uid="{00000000-0005-0000-0000-0000940C0000}"/>
    <cellStyle name="40% - Accent4 2 5 2 6" xfId="4255" xr:uid="{00000000-0005-0000-0000-0000950C0000}"/>
    <cellStyle name="40% - Accent4 2 5 3" xfId="611" xr:uid="{00000000-0005-0000-0000-0000960C0000}"/>
    <cellStyle name="40% - Accent4 2 5 3 2" xfId="1903" xr:uid="{00000000-0005-0000-0000-0000970C0000}"/>
    <cellStyle name="40% - Accent4 2 5 3 3" xfId="3181" xr:uid="{00000000-0005-0000-0000-0000980C0000}"/>
    <cellStyle name="40% - Accent4 2 5 3 4" xfId="4468" xr:uid="{00000000-0005-0000-0000-0000990C0000}"/>
    <cellStyle name="40% - Accent4 2 5 4" xfId="1037" xr:uid="{00000000-0005-0000-0000-00009A0C0000}"/>
    <cellStyle name="40% - Accent4 2 5 4 2" xfId="2329" xr:uid="{00000000-0005-0000-0000-00009B0C0000}"/>
    <cellStyle name="40% - Accent4 2 5 4 3" xfId="3607" xr:uid="{00000000-0005-0000-0000-00009C0C0000}"/>
    <cellStyle name="40% - Accent4 2 5 4 4" xfId="4894" xr:uid="{00000000-0005-0000-0000-00009D0C0000}"/>
    <cellStyle name="40% - Accent4 2 5 5" xfId="1477" xr:uid="{00000000-0005-0000-0000-00009E0C0000}"/>
    <cellStyle name="40% - Accent4 2 5 6" xfId="2755" xr:uid="{00000000-0005-0000-0000-00009F0C0000}"/>
    <cellStyle name="40% - Accent4 2 5 7" xfId="4042" xr:uid="{00000000-0005-0000-0000-0000A00C0000}"/>
    <cellStyle name="40% - Accent4 2 6" xfId="276" xr:uid="{00000000-0005-0000-0000-0000A10C0000}"/>
    <cellStyle name="40% - Accent4 2 6 2" xfId="489" xr:uid="{00000000-0005-0000-0000-0000A20C0000}"/>
    <cellStyle name="40% - Accent4 2 6 2 2" xfId="914" xr:uid="{00000000-0005-0000-0000-0000A30C0000}"/>
    <cellStyle name="40% - Accent4 2 6 2 2 2" xfId="2206" xr:uid="{00000000-0005-0000-0000-0000A40C0000}"/>
    <cellStyle name="40% - Accent4 2 6 2 2 3" xfId="3484" xr:uid="{00000000-0005-0000-0000-0000A50C0000}"/>
    <cellStyle name="40% - Accent4 2 6 2 2 4" xfId="4771" xr:uid="{00000000-0005-0000-0000-0000A60C0000}"/>
    <cellStyle name="40% - Accent4 2 6 2 3" xfId="1340" xr:uid="{00000000-0005-0000-0000-0000A70C0000}"/>
    <cellStyle name="40% - Accent4 2 6 2 3 2" xfId="2632" xr:uid="{00000000-0005-0000-0000-0000A80C0000}"/>
    <cellStyle name="40% - Accent4 2 6 2 3 3" xfId="3910" xr:uid="{00000000-0005-0000-0000-0000A90C0000}"/>
    <cellStyle name="40% - Accent4 2 6 2 3 4" xfId="5197" xr:uid="{00000000-0005-0000-0000-0000AA0C0000}"/>
    <cellStyle name="40% - Accent4 2 6 2 4" xfId="1780" xr:uid="{00000000-0005-0000-0000-0000AB0C0000}"/>
    <cellStyle name="40% - Accent4 2 6 2 5" xfId="3058" xr:uid="{00000000-0005-0000-0000-0000AC0C0000}"/>
    <cellStyle name="40% - Accent4 2 6 2 6" xfId="4345" xr:uid="{00000000-0005-0000-0000-0000AD0C0000}"/>
    <cellStyle name="40% - Accent4 2 6 3" xfId="701" xr:uid="{00000000-0005-0000-0000-0000AE0C0000}"/>
    <cellStyle name="40% - Accent4 2 6 3 2" xfId="1993" xr:uid="{00000000-0005-0000-0000-0000AF0C0000}"/>
    <cellStyle name="40% - Accent4 2 6 3 3" xfId="3271" xr:uid="{00000000-0005-0000-0000-0000B00C0000}"/>
    <cellStyle name="40% - Accent4 2 6 3 4" xfId="4558" xr:uid="{00000000-0005-0000-0000-0000B10C0000}"/>
    <cellStyle name="40% - Accent4 2 6 4" xfId="1127" xr:uid="{00000000-0005-0000-0000-0000B20C0000}"/>
    <cellStyle name="40% - Accent4 2 6 4 2" xfId="2419" xr:uid="{00000000-0005-0000-0000-0000B30C0000}"/>
    <cellStyle name="40% - Accent4 2 6 4 3" xfId="3697" xr:uid="{00000000-0005-0000-0000-0000B40C0000}"/>
    <cellStyle name="40% - Accent4 2 6 4 4" xfId="4984" xr:uid="{00000000-0005-0000-0000-0000B50C0000}"/>
    <cellStyle name="40% - Accent4 2 6 5" xfId="1567" xr:uid="{00000000-0005-0000-0000-0000B60C0000}"/>
    <cellStyle name="40% - Accent4 2 6 6" xfId="2845" xr:uid="{00000000-0005-0000-0000-0000B70C0000}"/>
    <cellStyle name="40% - Accent4 2 6 7" xfId="4132" xr:uid="{00000000-0005-0000-0000-0000B80C0000}"/>
    <cellStyle name="40% - Accent4 2 7" xfId="393" xr:uid="{00000000-0005-0000-0000-0000B90C0000}"/>
    <cellStyle name="40% - Accent4 2 7 2" xfId="819" xr:uid="{00000000-0005-0000-0000-0000BA0C0000}"/>
    <cellStyle name="40% - Accent4 2 7 2 2" xfId="2111" xr:uid="{00000000-0005-0000-0000-0000BB0C0000}"/>
    <cellStyle name="40% - Accent4 2 7 2 3" xfId="3389" xr:uid="{00000000-0005-0000-0000-0000BC0C0000}"/>
    <cellStyle name="40% - Accent4 2 7 2 4" xfId="4676" xr:uid="{00000000-0005-0000-0000-0000BD0C0000}"/>
    <cellStyle name="40% - Accent4 2 7 3" xfId="1245" xr:uid="{00000000-0005-0000-0000-0000BE0C0000}"/>
    <cellStyle name="40% - Accent4 2 7 3 2" xfId="2537" xr:uid="{00000000-0005-0000-0000-0000BF0C0000}"/>
    <cellStyle name="40% - Accent4 2 7 3 3" xfId="3815" xr:uid="{00000000-0005-0000-0000-0000C00C0000}"/>
    <cellStyle name="40% - Accent4 2 7 3 4" xfId="5102" xr:uid="{00000000-0005-0000-0000-0000C10C0000}"/>
    <cellStyle name="40% - Accent4 2 7 4" xfId="1685" xr:uid="{00000000-0005-0000-0000-0000C20C0000}"/>
    <cellStyle name="40% - Accent4 2 7 5" xfId="2963" xr:uid="{00000000-0005-0000-0000-0000C30C0000}"/>
    <cellStyle name="40% - Accent4 2 7 6" xfId="4250" xr:uid="{00000000-0005-0000-0000-0000C40C0000}"/>
    <cellStyle name="40% - Accent4 2 8" xfId="606" xr:uid="{00000000-0005-0000-0000-0000C50C0000}"/>
    <cellStyle name="40% - Accent4 2 8 2" xfId="1898" xr:uid="{00000000-0005-0000-0000-0000C60C0000}"/>
    <cellStyle name="40% - Accent4 2 8 3" xfId="3176" xr:uid="{00000000-0005-0000-0000-0000C70C0000}"/>
    <cellStyle name="40% - Accent4 2 8 4" xfId="4463" xr:uid="{00000000-0005-0000-0000-0000C80C0000}"/>
    <cellStyle name="40% - Accent4 2 9" xfId="1032" xr:uid="{00000000-0005-0000-0000-0000C90C0000}"/>
    <cellStyle name="40% - Accent4 2 9 2" xfId="2324" xr:uid="{00000000-0005-0000-0000-0000CA0C0000}"/>
    <cellStyle name="40% - Accent4 2 9 3" xfId="3602" xr:uid="{00000000-0005-0000-0000-0000CB0C0000}"/>
    <cellStyle name="40% - Accent4 2 9 4" xfId="4889" xr:uid="{00000000-0005-0000-0000-0000CC0C0000}"/>
    <cellStyle name="40% - Accent4 3" xfId="178" xr:uid="{00000000-0005-0000-0000-0000CD0C0000}"/>
    <cellStyle name="40% - Accent4 3 2" xfId="179" xr:uid="{00000000-0005-0000-0000-0000CE0C0000}"/>
    <cellStyle name="40% - Accent4 3 2 2" xfId="400" xr:uid="{00000000-0005-0000-0000-0000CF0C0000}"/>
    <cellStyle name="40% - Accent4 3 2 2 2" xfId="826" xr:uid="{00000000-0005-0000-0000-0000D00C0000}"/>
    <cellStyle name="40% - Accent4 3 2 2 2 2" xfId="2118" xr:uid="{00000000-0005-0000-0000-0000D10C0000}"/>
    <cellStyle name="40% - Accent4 3 2 2 2 3" xfId="3396" xr:uid="{00000000-0005-0000-0000-0000D20C0000}"/>
    <cellStyle name="40% - Accent4 3 2 2 2 4" xfId="4683" xr:uid="{00000000-0005-0000-0000-0000D30C0000}"/>
    <cellStyle name="40% - Accent4 3 2 2 3" xfId="1252" xr:uid="{00000000-0005-0000-0000-0000D40C0000}"/>
    <cellStyle name="40% - Accent4 3 2 2 3 2" xfId="2544" xr:uid="{00000000-0005-0000-0000-0000D50C0000}"/>
    <cellStyle name="40% - Accent4 3 2 2 3 3" xfId="3822" xr:uid="{00000000-0005-0000-0000-0000D60C0000}"/>
    <cellStyle name="40% - Accent4 3 2 2 3 4" xfId="5109" xr:uid="{00000000-0005-0000-0000-0000D70C0000}"/>
    <cellStyle name="40% - Accent4 3 2 2 4" xfId="1692" xr:uid="{00000000-0005-0000-0000-0000D80C0000}"/>
    <cellStyle name="40% - Accent4 3 2 2 5" xfId="2970" xr:uid="{00000000-0005-0000-0000-0000D90C0000}"/>
    <cellStyle name="40% - Accent4 3 2 2 6" xfId="4257" xr:uid="{00000000-0005-0000-0000-0000DA0C0000}"/>
    <cellStyle name="40% - Accent4 3 2 3" xfId="613" xr:uid="{00000000-0005-0000-0000-0000DB0C0000}"/>
    <cellStyle name="40% - Accent4 3 2 3 2" xfId="1905" xr:uid="{00000000-0005-0000-0000-0000DC0C0000}"/>
    <cellStyle name="40% - Accent4 3 2 3 3" xfId="3183" xr:uid="{00000000-0005-0000-0000-0000DD0C0000}"/>
    <cellStyle name="40% - Accent4 3 2 3 4" xfId="4470" xr:uid="{00000000-0005-0000-0000-0000DE0C0000}"/>
    <cellStyle name="40% - Accent4 3 2 4" xfId="1039" xr:uid="{00000000-0005-0000-0000-0000DF0C0000}"/>
    <cellStyle name="40% - Accent4 3 2 4 2" xfId="2331" xr:uid="{00000000-0005-0000-0000-0000E00C0000}"/>
    <cellStyle name="40% - Accent4 3 2 4 3" xfId="3609" xr:uid="{00000000-0005-0000-0000-0000E10C0000}"/>
    <cellStyle name="40% - Accent4 3 2 4 4" xfId="4896" xr:uid="{00000000-0005-0000-0000-0000E20C0000}"/>
    <cellStyle name="40% - Accent4 3 2 5" xfId="1479" xr:uid="{00000000-0005-0000-0000-0000E30C0000}"/>
    <cellStyle name="40% - Accent4 3 2 6" xfId="2757" xr:uid="{00000000-0005-0000-0000-0000E40C0000}"/>
    <cellStyle name="40% - Accent4 3 2 7" xfId="4044" xr:uid="{00000000-0005-0000-0000-0000E50C0000}"/>
    <cellStyle name="40% - Accent4 3 2 8" xfId="5284" xr:uid="{00000000-0005-0000-0000-0000E60C0000}"/>
    <cellStyle name="40% - Accent4 3 3" xfId="399" xr:uid="{00000000-0005-0000-0000-0000E70C0000}"/>
    <cellStyle name="40% - Accent4 3 3 2" xfId="825" xr:uid="{00000000-0005-0000-0000-0000E80C0000}"/>
    <cellStyle name="40% - Accent4 3 3 2 2" xfId="2117" xr:uid="{00000000-0005-0000-0000-0000E90C0000}"/>
    <cellStyle name="40% - Accent4 3 3 2 3" xfId="3395" xr:uid="{00000000-0005-0000-0000-0000EA0C0000}"/>
    <cellStyle name="40% - Accent4 3 3 2 4" xfId="4682" xr:uid="{00000000-0005-0000-0000-0000EB0C0000}"/>
    <cellStyle name="40% - Accent4 3 3 3" xfId="1251" xr:uid="{00000000-0005-0000-0000-0000EC0C0000}"/>
    <cellStyle name="40% - Accent4 3 3 3 2" xfId="2543" xr:uid="{00000000-0005-0000-0000-0000ED0C0000}"/>
    <cellStyle name="40% - Accent4 3 3 3 3" xfId="3821" xr:uid="{00000000-0005-0000-0000-0000EE0C0000}"/>
    <cellStyle name="40% - Accent4 3 3 3 4" xfId="5108" xr:uid="{00000000-0005-0000-0000-0000EF0C0000}"/>
    <cellStyle name="40% - Accent4 3 3 4" xfId="1691" xr:uid="{00000000-0005-0000-0000-0000F00C0000}"/>
    <cellStyle name="40% - Accent4 3 3 5" xfId="2969" xr:uid="{00000000-0005-0000-0000-0000F10C0000}"/>
    <cellStyle name="40% - Accent4 3 3 6" xfId="4256" xr:uid="{00000000-0005-0000-0000-0000F20C0000}"/>
    <cellStyle name="40% - Accent4 3 4" xfId="612" xr:uid="{00000000-0005-0000-0000-0000F30C0000}"/>
    <cellStyle name="40% - Accent4 3 4 2" xfId="1904" xr:uid="{00000000-0005-0000-0000-0000F40C0000}"/>
    <cellStyle name="40% - Accent4 3 4 3" xfId="3182" xr:uid="{00000000-0005-0000-0000-0000F50C0000}"/>
    <cellStyle name="40% - Accent4 3 4 4" xfId="4469" xr:uid="{00000000-0005-0000-0000-0000F60C0000}"/>
    <cellStyle name="40% - Accent4 3 5" xfId="1038" xr:uid="{00000000-0005-0000-0000-0000F70C0000}"/>
    <cellStyle name="40% - Accent4 3 5 2" xfId="2330" xr:uid="{00000000-0005-0000-0000-0000F80C0000}"/>
    <cellStyle name="40% - Accent4 3 5 3" xfId="3608" xr:uid="{00000000-0005-0000-0000-0000F90C0000}"/>
    <cellStyle name="40% - Accent4 3 5 4" xfId="4895" xr:uid="{00000000-0005-0000-0000-0000FA0C0000}"/>
    <cellStyle name="40% - Accent4 3 6" xfId="1478" xr:uid="{00000000-0005-0000-0000-0000FB0C0000}"/>
    <cellStyle name="40% - Accent4 3 7" xfId="2756" xr:uid="{00000000-0005-0000-0000-0000FC0C0000}"/>
    <cellStyle name="40% - Accent4 3 8" xfId="4043" xr:uid="{00000000-0005-0000-0000-0000FD0C0000}"/>
    <cellStyle name="40% - Accent4 3 9" xfId="5283" xr:uid="{00000000-0005-0000-0000-0000FE0C0000}"/>
    <cellStyle name="40% - Accent4 4" xfId="180" xr:uid="{00000000-0005-0000-0000-0000FF0C0000}"/>
    <cellStyle name="40% - Accent4 4 2" xfId="401" xr:uid="{00000000-0005-0000-0000-0000000D0000}"/>
    <cellStyle name="40% - Accent4 4 2 2" xfId="827" xr:uid="{00000000-0005-0000-0000-0000010D0000}"/>
    <cellStyle name="40% - Accent4 4 2 2 2" xfId="2119" xr:uid="{00000000-0005-0000-0000-0000020D0000}"/>
    <cellStyle name="40% - Accent4 4 2 2 3" xfId="3397" xr:uid="{00000000-0005-0000-0000-0000030D0000}"/>
    <cellStyle name="40% - Accent4 4 2 2 4" xfId="4684" xr:uid="{00000000-0005-0000-0000-0000040D0000}"/>
    <cellStyle name="40% - Accent4 4 2 3" xfId="1253" xr:uid="{00000000-0005-0000-0000-0000050D0000}"/>
    <cellStyle name="40% - Accent4 4 2 3 2" xfId="2545" xr:uid="{00000000-0005-0000-0000-0000060D0000}"/>
    <cellStyle name="40% - Accent4 4 2 3 3" xfId="3823" xr:uid="{00000000-0005-0000-0000-0000070D0000}"/>
    <cellStyle name="40% - Accent4 4 2 3 4" xfId="5110" xr:uid="{00000000-0005-0000-0000-0000080D0000}"/>
    <cellStyle name="40% - Accent4 4 2 4" xfId="1693" xr:uid="{00000000-0005-0000-0000-0000090D0000}"/>
    <cellStyle name="40% - Accent4 4 2 5" xfId="2971" xr:uid="{00000000-0005-0000-0000-00000A0D0000}"/>
    <cellStyle name="40% - Accent4 4 2 6" xfId="4258" xr:uid="{00000000-0005-0000-0000-00000B0D0000}"/>
    <cellStyle name="40% - Accent4 4 3" xfId="614" xr:uid="{00000000-0005-0000-0000-00000C0D0000}"/>
    <cellStyle name="40% - Accent4 4 3 2" xfId="1906" xr:uid="{00000000-0005-0000-0000-00000D0D0000}"/>
    <cellStyle name="40% - Accent4 4 3 3" xfId="3184" xr:uid="{00000000-0005-0000-0000-00000E0D0000}"/>
    <cellStyle name="40% - Accent4 4 3 4" xfId="4471" xr:uid="{00000000-0005-0000-0000-00000F0D0000}"/>
    <cellStyle name="40% - Accent4 4 4" xfId="1040" xr:uid="{00000000-0005-0000-0000-0000100D0000}"/>
    <cellStyle name="40% - Accent4 4 4 2" xfId="2332" xr:uid="{00000000-0005-0000-0000-0000110D0000}"/>
    <cellStyle name="40% - Accent4 4 4 3" xfId="3610" xr:uid="{00000000-0005-0000-0000-0000120D0000}"/>
    <cellStyle name="40% - Accent4 4 4 4" xfId="4897" xr:uid="{00000000-0005-0000-0000-0000130D0000}"/>
    <cellStyle name="40% - Accent4 4 5" xfId="1480" xr:uid="{00000000-0005-0000-0000-0000140D0000}"/>
    <cellStyle name="40% - Accent4 4 6" xfId="2758" xr:uid="{00000000-0005-0000-0000-0000150D0000}"/>
    <cellStyle name="40% - Accent4 4 7" xfId="4045" xr:uid="{00000000-0005-0000-0000-0000160D0000}"/>
    <cellStyle name="40% - Accent4 4 8" xfId="5285" xr:uid="{00000000-0005-0000-0000-0000170D0000}"/>
    <cellStyle name="40% - Accent4 5" xfId="181" xr:uid="{00000000-0005-0000-0000-0000180D0000}"/>
    <cellStyle name="40% - Accent4 5 2" xfId="402" xr:uid="{00000000-0005-0000-0000-0000190D0000}"/>
    <cellStyle name="40% - Accent4 5 2 2" xfId="828" xr:uid="{00000000-0005-0000-0000-00001A0D0000}"/>
    <cellStyle name="40% - Accent4 5 2 2 2" xfId="2120" xr:uid="{00000000-0005-0000-0000-00001B0D0000}"/>
    <cellStyle name="40% - Accent4 5 2 2 3" xfId="3398" xr:uid="{00000000-0005-0000-0000-00001C0D0000}"/>
    <cellStyle name="40% - Accent4 5 2 2 4" xfId="4685" xr:uid="{00000000-0005-0000-0000-00001D0D0000}"/>
    <cellStyle name="40% - Accent4 5 2 3" xfId="1254" xr:uid="{00000000-0005-0000-0000-00001E0D0000}"/>
    <cellStyle name="40% - Accent4 5 2 3 2" xfId="2546" xr:uid="{00000000-0005-0000-0000-00001F0D0000}"/>
    <cellStyle name="40% - Accent4 5 2 3 3" xfId="3824" xr:uid="{00000000-0005-0000-0000-0000200D0000}"/>
    <cellStyle name="40% - Accent4 5 2 3 4" xfId="5111" xr:uid="{00000000-0005-0000-0000-0000210D0000}"/>
    <cellStyle name="40% - Accent4 5 2 4" xfId="1694" xr:uid="{00000000-0005-0000-0000-0000220D0000}"/>
    <cellStyle name="40% - Accent4 5 2 5" xfId="2972" xr:uid="{00000000-0005-0000-0000-0000230D0000}"/>
    <cellStyle name="40% - Accent4 5 2 6" xfId="4259" xr:uid="{00000000-0005-0000-0000-0000240D0000}"/>
    <cellStyle name="40% - Accent4 5 3" xfId="615" xr:uid="{00000000-0005-0000-0000-0000250D0000}"/>
    <cellStyle name="40% - Accent4 5 3 2" xfId="1907" xr:uid="{00000000-0005-0000-0000-0000260D0000}"/>
    <cellStyle name="40% - Accent4 5 3 3" xfId="3185" xr:uid="{00000000-0005-0000-0000-0000270D0000}"/>
    <cellStyle name="40% - Accent4 5 3 4" xfId="4472" xr:uid="{00000000-0005-0000-0000-0000280D0000}"/>
    <cellStyle name="40% - Accent4 5 4" xfId="1041" xr:uid="{00000000-0005-0000-0000-0000290D0000}"/>
    <cellStyle name="40% - Accent4 5 4 2" xfId="2333" xr:uid="{00000000-0005-0000-0000-00002A0D0000}"/>
    <cellStyle name="40% - Accent4 5 4 3" xfId="3611" xr:uid="{00000000-0005-0000-0000-00002B0D0000}"/>
    <cellStyle name="40% - Accent4 5 4 4" xfId="4898" xr:uid="{00000000-0005-0000-0000-00002C0D0000}"/>
    <cellStyle name="40% - Accent4 5 5" xfId="1481" xr:uid="{00000000-0005-0000-0000-00002D0D0000}"/>
    <cellStyle name="40% - Accent4 5 6" xfId="2759" xr:uid="{00000000-0005-0000-0000-00002E0D0000}"/>
    <cellStyle name="40% - Accent4 5 7" xfId="4046" xr:uid="{00000000-0005-0000-0000-00002F0D0000}"/>
    <cellStyle name="40% - Accent4 6" xfId="182" xr:uid="{00000000-0005-0000-0000-0000300D0000}"/>
    <cellStyle name="40% - Accent4 6 2" xfId="403" xr:uid="{00000000-0005-0000-0000-0000310D0000}"/>
    <cellStyle name="40% - Accent4 6 2 2" xfId="829" xr:uid="{00000000-0005-0000-0000-0000320D0000}"/>
    <cellStyle name="40% - Accent4 6 2 2 2" xfId="2121" xr:uid="{00000000-0005-0000-0000-0000330D0000}"/>
    <cellStyle name="40% - Accent4 6 2 2 3" xfId="3399" xr:uid="{00000000-0005-0000-0000-0000340D0000}"/>
    <cellStyle name="40% - Accent4 6 2 2 4" xfId="4686" xr:uid="{00000000-0005-0000-0000-0000350D0000}"/>
    <cellStyle name="40% - Accent4 6 2 3" xfId="1255" xr:uid="{00000000-0005-0000-0000-0000360D0000}"/>
    <cellStyle name="40% - Accent4 6 2 3 2" xfId="2547" xr:uid="{00000000-0005-0000-0000-0000370D0000}"/>
    <cellStyle name="40% - Accent4 6 2 3 3" xfId="3825" xr:uid="{00000000-0005-0000-0000-0000380D0000}"/>
    <cellStyle name="40% - Accent4 6 2 3 4" xfId="5112" xr:uid="{00000000-0005-0000-0000-0000390D0000}"/>
    <cellStyle name="40% - Accent4 6 2 4" xfId="1695" xr:uid="{00000000-0005-0000-0000-00003A0D0000}"/>
    <cellStyle name="40% - Accent4 6 2 5" xfId="2973" xr:uid="{00000000-0005-0000-0000-00003B0D0000}"/>
    <cellStyle name="40% - Accent4 6 2 6" xfId="4260" xr:uid="{00000000-0005-0000-0000-00003C0D0000}"/>
    <cellStyle name="40% - Accent4 6 3" xfId="616" xr:uid="{00000000-0005-0000-0000-00003D0D0000}"/>
    <cellStyle name="40% - Accent4 6 3 2" xfId="1908" xr:uid="{00000000-0005-0000-0000-00003E0D0000}"/>
    <cellStyle name="40% - Accent4 6 3 3" xfId="3186" xr:uid="{00000000-0005-0000-0000-00003F0D0000}"/>
    <cellStyle name="40% - Accent4 6 3 4" xfId="4473" xr:uid="{00000000-0005-0000-0000-0000400D0000}"/>
    <cellStyle name="40% - Accent4 6 4" xfId="1042" xr:uid="{00000000-0005-0000-0000-0000410D0000}"/>
    <cellStyle name="40% - Accent4 6 4 2" xfId="2334" xr:uid="{00000000-0005-0000-0000-0000420D0000}"/>
    <cellStyle name="40% - Accent4 6 4 3" xfId="3612" xr:uid="{00000000-0005-0000-0000-0000430D0000}"/>
    <cellStyle name="40% - Accent4 6 4 4" xfId="4899" xr:uid="{00000000-0005-0000-0000-0000440D0000}"/>
    <cellStyle name="40% - Accent4 6 5" xfId="1482" xr:uid="{00000000-0005-0000-0000-0000450D0000}"/>
    <cellStyle name="40% - Accent4 6 6" xfId="2760" xr:uid="{00000000-0005-0000-0000-0000460D0000}"/>
    <cellStyle name="40% - Accent4 6 7" xfId="4047" xr:uid="{00000000-0005-0000-0000-0000470D0000}"/>
    <cellStyle name="40% - Accent4 7" xfId="263" xr:uid="{00000000-0005-0000-0000-0000480D0000}"/>
    <cellStyle name="40% - Accent4 7 2" xfId="476" xr:uid="{00000000-0005-0000-0000-0000490D0000}"/>
    <cellStyle name="40% - Accent4 7 2 2" xfId="901" xr:uid="{00000000-0005-0000-0000-00004A0D0000}"/>
    <cellStyle name="40% - Accent4 7 2 2 2" xfId="2193" xr:uid="{00000000-0005-0000-0000-00004B0D0000}"/>
    <cellStyle name="40% - Accent4 7 2 2 3" xfId="3471" xr:uid="{00000000-0005-0000-0000-00004C0D0000}"/>
    <cellStyle name="40% - Accent4 7 2 2 4" xfId="4758" xr:uid="{00000000-0005-0000-0000-00004D0D0000}"/>
    <cellStyle name="40% - Accent4 7 2 3" xfId="1327" xr:uid="{00000000-0005-0000-0000-00004E0D0000}"/>
    <cellStyle name="40% - Accent4 7 2 3 2" xfId="2619" xr:uid="{00000000-0005-0000-0000-00004F0D0000}"/>
    <cellStyle name="40% - Accent4 7 2 3 3" xfId="3897" xr:uid="{00000000-0005-0000-0000-0000500D0000}"/>
    <cellStyle name="40% - Accent4 7 2 3 4" xfId="5184" xr:uid="{00000000-0005-0000-0000-0000510D0000}"/>
    <cellStyle name="40% - Accent4 7 2 4" xfId="1767" xr:uid="{00000000-0005-0000-0000-0000520D0000}"/>
    <cellStyle name="40% - Accent4 7 2 5" xfId="3045" xr:uid="{00000000-0005-0000-0000-0000530D0000}"/>
    <cellStyle name="40% - Accent4 7 2 6" xfId="4332" xr:uid="{00000000-0005-0000-0000-0000540D0000}"/>
    <cellStyle name="40% - Accent4 7 3" xfId="688" xr:uid="{00000000-0005-0000-0000-0000550D0000}"/>
    <cellStyle name="40% - Accent4 7 3 2" xfId="1980" xr:uid="{00000000-0005-0000-0000-0000560D0000}"/>
    <cellStyle name="40% - Accent4 7 3 3" xfId="3258" xr:uid="{00000000-0005-0000-0000-0000570D0000}"/>
    <cellStyle name="40% - Accent4 7 3 4" xfId="4545" xr:uid="{00000000-0005-0000-0000-0000580D0000}"/>
    <cellStyle name="40% - Accent4 7 4" xfId="1114" xr:uid="{00000000-0005-0000-0000-0000590D0000}"/>
    <cellStyle name="40% - Accent4 7 4 2" xfId="2406" xr:uid="{00000000-0005-0000-0000-00005A0D0000}"/>
    <cellStyle name="40% - Accent4 7 4 3" xfId="3684" xr:uid="{00000000-0005-0000-0000-00005B0D0000}"/>
    <cellStyle name="40% - Accent4 7 4 4" xfId="4971" xr:uid="{00000000-0005-0000-0000-00005C0D0000}"/>
    <cellStyle name="40% - Accent4 7 5" xfId="1554" xr:uid="{00000000-0005-0000-0000-00005D0D0000}"/>
    <cellStyle name="40% - Accent4 7 6" xfId="2832" xr:uid="{00000000-0005-0000-0000-00005E0D0000}"/>
    <cellStyle name="40% - Accent4 7 7" xfId="4119" xr:uid="{00000000-0005-0000-0000-00005F0D0000}"/>
    <cellStyle name="40% - Accent4 8" xfId="392" xr:uid="{00000000-0005-0000-0000-0000600D0000}"/>
    <cellStyle name="40% - Accent4 8 2" xfId="818" xr:uid="{00000000-0005-0000-0000-0000610D0000}"/>
    <cellStyle name="40% - Accent4 8 2 2" xfId="2110" xr:uid="{00000000-0005-0000-0000-0000620D0000}"/>
    <cellStyle name="40% - Accent4 8 2 3" xfId="3388" xr:uid="{00000000-0005-0000-0000-0000630D0000}"/>
    <cellStyle name="40% - Accent4 8 2 4" xfId="4675" xr:uid="{00000000-0005-0000-0000-0000640D0000}"/>
    <cellStyle name="40% - Accent4 8 3" xfId="1244" xr:uid="{00000000-0005-0000-0000-0000650D0000}"/>
    <cellStyle name="40% - Accent4 8 3 2" xfId="2536" xr:uid="{00000000-0005-0000-0000-0000660D0000}"/>
    <cellStyle name="40% - Accent4 8 3 3" xfId="3814" xr:uid="{00000000-0005-0000-0000-0000670D0000}"/>
    <cellStyle name="40% - Accent4 8 3 4" xfId="5101" xr:uid="{00000000-0005-0000-0000-0000680D0000}"/>
    <cellStyle name="40% - Accent4 8 4" xfId="1684" xr:uid="{00000000-0005-0000-0000-0000690D0000}"/>
    <cellStyle name="40% - Accent4 8 5" xfId="2962" xr:uid="{00000000-0005-0000-0000-00006A0D0000}"/>
    <cellStyle name="40% - Accent4 8 6" xfId="4249" xr:uid="{00000000-0005-0000-0000-00006B0D0000}"/>
    <cellStyle name="40% - Accent4 9" xfId="605" xr:uid="{00000000-0005-0000-0000-00006C0D0000}"/>
    <cellStyle name="40% - Accent4 9 2" xfId="1897" xr:uid="{00000000-0005-0000-0000-00006D0D0000}"/>
    <cellStyle name="40% - Accent4 9 3" xfId="3175" xr:uid="{00000000-0005-0000-0000-00006E0D0000}"/>
    <cellStyle name="40% - Accent4 9 4" xfId="4462" xr:uid="{00000000-0005-0000-0000-00006F0D0000}"/>
    <cellStyle name="40% - Accent5" xfId="74" builtinId="47" customBuiltin="1"/>
    <cellStyle name="40% - Accent5 10" xfId="1043" xr:uid="{00000000-0005-0000-0000-0000710D0000}"/>
    <cellStyle name="40% - Accent5 10 2" xfId="2335" xr:uid="{00000000-0005-0000-0000-0000720D0000}"/>
    <cellStyle name="40% - Accent5 10 3" xfId="3613" xr:uid="{00000000-0005-0000-0000-0000730D0000}"/>
    <cellStyle name="40% - Accent5 10 4" xfId="4900" xr:uid="{00000000-0005-0000-0000-0000740D0000}"/>
    <cellStyle name="40% - Accent5 11" xfId="1483" xr:uid="{00000000-0005-0000-0000-0000750D0000}"/>
    <cellStyle name="40% - Accent5 12" xfId="2761" xr:uid="{00000000-0005-0000-0000-0000760D0000}"/>
    <cellStyle name="40% - Accent5 13" xfId="4048" xr:uid="{00000000-0005-0000-0000-0000770D0000}"/>
    <cellStyle name="40% - Accent5 14" xfId="5286" xr:uid="{00000000-0005-0000-0000-0000780D0000}"/>
    <cellStyle name="40% - Accent5 2" xfId="20" xr:uid="{00000000-0005-0000-0000-0000790D0000}"/>
    <cellStyle name="40% - Accent5 2 10" xfId="1484" xr:uid="{00000000-0005-0000-0000-00007A0D0000}"/>
    <cellStyle name="40% - Accent5 2 11" xfId="2762" xr:uid="{00000000-0005-0000-0000-00007B0D0000}"/>
    <cellStyle name="40% - Accent5 2 12" xfId="4049" xr:uid="{00000000-0005-0000-0000-00007C0D0000}"/>
    <cellStyle name="40% - Accent5 2 13" xfId="5287" xr:uid="{00000000-0005-0000-0000-00007D0D0000}"/>
    <cellStyle name="40% - Accent5 2 2" xfId="183" xr:uid="{00000000-0005-0000-0000-00007E0D0000}"/>
    <cellStyle name="40% - Accent5 2 2 2" xfId="184" xr:uid="{00000000-0005-0000-0000-00007F0D0000}"/>
    <cellStyle name="40% - Accent5 2 2 2 2" xfId="407" xr:uid="{00000000-0005-0000-0000-0000800D0000}"/>
    <cellStyle name="40% - Accent5 2 2 2 2 2" xfId="833" xr:uid="{00000000-0005-0000-0000-0000810D0000}"/>
    <cellStyle name="40% - Accent5 2 2 2 2 2 2" xfId="2125" xr:uid="{00000000-0005-0000-0000-0000820D0000}"/>
    <cellStyle name="40% - Accent5 2 2 2 2 2 3" xfId="3403" xr:uid="{00000000-0005-0000-0000-0000830D0000}"/>
    <cellStyle name="40% - Accent5 2 2 2 2 2 4" xfId="4690" xr:uid="{00000000-0005-0000-0000-0000840D0000}"/>
    <cellStyle name="40% - Accent5 2 2 2 2 3" xfId="1259" xr:uid="{00000000-0005-0000-0000-0000850D0000}"/>
    <cellStyle name="40% - Accent5 2 2 2 2 3 2" xfId="2551" xr:uid="{00000000-0005-0000-0000-0000860D0000}"/>
    <cellStyle name="40% - Accent5 2 2 2 2 3 3" xfId="3829" xr:uid="{00000000-0005-0000-0000-0000870D0000}"/>
    <cellStyle name="40% - Accent5 2 2 2 2 3 4" xfId="5116" xr:uid="{00000000-0005-0000-0000-0000880D0000}"/>
    <cellStyle name="40% - Accent5 2 2 2 2 4" xfId="1699" xr:uid="{00000000-0005-0000-0000-0000890D0000}"/>
    <cellStyle name="40% - Accent5 2 2 2 2 5" xfId="2977" xr:uid="{00000000-0005-0000-0000-00008A0D0000}"/>
    <cellStyle name="40% - Accent5 2 2 2 2 6" xfId="4264" xr:uid="{00000000-0005-0000-0000-00008B0D0000}"/>
    <cellStyle name="40% - Accent5 2 2 2 3" xfId="620" xr:uid="{00000000-0005-0000-0000-00008C0D0000}"/>
    <cellStyle name="40% - Accent5 2 2 2 3 2" xfId="1912" xr:uid="{00000000-0005-0000-0000-00008D0D0000}"/>
    <cellStyle name="40% - Accent5 2 2 2 3 3" xfId="3190" xr:uid="{00000000-0005-0000-0000-00008E0D0000}"/>
    <cellStyle name="40% - Accent5 2 2 2 3 4" xfId="4477" xr:uid="{00000000-0005-0000-0000-00008F0D0000}"/>
    <cellStyle name="40% - Accent5 2 2 2 4" xfId="1046" xr:uid="{00000000-0005-0000-0000-0000900D0000}"/>
    <cellStyle name="40% - Accent5 2 2 2 4 2" xfId="2338" xr:uid="{00000000-0005-0000-0000-0000910D0000}"/>
    <cellStyle name="40% - Accent5 2 2 2 4 3" xfId="3616" xr:uid="{00000000-0005-0000-0000-0000920D0000}"/>
    <cellStyle name="40% - Accent5 2 2 2 4 4" xfId="4903" xr:uid="{00000000-0005-0000-0000-0000930D0000}"/>
    <cellStyle name="40% - Accent5 2 2 2 5" xfId="1486" xr:uid="{00000000-0005-0000-0000-0000940D0000}"/>
    <cellStyle name="40% - Accent5 2 2 2 6" xfId="2764" xr:uid="{00000000-0005-0000-0000-0000950D0000}"/>
    <cellStyle name="40% - Accent5 2 2 2 7" xfId="4051" xr:uid="{00000000-0005-0000-0000-0000960D0000}"/>
    <cellStyle name="40% - Accent5 2 2 2 8" xfId="5289" xr:uid="{00000000-0005-0000-0000-0000970D0000}"/>
    <cellStyle name="40% - Accent5 2 2 3" xfId="406" xr:uid="{00000000-0005-0000-0000-0000980D0000}"/>
    <cellStyle name="40% - Accent5 2 2 3 2" xfId="832" xr:uid="{00000000-0005-0000-0000-0000990D0000}"/>
    <cellStyle name="40% - Accent5 2 2 3 2 2" xfId="2124" xr:uid="{00000000-0005-0000-0000-00009A0D0000}"/>
    <cellStyle name="40% - Accent5 2 2 3 2 3" xfId="3402" xr:uid="{00000000-0005-0000-0000-00009B0D0000}"/>
    <cellStyle name="40% - Accent5 2 2 3 2 4" xfId="4689" xr:uid="{00000000-0005-0000-0000-00009C0D0000}"/>
    <cellStyle name="40% - Accent5 2 2 3 3" xfId="1258" xr:uid="{00000000-0005-0000-0000-00009D0D0000}"/>
    <cellStyle name="40% - Accent5 2 2 3 3 2" xfId="2550" xr:uid="{00000000-0005-0000-0000-00009E0D0000}"/>
    <cellStyle name="40% - Accent5 2 2 3 3 3" xfId="3828" xr:uid="{00000000-0005-0000-0000-00009F0D0000}"/>
    <cellStyle name="40% - Accent5 2 2 3 3 4" xfId="5115" xr:uid="{00000000-0005-0000-0000-0000A00D0000}"/>
    <cellStyle name="40% - Accent5 2 2 3 4" xfId="1698" xr:uid="{00000000-0005-0000-0000-0000A10D0000}"/>
    <cellStyle name="40% - Accent5 2 2 3 5" xfId="2976" xr:uid="{00000000-0005-0000-0000-0000A20D0000}"/>
    <cellStyle name="40% - Accent5 2 2 3 6" xfId="4263" xr:uid="{00000000-0005-0000-0000-0000A30D0000}"/>
    <cellStyle name="40% - Accent5 2 2 4" xfId="619" xr:uid="{00000000-0005-0000-0000-0000A40D0000}"/>
    <cellStyle name="40% - Accent5 2 2 4 2" xfId="1911" xr:uid="{00000000-0005-0000-0000-0000A50D0000}"/>
    <cellStyle name="40% - Accent5 2 2 4 3" xfId="3189" xr:uid="{00000000-0005-0000-0000-0000A60D0000}"/>
    <cellStyle name="40% - Accent5 2 2 4 4" xfId="4476" xr:uid="{00000000-0005-0000-0000-0000A70D0000}"/>
    <cellStyle name="40% - Accent5 2 2 5" xfId="1045" xr:uid="{00000000-0005-0000-0000-0000A80D0000}"/>
    <cellStyle name="40% - Accent5 2 2 5 2" xfId="2337" xr:uid="{00000000-0005-0000-0000-0000A90D0000}"/>
    <cellStyle name="40% - Accent5 2 2 5 3" xfId="3615" xr:uid="{00000000-0005-0000-0000-0000AA0D0000}"/>
    <cellStyle name="40% - Accent5 2 2 5 4" xfId="4902" xr:uid="{00000000-0005-0000-0000-0000AB0D0000}"/>
    <cellStyle name="40% - Accent5 2 2 6" xfId="1485" xr:uid="{00000000-0005-0000-0000-0000AC0D0000}"/>
    <cellStyle name="40% - Accent5 2 2 7" xfId="2763" xr:uid="{00000000-0005-0000-0000-0000AD0D0000}"/>
    <cellStyle name="40% - Accent5 2 2 8" xfId="4050" xr:uid="{00000000-0005-0000-0000-0000AE0D0000}"/>
    <cellStyle name="40% - Accent5 2 2 9" xfId="5288" xr:uid="{00000000-0005-0000-0000-0000AF0D0000}"/>
    <cellStyle name="40% - Accent5 2 3" xfId="185" xr:uid="{00000000-0005-0000-0000-0000B00D0000}"/>
    <cellStyle name="40% - Accent5 2 3 2" xfId="408" xr:uid="{00000000-0005-0000-0000-0000B10D0000}"/>
    <cellStyle name="40% - Accent5 2 3 2 2" xfId="834" xr:uid="{00000000-0005-0000-0000-0000B20D0000}"/>
    <cellStyle name="40% - Accent5 2 3 2 2 2" xfId="2126" xr:uid="{00000000-0005-0000-0000-0000B30D0000}"/>
    <cellStyle name="40% - Accent5 2 3 2 2 3" xfId="3404" xr:uid="{00000000-0005-0000-0000-0000B40D0000}"/>
    <cellStyle name="40% - Accent5 2 3 2 2 4" xfId="4691" xr:uid="{00000000-0005-0000-0000-0000B50D0000}"/>
    <cellStyle name="40% - Accent5 2 3 2 3" xfId="1260" xr:uid="{00000000-0005-0000-0000-0000B60D0000}"/>
    <cellStyle name="40% - Accent5 2 3 2 3 2" xfId="2552" xr:uid="{00000000-0005-0000-0000-0000B70D0000}"/>
    <cellStyle name="40% - Accent5 2 3 2 3 3" xfId="3830" xr:uid="{00000000-0005-0000-0000-0000B80D0000}"/>
    <cellStyle name="40% - Accent5 2 3 2 3 4" xfId="5117" xr:uid="{00000000-0005-0000-0000-0000B90D0000}"/>
    <cellStyle name="40% - Accent5 2 3 2 4" xfId="1700" xr:uid="{00000000-0005-0000-0000-0000BA0D0000}"/>
    <cellStyle name="40% - Accent5 2 3 2 5" xfId="2978" xr:uid="{00000000-0005-0000-0000-0000BB0D0000}"/>
    <cellStyle name="40% - Accent5 2 3 2 6" xfId="4265" xr:uid="{00000000-0005-0000-0000-0000BC0D0000}"/>
    <cellStyle name="40% - Accent5 2 3 3" xfId="621" xr:uid="{00000000-0005-0000-0000-0000BD0D0000}"/>
    <cellStyle name="40% - Accent5 2 3 3 2" xfId="1913" xr:uid="{00000000-0005-0000-0000-0000BE0D0000}"/>
    <cellStyle name="40% - Accent5 2 3 3 3" xfId="3191" xr:uid="{00000000-0005-0000-0000-0000BF0D0000}"/>
    <cellStyle name="40% - Accent5 2 3 3 4" xfId="4478" xr:uid="{00000000-0005-0000-0000-0000C00D0000}"/>
    <cellStyle name="40% - Accent5 2 3 4" xfId="1047" xr:uid="{00000000-0005-0000-0000-0000C10D0000}"/>
    <cellStyle name="40% - Accent5 2 3 4 2" xfId="2339" xr:uid="{00000000-0005-0000-0000-0000C20D0000}"/>
    <cellStyle name="40% - Accent5 2 3 4 3" xfId="3617" xr:uid="{00000000-0005-0000-0000-0000C30D0000}"/>
    <cellStyle name="40% - Accent5 2 3 4 4" xfId="4904" xr:uid="{00000000-0005-0000-0000-0000C40D0000}"/>
    <cellStyle name="40% - Accent5 2 3 5" xfId="1487" xr:uid="{00000000-0005-0000-0000-0000C50D0000}"/>
    <cellStyle name="40% - Accent5 2 3 6" xfId="2765" xr:uid="{00000000-0005-0000-0000-0000C60D0000}"/>
    <cellStyle name="40% - Accent5 2 3 7" xfId="4052" xr:uid="{00000000-0005-0000-0000-0000C70D0000}"/>
    <cellStyle name="40% - Accent5 2 3 8" xfId="5290" xr:uid="{00000000-0005-0000-0000-0000C80D0000}"/>
    <cellStyle name="40% - Accent5 2 4" xfId="186" xr:uid="{00000000-0005-0000-0000-0000C90D0000}"/>
    <cellStyle name="40% - Accent5 2 4 2" xfId="409" xr:uid="{00000000-0005-0000-0000-0000CA0D0000}"/>
    <cellStyle name="40% - Accent5 2 4 2 2" xfId="835" xr:uid="{00000000-0005-0000-0000-0000CB0D0000}"/>
    <cellStyle name="40% - Accent5 2 4 2 2 2" xfId="2127" xr:uid="{00000000-0005-0000-0000-0000CC0D0000}"/>
    <cellStyle name="40% - Accent5 2 4 2 2 3" xfId="3405" xr:uid="{00000000-0005-0000-0000-0000CD0D0000}"/>
    <cellStyle name="40% - Accent5 2 4 2 2 4" xfId="4692" xr:uid="{00000000-0005-0000-0000-0000CE0D0000}"/>
    <cellStyle name="40% - Accent5 2 4 2 3" xfId="1261" xr:uid="{00000000-0005-0000-0000-0000CF0D0000}"/>
    <cellStyle name="40% - Accent5 2 4 2 3 2" xfId="2553" xr:uid="{00000000-0005-0000-0000-0000D00D0000}"/>
    <cellStyle name="40% - Accent5 2 4 2 3 3" xfId="3831" xr:uid="{00000000-0005-0000-0000-0000D10D0000}"/>
    <cellStyle name="40% - Accent5 2 4 2 3 4" xfId="5118" xr:uid="{00000000-0005-0000-0000-0000D20D0000}"/>
    <cellStyle name="40% - Accent5 2 4 2 4" xfId="1701" xr:uid="{00000000-0005-0000-0000-0000D30D0000}"/>
    <cellStyle name="40% - Accent5 2 4 2 5" xfId="2979" xr:uid="{00000000-0005-0000-0000-0000D40D0000}"/>
    <cellStyle name="40% - Accent5 2 4 2 6" xfId="4266" xr:uid="{00000000-0005-0000-0000-0000D50D0000}"/>
    <cellStyle name="40% - Accent5 2 4 3" xfId="622" xr:uid="{00000000-0005-0000-0000-0000D60D0000}"/>
    <cellStyle name="40% - Accent5 2 4 3 2" xfId="1914" xr:uid="{00000000-0005-0000-0000-0000D70D0000}"/>
    <cellStyle name="40% - Accent5 2 4 3 3" xfId="3192" xr:uid="{00000000-0005-0000-0000-0000D80D0000}"/>
    <cellStyle name="40% - Accent5 2 4 3 4" xfId="4479" xr:uid="{00000000-0005-0000-0000-0000D90D0000}"/>
    <cellStyle name="40% - Accent5 2 4 4" xfId="1048" xr:uid="{00000000-0005-0000-0000-0000DA0D0000}"/>
    <cellStyle name="40% - Accent5 2 4 4 2" xfId="2340" xr:uid="{00000000-0005-0000-0000-0000DB0D0000}"/>
    <cellStyle name="40% - Accent5 2 4 4 3" xfId="3618" xr:uid="{00000000-0005-0000-0000-0000DC0D0000}"/>
    <cellStyle name="40% - Accent5 2 4 4 4" xfId="4905" xr:uid="{00000000-0005-0000-0000-0000DD0D0000}"/>
    <cellStyle name="40% - Accent5 2 4 5" xfId="1488" xr:uid="{00000000-0005-0000-0000-0000DE0D0000}"/>
    <cellStyle name="40% - Accent5 2 4 6" xfId="2766" xr:uid="{00000000-0005-0000-0000-0000DF0D0000}"/>
    <cellStyle name="40% - Accent5 2 4 7" xfId="4053" xr:uid="{00000000-0005-0000-0000-0000E00D0000}"/>
    <cellStyle name="40% - Accent5 2 5" xfId="187" xr:uid="{00000000-0005-0000-0000-0000E10D0000}"/>
    <cellStyle name="40% - Accent5 2 5 2" xfId="410" xr:uid="{00000000-0005-0000-0000-0000E20D0000}"/>
    <cellStyle name="40% - Accent5 2 5 2 2" xfId="836" xr:uid="{00000000-0005-0000-0000-0000E30D0000}"/>
    <cellStyle name="40% - Accent5 2 5 2 2 2" xfId="2128" xr:uid="{00000000-0005-0000-0000-0000E40D0000}"/>
    <cellStyle name="40% - Accent5 2 5 2 2 3" xfId="3406" xr:uid="{00000000-0005-0000-0000-0000E50D0000}"/>
    <cellStyle name="40% - Accent5 2 5 2 2 4" xfId="4693" xr:uid="{00000000-0005-0000-0000-0000E60D0000}"/>
    <cellStyle name="40% - Accent5 2 5 2 3" xfId="1262" xr:uid="{00000000-0005-0000-0000-0000E70D0000}"/>
    <cellStyle name="40% - Accent5 2 5 2 3 2" xfId="2554" xr:uid="{00000000-0005-0000-0000-0000E80D0000}"/>
    <cellStyle name="40% - Accent5 2 5 2 3 3" xfId="3832" xr:uid="{00000000-0005-0000-0000-0000E90D0000}"/>
    <cellStyle name="40% - Accent5 2 5 2 3 4" xfId="5119" xr:uid="{00000000-0005-0000-0000-0000EA0D0000}"/>
    <cellStyle name="40% - Accent5 2 5 2 4" xfId="1702" xr:uid="{00000000-0005-0000-0000-0000EB0D0000}"/>
    <cellStyle name="40% - Accent5 2 5 2 5" xfId="2980" xr:uid="{00000000-0005-0000-0000-0000EC0D0000}"/>
    <cellStyle name="40% - Accent5 2 5 2 6" xfId="4267" xr:uid="{00000000-0005-0000-0000-0000ED0D0000}"/>
    <cellStyle name="40% - Accent5 2 5 3" xfId="623" xr:uid="{00000000-0005-0000-0000-0000EE0D0000}"/>
    <cellStyle name="40% - Accent5 2 5 3 2" xfId="1915" xr:uid="{00000000-0005-0000-0000-0000EF0D0000}"/>
    <cellStyle name="40% - Accent5 2 5 3 3" xfId="3193" xr:uid="{00000000-0005-0000-0000-0000F00D0000}"/>
    <cellStyle name="40% - Accent5 2 5 3 4" xfId="4480" xr:uid="{00000000-0005-0000-0000-0000F10D0000}"/>
    <cellStyle name="40% - Accent5 2 5 4" xfId="1049" xr:uid="{00000000-0005-0000-0000-0000F20D0000}"/>
    <cellStyle name="40% - Accent5 2 5 4 2" xfId="2341" xr:uid="{00000000-0005-0000-0000-0000F30D0000}"/>
    <cellStyle name="40% - Accent5 2 5 4 3" xfId="3619" xr:uid="{00000000-0005-0000-0000-0000F40D0000}"/>
    <cellStyle name="40% - Accent5 2 5 4 4" xfId="4906" xr:uid="{00000000-0005-0000-0000-0000F50D0000}"/>
    <cellStyle name="40% - Accent5 2 5 5" xfId="1489" xr:uid="{00000000-0005-0000-0000-0000F60D0000}"/>
    <cellStyle name="40% - Accent5 2 5 6" xfId="2767" xr:uid="{00000000-0005-0000-0000-0000F70D0000}"/>
    <cellStyle name="40% - Accent5 2 5 7" xfId="4054" xr:uid="{00000000-0005-0000-0000-0000F80D0000}"/>
    <cellStyle name="40% - Accent5 2 6" xfId="278" xr:uid="{00000000-0005-0000-0000-0000F90D0000}"/>
    <cellStyle name="40% - Accent5 2 6 2" xfId="491" xr:uid="{00000000-0005-0000-0000-0000FA0D0000}"/>
    <cellStyle name="40% - Accent5 2 6 2 2" xfId="916" xr:uid="{00000000-0005-0000-0000-0000FB0D0000}"/>
    <cellStyle name="40% - Accent5 2 6 2 2 2" xfId="2208" xr:uid="{00000000-0005-0000-0000-0000FC0D0000}"/>
    <cellStyle name="40% - Accent5 2 6 2 2 3" xfId="3486" xr:uid="{00000000-0005-0000-0000-0000FD0D0000}"/>
    <cellStyle name="40% - Accent5 2 6 2 2 4" xfId="4773" xr:uid="{00000000-0005-0000-0000-0000FE0D0000}"/>
    <cellStyle name="40% - Accent5 2 6 2 3" xfId="1342" xr:uid="{00000000-0005-0000-0000-0000FF0D0000}"/>
    <cellStyle name="40% - Accent5 2 6 2 3 2" xfId="2634" xr:uid="{00000000-0005-0000-0000-0000000E0000}"/>
    <cellStyle name="40% - Accent5 2 6 2 3 3" xfId="3912" xr:uid="{00000000-0005-0000-0000-0000010E0000}"/>
    <cellStyle name="40% - Accent5 2 6 2 3 4" xfId="5199" xr:uid="{00000000-0005-0000-0000-0000020E0000}"/>
    <cellStyle name="40% - Accent5 2 6 2 4" xfId="1782" xr:uid="{00000000-0005-0000-0000-0000030E0000}"/>
    <cellStyle name="40% - Accent5 2 6 2 5" xfId="3060" xr:uid="{00000000-0005-0000-0000-0000040E0000}"/>
    <cellStyle name="40% - Accent5 2 6 2 6" xfId="4347" xr:uid="{00000000-0005-0000-0000-0000050E0000}"/>
    <cellStyle name="40% - Accent5 2 6 3" xfId="703" xr:uid="{00000000-0005-0000-0000-0000060E0000}"/>
    <cellStyle name="40% - Accent5 2 6 3 2" xfId="1995" xr:uid="{00000000-0005-0000-0000-0000070E0000}"/>
    <cellStyle name="40% - Accent5 2 6 3 3" xfId="3273" xr:uid="{00000000-0005-0000-0000-0000080E0000}"/>
    <cellStyle name="40% - Accent5 2 6 3 4" xfId="4560" xr:uid="{00000000-0005-0000-0000-0000090E0000}"/>
    <cellStyle name="40% - Accent5 2 6 4" xfId="1129" xr:uid="{00000000-0005-0000-0000-00000A0E0000}"/>
    <cellStyle name="40% - Accent5 2 6 4 2" xfId="2421" xr:uid="{00000000-0005-0000-0000-00000B0E0000}"/>
    <cellStyle name="40% - Accent5 2 6 4 3" xfId="3699" xr:uid="{00000000-0005-0000-0000-00000C0E0000}"/>
    <cellStyle name="40% - Accent5 2 6 4 4" xfId="4986" xr:uid="{00000000-0005-0000-0000-00000D0E0000}"/>
    <cellStyle name="40% - Accent5 2 6 5" xfId="1569" xr:uid="{00000000-0005-0000-0000-00000E0E0000}"/>
    <cellStyle name="40% - Accent5 2 6 6" xfId="2847" xr:uid="{00000000-0005-0000-0000-00000F0E0000}"/>
    <cellStyle name="40% - Accent5 2 6 7" xfId="4134" xr:uid="{00000000-0005-0000-0000-0000100E0000}"/>
    <cellStyle name="40% - Accent5 2 7" xfId="405" xr:uid="{00000000-0005-0000-0000-0000110E0000}"/>
    <cellStyle name="40% - Accent5 2 7 2" xfId="831" xr:uid="{00000000-0005-0000-0000-0000120E0000}"/>
    <cellStyle name="40% - Accent5 2 7 2 2" xfId="2123" xr:uid="{00000000-0005-0000-0000-0000130E0000}"/>
    <cellStyle name="40% - Accent5 2 7 2 3" xfId="3401" xr:uid="{00000000-0005-0000-0000-0000140E0000}"/>
    <cellStyle name="40% - Accent5 2 7 2 4" xfId="4688" xr:uid="{00000000-0005-0000-0000-0000150E0000}"/>
    <cellStyle name="40% - Accent5 2 7 3" xfId="1257" xr:uid="{00000000-0005-0000-0000-0000160E0000}"/>
    <cellStyle name="40% - Accent5 2 7 3 2" xfId="2549" xr:uid="{00000000-0005-0000-0000-0000170E0000}"/>
    <cellStyle name="40% - Accent5 2 7 3 3" xfId="3827" xr:uid="{00000000-0005-0000-0000-0000180E0000}"/>
    <cellStyle name="40% - Accent5 2 7 3 4" xfId="5114" xr:uid="{00000000-0005-0000-0000-0000190E0000}"/>
    <cellStyle name="40% - Accent5 2 7 4" xfId="1697" xr:uid="{00000000-0005-0000-0000-00001A0E0000}"/>
    <cellStyle name="40% - Accent5 2 7 5" xfId="2975" xr:uid="{00000000-0005-0000-0000-00001B0E0000}"/>
    <cellStyle name="40% - Accent5 2 7 6" xfId="4262" xr:uid="{00000000-0005-0000-0000-00001C0E0000}"/>
    <cellStyle name="40% - Accent5 2 8" xfId="618" xr:uid="{00000000-0005-0000-0000-00001D0E0000}"/>
    <cellStyle name="40% - Accent5 2 8 2" xfId="1910" xr:uid="{00000000-0005-0000-0000-00001E0E0000}"/>
    <cellStyle name="40% - Accent5 2 8 3" xfId="3188" xr:uid="{00000000-0005-0000-0000-00001F0E0000}"/>
    <cellStyle name="40% - Accent5 2 8 4" xfId="4475" xr:uid="{00000000-0005-0000-0000-0000200E0000}"/>
    <cellStyle name="40% - Accent5 2 9" xfId="1044" xr:uid="{00000000-0005-0000-0000-0000210E0000}"/>
    <cellStyle name="40% - Accent5 2 9 2" xfId="2336" xr:uid="{00000000-0005-0000-0000-0000220E0000}"/>
    <cellStyle name="40% - Accent5 2 9 3" xfId="3614" xr:uid="{00000000-0005-0000-0000-0000230E0000}"/>
    <cellStyle name="40% - Accent5 2 9 4" xfId="4901" xr:uid="{00000000-0005-0000-0000-0000240E0000}"/>
    <cellStyle name="40% - Accent5 3" xfId="188" xr:uid="{00000000-0005-0000-0000-0000250E0000}"/>
    <cellStyle name="40% - Accent5 3 2" xfId="189" xr:uid="{00000000-0005-0000-0000-0000260E0000}"/>
    <cellStyle name="40% - Accent5 3 2 2" xfId="412" xr:uid="{00000000-0005-0000-0000-0000270E0000}"/>
    <cellStyle name="40% - Accent5 3 2 2 2" xfId="838" xr:uid="{00000000-0005-0000-0000-0000280E0000}"/>
    <cellStyle name="40% - Accent5 3 2 2 2 2" xfId="2130" xr:uid="{00000000-0005-0000-0000-0000290E0000}"/>
    <cellStyle name="40% - Accent5 3 2 2 2 3" xfId="3408" xr:uid="{00000000-0005-0000-0000-00002A0E0000}"/>
    <cellStyle name="40% - Accent5 3 2 2 2 4" xfId="4695" xr:uid="{00000000-0005-0000-0000-00002B0E0000}"/>
    <cellStyle name="40% - Accent5 3 2 2 3" xfId="1264" xr:uid="{00000000-0005-0000-0000-00002C0E0000}"/>
    <cellStyle name="40% - Accent5 3 2 2 3 2" xfId="2556" xr:uid="{00000000-0005-0000-0000-00002D0E0000}"/>
    <cellStyle name="40% - Accent5 3 2 2 3 3" xfId="3834" xr:uid="{00000000-0005-0000-0000-00002E0E0000}"/>
    <cellStyle name="40% - Accent5 3 2 2 3 4" xfId="5121" xr:uid="{00000000-0005-0000-0000-00002F0E0000}"/>
    <cellStyle name="40% - Accent5 3 2 2 4" xfId="1704" xr:uid="{00000000-0005-0000-0000-0000300E0000}"/>
    <cellStyle name="40% - Accent5 3 2 2 5" xfId="2982" xr:uid="{00000000-0005-0000-0000-0000310E0000}"/>
    <cellStyle name="40% - Accent5 3 2 2 6" xfId="4269" xr:uid="{00000000-0005-0000-0000-0000320E0000}"/>
    <cellStyle name="40% - Accent5 3 2 3" xfId="625" xr:uid="{00000000-0005-0000-0000-0000330E0000}"/>
    <cellStyle name="40% - Accent5 3 2 3 2" xfId="1917" xr:uid="{00000000-0005-0000-0000-0000340E0000}"/>
    <cellStyle name="40% - Accent5 3 2 3 3" xfId="3195" xr:uid="{00000000-0005-0000-0000-0000350E0000}"/>
    <cellStyle name="40% - Accent5 3 2 3 4" xfId="4482" xr:uid="{00000000-0005-0000-0000-0000360E0000}"/>
    <cellStyle name="40% - Accent5 3 2 4" xfId="1051" xr:uid="{00000000-0005-0000-0000-0000370E0000}"/>
    <cellStyle name="40% - Accent5 3 2 4 2" xfId="2343" xr:uid="{00000000-0005-0000-0000-0000380E0000}"/>
    <cellStyle name="40% - Accent5 3 2 4 3" xfId="3621" xr:uid="{00000000-0005-0000-0000-0000390E0000}"/>
    <cellStyle name="40% - Accent5 3 2 4 4" xfId="4908" xr:uid="{00000000-0005-0000-0000-00003A0E0000}"/>
    <cellStyle name="40% - Accent5 3 2 5" xfId="1491" xr:uid="{00000000-0005-0000-0000-00003B0E0000}"/>
    <cellStyle name="40% - Accent5 3 2 6" xfId="2769" xr:uid="{00000000-0005-0000-0000-00003C0E0000}"/>
    <cellStyle name="40% - Accent5 3 2 7" xfId="4056" xr:uid="{00000000-0005-0000-0000-00003D0E0000}"/>
    <cellStyle name="40% - Accent5 3 2 8" xfId="5292" xr:uid="{00000000-0005-0000-0000-00003E0E0000}"/>
    <cellStyle name="40% - Accent5 3 3" xfId="411" xr:uid="{00000000-0005-0000-0000-00003F0E0000}"/>
    <cellStyle name="40% - Accent5 3 3 2" xfId="837" xr:uid="{00000000-0005-0000-0000-0000400E0000}"/>
    <cellStyle name="40% - Accent5 3 3 2 2" xfId="2129" xr:uid="{00000000-0005-0000-0000-0000410E0000}"/>
    <cellStyle name="40% - Accent5 3 3 2 3" xfId="3407" xr:uid="{00000000-0005-0000-0000-0000420E0000}"/>
    <cellStyle name="40% - Accent5 3 3 2 4" xfId="4694" xr:uid="{00000000-0005-0000-0000-0000430E0000}"/>
    <cellStyle name="40% - Accent5 3 3 3" xfId="1263" xr:uid="{00000000-0005-0000-0000-0000440E0000}"/>
    <cellStyle name="40% - Accent5 3 3 3 2" xfId="2555" xr:uid="{00000000-0005-0000-0000-0000450E0000}"/>
    <cellStyle name="40% - Accent5 3 3 3 3" xfId="3833" xr:uid="{00000000-0005-0000-0000-0000460E0000}"/>
    <cellStyle name="40% - Accent5 3 3 3 4" xfId="5120" xr:uid="{00000000-0005-0000-0000-0000470E0000}"/>
    <cellStyle name="40% - Accent5 3 3 4" xfId="1703" xr:uid="{00000000-0005-0000-0000-0000480E0000}"/>
    <cellStyle name="40% - Accent5 3 3 5" xfId="2981" xr:uid="{00000000-0005-0000-0000-0000490E0000}"/>
    <cellStyle name="40% - Accent5 3 3 6" xfId="4268" xr:uid="{00000000-0005-0000-0000-00004A0E0000}"/>
    <cellStyle name="40% - Accent5 3 4" xfId="624" xr:uid="{00000000-0005-0000-0000-00004B0E0000}"/>
    <cellStyle name="40% - Accent5 3 4 2" xfId="1916" xr:uid="{00000000-0005-0000-0000-00004C0E0000}"/>
    <cellStyle name="40% - Accent5 3 4 3" xfId="3194" xr:uid="{00000000-0005-0000-0000-00004D0E0000}"/>
    <cellStyle name="40% - Accent5 3 4 4" xfId="4481" xr:uid="{00000000-0005-0000-0000-00004E0E0000}"/>
    <cellStyle name="40% - Accent5 3 5" xfId="1050" xr:uid="{00000000-0005-0000-0000-00004F0E0000}"/>
    <cellStyle name="40% - Accent5 3 5 2" xfId="2342" xr:uid="{00000000-0005-0000-0000-0000500E0000}"/>
    <cellStyle name="40% - Accent5 3 5 3" xfId="3620" xr:uid="{00000000-0005-0000-0000-0000510E0000}"/>
    <cellStyle name="40% - Accent5 3 5 4" xfId="4907" xr:uid="{00000000-0005-0000-0000-0000520E0000}"/>
    <cellStyle name="40% - Accent5 3 6" xfId="1490" xr:uid="{00000000-0005-0000-0000-0000530E0000}"/>
    <cellStyle name="40% - Accent5 3 7" xfId="2768" xr:uid="{00000000-0005-0000-0000-0000540E0000}"/>
    <cellStyle name="40% - Accent5 3 8" xfId="4055" xr:uid="{00000000-0005-0000-0000-0000550E0000}"/>
    <cellStyle name="40% - Accent5 3 9" xfId="5291" xr:uid="{00000000-0005-0000-0000-0000560E0000}"/>
    <cellStyle name="40% - Accent5 4" xfId="190" xr:uid="{00000000-0005-0000-0000-0000570E0000}"/>
    <cellStyle name="40% - Accent5 4 2" xfId="413" xr:uid="{00000000-0005-0000-0000-0000580E0000}"/>
    <cellStyle name="40% - Accent5 4 2 2" xfId="839" xr:uid="{00000000-0005-0000-0000-0000590E0000}"/>
    <cellStyle name="40% - Accent5 4 2 2 2" xfId="2131" xr:uid="{00000000-0005-0000-0000-00005A0E0000}"/>
    <cellStyle name="40% - Accent5 4 2 2 3" xfId="3409" xr:uid="{00000000-0005-0000-0000-00005B0E0000}"/>
    <cellStyle name="40% - Accent5 4 2 2 4" xfId="4696" xr:uid="{00000000-0005-0000-0000-00005C0E0000}"/>
    <cellStyle name="40% - Accent5 4 2 3" xfId="1265" xr:uid="{00000000-0005-0000-0000-00005D0E0000}"/>
    <cellStyle name="40% - Accent5 4 2 3 2" xfId="2557" xr:uid="{00000000-0005-0000-0000-00005E0E0000}"/>
    <cellStyle name="40% - Accent5 4 2 3 3" xfId="3835" xr:uid="{00000000-0005-0000-0000-00005F0E0000}"/>
    <cellStyle name="40% - Accent5 4 2 3 4" xfId="5122" xr:uid="{00000000-0005-0000-0000-0000600E0000}"/>
    <cellStyle name="40% - Accent5 4 2 4" xfId="1705" xr:uid="{00000000-0005-0000-0000-0000610E0000}"/>
    <cellStyle name="40% - Accent5 4 2 5" xfId="2983" xr:uid="{00000000-0005-0000-0000-0000620E0000}"/>
    <cellStyle name="40% - Accent5 4 2 6" xfId="4270" xr:uid="{00000000-0005-0000-0000-0000630E0000}"/>
    <cellStyle name="40% - Accent5 4 3" xfId="626" xr:uid="{00000000-0005-0000-0000-0000640E0000}"/>
    <cellStyle name="40% - Accent5 4 3 2" xfId="1918" xr:uid="{00000000-0005-0000-0000-0000650E0000}"/>
    <cellStyle name="40% - Accent5 4 3 3" xfId="3196" xr:uid="{00000000-0005-0000-0000-0000660E0000}"/>
    <cellStyle name="40% - Accent5 4 3 4" xfId="4483" xr:uid="{00000000-0005-0000-0000-0000670E0000}"/>
    <cellStyle name="40% - Accent5 4 4" xfId="1052" xr:uid="{00000000-0005-0000-0000-0000680E0000}"/>
    <cellStyle name="40% - Accent5 4 4 2" xfId="2344" xr:uid="{00000000-0005-0000-0000-0000690E0000}"/>
    <cellStyle name="40% - Accent5 4 4 3" xfId="3622" xr:uid="{00000000-0005-0000-0000-00006A0E0000}"/>
    <cellStyle name="40% - Accent5 4 4 4" xfId="4909" xr:uid="{00000000-0005-0000-0000-00006B0E0000}"/>
    <cellStyle name="40% - Accent5 4 5" xfId="1492" xr:uid="{00000000-0005-0000-0000-00006C0E0000}"/>
    <cellStyle name="40% - Accent5 4 6" xfId="2770" xr:uid="{00000000-0005-0000-0000-00006D0E0000}"/>
    <cellStyle name="40% - Accent5 4 7" xfId="4057" xr:uid="{00000000-0005-0000-0000-00006E0E0000}"/>
    <cellStyle name="40% - Accent5 4 8" xfId="5293" xr:uid="{00000000-0005-0000-0000-00006F0E0000}"/>
    <cellStyle name="40% - Accent5 5" xfId="191" xr:uid="{00000000-0005-0000-0000-0000700E0000}"/>
    <cellStyle name="40% - Accent5 5 2" xfId="414" xr:uid="{00000000-0005-0000-0000-0000710E0000}"/>
    <cellStyle name="40% - Accent5 5 2 2" xfId="840" xr:uid="{00000000-0005-0000-0000-0000720E0000}"/>
    <cellStyle name="40% - Accent5 5 2 2 2" xfId="2132" xr:uid="{00000000-0005-0000-0000-0000730E0000}"/>
    <cellStyle name="40% - Accent5 5 2 2 3" xfId="3410" xr:uid="{00000000-0005-0000-0000-0000740E0000}"/>
    <cellStyle name="40% - Accent5 5 2 2 4" xfId="4697" xr:uid="{00000000-0005-0000-0000-0000750E0000}"/>
    <cellStyle name="40% - Accent5 5 2 3" xfId="1266" xr:uid="{00000000-0005-0000-0000-0000760E0000}"/>
    <cellStyle name="40% - Accent5 5 2 3 2" xfId="2558" xr:uid="{00000000-0005-0000-0000-0000770E0000}"/>
    <cellStyle name="40% - Accent5 5 2 3 3" xfId="3836" xr:uid="{00000000-0005-0000-0000-0000780E0000}"/>
    <cellStyle name="40% - Accent5 5 2 3 4" xfId="5123" xr:uid="{00000000-0005-0000-0000-0000790E0000}"/>
    <cellStyle name="40% - Accent5 5 2 4" xfId="1706" xr:uid="{00000000-0005-0000-0000-00007A0E0000}"/>
    <cellStyle name="40% - Accent5 5 2 5" xfId="2984" xr:uid="{00000000-0005-0000-0000-00007B0E0000}"/>
    <cellStyle name="40% - Accent5 5 2 6" xfId="4271" xr:uid="{00000000-0005-0000-0000-00007C0E0000}"/>
    <cellStyle name="40% - Accent5 5 3" xfId="627" xr:uid="{00000000-0005-0000-0000-00007D0E0000}"/>
    <cellStyle name="40% - Accent5 5 3 2" xfId="1919" xr:uid="{00000000-0005-0000-0000-00007E0E0000}"/>
    <cellStyle name="40% - Accent5 5 3 3" xfId="3197" xr:uid="{00000000-0005-0000-0000-00007F0E0000}"/>
    <cellStyle name="40% - Accent5 5 3 4" xfId="4484" xr:uid="{00000000-0005-0000-0000-0000800E0000}"/>
    <cellStyle name="40% - Accent5 5 4" xfId="1053" xr:uid="{00000000-0005-0000-0000-0000810E0000}"/>
    <cellStyle name="40% - Accent5 5 4 2" xfId="2345" xr:uid="{00000000-0005-0000-0000-0000820E0000}"/>
    <cellStyle name="40% - Accent5 5 4 3" xfId="3623" xr:uid="{00000000-0005-0000-0000-0000830E0000}"/>
    <cellStyle name="40% - Accent5 5 4 4" xfId="4910" xr:uid="{00000000-0005-0000-0000-0000840E0000}"/>
    <cellStyle name="40% - Accent5 5 5" xfId="1493" xr:uid="{00000000-0005-0000-0000-0000850E0000}"/>
    <cellStyle name="40% - Accent5 5 6" xfId="2771" xr:uid="{00000000-0005-0000-0000-0000860E0000}"/>
    <cellStyle name="40% - Accent5 5 7" xfId="4058" xr:uid="{00000000-0005-0000-0000-0000870E0000}"/>
    <cellStyle name="40% - Accent5 6" xfId="192" xr:uid="{00000000-0005-0000-0000-0000880E0000}"/>
    <cellStyle name="40% - Accent5 6 2" xfId="415" xr:uid="{00000000-0005-0000-0000-0000890E0000}"/>
    <cellStyle name="40% - Accent5 6 2 2" xfId="841" xr:uid="{00000000-0005-0000-0000-00008A0E0000}"/>
    <cellStyle name="40% - Accent5 6 2 2 2" xfId="2133" xr:uid="{00000000-0005-0000-0000-00008B0E0000}"/>
    <cellStyle name="40% - Accent5 6 2 2 3" xfId="3411" xr:uid="{00000000-0005-0000-0000-00008C0E0000}"/>
    <cellStyle name="40% - Accent5 6 2 2 4" xfId="4698" xr:uid="{00000000-0005-0000-0000-00008D0E0000}"/>
    <cellStyle name="40% - Accent5 6 2 3" xfId="1267" xr:uid="{00000000-0005-0000-0000-00008E0E0000}"/>
    <cellStyle name="40% - Accent5 6 2 3 2" xfId="2559" xr:uid="{00000000-0005-0000-0000-00008F0E0000}"/>
    <cellStyle name="40% - Accent5 6 2 3 3" xfId="3837" xr:uid="{00000000-0005-0000-0000-0000900E0000}"/>
    <cellStyle name="40% - Accent5 6 2 3 4" xfId="5124" xr:uid="{00000000-0005-0000-0000-0000910E0000}"/>
    <cellStyle name="40% - Accent5 6 2 4" xfId="1707" xr:uid="{00000000-0005-0000-0000-0000920E0000}"/>
    <cellStyle name="40% - Accent5 6 2 5" xfId="2985" xr:uid="{00000000-0005-0000-0000-0000930E0000}"/>
    <cellStyle name="40% - Accent5 6 2 6" xfId="4272" xr:uid="{00000000-0005-0000-0000-0000940E0000}"/>
    <cellStyle name="40% - Accent5 6 3" xfId="628" xr:uid="{00000000-0005-0000-0000-0000950E0000}"/>
    <cellStyle name="40% - Accent5 6 3 2" xfId="1920" xr:uid="{00000000-0005-0000-0000-0000960E0000}"/>
    <cellStyle name="40% - Accent5 6 3 3" xfId="3198" xr:uid="{00000000-0005-0000-0000-0000970E0000}"/>
    <cellStyle name="40% - Accent5 6 3 4" xfId="4485" xr:uid="{00000000-0005-0000-0000-0000980E0000}"/>
    <cellStyle name="40% - Accent5 6 4" xfId="1054" xr:uid="{00000000-0005-0000-0000-0000990E0000}"/>
    <cellStyle name="40% - Accent5 6 4 2" xfId="2346" xr:uid="{00000000-0005-0000-0000-00009A0E0000}"/>
    <cellStyle name="40% - Accent5 6 4 3" xfId="3624" xr:uid="{00000000-0005-0000-0000-00009B0E0000}"/>
    <cellStyle name="40% - Accent5 6 4 4" xfId="4911" xr:uid="{00000000-0005-0000-0000-00009C0E0000}"/>
    <cellStyle name="40% - Accent5 6 5" xfId="1494" xr:uid="{00000000-0005-0000-0000-00009D0E0000}"/>
    <cellStyle name="40% - Accent5 6 6" xfId="2772" xr:uid="{00000000-0005-0000-0000-00009E0E0000}"/>
    <cellStyle name="40% - Accent5 6 7" xfId="4059" xr:uid="{00000000-0005-0000-0000-00009F0E0000}"/>
    <cellStyle name="40% - Accent5 7" xfId="264" xr:uid="{00000000-0005-0000-0000-0000A00E0000}"/>
    <cellStyle name="40% - Accent5 7 2" xfId="477" xr:uid="{00000000-0005-0000-0000-0000A10E0000}"/>
    <cellStyle name="40% - Accent5 7 2 2" xfId="902" xr:uid="{00000000-0005-0000-0000-0000A20E0000}"/>
    <cellStyle name="40% - Accent5 7 2 2 2" xfId="2194" xr:uid="{00000000-0005-0000-0000-0000A30E0000}"/>
    <cellStyle name="40% - Accent5 7 2 2 3" xfId="3472" xr:uid="{00000000-0005-0000-0000-0000A40E0000}"/>
    <cellStyle name="40% - Accent5 7 2 2 4" xfId="4759" xr:uid="{00000000-0005-0000-0000-0000A50E0000}"/>
    <cellStyle name="40% - Accent5 7 2 3" xfId="1328" xr:uid="{00000000-0005-0000-0000-0000A60E0000}"/>
    <cellStyle name="40% - Accent5 7 2 3 2" xfId="2620" xr:uid="{00000000-0005-0000-0000-0000A70E0000}"/>
    <cellStyle name="40% - Accent5 7 2 3 3" xfId="3898" xr:uid="{00000000-0005-0000-0000-0000A80E0000}"/>
    <cellStyle name="40% - Accent5 7 2 3 4" xfId="5185" xr:uid="{00000000-0005-0000-0000-0000A90E0000}"/>
    <cellStyle name="40% - Accent5 7 2 4" xfId="1768" xr:uid="{00000000-0005-0000-0000-0000AA0E0000}"/>
    <cellStyle name="40% - Accent5 7 2 5" xfId="3046" xr:uid="{00000000-0005-0000-0000-0000AB0E0000}"/>
    <cellStyle name="40% - Accent5 7 2 6" xfId="4333" xr:uid="{00000000-0005-0000-0000-0000AC0E0000}"/>
    <cellStyle name="40% - Accent5 7 3" xfId="689" xr:uid="{00000000-0005-0000-0000-0000AD0E0000}"/>
    <cellStyle name="40% - Accent5 7 3 2" xfId="1981" xr:uid="{00000000-0005-0000-0000-0000AE0E0000}"/>
    <cellStyle name="40% - Accent5 7 3 3" xfId="3259" xr:uid="{00000000-0005-0000-0000-0000AF0E0000}"/>
    <cellStyle name="40% - Accent5 7 3 4" xfId="4546" xr:uid="{00000000-0005-0000-0000-0000B00E0000}"/>
    <cellStyle name="40% - Accent5 7 4" xfId="1115" xr:uid="{00000000-0005-0000-0000-0000B10E0000}"/>
    <cellStyle name="40% - Accent5 7 4 2" xfId="2407" xr:uid="{00000000-0005-0000-0000-0000B20E0000}"/>
    <cellStyle name="40% - Accent5 7 4 3" xfId="3685" xr:uid="{00000000-0005-0000-0000-0000B30E0000}"/>
    <cellStyle name="40% - Accent5 7 4 4" xfId="4972" xr:uid="{00000000-0005-0000-0000-0000B40E0000}"/>
    <cellStyle name="40% - Accent5 7 5" xfId="1555" xr:uid="{00000000-0005-0000-0000-0000B50E0000}"/>
    <cellStyle name="40% - Accent5 7 6" xfId="2833" xr:uid="{00000000-0005-0000-0000-0000B60E0000}"/>
    <cellStyle name="40% - Accent5 7 7" xfId="4120" xr:uid="{00000000-0005-0000-0000-0000B70E0000}"/>
    <cellStyle name="40% - Accent5 8" xfId="404" xr:uid="{00000000-0005-0000-0000-0000B80E0000}"/>
    <cellStyle name="40% - Accent5 8 2" xfId="830" xr:uid="{00000000-0005-0000-0000-0000B90E0000}"/>
    <cellStyle name="40% - Accent5 8 2 2" xfId="2122" xr:uid="{00000000-0005-0000-0000-0000BA0E0000}"/>
    <cellStyle name="40% - Accent5 8 2 3" xfId="3400" xr:uid="{00000000-0005-0000-0000-0000BB0E0000}"/>
    <cellStyle name="40% - Accent5 8 2 4" xfId="4687" xr:uid="{00000000-0005-0000-0000-0000BC0E0000}"/>
    <cellStyle name="40% - Accent5 8 3" xfId="1256" xr:uid="{00000000-0005-0000-0000-0000BD0E0000}"/>
    <cellStyle name="40% - Accent5 8 3 2" xfId="2548" xr:uid="{00000000-0005-0000-0000-0000BE0E0000}"/>
    <cellStyle name="40% - Accent5 8 3 3" xfId="3826" xr:uid="{00000000-0005-0000-0000-0000BF0E0000}"/>
    <cellStyle name="40% - Accent5 8 3 4" xfId="5113" xr:uid="{00000000-0005-0000-0000-0000C00E0000}"/>
    <cellStyle name="40% - Accent5 8 4" xfId="1696" xr:uid="{00000000-0005-0000-0000-0000C10E0000}"/>
    <cellStyle name="40% - Accent5 8 5" xfId="2974" xr:uid="{00000000-0005-0000-0000-0000C20E0000}"/>
    <cellStyle name="40% - Accent5 8 6" xfId="4261" xr:uid="{00000000-0005-0000-0000-0000C30E0000}"/>
    <cellStyle name="40% - Accent5 9" xfId="617" xr:uid="{00000000-0005-0000-0000-0000C40E0000}"/>
    <cellStyle name="40% - Accent5 9 2" xfId="1909" xr:uid="{00000000-0005-0000-0000-0000C50E0000}"/>
    <cellStyle name="40% - Accent5 9 3" xfId="3187" xr:uid="{00000000-0005-0000-0000-0000C60E0000}"/>
    <cellStyle name="40% - Accent5 9 4" xfId="4474" xr:uid="{00000000-0005-0000-0000-0000C70E0000}"/>
    <cellStyle name="40% - Accent6" xfId="78" builtinId="51" customBuiltin="1"/>
    <cellStyle name="40% - Accent6 10" xfId="1055" xr:uid="{00000000-0005-0000-0000-0000C90E0000}"/>
    <cellStyle name="40% - Accent6 10 2" xfId="2347" xr:uid="{00000000-0005-0000-0000-0000CA0E0000}"/>
    <cellStyle name="40% - Accent6 10 3" xfId="3625" xr:uid="{00000000-0005-0000-0000-0000CB0E0000}"/>
    <cellStyle name="40% - Accent6 10 4" xfId="4912" xr:uid="{00000000-0005-0000-0000-0000CC0E0000}"/>
    <cellStyle name="40% - Accent6 11" xfId="1495" xr:uid="{00000000-0005-0000-0000-0000CD0E0000}"/>
    <cellStyle name="40% - Accent6 12" xfId="2773" xr:uid="{00000000-0005-0000-0000-0000CE0E0000}"/>
    <cellStyle name="40% - Accent6 13" xfId="4060" xr:uid="{00000000-0005-0000-0000-0000CF0E0000}"/>
    <cellStyle name="40% - Accent6 14" xfId="5294" xr:uid="{00000000-0005-0000-0000-0000D00E0000}"/>
    <cellStyle name="40% - Accent6 2" xfId="21" xr:uid="{00000000-0005-0000-0000-0000D10E0000}"/>
    <cellStyle name="40% - Accent6 2 10" xfId="1496" xr:uid="{00000000-0005-0000-0000-0000D20E0000}"/>
    <cellStyle name="40% - Accent6 2 11" xfId="2774" xr:uid="{00000000-0005-0000-0000-0000D30E0000}"/>
    <cellStyle name="40% - Accent6 2 12" xfId="4061" xr:uid="{00000000-0005-0000-0000-0000D40E0000}"/>
    <cellStyle name="40% - Accent6 2 13" xfId="5295" xr:uid="{00000000-0005-0000-0000-0000D50E0000}"/>
    <cellStyle name="40% - Accent6 2 2" xfId="193" xr:uid="{00000000-0005-0000-0000-0000D60E0000}"/>
    <cellStyle name="40% - Accent6 2 2 2" xfId="194" xr:uid="{00000000-0005-0000-0000-0000D70E0000}"/>
    <cellStyle name="40% - Accent6 2 2 2 2" xfId="419" xr:uid="{00000000-0005-0000-0000-0000D80E0000}"/>
    <cellStyle name="40% - Accent6 2 2 2 2 2" xfId="845" xr:uid="{00000000-0005-0000-0000-0000D90E0000}"/>
    <cellStyle name="40% - Accent6 2 2 2 2 2 2" xfId="2137" xr:uid="{00000000-0005-0000-0000-0000DA0E0000}"/>
    <cellStyle name="40% - Accent6 2 2 2 2 2 3" xfId="3415" xr:uid="{00000000-0005-0000-0000-0000DB0E0000}"/>
    <cellStyle name="40% - Accent6 2 2 2 2 2 4" xfId="4702" xr:uid="{00000000-0005-0000-0000-0000DC0E0000}"/>
    <cellStyle name="40% - Accent6 2 2 2 2 3" xfId="1271" xr:uid="{00000000-0005-0000-0000-0000DD0E0000}"/>
    <cellStyle name="40% - Accent6 2 2 2 2 3 2" xfId="2563" xr:uid="{00000000-0005-0000-0000-0000DE0E0000}"/>
    <cellStyle name="40% - Accent6 2 2 2 2 3 3" xfId="3841" xr:uid="{00000000-0005-0000-0000-0000DF0E0000}"/>
    <cellStyle name="40% - Accent6 2 2 2 2 3 4" xfId="5128" xr:uid="{00000000-0005-0000-0000-0000E00E0000}"/>
    <cellStyle name="40% - Accent6 2 2 2 2 4" xfId="1711" xr:uid="{00000000-0005-0000-0000-0000E10E0000}"/>
    <cellStyle name="40% - Accent6 2 2 2 2 5" xfId="2989" xr:uid="{00000000-0005-0000-0000-0000E20E0000}"/>
    <cellStyle name="40% - Accent6 2 2 2 2 6" xfId="4276" xr:uid="{00000000-0005-0000-0000-0000E30E0000}"/>
    <cellStyle name="40% - Accent6 2 2 2 3" xfId="632" xr:uid="{00000000-0005-0000-0000-0000E40E0000}"/>
    <cellStyle name="40% - Accent6 2 2 2 3 2" xfId="1924" xr:uid="{00000000-0005-0000-0000-0000E50E0000}"/>
    <cellStyle name="40% - Accent6 2 2 2 3 3" xfId="3202" xr:uid="{00000000-0005-0000-0000-0000E60E0000}"/>
    <cellStyle name="40% - Accent6 2 2 2 3 4" xfId="4489" xr:uid="{00000000-0005-0000-0000-0000E70E0000}"/>
    <cellStyle name="40% - Accent6 2 2 2 4" xfId="1058" xr:uid="{00000000-0005-0000-0000-0000E80E0000}"/>
    <cellStyle name="40% - Accent6 2 2 2 4 2" xfId="2350" xr:uid="{00000000-0005-0000-0000-0000E90E0000}"/>
    <cellStyle name="40% - Accent6 2 2 2 4 3" xfId="3628" xr:uid="{00000000-0005-0000-0000-0000EA0E0000}"/>
    <cellStyle name="40% - Accent6 2 2 2 4 4" xfId="4915" xr:uid="{00000000-0005-0000-0000-0000EB0E0000}"/>
    <cellStyle name="40% - Accent6 2 2 2 5" xfId="1498" xr:uid="{00000000-0005-0000-0000-0000EC0E0000}"/>
    <cellStyle name="40% - Accent6 2 2 2 6" xfId="2776" xr:uid="{00000000-0005-0000-0000-0000ED0E0000}"/>
    <cellStyle name="40% - Accent6 2 2 2 7" xfId="4063" xr:uid="{00000000-0005-0000-0000-0000EE0E0000}"/>
    <cellStyle name="40% - Accent6 2 2 2 8" xfId="5297" xr:uid="{00000000-0005-0000-0000-0000EF0E0000}"/>
    <cellStyle name="40% - Accent6 2 2 3" xfId="418" xr:uid="{00000000-0005-0000-0000-0000F00E0000}"/>
    <cellStyle name="40% - Accent6 2 2 3 2" xfId="844" xr:uid="{00000000-0005-0000-0000-0000F10E0000}"/>
    <cellStyle name="40% - Accent6 2 2 3 2 2" xfId="2136" xr:uid="{00000000-0005-0000-0000-0000F20E0000}"/>
    <cellStyle name="40% - Accent6 2 2 3 2 3" xfId="3414" xr:uid="{00000000-0005-0000-0000-0000F30E0000}"/>
    <cellStyle name="40% - Accent6 2 2 3 2 4" xfId="4701" xr:uid="{00000000-0005-0000-0000-0000F40E0000}"/>
    <cellStyle name="40% - Accent6 2 2 3 3" xfId="1270" xr:uid="{00000000-0005-0000-0000-0000F50E0000}"/>
    <cellStyle name="40% - Accent6 2 2 3 3 2" xfId="2562" xr:uid="{00000000-0005-0000-0000-0000F60E0000}"/>
    <cellStyle name="40% - Accent6 2 2 3 3 3" xfId="3840" xr:uid="{00000000-0005-0000-0000-0000F70E0000}"/>
    <cellStyle name="40% - Accent6 2 2 3 3 4" xfId="5127" xr:uid="{00000000-0005-0000-0000-0000F80E0000}"/>
    <cellStyle name="40% - Accent6 2 2 3 4" xfId="1710" xr:uid="{00000000-0005-0000-0000-0000F90E0000}"/>
    <cellStyle name="40% - Accent6 2 2 3 5" xfId="2988" xr:uid="{00000000-0005-0000-0000-0000FA0E0000}"/>
    <cellStyle name="40% - Accent6 2 2 3 6" xfId="4275" xr:uid="{00000000-0005-0000-0000-0000FB0E0000}"/>
    <cellStyle name="40% - Accent6 2 2 4" xfId="631" xr:uid="{00000000-0005-0000-0000-0000FC0E0000}"/>
    <cellStyle name="40% - Accent6 2 2 4 2" xfId="1923" xr:uid="{00000000-0005-0000-0000-0000FD0E0000}"/>
    <cellStyle name="40% - Accent6 2 2 4 3" xfId="3201" xr:uid="{00000000-0005-0000-0000-0000FE0E0000}"/>
    <cellStyle name="40% - Accent6 2 2 4 4" xfId="4488" xr:uid="{00000000-0005-0000-0000-0000FF0E0000}"/>
    <cellStyle name="40% - Accent6 2 2 5" xfId="1057" xr:uid="{00000000-0005-0000-0000-0000000F0000}"/>
    <cellStyle name="40% - Accent6 2 2 5 2" xfId="2349" xr:uid="{00000000-0005-0000-0000-0000010F0000}"/>
    <cellStyle name="40% - Accent6 2 2 5 3" xfId="3627" xr:uid="{00000000-0005-0000-0000-0000020F0000}"/>
    <cellStyle name="40% - Accent6 2 2 5 4" xfId="4914" xr:uid="{00000000-0005-0000-0000-0000030F0000}"/>
    <cellStyle name="40% - Accent6 2 2 6" xfId="1497" xr:uid="{00000000-0005-0000-0000-0000040F0000}"/>
    <cellStyle name="40% - Accent6 2 2 7" xfId="2775" xr:uid="{00000000-0005-0000-0000-0000050F0000}"/>
    <cellStyle name="40% - Accent6 2 2 8" xfId="4062" xr:uid="{00000000-0005-0000-0000-0000060F0000}"/>
    <cellStyle name="40% - Accent6 2 2 9" xfId="5296" xr:uid="{00000000-0005-0000-0000-0000070F0000}"/>
    <cellStyle name="40% - Accent6 2 3" xfId="195" xr:uid="{00000000-0005-0000-0000-0000080F0000}"/>
    <cellStyle name="40% - Accent6 2 3 2" xfId="420" xr:uid="{00000000-0005-0000-0000-0000090F0000}"/>
    <cellStyle name="40% - Accent6 2 3 2 2" xfId="846" xr:uid="{00000000-0005-0000-0000-00000A0F0000}"/>
    <cellStyle name="40% - Accent6 2 3 2 2 2" xfId="2138" xr:uid="{00000000-0005-0000-0000-00000B0F0000}"/>
    <cellStyle name="40% - Accent6 2 3 2 2 3" xfId="3416" xr:uid="{00000000-0005-0000-0000-00000C0F0000}"/>
    <cellStyle name="40% - Accent6 2 3 2 2 4" xfId="4703" xr:uid="{00000000-0005-0000-0000-00000D0F0000}"/>
    <cellStyle name="40% - Accent6 2 3 2 3" xfId="1272" xr:uid="{00000000-0005-0000-0000-00000E0F0000}"/>
    <cellStyle name="40% - Accent6 2 3 2 3 2" xfId="2564" xr:uid="{00000000-0005-0000-0000-00000F0F0000}"/>
    <cellStyle name="40% - Accent6 2 3 2 3 3" xfId="3842" xr:uid="{00000000-0005-0000-0000-0000100F0000}"/>
    <cellStyle name="40% - Accent6 2 3 2 3 4" xfId="5129" xr:uid="{00000000-0005-0000-0000-0000110F0000}"/>
    <cellStyle name="40% - Accent6 2 3 2 4" xfId="1712" xr:uid="{00000000-0005-0000-0000-0000120F0000}"/>
    <cellStyle name="40% - Accent6 2 3 2 5" xfId="2990" xr:uid="{00000000-0005-0000-0000-0000130F0000}"/>
    <cellStyle name="40% - Accent6 2 3 2 6" xfId="4277" xr:uid="{00000000-0005-0000-0000-0000140F0000}"/>
    <cellStyle name="40% - Accent6 2 3 3" xfId="633" xr:uid="{00000000-0005-0000-0000-0000150F0000}"/>
    <cellStyle name="40% - Accent6 2 3 3 2" xfId="1925" xr:uid="{00000000-0005-0000-0000-0000160F0000}"/>
    <cellStyle name="40% - Accent6 2 3 3 3" xfId="3203" xr:uid="{00000000-0005-0000-0000-0000170F0000}"/>
    <cellStyle name="40% - Accent6 2 3 3 4" xfId="4490" xr:uid="{00000000-0005-0000-0000-0000180F0000}"/>
    <cellStyle name="40% - Accent6 2 3 4" xfId="1059" xr:uid="{00000000-0005-0000-0000-0000190F0000}"/>
    <cellStyle name="40% - Accent6 2 3 4 2" xfId="2351" xr:uid="{00000000-0005-0000-0000-00001A0F0000}"/>
    <cellStyle name="40% - Accent6 2 3 4 3" xfId="3629" xr:uid="{00000000-0005-0000-0000-00001B0F0000}"/>
    <cellStyle name="40% - Accent6 2 3 4 4" xfId="4916" xr:uid="{00000000-0005-0000-0000-00001C0F0000}"/>
    <cellStyle name="40% - Accent6 2 3 5" xfId="1499" xr:uid="{00000000-0005-0000-0000-00001D0F0000}"/>
    <cellStyle name="40% - Accent6 2 3 6" xfId="2777" xr:uid="{00000000-0005-0000-0000-00001E0F0000}"/>
    <cellStyle name="40% - Accent6 2 3 7" xfId="4064" xr:uid="{00000000-0005-0000-0000-00001F0F0000}"/>
    <cellStyle name="40% - Accent6 2 3 8" xfId="5298" xr:uid="{00000000-0005-0000-0000-0000200F0000}"/>
    <cellStyle name="40% - Accent6 2 4" xfId="196" xr:uid="{00000000-0005-0000-0000-0000210F0000}"/>
    <cellStyle name="40% - Accent6 2 4 2" xfId="421" xr:uid="{00000000-0005-0000-0000-0000220F0000}"/>
    <cellStyle name="40% - Accent6 2 4 2 2" xfId="847" xr:uid="{00000000-0005-0000-0000-0000230F0000}"/>
    <cellStyle name="40% - Accent6 2 4 2 2 2" xfId="2139" xr:uid="{00000000-0005-0000-0000-0000240F0000}"/>
    <cellStyle name="40% - Accent6 2 4 2 2 3" xfId="3417" xr:uid="{00000000-0005-0000-0000-0000250F0000}"/>
    <cellStyle name="40% - Accent6 2 4 2 2 4" xfId="4704" xr:uid="{00000000-0005-0000-0000-0000260F0000}"/>
    <cellStyle name="40% - Accent6 2 4 2 3" xfId="1273" xr:uid="{00000000-0005-0000-0000-0000270F0000}"/>
    <cellStyle name="40% - Accent6 2 4 2 3 2" xfId="2565" xr:uid="{00000000-0005-0000-0000-0000280F0000}"/>
    <cellStyle name="40% - Accent6 2 4 2 3 3" xfId="3843" xr:uid="{00000000-0005-0000-0000-0000290F0000}"/>
    <cellStyle name="40% - Accent6 2 4 2 3 4" xfId="5130" xr:uid="{00000000-0005-0000-0000-00002A0F0000}"/>
    <cellStyle name="40% - Accent6 2 4 2 4" xfId="1713" xr:uid="{00000000-0005-0000-0000-00002B0F0000}"/>
    <cellStyle name="40% - Accent6 2 4 2 5" xfId="2991" xr:uid="{00000000-0005-0000-0000-00002C0F0000}"/>
    <cellStyle name="40% - Accent6 2 4 2 6" xfId="4278" xr:uid="{00000000-0005-0000-0000-00002D0F0000}"/>
    <cellStyle name="40% - Accent6 2 4 3" xfId="634" xr:uid="{00000000-0005-0000-0000-00002E0F0000}"/>
    <cellStyle name="40% - Accent6 2 4 3 2" xfId="1926" xr:uid="{00000000-0005-0000-0000-00002F0F0000}"/>
    <cellStyle name="40% - Accent6 2 4 3 3" xfId="3204" xr:uid="{00000000-0005-0000-0000-0000300F0000}"/>
    <cellStyle name="40% - Accent6 2 4 3 4" xfId="4491" xr:uid="{00000000-0005-0000-0000-0000310F0000}"/>
    <cellStyle name="40% - Accent6 2 4 4" xfId="1060" xr:uid="{00000000-0005-0000-0000-0000320F0000}"/>
    <cellStyle name="40% - Accent6 2 4 4 2" xfId="2352" xr:uid="{00000000-0005-0000-0000-0000330F0000}"/>
    <cellStyle name="40% - Accent6 2 4 4 3" xfId="3630" xr:uid="{00000000-0005-0000-0000-0000340F0000}"/>
    <cellStyle name="40% - Accent6 2 4 4 4" xfId="4917" xr:uid="{00000000-0005-0000-0000-0000350F0000}"/>
    <cellStyle name="40% - Accent6 2 4 5" xfId="1500" xr:uid="{00000000-0005-0000-0000-0000360F0000}"/>
    <cellStyle name="40% - Accent6 2 4 6" xfId="2778" xr:uid="{00000000-0005-0000-0000-0000370F0000}"/>
    <cellStyle name="40% - Accent6 2 4 7" xfId="4065" xr:uid="{00000000-0005-0000-0000-0000380F0000}"/>
    <cellStyle name="40% - Accent6 2 5" xfId="197" xr:uid="{00000000-0005-0000-0000-0000390F0000}"/>
    <cellStyle name="40% - Accent6 2 5 2" xfId="422" xr:uid="{00000000-0005-0000-0000-00003A0F0000}"/>
    <cellStyle name="40% - Accent6 2 5 2 2" xfId="848" xr:uid="{00000000-0005-0000-0000-00003B0F0000}"/>
    <cellStyle name="40% - Accent6 2 5 2 2 2" xfId="2140" xr:uid="{00000000-0005-0000-0000-00003C0F0000}"/>
    <cellStyle name="40% - Accent6 2 5 2 2 3" xfId="3418" xr:uid="{00000000-0005-0000-0000-00003D0F0000}"/>
    <cellStyle name="40% - Accent6 2 5 2 2 4" xfId="4705" xr:uid="{00000000-0005-0000-0000-00003E0F0000}"/>
    <cellStyle name="40% - Accent6 2 5 2 3" xfId="1274" xr:uid="{00000000-0005-0000-0000-00003F0F0000}"/>
    <cellStyle name="40% - Accent6 2 5 2 3 2" xfId="2566" xr:uid="{00000000-0005-0000-0000-0000400F0000}"/>
    <cellStyle name="40% - Accent6 2 5 2 3 3" xfId="3844" xr:uid="{00000000-0005-0000-0000-0000410F0000}"/>
    <cellStyle name="40% - Accent6 2 5 2 3 4" xfId="5131" xr:uid="{00000000-0005-0000-0000-0000420F0000}"/>
    <cellStyle name="40% - Accent6 2 5 2 4" xfId="1714" xr:uid="{00000000-0005-0000-0000-0000430F0000}"/>
    <cellStyle name="40% - Accent6 2 5 2 5" xfId="2992" xr:uid="{00000000-0005-0000-0000-0000440F0000}"/>
    <cellStyle name="40% - Accent6 2 5 2 6" xfId="4279" xr:uid="{00000000-0005-0000-0000-0000450F0000}"/>
    <cellStyle name="40% - Accent6 2 5 3" xfId="635" xr:uid="{00000000-0005-0000-0000-0000460F0000}"/>
    <cellStyle name="40% - Accent6 2 5 3 2" xfId="1927" xr:uid="{00000000-0005-0000-0000-0000470F0000}"/>
    <cellStyle name="40% - Accent6 2 5 3 3" xfId="3205" xr:uid="{00000000-0005-0000-0000-0000480F0000}"/>
    <cellStyle name="40% - Accent6 2 5 3 4" xfId="4492" xr:uid="{00000000-0005-0000-0000-0000490F0000}"/>
    <cellStyle name="40% - Accent6 2 5 4" xfId="1061" xr:uid="{00000000-0005-0000-0000-00004A0F0000}"/>
    <cellStyle name="40% - Accent6 2 5 4 2" xfId="2353" xr:uid="{00000000-0005-0000-0000-00004B0F0000}"/>
    <cellStyle name="40% - Accent6 2 5 4 3" xfId="3631" xr:uid="{00000000-0005-0000-0000-00004C0F0000}"/>
    <cellStyle name="40% - Accent6 2 5 4 4" xfId="4918" xr:uid="{00000000-0005-0000-0000-00004D0F0000}"/>
    <cellStyle name="40% - Accent6 2 5 5" xfId="1501" xr:uid="{00000000-0005-0000-0000-00004E0F0000}"/>
    <cellStyle name="40% - Accent6 2 5 6" xfId="2779" xr:uid="{00000000-0005-0000-0000-00004F0F0000}"/>
    <cellStyle name="40% - Accent6 2 5 7" xfId="4066" xr:uid="{00000000-0005-0000-0000-0000500F0000}"/>
    <cellStyle name="40% - Accent6 2 6" xfId="280" xr:uid="{00000000-0005-0000-0000-0000510F0000}"/>
    <cellStyle name="40% - Accent6 2 6 2" xfId="493" xr:uid="{00000000-0005-0000-0000-0000520F0000}"/>
    <cellStyle name="40% - Accent6 2 6 2 2" xfId="918" xr:uid="{00000000-0005-0000-0000-0000530F0000}"/>
    <cellStyle name="40% - Accent6 2 6 2 2 2" xfId="2210" xr:uid="{00000000-0005-0000-0000-0000540F0000}"/>
    <cellStyle name="40% - Accent6 2 6 2 2 3" xfId="3488" xr:uid="{00000000-0005-0000-0000-0000550F0000}"/>
    <cellStyle name="40% - Accent6 2 6 2 2 4" xfId="4775" xr:uid="{00000000-0005-0000-0000-0000560F0000}"/>
    <cellStyle name="40% - Accent6 2 6 2 3" xfId="1344" xr:uid="{00000000-0005-0000-0000-0000570F0000}"/>
    <cellStyle name="40% - Accent6 2 6 2 3 2" xfId="2636" xr:uid="{00000000-0005-0000-0000-0000580F0000}"/>
    <cellStyle name="40% - Accent6 2 6 2 3 3" xfId="3914" xr:uid="{00000000-0005-0000-0000-0000590F0000}"/>
    <cellStyle name="40% - Accent6 2 6 2 3 4" xfId="5201" xr:uid="{00000000-0005-0000-0000-00005A0F0000}"/>
    <cellStyle name="40% - Accent6 2 6 2 4" xfId="1784" xr:uid="{00000000-0005-0000-0000-00005B0F0000}"/>
    <cellStyle name="40% - Accent6 2 6 2 5" xfId="3062" xr:uid="{00000000-0005-0000-0000-00005C0F0000}"/>
    <cellStyle name="40% - Accent6 2 6 2 6" xfId="4349" xr:uid="{00000000-0005-0000-0000-00005D0F0000}"/>
    <cellStyle name="40% - Accent6 2 6 3" xfId="705" xr:uid="{00000000-0005-0000-0000-00005E0F0000}"/>
    <cellStyle name="40% - Accent6 2 6 3 2" xfId="1997" xr:uid="{00000000-0005-0000-0000-00005F0F0000}"/>
    <cellStyle name="40% - Accent6 2 6 3 3" xfId="3275" xr:uid="{00000000-0005-0000-0000-0000600F0000}"/>
    <cellStyle name="40% - Accent6 2 6 3 4" xfId="4562" xr:uid="{00000000-0005-0000-0000-0000610F0000}"/>
    <cellStyle name="40% - Accent6 2 6 4" xfId="1131" xr:uid="{00000000-0005-0000-0000-0000620F0000}"/>
    <cellStyle name="40% - Accent6 2 6 4 2" xfId="2423" xr:uid="{00000000-0005-0000-0000-0000630F0000}"/>
    <cellStyle name="40% - Accent6 2 6 4 3" xfId="3701" xr:uid="{00000000-0005-0000-0000-0000640F0000}"/>
    <cellStyle name="40% - Accent6 2 6 4 4" xfId="4988" xr:uid="{00000000-0005-0000-0000-0000650F0000}"/>
    <cellStyle name="40% - Accent6 2 6 5" xfId="1571" xr:uid="{00000000-0005-0000-0000-0000660F0000}"/>
    <cellStyle name="40% - Accent6 2 6 6" xfId="2849" xr:uid="{00000000-0005-0000-0000-0000670F0000}"/>
    <cellStyle name="40% - Accent6 2 6 7" xfId="4136" xr:uid="{00000000-0005-0000-0000-0000680F0000}"/>
    <cellStyle name="40% - Accent6 2 7" xfId="417" xr:uid="{00000000-0005-0000-0000-0000690F0000}"/>
    <cellStyle name="40% - Accent6 2 7 2" xfId="843" xr:uid="{00000000-0005-0000-0000-00006A0F0000}"/>
    <cellStyle name="40% - Accent6 2 7 2 2" xfId="2135" xr:uid="{00000000-0005-0000-0000-00006B0F0000}"/>
    <cellStyle name="40% - Accent6 2 7 2 3" xfId="3413" xr:uid="{00000000-0005-0000-0000-00006C0F0000}"/>
    <cellStyle name="40% - Accent6 2 7 2 4" xfId="4700" xr:uid="{00000000-0005-0000-0000-00006D0F0000}"/>
    <cellStyle name="40% - Accent6 2 7 3" xfId="1269" xr:uid="{00000000-0005-0000-0000-00006E0F0000}"/>
    <cellStyle name="40% - Accent6 2 7 3 2" xfId="2561" xr:uid="{00000000-0005-0000-0000-00006F0F0000}"/>
    <cellStyle name="40% - Accent6 2 7 3 3" xfId="3839" xr:uid="{00000000-0005-0000-0000-0000700F0000}"/>
    <cellStyle name="40% - Accent6 2 7 3 4" xfId="5126" xr:uid="{00000000-0005-0000-0000-0000710F0000}"/>
    <cellStyle name="40% - Accent6 2 7 4" xfId="1709" xr:uid="{00000000-0005-0000-0000-0000720F0000}"/>
    <cellStyle name="40% - Accent6 2 7 5" xfId="2987" xr:uid="{00000000-0005-0000-0000-0000730F0000}"/>
    <cellStyle name="40% - Accent6 2 7 6" xfId="4274" xr:uid="{00000000-0005-0000-0000-0000740F0000}"/>
    <cellStyle name="40% - Accent6 2 8" xfId="630" xr:uid="{00000000-0005-0000-0000-0000750F0000}"/>
    <cellStyle name="40% - Accent6 2 8 2" xfId="1922" xr:uid="{00000000-0005-0000-0000-0000760F0000}"/>
    <cellStyle name="40% - Accent6 2 8 3" xfId="3200" xr:uid="{00000000-0005-0000-0000-0000770F0000}"/>
    <cellStyle name="40% - Accent6 2 8 4" xfId="4487" xr:uid="{00000000-0005-0000-0000-0000780F0000}"/>
    <cellStyle name="40% - Accent6 2 9" xfId="1056" xr:uid="{00000000-0005-0000-0000-0000790F0000}"/>
    <cellStyle name="40% - Accent6 2 9 2" xfId="2348" xr:uid="{00000000-0005-0000-0000-00007A0F0000}"/>
    <cellStyle name="40% - Accent6 2 9 3" xfId="3626" xr:uid="{00000000-0005-0000-0000-00007B0F0000}"/>
    <cellStyle name="40% - Accent6 2 9 4" xfId="4913" xr:uid="{00000000-0005-0000-0000-00007C0F0000}"/>
    <cellStyle name="40% - Accent6 3" xfId="198" xr:uid="{00000000-0005-0000-0000-00007D0F0000}"/>
    <cellStyle name="40% - Accent6 3 2" xfId="199" xr:uid="{00000000-0005-0000-0000-00007E0F0000}"/>
    <cellStyle name="40% - Accent6 3 2 2" xfId="424" xr:uid="{00000000-0005-0000-0000-00007F0F0000}"/>
    <cellStyle name="40% - Accent6 3 2 2 2" xfId="850" xr:uid="{00000000-0005-0000-0000-0000800F0000}"/>
    <cellStyle name="40% - Accent6 3 2 2 2 2" xfId="2142" xr:uid="{00000000-0005-0000-0000-0000810F0000}"/>
    <cellStyle name="40% - Accent6 3 2 2 2 3" xfId="3420" xr:uid="{00000000-0005-0000-0000-0000820F0000}"/>
    <cellStyle name="40% - Accent6 3 2 2 2 4" xfId="4707" xr:uid="{00000000-0005-0000-0000-0000830F0000}"/>
    <cellStyle name="40% - Accent6 3 2 2 3" xfId="1276" xr:uid="{00000000-0005-0000-0000-0000840F0000}"/>
    <cellStyle name="40% - Accent6 3 2 2 3 2" xfId="2568" xr:uid="{00000000-0005-0000-0000-0000850F0000}"/>
    <cellStyle name="40% - Accent6 3 2 2 3 3" xfId="3846" xr:uid="{00000000-0005-0000-0000-0000860F0000}"/>
    <cellStyle name="40% - Accent6 3 2 2 3 4" xfId="5133" xr:uid="{00000000-0005-0000-0000-0000870F0000}"/>
    <cellStyle name="40% - Accent6 3 2 2 4" xfId="1716" xr:uid="{00000000-0005-0000-0000-0000880F0000}"/>
    <cellStyle name="40% - Accent6 3 2 2 5" xfId="2994" xr:uid="{00000000-0005-0000-0000-0000890F0000}"/>
    <cellStyle name="40% - Accent6 3 2 2 6" xfId="4281" xr:uid="{00000000-0005-0000-0000-00008A0F0000}"/>
    <cellStyle name="40% - Accent6 3 2 3" xfId="637" xr:uid="{00000000-0005-0000-0000-00008B0F0000}"/>
    <cellStyle name="40% - Accent6 3 2 3 2" xfId="1929" xr:uid="{00000000-0005-0000-0000-00008C0F0000}"/>
    <cellStyle name="40% - Accent6 3 2 3 3" xfId="3207" xr:uid="{00000000-0005-0000-0000-00008D0F0000}"/>
    <cellStyle name="40% - Accent6 3 2 3 4" xfId="4494" xr:uid="{00000000-0005-0000-0000-00008E0F0000}"/>
    <cellStyle name="40% - Accent6 3 2 4" xfId="1063" xr:uid="{00000000-0005-0000-0000-00008F0F0000}"/>
    <cellStyle name="40% - Accent6 3 2 4 2" xfId="2355" xr:uid="{00000000-0005-0000-0000-0000900F0000}"/>
    <cellStyle name="40% - Accent6 3 2 4 3" xfId="3633" xr:uid="{00000000-0005-0000-0000-0000910F0000}"/>
    <cellStyle name="40% - Accent6 3 2 4 4" xfId="4920" xr:uid="{00000000-0005-0000-0000-0000920F0000}"/>
    <cellStyle name="40% - Accent6 3 2 5" xfId="1503" xr:uid="{00000000-0005-0000-0000-0000930F0000}"/>
    <cellStyle name="40% - Accent6 3 2 6" xfId="2781" xr:uid="{00000000-0005-0000-0000-0000940F0000}"/>
    <cellStyle name="40% - Accent6 3 2 7" xfId="4068" xr:uid="{00000000-0005-0000-0000-0000950F0000}"/>
    <cellStyle name="40% - Accent6 3 2 8" xfId="5300" xr:uid="{00000000-0005-0000-0000-0000960F0000}"/>
    <cellStyle name="40% - Accent6 3 3" xfId="423" xr:uid="{00000000-0005-0000-0000-0000970F0000}"/>
    <cellStyle name="40% - Accent6 3 3 2" xfId="849" xr:uid="{00000000-0005-0000-0000-0000980F0000}"/>
    <cellStyle name="40% - Accent6 3 3 2 2" xfId="2141" xr:uid="{00000000-0005-0000-0000-0000990F0000}"/>
    <cellStyle name="40% - Accent6 3 3 2 3" xfId="3419" xr:uid="{00000000-0005-0000-0000-00009A0F0000}"/>
    <cellStyle name="40% - Accent6 3 3 2 4" xfId="4706" xr:uid="{00000000-0005-0000-0000-00009B0F0000}"/>
    <cellStyle name="40% - Accent6 3 3 3" xfId="1275" xr:uid="{00000000-0005-0000-0000-00009C0F0000}"/>
    <cellStyle name="40% - Accent6 3 3 3 2" xfId="2567" xr:uid="{00000000-0005-0000-0000-00009D0F0000}"/>
    <cellStyle name="40% - Accent6 3 3 3 3" xfId="3845" xr:uid="{00000000-0005-0000-0000-00009E0F0000}"/>
    <cellStyle name="40% - Accent6 3 3 3 4" xfId="5132" xr:uid="{00000000-0005-0000-0000-00009F0F0000}"/>
    <cellStyle name="40% - Accent6 3 3 4" xfId="1715" xr:uid="{00000000-0005-0000-0000-0000A00F0000}"/>
    <cellStyle name="40% - Accent6 3 3 5" xfId="2993" xr:uid="{00000000-0005-0000-0000-0000A10F0000}"/>
    <cellStyle name="40% - Accent6 3 3 6" xfId="4280" xr:uid="{00000000-0005-0000-0000-0000A20F0000}"/>
    <cellStyle name="40% - Accent6 3 4" xfId="636" xr:uid="{00000000-0005-0000-0000-0000A30F0000}"/>
    <cellStyle name="40% - Accent6 3 4 2" xfId="1928" xr:uid="{00000000-0005-0000-0000-0000A40F0000}"/>
    <cellStyle name="40% - Accent6 3 4 3" xfId="3206" xr:uid="{00000000-0005-0000-0000-0000A50F0000}"/>
    <cellStyle name="40% - Accent6 3 4 4" xfId="4493" xr:uid="{00000000-0005-0000-0000-0000A60F0000}"/>
    <cellStyle name="40% - Accent6 3 5" xfId="1062" xr:uid="{00000000-0005-0000-0000-0000A70F0000}"/>
    <cellStyle name="40% - Accent6 3 5 2" xfId="2354" xr:uid="{00000000-0005-0000-0000-0000A80F0000}"/>
    <cellStyle name="40% - Accent6 3 5 3" xfId="3632" xr:uid="{00000000-0005-0000-0000-0000A90F0000}"/>
    <cellStyle name="40% - Accent6 3 5 4" xfId="4919" xr:uid="{00000000-0005-0000-0000-0000AA0F0000}"/>
    <cellStyle name="40% - Accent6 3 6" xfId="1502" xr:uid="{00000000-0005-0000-0000-0000AB0F0000}"/>
    <cellStyle name="40% - Accent6 3 7" xfId="2780" xr:uid="{00000000-0005-0000-0000-0000AC0F0000}"/>
    <cellStyle name="40% - Accent6 3 8" xfId="4067" xr:uid="{00000000-0005-0000-0000-0000AD0F0000}"/>
    <cellStyle name="40% - Accent6 3 9" xfId="5299" xr:uid="{00000000-0005-0000-0000-0000AE0F0000}"/>
    <cellStyle name="40% - Accent6 4" xfId="200" xr:uid="{00000000-0005-0000-0000-0000AF0F0000}"/>
    <cellStyle name="40% - Accent6 4 2" xfId="425" xr:uid="{00000000-0005-0000-0000-0000B00F0000}"/>
    <cellStyle name="40% - Accent6 4 2 2" xfId="851" xr:uid="{00000000-0005-0000-0000-0000B10F0000}"/>
    <cellStyle name="40% - Accent6 4 2 2 2" xfId="2143" xr:uid="{00000000-0005-0000-0000-0000B20F0000}"/>
    <cellStyle name="40% - Accent6 4 2 2 3" xfId="3421" xr:uid="{00000000-0005-0000-0000-0000B30F0000}"/>
    <cellStyle name="40% - Accent6 4 2 2 4" xfId="4708" xr:uid="{00000000-0005-0000-0000-0000B40F0000}"/>
    <cellStyle name="40% - Accent6 4 2 3" xfId="1277" xr:uid="{00000000-0005-0000-0000-0000B50F0000}"/>
    <cellStyle name="40% - Accent6 4 2 3 2" xfId="2569" xr:uid="{00000000-0005-0000-0000-0000B60F0000}"/>
    <cellStyle name="40% - Accent6 4 2 3 3" xfId="3847" xr:uid="{00000000-0005-0000-0000-0000B70F0000}"/>
    <cellStyle name="40% - Accent6 4 2 3 4" xfId="5134" xr:uid="{00000000-0005-0000-0000-0000B80F0000}"/>
    <cellStyle name="40% - Accent6 4 2 4" xfId="1717" xr:uid="{00000000-0005-0000-0000-0000B90F0000}"/>
    <cellStyle name="40% - Accent6 4 2 5" xfId="2995" xr:uid="{00000000-0005-0000-0000-0000BA0F0000}"/>
    <cellStyle name="40% - Accent6 4 2 6" xfId="4282" xr:uid="{00000000-0005-0000-0000-0000BB0F0000}"/>
    <cellStyle name="40% - Accent6 4 3" xfId="638" xr:uid="{00000000-0005-0000-0000-0000BC0F0000}"/>
    <cellStyle name="40% - Accent6 4 3 2" xfId="1930" xr:uid="{00000000-0005-0000-0000-0000BD0F0000}"/>
    <cellStyle name="40% - Accent6 4 3 3" xfId="3208" xr:uid="{00000000-0005-0000-0000-0000BE0F0000}"/>
    <cellStyle name="40% - Accent6 4 3 4" xfId="4495" xr:uid="{00000000-0005-0000-0000-0000BF0F0000}"/>
    <cellStyle name="40% - Accent6 4 4" xfId="1064" xr:uid="{00000000-0005-0000-0000-0000C00F0000}"/>
    <cellStyle name="40% - Accent6 4 4 2" xfId="2356" xr:uid="{00000000-0005-0000-0000-0000C10F0000}"/>
    <cellStyle name="40% - Accent6 4 4 3" xfId="3634" xr:uid="{00000000-0005-0000-0000-0000C20F0000}"/>
    <cellStyle name="40% - Accent6 4 4 4" xfId="4921" xr:uid="{00000000-0005-0000-0000-0000C30F0000}"/>
    <cellStyle name="40% - Accent6 4 5" xfId="1504" xr:uid="{00000000-0005-0000-0000-0000C40F0000}"/>
    <cellStyle name="40% - Accent6 4 6" xfId="2782" xr:uid="{00000000-0005-0000-0000-0000C50F0000}"/>
    <cellStyle name="40% - Accent6 4 7" xfId="4069" xr:uid="{00000000-0005-0000-0000-0000C60F0000}"/>
    <cellStyle name="40% - Accent6 4 8" xfId="5301" xr:uid="{00000000-0005-0000-0000-0000C70F0000}"/>
    <cellStyle name="40% - Accent6 5" xfId="201" xr:uid="{00000000-0005-0000-0000-0000C80F0000}"/>
    <cellStyle name="40% - Accent6 5 2" xfId="426" xr:uid="{00000000-0005-0000-0000-0000C90F0000}"/>
    <cellStyle name="40% - Accent6 5 2 2" xfId="852" xr:uid="{00000000-0005-0000-0000-0000CA0F0000}"/>
    <cellStyle name="40% - Accent6 5 2 2 2" xfId="2144" xr:uid="{00000000-0005-0000-0000-0000CB0F0000}"/>
    <cellStyle name="40% - Accent6 5 2 2 3" xfId="3422" xr:uid="{00000000-0005-0000-0000-0000CC0F0000}"/>
    <cellStyle name="40% - Accent6 5 2 2 4" xfId="4709" xr:uid="{00000000-0005-0000-0000-0000CD0F0000}"/>
    <cellStyle name="40% - Accent6 5 2 3" xfId="1278" xr:uid="{00000000-0005-0000-0000-0000CE0F0000}"/>
    <cellStyle name="40% - Accent6 5 2 3 2" xfId="2570" xr:uid="{00000000-0005-0000-0000-0000CF0F0000}"/>
    <cellStyle name="40% - Accent6 5 2 3 3" xfId="3848" xr:uid="{00000000-0005-0000-0000-0000D00F0000}"/>
    <cellStyle name="40% - Accent6 5 2 3 4" xfId="5135" xr:uid="{00000000-0005-0000-0000-0000D10F0000}"/>
    <cellStyle name="40% - Accent6 5 2 4" xfId="1718" xr:uid="{00000000-0005-0000-0000-0000D20F0000}"/>
    <cellStyle name="40% - Accent6 5 2 5" xfId="2996" xr:uid="{00000000-0005-0000-0000-0000D30F0000}"/>
    <cellStyle name="40% - Accent6 5 2 6" xfId="4283" xr:uid="{00000000-0005-0000-0000-0000D40F0000}"/>
    <cellStyle name="40% - Accent6 5 3" xfId="639" xr:uid="{00000000-0005-0000-0000-0000D50F0000}"/>
    <cellStyle name="40% - Accent6 5 3 2" xfId="1931" xr:uid="{00000000-0005-0000-0000-0000D60F0000}"/>
    <cellStyle name="40% - Accent6 5 3 3" xfId="3209" xr:uid="{00000000-0005-0000-0000-0000D70F0000}"/>
    <cellStyle name="40% - Accent6 5 3 4" xfId="4496" xr:uid="{00000000-0005-0000-0000-0000D80F0000}"/>
    <cellStyle name="40% - Accent6 5 4" xfId="1065" xr:uid="{00000000-0005-0000-0000-0000D90F0000}"/>
    <cellStyle name="40% - Accent6 5 4 2" xfId="2357" xr:uid="{00000000-0005-0000-0000-0000DA0F0000}"/>
    <cellStyle name="40% - Accent6 5 4 3" xfId="3635" xr:uid="{00000000-0005-0000-0000-0000DB0F0000}"/>
    <cellStyle name="40% - Accent6 5 4 4" xfId="4922" xr:uid="{00000000-0005-0000-0000-0000DC0F0000}"/>
    <cellStyle name="40% - Accent6 5 5" xfId="1505" xr:uid="{00000000-0005-0000-0000-0000DD0F0000}"/>
    <cellStyle name="40% - Accent6 5 6" xfId="2783" xr:uid="{00000000-0005-0000-0000-0000DE0F0000}"/>
    <cellStyle name="40% - Accent6 5 7" xfId="4070" xr:uid="{00000000-0005-0000-0000-0000DF0F0000}"/>
    <cellStyle name="40% - Accent6 6" xfId="202" xr:uid="{00000000-0005-0000-0000-0000E00F0000}"/>
    <cellStyle name="40% - Accent6 6 2" xfId="427" xr:uid="{00000000-0005-0000-0000-0000E10F0000}"/>
    <cellStyle name="40% - Accent6 6 2 2" xfId="853" xr:uid="{00000000-0005-0000-0000-0000E20F0000}"/>
    <cellStyle name="40% - Accent6 6 2 2 2" xfId="2145" xr:uid="{00000000-0005-0000-0000-0000E30F0000}"/>
    <cellStyle name="40% - Accent6 6 2 2 3" xfId="3423" xr:uid="{00000000-0005-0000-0000-0000E40F0000}"/>
    <cellStyle name="40% - Accent6 6 2 2 4" xfId="4710" xr:uid="{00000000-0005-0000-0000-0000E50F0000}"/>
    <cellStyle name="40% - Accent6 6 2 3" xfId="1279" xr:uid="{00000000-0005-0000-0000-0000E60F0000}"/>
    <cellStyle name="40% - Accent6 6 2 3 2" xfId="2571" xr:uid="{00000000-0005-0000-0000-0000E70F0000}"/>
    <cellStyle name="40% - Accent6 6 2 3 3" xfId="3849" xr:uid="{00000000-0005-0000-0000-0000E80F0000}"/>
    <cellStyle name="40% - Accent6 6 2 3 4" xfId="5136" xr:uid="{00000000-0005-0000-0000-0000E90F0000}"/>
    <cellStyle name="40% - Accent6 6 2 4" xfId="1719" xr:uid="{00000000-0005-0000-0000-0000EA0F0000}"/>
    <cellStyle name="40% - Accent6 6 2 5" xfId="2997" xr:uid="{00000000-0005-0000-0000-0000EB0F0000}"/>
    <cellStyle name="40% - Accent6 6 2 6" xfId="4284" xr:uid="{00000000-0005-0000-0000-0000EC0F0000}"/>
    <cellStyle name="40% - Accent6 6 3" xfId="640" xr:uid="{00000000-0005-0000-0000-0000ED0F0000}"/>
    <cellStyle name="40% - Accent6 6 3 2" xfId="1932" xr:uid="{00000000-0005-0000-0000-0000EE0F0000}"/>
    <cellStyle name="40% - Accent6 6 3 3" xfId="3210" xr:uid="{00000000-0005-0000-0000-0000EF0F0000}"/>
    <cellStyle name="40% - Accent6 6 3 4" xfId="4497" xr:uid="{00000000-0005-0000-0000-0000F00F0000}"/>
    <cellStyle name="40% - Accent6 6 4" xfId="1066" xr:uid="{00000000-0005-0000-0000-0000F10F0000}"/>
    <cellStyle name="40% - Accent6 6 4 2" xfId="2358" xr:uid="{00000000-0005-0000-0000-0000F20F0000}"/>
    <cellStyle name="40% - Accent6 6 4 3" xfId="3636" xr:uid="{00000000-0005-0000-0000-0000F30F0000}"/>
    <cellStyle name="40% - Accent6 6 4 4" xfId="4923" xr:uid="{00000000-0005-0000-0000-0000F40F0000}"/>
    <cellStyle name="40% - Accent6 6 5" xfId="1506" xr:uid="{00000000-0005-0000-0000-0000F50F0000}"/>
    <cellStyle name="40% - Accent6 6 6" xfId="2784" xr:uid="{00000000-0005-0000-0000-0000F60F0000}"/>
    <cellStyle name="40% - Accent6 6 7" xfId="4071" xr:uid="{00000000-0005-0000-0000-0000F70F0000}"/>
    <cellStyle name="40% - Accent6 7" xfId="265" xr:uid="{00000000-0005-0000-0000-0000F80F0000}"/>
    <cellStyle name="40% - Accent6 7 2" xfId="478" xr:uid="{00000000-0005-0000-0000-0000F90F0000}"/>
    <cellStyle name="40% - Accent6 7 2 2" xfId="903" xr:uid="{00000000-0005-0000-0000-0000FA0F0000}"/>
    <cellStyle name="40% - Accent6 7 2 2 2" xfId="2195" xr:uid="{00000000-0005-0000-0000-0000FB0F0000}"/>
    <cellStyle name="40% - Accent6 7 2 2 3" xfId="3473" xr:uid="{00000000-0005-0000-0000-0000FC0F0000}"/>
    <cellStyle name="40% - Accent6 7 2 2 4" xfId="4760" xr:uid="{00000000-0005-0000-0000-0000FD0F0000}"/>
    <cellStyle name="40% - Accent6 7 2 3" xfId="1329" xr:uid="{00000000-0005-0000-0000-0000FE0F0000}"/>
    <cellStyle name="40% - Accent6 7 2 3 2" xfId="2621" xr:uid="{00000000-0005-0000-0000-0000FF0F0000}"/>
    <cellStyle name="40% - Accent6 7 2 3 3" xfId="3899" xr:uid="{00000000-0005-0000-0000-000000100000}"/>
    <cellStyle name="40% - Accent6 7 2 3 4" xfId="5186" xr:uid="{00000000-0005-0000-0000-000001100000}"/>
    <cellStyle name="40% - Accent6 7 2 4" xfId="1769" xr:uid="{00000000-0005-0000-0000-000002100000}"/>
    <cellStyle name="40% - Accent6 7 2 5" xfId="3047" xr:uid="{00000000-0005-0000-0000-000003100000}"/>
    <cellStyle name="40% - Accent6 7 2 6" xfId="4334" xr:uid="{00000000-0005-0000-0000-000004100000}"/>
    <cellStyle name="40% - Accent6 7 3" xfId="690" xr:uid="{00000000-0005-0000-0000-000005100000}"/>
    <cellStyle name="40% - Accent6 7 3 2" xfId="1982" xr:uid="{00000000-0005-0000-0000-000006100000}"/>
    <cellStyle name="40% - Accent6 7 3 3" xfId="3260" xr:uid="{00000000-0005-0000-0000-000007100000}"/>
    <cellStyle name="40% - Accent6 7 3 4" xfId="4547" xr:uid="{00000000-0005-0000-0000-000008100000}"/>
    <cellStyle name="40% - Accent6 7 4" xfId="1116" xr:uid="{00000000-0005-0000-0000-000009100000}"/>
    <cellStyle name="40% - Accent6 7 4 2" xfId="2408" xr:uid="{00000000-0005-0000-0000-00000A100000}"/>
    <cellStyle name="40% - Accent6 7 4 3" xfId="3686" xr:uid="{00000000-0005-0000-0000-00000B100000}"/>
    <cellStyle name="40% - Accent6 7 4 4" xfId="4973" xr:uid="{00000000-0005-0000-0000-00000C100000}"/>
    <cellStyle name="40% - Accent6 7 5" xfId="1556" xr:uid="{00000000-0005-0000-0000-00000D100000}"/>
    <cellStyle name="40% - Accent6 7 6" xfId="2834" xr:uid="{00000000-0005-0000-0000-00000E100000}"/>
    <cellStyle name="40% - Accent6 7 7" xfId="4121" xr:uid="{00000000-0005-0000-0000-00000F100000}"/>
    <cellStyle name="40% - Accent6 8" xfId="416" xr:uid="{00000000-0005-0000-0000-000010100000}"/>
    <cellStyle name="40% - Accent6 8 2" xfId="842" xr:uid="{00000000-0005-0000-0000-000011100000}"/>
    <cellStyle name="40% - Accent6 8 2 2" xfId="2134" xr:uid="{00000000-0005-0000-0000-000012100000}"/>
    <cellStyle name="40% - Accent6 8 2 3" xfId="3412" xr:uid="{00000000-0005-0000-0000-000013100000}"/>
    <cellStyle name="40% - Accent6 8 2 4" xfId="4699" xr:uid="{00000000-0005-0000-0000-000014100000}"/>
    <cellStyle name="40% - Accent6 8 3" xfId="1268" xr:uid="{00000000-0005-0000-0000-000015100000}"/>
    <cellStyle name="40% - Accent6 8 3 2" xfId="2560" xr:uid="{00000000-0005-0000-0000-000016100000}"/>
    <cellStyle name="40% - Accent6 8 3 3" xfId="3838" xr:uid="{00000000-0005-0000-0000-000017100000}"/>
    <cellStyle name="40% - Accent6 8 3 4" xfId="5125" xr:uid="{00000000-0005-0000-0000-000018100000}"/>
    <cellStyle name="40% - Accent6 8 4" xfId="1708" xr:uid="{00000000-0005-0000-0000-000019100000}"/>
    <cellStyle name="40% - Accent6 8 5" xfId="2986" xr:uid="{00000000-0005-0000-0000-00001A100000}"/>
    <cellStyle name="40% - Accent6 8 6" xfId="4273" xr:uid="{00000000-0005-0000-0000-00001B100000}"/>
    <cellStyle name="40% - Accent6 9" xfId="629" xr:uid="{00000000-0005-0000-0000-00001C100000}"/>
    <cellStyle name="40% - Accent6 9 2" xfId="1921" xr:uid="{00000000-0005-0000-0000-00001D100000}"/>
    <cellStyle name="40% - Accent6 9 3" xfId="3199" xr:uid="{00000000-0005-0000-0000-00001E100000}"/>
    <cellStyle name="40% - Accent6 9 4" xfId="4486" xr:uid="{00000000-0005-0000-0000-00001F100000}"/>
    <cellStyle name="60% - Accent1" xfId="60" builtinId="32" customBuiltin="1"/>
    <cellStyle name="60% - Accent2" xfId="64" builtinId="36" customBuiltin="1"/>
    <cellStyle name="60% - Accent3" xfId="68" builtinId="40" customBuiltin="1"/>
    <cellStyle name="60% - Accent4" xfId="71" builtinId="44" customBuiltin="1"/>
    <cellStyle name="60% - Accent5" xfId="75" builtinId="48" customBuiltin="1"/>
    <cellStyle name="60% - Accent6" xfId="79" builtinId="52" customBuiltin="1"/>
    <cellStyle name="Accent1" xfId="57" builtinId="29" customBuiltin="1"/>
    <cellStyle name="Accent2" xfId="61" builtinId="33" customBuiltin="1"/>
    <cellStyle name="Accent3" xfId="65" builtinId="37" customBuiltin="1"/>
    <cellStyle name="Accent4" xfId="69" builtinId="41" customBuiltin="1"/>
    <cellStyle name="Accent5" xfId="72" builtinId="45" customBuiltin="1"/>
    <cellStyle name="Accent6" xfId="76" builtinId="49" customBuiltin="1"/>
    <cellStyle name="Bad" xfId="48" builtinId="27" customBuiltin="1"/>
    <cellStyle name="Calculation" xfId="51" builtinId="22" customBuiltin="1"/>
    <cellStyle name="Check Cell" xfId="53" builtinId="23" customBuiltin="1"/>
    <cellStyle name="Comma" xfId="9" builtinId="3"/>
    <cellStyle name="Comma 2" xfId="7" xr:uid="{00000000-0005-0000-0000-000030100000}"/>
    <cellStyle name="Comma 2 2" xfId="203" xr:uid="{00000000-0005-0000-0000-000031100000}"/>
    <cellStyle name="Comma 2 3" xfId="82" xr:uid="{00000000-0005-0000-0000-000032100000}"/>
    <cellStyle name="Comma 3" xfId="22" xr:uid="{00000000-0005-0000-0000-000033100000}"/>
    <cellStyle name="Comma 3 2" xfId="204" xr:uid="{00000000-0005-0000-0000-000034100000}"/>
    <cellStyle name="Comma 3 2 2" xfId="250" xr:uid="{00000000-0005-0000-0000-000035100000}"/>
    <cellStyle name="Comma 3 2 2 2" xfId="922" xr:uid="{00000000-0005-0000-0000-000036100000}"/>
    <cellStyle name="Comma 3 2 2 2 2" xfId="2214" xr:uid="{00000000-0005-0000-0000-000037100000}"/>
    <cellStyle name="Comma 3 2 2 2 3" xfId="3492" xr:uid="{00000000-0005-0000-0000-000038100000}"/>
    <cellStyle name="Comma 3 2 2 2 4" xfId="4779" xr:uid="{00000000-0005-0000-0000-000039100000}"/>
    <cellStyle name="Comma 3 2 2 3" xfId="1348" xr:uid="{00000000-0005-0000-0000-00003A100000}"/>
    <cellStyle name="Comma 3 2 2 3 2" xfId="2640" xr:uid="{00000000-0005-0000-0000-00003B100000}"/>
    <cellStyle name="Comma 3 2 2 3 3" xfId="3918" xr:uid="{00000000-0005-0000-0000-00003C100000}"/>
    <cellStyle name="Comma 3 2 2 3 4" xfId="5205" xr:uid="{00000000-0005-0000-0000-00003D100000}"/>
    <cellStyle name="Comma 3 2 2 4" xfId="1788" xr:uid="{00000000-0005-0000-0000-00003E100000}"/>
    <cellStyle name="Comma 3 2 2 5" xfId="3066" xr:uid="{00000000-0005-0000-0000-00003F100000}"/>
    <cellStyle name="Comma 3 2 2 6" xfId="4353" xr:uid="{00000000-0005-0000-0000-000040100000}"/>
    <cellStyle name="Comma 3 2 2 7" xfId="5333" xr:uid="{00000000-0005-0000-0000-000041100000}"/>
    <cellStyle name="Comma 3 2 3" xfId="709" xr:uid="{00000000-0005-0000-0000-000042100000}"/>
    <cellStyle name="Comma 3 2 3 2" xfId="2001" xr:uid="{00000000-0005-0000-0000-000043100000}"/>
    <cellStyle name="Comma 3 2 3 3" xfId="3279" xr:uid="{00000000-0005-0000-0000-000044100000}"/>
    <cellStyle name="Comma 3 2 3 4" xfId="4566" xr:uid="{00000000-0005-0000-0000-000045100000}"/>
    <cellStyle name="Comma 3 2 4" xfId="1135" xr:uid="{00000000-0005-0000-0000-000046100000}"/>
    <cellStyle name="Comma 3 2 4 2" xfId="2427" xr:uid="{00000000-0005-0000-0000-000047100000}"/>
    <cellStyle name="Comma 3 2 4 3" xfId="3705" xr:uid="{00000000-0005-0000-0000-000048100000}"/>
    <cellStyle name="Comma 3 2 4 4" xfId="4992" xr:uid="{00000000-0005-0000-0000-000049100000}"/>
    <cellStyle name="Comma 3 2 5" xfId="1575" xr:uid="{00000000-0005-0000-0000-00004A100000}"/>
    <cellStyle name="Comma 3 2 6" xfId="2853" xr:uid="{00000000-0005-0000-0000-00004B100000}"/>
    <cellStyle name="Comma 3 2 7" xfId="4140" xr:uid="{00000000-0005-0000-0000-00004C100000}"/>
    <cellStyle name="Comma 3 2 8" xfId="5332" xr:uid="{00000000-0005-0000-0000-00004D100000}"/>
    <cellStyle name="Comma 3 3" xfId="1358" xr:uid="{00000000-0005-0000-0000-00004E100000}"/>
    <cellStyle name="Comma 3 4" xfId="5302" xr:uid="{00000000-0005-0000-0000-00004F100000}"/>
    <cellStyle name="Comma 4" xfId="1355" xr:uid="{00000000-0005-0000-0000-000050100000}"/>
    <cellStyle name="Comma 5" xfId="1352" xr:uid="{00000000-0005-0000-0000-000051100000}"/>
    <cellStyle name="Comma 6" xfId="3926" xr:uid="{00000000-0005-0000-0000-000052100000}"/>
    <cellStyle name="Currency" xfId="1" builtinId="4"/>
    <cellStyle name="Currency 2" xfId="205" xr:uid="{00000000-0005-0000-0000-000054100000}"/>
    <cellStyle name="Currency 2 2" xfId="248" xr:uid="{00000000-0005-0000-0000-000055100000}"/>
    <cellStyle name="Currency 2 2 2" xfId="5303" xr:uid="{00000000-0005-0000-0000-000056100000}"/>
    <cellStyle name="Currency 3" xfId="1356" xr:uid="{00000000-0005-0000-0000-000057100000}"/>
    <cellStyle name="Explanatory Text" xfId="55" builtinId="53" customBuiltin="1"/>
    <cellStyle name="Good" xfId="47" builtinId="26" customBuiltin="1"/>
    <cellStyle name="Heading 1" xfId="43" builtinId="16" customBuiltin="1"/>
    <cellStyle name="Heading 2" xfId="44" builtinId="17" customBuiltin="1"/>
    <cellStyle name="Heading 3" xfId="45" builtinId="18" customBuiltin="1"/>
    <cellStyle name="Heading 4" xfId="46" builtinId="19" customBuiltin="1"/>
    <cellStyle name="Hyperlink" xfId="5" builtinId="8"/>
    <cellStyle name="Hyperlink 2" xfId="245" xr:uid="{00000000-0005-0000-0000-00005F100000}"/>
    <cellStyle name="Input" xfId="50" builtinId="20" customBuiltin="1"/>
    <cellStyle name="Linked Cell" xfId="52" builtinId="24" customBuiltin="1"/>
    <cellStyle name="Neutral" xfId="49" builtinId="28" customBuiltin="1"/>
    <cellStyle name="Normal" xfId="0" builtinId="0"/>
    <cellStyle name="Normal 10" xfId="1354" xr:uid="{00000000-0005-0000-0000-000064100000}"/>
    <cellStyle name="Normal 10 2" xfId="3924" xr:uid="{00000000-0005-0000-0000-000065100000}"/>
    <cellStyle name="Normal 11" xfId="1351" xr:uid="{00000000-0005-0000-0000-000066100000}"/>
    <cellStyle name="Normal 12" xfId="3919" xr:uid="{00000000-0005-0000-0000-000067100000}"/>
    <cellStyle name="Normal 12 2" xfId="3927" xr:uid="{00000000-0005-0000-0000-000068100000}"/>
    <cellStyle name="Normal 13" xfId="5338" xr:uid="{541B4E07-E577-46C8-B4B3-8F345E16E051}"/>
    <cellStyle name="Normal 2" xfId="6" xr:uid="{00000000-0005-0000-0000-000069100000}"/>
    <cellStyle name="Normal 2 2" xfId="23" xr:uid="{00000000-0005-0000-0000-00006A100000}"/>
    <cellStyle name="Normal 2 2 2 2 2" xfId="5336" xr:uid="{797D6A6C-4BE2-4D45-B3EC-12D696687133}"/>
    <cellStyle name="Normal 2 2 2 2 2 2" xfId="5337" xr:uid="{A3BD22F7-723C-4588-8494-5F5F8AB8FCB5}"/>
    <cellStyle name="Normal 2 2 2 2 3" xfId="5341" xr:uid="{3FCEF959-8EDD-4618-A6FE-76B7BFBC8F24}"/>
    <cellStyle name="Normal 2 3" xfId="24" xr:uid="{00000000-0005-0000-0000-00006B100000}"/>
    <cellStyle name="Normal 2 3 2" xfId="207" xr:uid="{00000000-0005-0000-0000-00006C100000}"/>
    <cellStyle name="Normal 2 4" xfId="25" xr:uid="{00000000-0005-0000-0000-00006D100000}"/>
    <cellStyle name="Normal 2 4 2" xfId="26" xr:uid="{00000000-0005-0000-0000-00006E100000}"/>
    <cellStyle name="Normal 2 4 3" xfId="3921" xr:uid="{00000000-0005-0000-0000-00006F100000}"/>
    <cellStyle name="Normal 2 5" xfId="27" xr:uid="{00000000-0005-0000-0000-000070100000}"/>
    <cellStyle name="Normal 2 5 2" xfId="28" xr:uid="{00000000-0005-0000-0000-000071100000}"/>
    <cellStyle name="Normal 2 6" xfId="29" xr:uid="{00000000-0005-0000-0000-000072100000}"/>
    <cellStyle name="Normal 2 7" xfId="206" xr:uid="{00000000-0005-0000-0000-000073100000}"/>
    <cellStyle name="Normal 2 8" xfId="81" xr:uid="{00000000-0005-0000-0000-000074100000}"/>
    <cellStyle name="Normal 2 9" xfId="3922" xr:uid="{00000000-0005-0000-0000-000075100000}"/>
    <cellStyle name="Normal 3" xfId="30" xr:uid="{00000000-0005-0000-0000-000076100000}"/>
    <cellStyle name="Normal 3 2" xfId="208" xr:uid="{00000000-0005-0000-0000-000077100000}"/>
    <cellStyle name="Normal 3 2 2" xfId="3923" xr:uid="{00000000-0005-0000-0000-000078100000}"/>
    <cellStyle name="Normal 3 2 3" xfId="5339" xr:uid="{19AD957C-B6FA-43FE-81C9-8B9546E71DAF}"/>
    <cellStyle name="Normal 3 3" xfId="3920" xr:uid="{00000000-0005-0000-0000-000079100000}"/>
    <cellStyle name="Normal 4" xfId="31" xr:uid="{00000000-0005-0000-0000-00007A100000}"/>
    <cellStyle name="Normal 4 2" xfId="246" xr:uid="{00000000-0005-0000-0000-00007B100000}"/>
    <cellStyle name="Normal 4 2 2" xfId="1359" xr:uid="{00000000-0005-0000-0000-00007C100000}"/>
    <cellStyle name="Normal 4 3" xfId="251" xr:uid="{00000000-0005-0000-0000-00007D100000}"/>
    <cellStyle name="Normal 4 3 2" xfId="1360" xr:uid="{00000000-0005-0000-0000-00007E100000}"/>
    <cellStyle name="Normal 4 4" xfId="252" xr:uid="{00000000-0005-0000-0000-00007F100000}"/>
    <cellStyle name="Normal 4 4 2" xfId="1362" xr:uid="{00000000-0005-0000-0000-000080100000}"/>
    <cellStyle name="Normal 4 5" xfId="1349" xr:uid="{00000000-0005-0000-0000-000081100000}"/>
    <cellStyle name="Normal 4 5 2" xfId="1350" xr:uid="{00000000-0005-0000-0000-000082100000}"/>
    <cellStyle name="Normal 4 6" xfId="3925" xr:uid="{00000000-0005-0000-0000-000083100000}"/>
    <cellStyle name="Normal 4 6 2" xfId="5334" xr:uid="{00000000-0005-0000-0000-000084100000}"/>
    <cellStyle name="Normal 5" xfId="32" xr:uid="{00000000-0005-0000-0000-000085100000}"/>
    <cellStyle name="Normal 5 2" xfId="5340" xr:uid="{E6088253-DF7C-4C6C-A382-A18E72199282}"/>
    <cellStyle name="Normal 6" xfId="33" xr:uid="{00000000-0005-0000-0000-000086100000}"/>
    <cellStyle name="Normal 6 2" xfId="209" xr:uid="{00000000-0005-0000-0000-000087100000}"/>
    <cellStyle name="Normal 7" xfId="34" xr:uid="{00000000-0005-0000-0000-000088100000}"/>
    <cellStyle name="Normal 7 10" xfId="428" xr:uid="{00000000-0005-0000-0000-000089100000}"/>
    <cellStyle name="Normal 7 10 2" xfId="854" xr:uid="{00000000-0005-0000-0000-00008A100000}"/>
    <cellStyle name="Normal 7 10 2 2" xfId="2146" xr:uid="{00000000-0005-0000-0000-00008B100000}"/>
    <cellStyle name="Normal 7 10 2 3" xfId="3424" xr:uid="{00000000-0005-0000-0000-00008C100000}"/>
    <cellStyle name="Normal 7 10 2 4" xfId="4711" xr:uid="{00000000-0005-0000-0000-00008D100000}"/>
    <cellStyle name="Normal 7 10 3" xfId="1280" xr:uid="{00000000-0005-0000-0000-00008E100000}"/>
    <cellStyle name="Normal 7 10 3 2" xfId="2572" xr:uid="{00000000-0005-0000-0000-00008F100000}"/>
    <cellStyle name="Normal 7 10 3 3" xfId="3850" xr:uid="{00000000-0005-0000-0000-000090100000}"/>
    <cellStyle name="Normal 7 10 3 4" xfId="5137" xr:uid="{00000000-0005-0000-0000-000091100000}"/>
    <cellStyle name="Normal 7 10 4" xfId="1720" xr:uid="{00000000-0005-0000-0000-000092100000}"/>
    <cellStyle name="Normal 7 10 5" xfId="2998" xr:uid="{00000000-0005-0000-0000-000093100000}"/>
    <cellStyle name="Normal 7 10 6" xfId="4285" xr:uid="{00000000-0005-0000-0000-000094100000}"/>
    <cellStyle name="Normal 7 11" xfId="641" xr:uid="{00000000-0005-0000-0000-000095100000}"/>
    <cellStyle name="Normal 7 11 2" xfId="1933" xr:uid="{00000000-0005-0000-0000-000096100000}"/>
    <cellStyle name="Normal 7 11 3" xfId="3211" xr:uid="{00000000-0005-0000-0000-000097100000}"/>
    <cellStyle name="Normal 7 11 4" xfId="4498" xr:uid="{00000000-0005-0000-0000-000098100000}"/>
    <cellStyle name="Normal 7 12" xfId="1067" xr:uid="{00000000-0005-0000-0000-000099100000}"/>
    <cellStyle name="Normal 7 12 2" xfId="2359" xr:uid="{00000000-0005-0000-0000-00009A100000}"/>
    <cellStyle name="Normal 7 12 3" xfId="3637" xr:uid="{00000000-0005-0000-0000-00009B100000}"/>
    <cellStyle name="Normal 7 12 4" xfId="4924" xr:uid="{00000000-0005-0000-0000-00009C100000}"/>
    <cellStyle name="Normal 7 13" xfId="1507" xr:uid="{00000000-0005-0000-0000-00009D100000}"/>
    <cellStyle name="Normal 7 14" xfId="2785" xr:uid="{00000000-0005-0000-0000-00009E100000}"/>
    <cellStyle name="Normal 7 15" xfId="4072" xr:uid="{00000000-0005-0000-0000-00009F100000}"/>
    <cellStyle name="Normal 7 16" xfId="5304" xr:uid="{00000000-0005-0000-0000-0000A0100000}"/>
    <cellStyle name="Normal 7 2" xfId="35" xr:uid="{00000000-0005-0000-0000-0000A1100000}"/>
    <cellStyle name="Normal 7 2 10" xfId="1508" xr:uid="{00000000-0005-0000-0000-0000A2100000}"/>
    <cellStyle name="Normal 7 2 11" xfId="2786" xr:uid="{00000000-0005-0000-0000-0000A3100000}"/>
    <cellStyle name="Normal 7 2 12" xfId="4073" xr:uid="{00000000-0005-0000-0000-0000A4100000}"/>
    <cellStyle name="Normal 7 2 13" xfId="5305" xr:uid="{00000000-0005-0000-0000-0000A5100000}"/>
    <cellStyle name="Normal 7 2 2" xfId="210" xr:uid="{00000000-0005-0000-0000-0000A6100000}"/>
    <cellStyle name="Normal 7 2 2 2" xfId="211" xr:uid="{00000000-0005-0000-0000-0000A7100000}"/>
    <cellStyle name="Normal 7 2 2 2 2" xfId="431" xr:uid="{00000000-0005-0000-0000-0000A8100000}"/>
    <cellStyle name="Normal 7 2 2 2 2 2" xfId="857" xr:uid="{00000000-0005-0000-0000-0000A9100000}"/>
    <cellStyle name="Normal 7 2 2 2 2 2 2" xfId="2149" xr:uid="{00000000-0005-0000-0000-0000AA100000}"/>
    <cellStyle name="Normal 7 2 2 2 2 2 3" xfId="3427" xr:uid="{00000000-0005-0000-0000-0000AB100000}"/>
    <cellStyle name="Normal 7 2 2 2 2 2 4" xfId="4714" xr:uid="{00000000-0005-0000-0000-0000AC100000}"/>
    <cellStyle name="Normal 7 2 2 2 2 3" xfId="1283" xr:uid="{00000000-0005-0000-0000-0000AD100000}"/>
    <cellStyle name="Normal 7 2 2 2 2 3 2" xfId="2575" xr:uid="{00000000-0005-0000-0000-0000AE100000}"/>
    <cellStyle name="Normal 7 2 2 2 2 3 3" xfId="3853" xr:uid="{00000000-0005-0000-0000-0000AF100000}"/>
    <cellStyle name="Normal 7 2 2 2 2 3 4" xfId="5140" xr:uid="{00000000-0005-0000-0000-0000B0100000}"/>
    <cellStyle name="Normal 7 2 2 2 2 4" xfId="1723" xr:uid="{00000000-0005-0000-0000-0000B1100000}"/>
    <cellStyle name="Normal 7 2 2 2 2 5" xfId="3001" xr:uid="{00000000-0005-0000-0000-0000B2100000}"/>
    <cellStyle name="Normal 7 2 2 2 2 6" xfId="4288" xr:uid="{00000000-0005-0000-0000-0000B3100000}"/>
    <cellStyle name="Normal 7 2 2 2 3" xfId="644" xr:uid="{00000000-0005-0000-0000-0000B4100000}"/>
    <cellStyle name="Normal 7 2 2 2 3 2" xfId="1936" xr:uid="{00000000-0005-0000-0000-0000B5100000}"/>
    <cellStyle name="Normal 7 2 2 2 3 3" xfId="3214" xr:uid="{00000000-0005-0000-0000-0000B6100000}"/>
    <cellStyle name="Normal 7 2 2 2 3 4" xfId="4501" xr:uid="{00000000-0005-0000-0000-0000B7100000}"/>
    <cellStyle name="Normal 7 2 2 2 4" xfId="1070" xr:uid="{00000000-0005-0000-0000-0000B8100000}"/>
    <cellStyle name="Normal 7 2 2 2 4 2" xfId="2362" xr:uid="{00000000-0005-0000-0000-0000B9100000}"/>
    <cellStyle name="Normal 7 2 2 2 4 3" xfId="3640" xr:uid="{00000000-0005-0000-0000-0000BA100000}"/>
    <cellStyle name="Normal 7 2 2 2 4 4" xfId="4927" xr:uid="{00000000-0005-0000-0000-0000BB100000}"/>
    <cellStyle name="Normal 7 2 2 2 5" xfId="1510" xr:uid="{00000000-0005-0000-0000-0000BC100000}"/>
    <cellStyle name="Normal 7 2 2 2 6" xfId="2788" xr:uid="{00000000-0005-0000-0000-0000BD100000}"/>
    <cellStyle name="Normal 7 2 2 2 7" xfId="4075" xr:uid="{00000000-0005-0000-0000-0000BE100000}"/>
    <cellStyle name="Normal 7 2 2 2 8" xfId="5307" xr:uid="{00000000-0005-0000-0000-0000BF100000}"/>
    <cellStyle name="Normal 7 2 2 3" xfId="430" xr:uid="{00000000-0005-0000-0000-0000C0100000}"/>
    <cellStyle name="Normal 7 2 2 3 2" xfId="856" xr:uid="{00000000-0005-0000-0000-0000C1100000}"/>
    <cellStyle name="Normal 7 2 2 3 2 2" xfId="2148" xr:uid="{00000000-0005-0000-0000-0000C2100000}"/>
    <cellStyle name="Normal 7 2 2 3 2 3" xfId="3426" xr:uid="{00000000-0005-0000-0000-0000C3100000}"/>
    <cellStyle name="Normal 7 2 2 3 2 4" xfId="4713" xr:uid="{00000000-0005-0000-0000-0000C4100000}"/>
    <cellStyle name="Normal 7 2 2 3 3" xfId="1282" xr:uid="{00000000-0005-0000-0000-0000C5100000}"/>
    <cellStyle name="Normal 7 2 2 3 3 2" xfId="2574" xr:uid="{00000000-0005-0000-0000-0000C6100000}"/>
    <cellStyle name="Normal 7 2 2 3 3 3" xfId="3852" xr:uid="{00000000-0005-0000-0000-0000C7100000}"/>
    <cellStyle name="Normal 7 2 2 3 3 4" xfId="5139" xr:uid="{00000000-0005-0000-0000-0000C8100000}"/>
    <cellStyle name="Normal 7 2 2 3 4" xfId="1722" xr:uid="{00000000-0005-0000-0000-0000C9100000}"/>
    <cellStyle name="Normal 7 2 2 3 5" xfId="3000" xr:uid="{00000000-0005-0000-0000-0000CA100000}"/>
    <cellStyle name="Normal 7 2 2 3 6" xfId="4287" xr:uid="{00000000-0005-0000-0000-0000CB100000}"/>
    <cellStyle name="Normal 7 2 2 4" xfId="643" xr:uid="{00000000-0005-0000-0000-0000CC100000}"/>
    <cellStyle name="Normal 7 2 2 4 2" xfId="1935" xr:uid="{00000000-0005-0000-0000-0000CD100000}"/>
    <cellStyle name="Normal 7 2 2 4 3" xfId="3213" xr:uid="{00000000-0005-0000-0000-0000CE100000}"/>
    <cellStyle name="Normal 7 2 2 4 4" xfId="4500" xr:uid="{00000000-0005-0000-0000-0000CF100000}"/>
    <cellStyle name="Normal 7 2 2 5" xfId="1069" xr:uid="{00000000-0005-0000-0000-0000D0100000}"/>
    <cellStyle name="Normal 7 2 2 5 2" xfId="2361" xr:uid="{00000000-0005-0000-0000-0000D1100000}"/>
    <cellStyle name="Normal 7 2 2 5 3" xfId="3639" xr:uid="{00000000-0005-0000-0000-0000D2100000}"/>
    <cellStyle name="Normal 7 2 2 5 4" xfId="4926" xr:uid="{00000000-0005-0000-0000-0000D3100000}"/>
    <cellStyle name="Normal 7 2 2 6" xfId="1509" xr:uid="{00000000-0005-0000-0000-0000D4100000}"/>
    <cellStyle name="Normal 7 2 2 7" xfId="2787" xr:uid="{00000000-0005-0000-0000-0000D5100000}"/>
    <cellStyle name="Normal 7 2 2 8" xfId="4074" xr:uid="{00000000-0005-0000-0000-0000D6100000}"/>
    <cellStyle name="Normal 7 2 2 9" xfId="5306" xr:uid="{00000000-0005-0000-0000-0000D7100000}"/>
    <cellStyle name="Normal 7 2 3" xfId="212" xr:uid="{00000000-0005-0000-0000-0000D8100000}"/>
    <cellStyle name="Normal 7 2 3 2" xfId="432" xr:uid="{00000000-0005-0000-0000-0000D9100000}"/>
    <cellStyle name="Normal 7 2 3 2 2" xfId="858" xr:uid="{00000000-0005-0000-0000-0000DA100000}"/>
    <cellStyle name="Normal 7 2 3 2 2 2" xfId="2150" xr:uid="{00000000-0005-0000-0000-0000DB100000}"/>
    <cellStyle name="Normal 7 2 3 2 2 3" xfId="3428" xr:uid="{00000000-0005-0000-0000-0000DC100000}"/>
    <cellStyle name="Normal 7 2 3 2 2 4" xfId="4715" xr:uid="{00000000-0005-0000-0000-0000DD100000}"/>
    <cellStyle name="Normal 7 2 3 2 3" xfId="1284" xr:uid="{00000000-0005-0000-0000-0000DE100000}"/>
    <cellStyle name="Normal 7 2 3 2 3 2" xfId="2576" xr:uid="{00000000-0005-0000-0000-0000DF100000}"/>
    <cellStyle name="Normal 7 2 3 2 3 3" xfId="3854" xr:uid="{00000000-0005-0000-0000-0000E0100000}"/>
    <cellStyle name="Normal 7 2 3 2 3 4" xfId="5141" xr:uid="{00000000-0005-0000-0000-0000E1100000}"/>
    <cellStyle name="Normal 7 2 3 2 4" xfId="1724" xr:uid="{00000000-0005-0000-0000-0000E2100000}"/>
    <cellStyle name="Normal 7 2 3 2 5" xfId="3002" xr:uid="{00000000-0005-0000-0000-0000E3100000}"/>
    <cellStyle name="Normal 7 2 3 2 6" xfId="4289" xr:uid="{00000000-0005-0000-0000-0000E4100000}"/>
    <cellStyle name="Normal 7 2 3 3" xfId="645" xr:uid="{00000000-0005-0000-0000-0000E5100000}"/>
    <cellStyle name="Normal 7 2 3 3 2" xfId="1937" xr:uid="{00000000-0005-0000-0000-0000E6100000}"/>
    <cellStyle name="Normal 7 2 3 3 3" xfId="3215" xr:uid="{00000000-0005-0000-0000-0000E7100000}"/>
    <cellStyle name="Normal 7 2 3 3 4" xfId="4502" xr:uid="{00000000-0005-0000-0000-0000E8100000}"/>
    <cellStyle name="Normal 7 2 3 4" xfId="1071" xr:uid="{00000000-0005-0000-0000-0000E9100000}"/>
    <cellStyle name="Normal 7 2 3 4 2" xfId="2363" xr:uid="{00000000-0005-0000-0000-0000EA100000}"/>
    <cellStyle name="Normal 7 2 3 4 3" xfId="3641" xr:uid="{00000000-0005-0000-0000-0000EB100000}"/>
    <cellStyle name="Normal 7 2 3 4 4" xfId="4928" xr:uid="{00000000-0005-0000-0000-0000EC100000}"/>
    <cellStyle name="Normal 7 2 3 5" xfId="1511" xr:uid="{00000000-0005-0000-0000-0000ED100000}"/>
    <cellStyle name="Normal 7 2 3 6" xfId="2789" xr:uid="{00000000-0005-0000-0000-0000EE100000}"/>
    <cellStyle name="Normal 7 2 3 7" xfId="4076" xr:uid="{00000000-0005-0000-0000-0000EF100000}"/>
    <cellStyle name="Normal 7 2 3 8" xfId="5308" xr:uid="{00000000-0005-0000-0000-0000F0100000}"/>
    <cellStyle name="Normal 7 2 4" xfId="213" xr:uid="{00000000-0005-0000-0000-0000F1100000}"/>
    <cellStyle name="Normal 7 2 4 2" xfId="433" xr:uid="{00000000-0005-0000-0000-0000F2100000}"/>
    <cellStyle name="Normal 7 2 4 2 2" xfId="859" xr:uid="{00000000-0005-0000-0000-0000F3100000}"/>
    <cellStyle name="Normal 7 2 4 2 2 2" xfId="2151" xr:uid="{00000000-0005-0000-0000-0000F4100000}"/>
    <cellStyle name="Normal 7 2 4 2 2 3" xfId="3429" xr:uid="{00000000-0005-0000-0000-0000F5100000}"/>
    <cellStyle name="Normal 7 2 4 2 2 4" xfId="4716" xr:uid="{00000000-0005-0000-0000-0000F6100000}"/>
    <cellStyle name="Normal 7 2 4 2 3" xfId="1285" xr:uid="{00000000-0005-0000-0000-0000F7100000}"/>
    <cellStyle name="Normal 7 2 4 2 3 2" xfId="2577" xr:uid="{00000000-0005-0000-0000-0000F8100000}"/>
    <cellStyle name="Normal 7 2 4 2 3 3" xfId="3855" xr:uid="{00000000-0005-0000-0000-0000F9100000}"/>
    <cellStyle name="Normal 7 2 4 2 3 4" xfId="5142" xr:uid="{00000000-0005-0000-0000-0000FA100000}"/>
    <cellStyle name="Normal 7 2 4 2 4" xfId="1725" xr:uid="{00000000-0005-0000-0000-0000FB100000}"/>
    <cellStyle name="Normal 7 2 4 2 5" xfId="3003" xr:uid="{00000000-0005-0000-0000-0000FC100000}"/>
    <cellStyle name="Normal 7 2 4 2 6" xfId="4290" xr:uid="{00000000-0005-0000-0000-0000FD100000}"/>
    <cellStyle name="Normal 7 2 4 3" xfId="646" xr:uid="{00000000-0005-0000-0000-0000FE100000}"/>
    <cellStyle name="Normal 7 2 4 3 2" xfId="1938" xr:uid="{00000000-0005-0000-0000-0000FF100000}"/>
    <cellStyle name="Normal 7 2 4 3 3" xfId="3216" xr:uid="{00000000-0005-0000-0000-000000110000}"/>
    <cellStyle name="Normal 7 2 4 3 4" xfId="4503" xr:uid="{00000000-0005-0000-0000-000001110000}"/>
    <cellStyle name="Normal 7 2 4 4" xfId="1072" xr:uid="{00000000-0005-0000-0000-000002110000}"/>
    <cellStyle name="Normal 7 2 4 4 2" xfId="2364" xr:uid="{00000000-0005-0000-0000-000003110000}"/>
    <cellStyle name="Normal 7 2 4 4 3" xfId="3642" xr:uid="{00000000-0005-0000-0000-000004110000}"/>
    <cellStyle name="Normal 7 2 4 4 4" xfId="4929" xr:uid="{00000000-0005-0000-0000-000005110000}"/>
    <cellStyle name="Normal 7 2 4 5" xfId="1512" xr:uid="{00000000-0005-0000-0000-000006110000}"/>
    <cellStyle name="Normal 7 2 4 6" xfId="2790" xr:uid="{00000000-0005-0000-0000-000007110000}"/>
    <cellStyle name="Normal 7 2 4 7" xfId="4077" xr:uid="{00000000-0005-0000-0000-000008110000}"/>
    <cellStyle name="Normal 7 2 5" xfId="214" xr:uid="{00000000-0005-0000-0000-000009110000}"/>
    <cellStyle name="Normal 7 2 5 2" xfId="434" xr:uid="{00000000-0005-0000-0000-00000A110000}"/>
    <cellStyle name="Normal 7 2 5 2 2" xfId="860" xr:uid="{00000000-0005-0000-0000-00000B110000}"/>
    <cellStyle name="Normal 7 2 5 2 2 2" xfId="2152" xr:uid="{00000000-0005-0000-0000-00000C110000}"/>
    <cellStyle name="Normal 7 2 5 2 2 3" xfId="3430" xr:uid="{00000000-0005-0000-0000-00000D110000}"/>
    <cellStyle name="Normal 7 2 5 2 2 4" xfId="4717" xr:uid="{00000000-0005-0000-0000-00000E110000}"/>
    <cellStyle name="Normal 7 2 5 2 3" xfId="1286" xr:uid="{00000000-0005-0000-0000-00000F110000}"/>
    <cellStyle name="Normal 7 2 5 2 3 2" xfId="2578" xr:uid="{00000000-0005-0000-0000-000010110000}"/>
    <cellStyle name="Normal 7 2 5 2 3 3" xfId="3856" xr:uid="{00000000-0005-0000-0000-000011110000}"/>
    <cellStyle name="Normal 7 2 5 2 3 4" xfId="5143" xr:uid="{00000000-0005-0000-0000-000012110000}"/>
    <cellStyle name="Normal 7 2 5 2 4" xfId="1726" xr:uid="{00000000-0005-0000-0000-000013110000}"/>
    <cellStyle name="Normal 7 2 5 2 5" xfId="3004" xr:uid="{00000000-0005-0000-0000-000014110000}"/>
    <cellStyle name="Normal 7 2 5 2 6" xfId="4291" xr:uid="{00000000-0005-0000-0000-000015110000}"/>
    <cellStyle name="Normal 7 2 5 3" xfId="647" xr:uid="{00000000-0005-0000-0000-000016110000}"/>
    <cellStyle name="Normal 7 2 5 3 2" xfId="1939" xr:uid="{00000000-0005-0000-0000-000017110000}"/>
    <cellStyle name="Normal 7 2 5 3 3" xfId="3217" xr:uid="{00000000-0005-0000-0000-000018110000}"/>
    <cellStyle name="Normal 7 2 5 3 4" xfId="4504" xr:uid="{00000000-0005-0000-0000-000019110000}"/>
    <cellStyle name="Normal 7 2 5 4" xfId="1073" xr:uid="{00000000-0005-0000-0000-00001A110000}"/>
    <cellStyle name="Normal 7 2 5 4 2" xfId="2365" xr:uid="{00000000-0005-0000-0000-00001B110000}"/>
    <cellStyle name="Normal 7 2 5 4 3" xfId="3643" xr:uid="{00000000-0005-0000-0000-00001C110000}"/>
    <cellStyle name="Normal 7 2 5 4 4" xfId="4930" xr:uid="{00000000-0005-0000-0000-00001D110000}"/>
    <cellStyle name="Normal 7 2 5 5" xfId="1513" xr:uid="{00000000-0005-0000-0000-00001E110000}"/>
    <cellStyle name="Normal 7 2 5 6" xfId="2791" xr:uid="{00000000-0005-0000-0000-00001F110000}"/>
    <cellStyle name="Normal 7 2 5 7" xfId="4078" xr:uid="{00000000-0005-0000-0000-000020110000}"/>
    <cellStyle name="Normal 7 2 6" xfId="281" xr:uid="{00000000-0005-0000-0000-000021110000}"/>
    <cellStyle name="Normal 7 2 6 2" xfId="494" xr:uid="{00000000-0005-0000-0000-000022110000}"/>
    <cellStyle name="Normal 7 2 6 2 2" xfId="919" xr:uid="{00000000-0005-0000-0000-000023110000}"/>
    <cellStyle name="Normal 7 2 6 2 2 2" xfId="2211" xr:uid="{00000000-0005-0000-0000-000024110000}"/>
    <cellStyle name="Normal 7 2 6 2 2 3" xfId="3489" xr:uid="{00000000-0005-0000-0000-000025110000}"/>
    <cellStyle name="Normal 7 2 6 2 2 4" xfId="4776" xr:uid="{00000000-0005-0000-0000-000026110000}"/>
    <cellStyle name="Normal 7 2 6 2 3" xfId="1345" xr:uid="{00000000-0005-0000-0000-000027110000}"/>
    <cellStyle name="Normal 7 2 6 2 3 2" xfId="2637" xr:uid="{00000000-0005-0000-0000-000028110000}"/>
    <cellStyle name="Normal 7 2 6 2 3 3" xfId="3915" xr:uid="{00000000-0005-0000-0000-000029110000}"/>
    <cellStyle name="Normal 7 2 6 2 3 4" xfId="5202" xr:uid="{00000000-0005-0000-0000-00002A110000}"/>
    <cellStyle name="Normal 7 2 6 2 4" xfId="1785" xr:uid="{00000000-0005-0000-0000-00002B110000}"/>
    <cellStyle name="Normal 7 2 6 2 5" xfId="3063" xr:uid="{00000000-0005-0000-0000-00002C110000}"/>
    <cellStyle name="Normal 7 2 6 2 6" xfId="4350" xr:uid="{00000000-0005-0000-0000-00002D110000}"/>
    <cellStyle name="Normal 7 2 6 3" xfId="706" xr:uid="{00000000-0005-0000-0000-00002E110000}"/>
    <cellStyle name="Normal 7 2 6 3 2" xfId="1998" xr:uid="{00000000-0005-0000-0000-00002F110000}"/>
    <cellStyle name="Normal 7 2 6 3 3" xfId="3276" xr:uid="{00000000-0005-0000-0000-000030110000}"/>
    <cellStyle name="Normal 7 2 6 3 4" xfId="4563" xr:uid="{00000000-0005-0000-0000-000031110000}"/>
    <cellStyle name="Normal 7 2 6 4" xfId="1132" xr:uid="{00000000-0005-0000-0000-000032110000}"/>
    <cellStyle name="Normal 7 2 6 4 2" xfId="2424" xr:uid="{00000000-0005-0000-0000-000033110000}"/>
    <cellStyle name="Normal 7 2 6 4 3" xfId="3702" xr:uid="{00000000-0005-0000-0000-000034110000}"/>
    <cellStyle name="Normal 7 2 6 4 4" xfId="4989" xr:uid="{00000000-0005-0000-0000-000035110000}"/>
    <cellStyle name="Normal 7 2 6 5" xfId="1572" xr:uid="{00000000-0005-0000-0000-000036110000}"/>
    <cellStyle name="Normal 7 2 6 6" xfId="2850" xr:uid="{00000000-0005-0000-0000-000037110000}"/>
    <cellStyle name="Normal 7 2 6 7" xfId="4137" xr:uid="{00000000-0005-0000-0000-000038110000}"/>
    <cellStyle name="Normal 7 2 7" xfId="429" xr:uid="{00000000-0005-0000-0000-000039110000}"/>
    <cellStyle name="Normal 7 2 7 2" xfId="855" xr:uid="{00000000-0005-0000-0000-00003A110000}"/>
    <cellStyle name="Normal 7 2 7 2 2" xfId="2147" xr:uid="{00000000-0005-0000-0000-00003B110000}"/>
    <cellStyle name="Normal 7 2 7 2 3" xfId="3425" xr:uid="{00000000-0005-0000-0000-00003C110000}"/>
    <cellStyle name="Normal 7 2 7 2 4" xfId="4712" xr:uid="{00000000-0005-0000-0000-00003D110000}"/>
    <cellStyle name="Normal 7 2 7 3" xfId="1281" xr:uid="{00000000-0005-0000-0000-00003E110000}"/>
    <cellStyle name="Normal 7 2 7 3 2" xfId="2573" xr:uid="{00000000-0005-0000-0000-00003F110000}"/>
    <cellStyle name="Normal 7 2 7 3 3" xfId="3851" xr:uid="{00000000-0005-0000-0000-000040110000}"/>
    <cellStyle name="Normal 7 2 7 3 4" xfId="5138" xr:uid="{00000000-0005-0000-0000-000041110000}"/>
    <cellStyle name="Normal 7 2 7 4" xfId="1721" xr:uid="{00000000-0005-0000-0000-000042110000}"/>
    <cellStyle name="Normal 7 2 7 5" xfId="2999" xr:uid="{00000000-0005-0000-0000-000043110000}"/>
    <cellStyle name="Normal 7 2 7 6" xfId="4286" xr:uid="{00000000-0005-0000-0000-000044110000}"/>
    <cellStyle name="Normal 7 2 8" xfId="642" xr:uid="{00000000-0005-0000-0000-000045110000}"/>
    <cellStyle name="Normal 7 2 8 2" xfId="1934" xr:uid="{00000000-0005-0000-0000-000046110000}"/>
    <cellStyle name="Normal 7 2 8 3" xfId="3212" xr:uid="{00000000-0005-0000-0000-000047110000}"/>
    <cellStyle name="Normal 7 2 8 4" xfId="4499" xr:uid="{00000000-0005-0000-0000-000048110000}"/>
    <cellStyle name="Normal 7 2 9" xfId="1068" xr:uid="{00000000-0005-0000-0000-000049110000}"/>
    <cellStyle name="Normal 7 2 9 2" xfId="2360" xr:uid="{00000000-0005-0000-0000-00004A110000}"/>
    <cellStyle name="Normal 7 2 9 3" xfId="3638" xr:uid="{00000000-0005-0000-0000-00004B110000}"/>
    <cellStyle name="Normal 7 2 9 4" xfId="4925" xr:uid="{00000000-0005-0000-0000-00004C110000}"/>
    <cellStyle name="Normal 7 3" xfId="215" xr:uid="{00000000-0005-0000-0000-00004D110000}"/>
    <cellStyle name="Normal 7 3 2" xfId="216" xr:uid="{00000000-0005-0000-0000-00004E110000}"/>
    <cellStyle name="Normal 7 3 2 2" xfId="436" xr:uid="{00000000-0005-0000-0000-00004F110000}"/>
    <cellStyle name="Normal 7 3 2 2 2" xfId="862" xr:uid="{00000000-0005-0000-0000-000050110000}"/>
    <cellStyle name="Normal 7 3 2 2 2 2" xfId="2154" xr:uid="{00000000-0005-0000-0000-000051110000}"/>
    <cellStyle name="Normal 7 3 2 2 2 3" xfId="3432" xr:uid="{00000000-0005-0000-0000-000052110000}"/>
    <cellStyle name="Normal 7 3 2 2 2 4" xfId="4719" xr:uid="{00000000-0005-0000-0000-000053110000}"/>
    <cellStyle name="Normal 7 3 2 2 3" xfId="1288" xr:uid="{00000000-0005-0000-0000-000054110000}"/>
    <cellStyle name="Normal 7 3 2 2 3 2" xfId="2580" xr:uid="{00000000-0005-0000-0000-000055110000}"/>
    <cellStyle name="Normal 7 3 2 2 3 3" xfId="3858" xr:uid="{00000000-0005-0000-0000-000056110000}"/>
    <cellStyle name="Normal 7 3 2 2 3 4" xfId="5145" xr:uid="{00000000-0005-0000-0000-000057110000}"/>
    <cellStyle name="Normal 7 3 2 2 4" xfId="1728" xr:uid="{00000000-0005-0000-0000-000058110000}"/>
    <cellStyle name="Normal 7 3 2 2 5" xfId="3006" xr:uid="{00000000-0005-0000-0000-000059110000}"/>
    <cellStyle name="Normal 7 3 2 2 6" xfId="4293" xr:uid="{00000000-0005-0000-0000-00005A110000}"/>
    <cellStyle name="Normal 7 3 2 3" xfId="649" xr:uid="{00000000-0005-0000-0000-00005B110000}"/>
    <cellStyle name="Normal 7 3 2 3 2" xfId="1941" xr:uid="{00000000-0005-0000-0000-00005C110000}"/>
    <cellStyle name="Normal 7 3 2 3 3" xfId="3219" xr:uid="{00000000-0005-0000-0000-00005D110000}"/>
    <cellStyle name="Normal 7 3 2 3 4" xfId="4506" xr:uid="{00000000-0005-0000-0000-00005E110000}"/>
    <cellStyle name="Normal 7 3 2 4" xfId="1075" xr:uid="{00000000-0005-0000-0000-00005F110000}"/>
    <cellStyle name="Normal 7 3 2 4 2" xfId="2367" xr:uid="{00000000-0005-0000-0000-000060110000}"/>
    <cellStyle name="Normal 7 3 2 4 3" xfId="3645" xr:uid="{00000000-0005-0000-0000-000061110000}"/>
    <cellStyle name="Normal 7 3 2 4 4" xfId="4932" xr:uid="{00000000-0005-0000-0000-000062110000}"/>
    <cellStyle name="Normal 7 3 2 5" xfId="1515" xr:uid="{00000000-0005-0000-0000-000063110000}"/>
    <cellStyle name="Normal 7 3 2 6" xfId="2793" xr:uid="{00000000-0005-0000-0000-000064110000}"/>
    <cellStyle name="Normal 7 3 2 7" xfId="4080" xr:uid="{00000000-0005-0000-0000-000065110000}"/>
    <cellStyle name="Normal 7 3 2 8" xfId="5310" xr:uid="{00000000-0005-0000-0000-000066110000}"/>
    <cellStyle name="Normal 7 3 3" xfId="435" xr:uid="{00000000-0005-0000-0000-000067110000}"/>
    <cellStyle name="Normal 7 3 3 2" xfId="861" xr:uid="{00000000-0005-0000-0000-000068110000}"/>
    <cellStyle name="Normal 7 3 3 2 2" xfId="2153" xr:uid="{00000000-0005-0000-0000-000069110000}"/>
    <cellStyle name="Normal 7 3 3 2 3" xfId="3431" xr:uid="{00000000-0005-0000-0000-00006A110000}"/>
    <cellStyle name="Normal 7 3 3 2 4" xfId="4718" xr:uid="{00000000-0005-0000-0000-00006B110000}"/>
    <cellStyle name="Normal 7 3 3 3" xfId="1287" xr:uid="{00000000-0005-0000-0000-00006C110000}"/>
    <cellStyle name="Normal 7 3 3 3 2" xfId="2579" xr:uid="{00000000-0005-0000-0000-00006D110000}"/>
    <cellStyle name="Normal 7 3 3 3 3" xfId="3857" xr:uid="{00000000-0005-0000-0000-00006E110000}"/>
    <cellStyle name="Normal 7 3 3 3 4" xfId="5144" xr:uid="{00000000-0005-0000-0000-00006F110000}"/>
    <cellStyle name="Normal 7 3 3 4" xfId="1727" xr:uid="{00000000-0005-0000-0000-000070110000}"/>
    <cellStyle name="Normal 7 3 3 5" xfId="3005" xr:uid="{00000000-0005-0000-0000-000071110000}"/>
    <cellStyle name="Normal 7 3 3 6" xfId="4292" xr:uid="{00000000-0005-0000-0000-000072110000}"/>
    <cellStyle name="Normal 7 3 4" xfId="648" xr:uid="{00000000-0005-0000-0000-000073110000}"/>
    <cellStyle name="Normal 7 3 4 2" xfId="1940" xr:uid="{00000000-0005-0000-0000-000074110000}"/>
    <cellStyle name="Normal 7 3 4 3" xfId="3218" xr:uid="{00000000-0005-0000-0000-000075110000}"/>
    <cellStyle name="Normal 7 3 4 4" xfId="4505" xr:uid="{00000000-0005-0000-0000-000076110000}"/>
    <cellStyle name="Normal 7 3 5" xfId="1074" xr:uid="{00000000-0005-0000-0000-000077110000}"/>
    <cellStyle name="Normal 7 3 5 2" xfId="2366" xr:uid="{00000000-0005-0000-0000-000078110000}"/>
    <cellStyle name="Normal 7 3 5 3" xfId="3644" xr:uid="{00000000-0005-0000-0000-000079110000}"/>
    <cellStyle name="Normal 7 3 5 4" xfId="4931" xr:uid="{00000000-0005-0000-0000-00007A110000}"/>
    <cellStyle name="Normal 7 3 6" xfId="1514" xr:uid="{00000000-0005-0000-0000-00007B110000}"/>
    <cellStyle name="Normal 7 3 7" xfId="2792" xr:uid="{00000000-0005-0000-0000-00007C110000}"/>
    <cellStyle name="Normal 7 3 8" xfId="4079" xr:uid="{00000000-0005-0000-0000-00007D110000}"/>
    <cellStyle name="Normal 7 3 9" xfId="5309" xr:uid="{00000000-0005-0000-0000-00007E110000}"/>
    <cellStyle name="Normal 7 4" xfId="217" xr:uid="{00000000-0005-0000-0000-00007F110000}"/>
    <cellStyle name="Normal 7 4 2" xfId="437" xr:uid="{00000000-0005-0000-0000-000080110000}"/>
    <cellStyle name="Normal 7 4 2 2" xfId="863" xr:uid="{00000000-0005-0000-0000-000081110000}"/>
    <cellStyle name="Normal 7 4 2 2 2" xfId="2155" xr:uid="{00000000-0005-0000-0000-000082110000}"/>
    <cellStyle name="Normal 7 4 2 2 3" xfId="3433" xr:uid="{00000000-0005-0000-0000-000083110000}"/>
    <cellStyle name="Normal 7 4 2 2 4" xfId="4720" xr:uid="{00000000-0005-0000-0000-000084110000}"/>
    <cellStyle name="Normal 7 4 2 3" xfId="1289" xr:uid="{00000000-0005-0000-0000-000085110000}"/>
    <cellStyle name="Normal 7 4 2 3 2" xfId="2581" xr:uid="{00000000-0005-0000-0000-000086110000}"/>
    <cellStyle name="Normal 7 4 2 3 3" xfId="3859" xr:uid="{00000000-0005-0000-0000-000087110000}"/>
    <cellStyle name="Normal 7 4 2 3 4" xfId="5146" xr:uid="{00000000-0005-0000-0000-000088110000}"/>
    <cellStyle name="Normal 7 4 2 4" xfId="1729" xr:uid="{00000000-0005-0000-0000-000089110000}"/>
    <cellStyle name="Normal 7 4 2 5" xfId="3007" xr:uid="{00000000-0005-0000-0000-00008A110000}"/>
    <cellStyle name="Normal 7 4 2 6" xfId="4294" xr:uid="{00000000-0005-0000-0000-00008B110000}"/>
    <cellStyle name="Normal 7 4 3" xfId="650" xr:uid="{00000000-0005-0000-0000-00008C110000}"/>
    <cellStyle name="Normal 7 4 3 2" xfId="1942" xr:uid="{00000000-0005-0000-0000-00008D110000}"/>
    <cellStyle name="Normal 7 4 3 3" xfId="3220" xr:uid="{00000000-0005-0000-0000-00008E110000}"/>
    <cellStyle name="Normal 7 4 3 4" xfId="4507" xr:uid="{00000000-0005-0000-0000-00008F110000}"/>
    <cellStyle name="Normal 7 4 4" xfId="1076" xr:uid="{00000000-0005-0000-0000-000090110000}"/>
    <cellStyle name="Normal 7 4 4 2" xfId="2368" xr:uid="{00000000-0005-0000-0000-000091110000}"/>
    <cellStyle name="Normal 7 4 4 3" xfId="3646" xr:uid="{00000000-0005-0000-0000-000092110000}"/>
    <cellStyle name="Normal 7 4 4 4" xfId="4933" xr:uid="{00000000-0005-0000-0000-000093110000}"/>
    <cellStyle name="Normal 7 4 5" xfId="1516" xr:uid="{00000000-0005-0000-0000-000094110000}"/>
    <cellStyle name="Normal 7 4 6" xfId="2794" xr:uid="{00000000-0005-0000-0000-000095110000}"/>
    <cellStyle name="Normal 7 4 7" xfId="4081" xr:uid="{00000000-0005-0000-0000-000096110000}"/>
    <cellStyle name="Normal 7 4 8" xfId="5311" xr:uid="{00000000-0005-0000-0000-000097110000}"/>
    <cellStyle name="Normal 7 5" xfId="218" xr:uid="{00000000-0005-0000-0000-000098110000}"/>
    <cellStyle name="Normal 7 5 2" xfId="438" xr:uid="{00000000-0005-0000-0000-000099110000}"/>
    <cellStyle name="Normal 7 5 2 2" xfId="864" xr:uid="{00000000-0005-0000-0000-00009A110000}"/>
    <cellStyle name="Normal 7 5 2 2 2" xfId="2156" xr:uid="{00000000-0005-0000-0000-00009B110000}"/>
    <cellStyle name="Normal 7 5 2 2 3" xfId="3434" xr:uid="{00000000-0005-0000-0000-00009C110000}"/>
    <cellStyle name="Normal 7 5 2 2 4" xfId="4721" xr:uid="{00000000-0005-0000-0000-00009D110000}"/>
    <cellStyle name="Normal 7 5 2 3" xfId="1290" xr:uid="{00000000-0005-0000-0000-00009E110000}"/>
    <cellStyle name="Normal 7 5 2 3 2" xfId="2582" xr:uid="{00000000-0005-0000-0000-00009F110000}"/>
    <cellStyle name="Normal 7 5 2 3 3" xfId="3860" xr:uid="{00000000-0005-0000-0000-0000A0110000}"/>
    <cellStyle name="Normal 7 5 2 3 4" xfId="5147" xr:uid="{00000000-0005-0000-0000-0000A1110000}"/>
    <cellStyle name="Normal 7 5 2 4" xfId="1730" xr:uid="{00000000-0005-0000-0000-0000A2110000}"/>
    <cellStyle name="Normal 7 5 2 5" xfId="3008" xr:uid="{00000000-0005-0000-0000-0000A3110000}"/>
    <cellStyle name="Normal 7 5 2 6" xfId="4295" xr:uid="{00000000-0005-0000-0000-0000A4110000}"/>
    <cellStyle name="Normal 7 5 3" xfId="651" xr:uid="{00000000-0005-0000-0000-0000A5110000}"/>
    <cellStyle name="Normal 7 5 3 2" xfId="1943" xr:uid="{00000000-0005-0000-0000-0000A6110000}"/>
    <cellStyle name="Normal 7 5 3 3" xfId="3221" xr:uid="{00000000-0005-0000-0000-0000A7110000}"/>
    <cellStyle name="Normal 7 5 3 4" xfId="4508" xr:uid="{00000000-0005-0000-0000-0000A8110000}"/>
    <cellStyle name="Normal 7 5 4" xfId="1077" xr:uid="{00000000-0005-0000-0000-0000A9110000}"/>
    <cellStyle name="Normal 7 5 4 2" xfId="2369" xr:uid="{00000000-0005-0000-0000-0000AA110000}"/>
    <cellStyle name="Normal 7 5 4 3" xfId="3647" xr:uid="{00000000-0005-0000-0000-0000AB110000}"/>
    <cellStyle name="Normal 7 5 4 4" xfId="4934" xr:uid="{00000000-0005-0000-0000-0000AC110000}"/>
    <cellStyle name="Normal 7 5 5" xfId="1517" xr:uid="{00000000-0005-0000-0000-0000AD110000}"/>
    <cellStyle name="Normal 7 5 6" xfId="2795" xr:uid="{00000000-0005-0000-0000-0000AE110000}"/>
    <cellStyle name="Normal 7 5 7" xfId="4082" xr:uid="{00000000-0005-0000-0000-0000AF110000}"/>
    <cellStyle name="Normal 7 6" xfId="219" xr:uid="{00000000-0005-0000-0000-0000B0110000}"/>
    <cellStyle name="Normal 7 6 2" xfId="439" xr:uid="{00000000-0005-0000-0000-0000B1110000}"/>
    <cellStyle name="Normal 7 6 2 2" xfId="865" xr:uid="{00000000-0005-0000-0000-0000B2110000}"/>
    <cellStyle name="Normal 7 6 2 2 2" xfId="2157" xr:uid="{00000000-0005-0000-0000-0000B3110000}"/>
    <cellStyle name="Normal 7 6 2 2 3" xfId="3435" xr:uid="{00000000-0005-0000-0000-0000B4110000}"/>
    <cellStyle name="Normal 7 6 2 2 4" xfId="4722" xr:uid="{00000000-0005-0000-0000-0000B5110000}"/>
    <cellStyle name="Normal 7 6 2 3" xfId="1291" xr:uid="{00000000-0005-0000-0000-0000B6110000}"/>
    <cellStyle name="Normal 7 6 2 3 2" xfId="2583" xr:uid="{00000000-0005-0000-0000-0000B7110000}"/>
    <cellStyle name="Normal 7 6 2 3 3" xfId="3861" xr:uid="{00000000-0005-0000-0000-0000B8110000}"/>
    <cellStyle name="Normal 7 6 2 3 4" xfId="5148" xr:uid="{00000000-0005-0000-0000-0000B9110000}"/>
    <cellStyle name="Normal 7 6 2 4" xfId="1731" xr:uid="{00000000-0005-0000-0000-0000BA110000}"/>
    <cellStyle name="Normal 7 6 2 5" xfId="3009" xr:uid="{00000000-0005-0000-0000-0000BB110000}"/>
    <cellStyle name="Normal 7 6 2 6" xfId="4296" xr:uid="{00000000-0005-0000-0000-0000BC110000}"/>
    <cellStyle name="Normal 7 6 3" xfId="652" xr:uid="{00000000-0005-0000-0000-0000BD110000}"/>
    <cellStyle name="Normal 7 6 3 2" xfId="1944" xr:uid="{00000000-0005-0000-0000-0000BE110000}"/>
    <cellStyle name="Normal 7 6 3 3" xfId="3222" xr:uid="{00000000-0005-0000-0000-0000BF110000}"/>
    <cellStyle name="Normal 7 6 3 4" xfId="4509" xr:uid="{00000000-0005-0000-0000-0000C0110000}"/>
    <cellStyle name="Normal 7 6 4" xfId="1078" xr:uid="{00000000-0005-0000-0000-0000C1110000}"/>
    <cellStyle name="Normal 7 6 4 2" xfId="2370" xr:uid="{00000000-0005-0000-0000-0000C2110000}"/>
    <cellStyle name="Normal 7 6 4 3" xfId="3648" xr:uid="{00000000-0005-0000-0000-0000C3110000}"/>
    <cellStyle name="Normal 7 6 4 4" xfId="4935" xr:uid="{00000000-0005-0000-0000-0000C4110000}"/>
    <cellStyle name="Normal 7 6 5" xfId="1518" xr:uid="{00000000-0005-0000-0000-0000C5110000}"/>
    <cellStyle name="Normal 7 6 6" xfId="2796" xr:uid="{00000000-0005-0000-0000-0000C6110000}"/>
    <cellStyle name="Normal 7 6 7" xfId="4083" xr:uid="{00000000-0005-0000-0000-0000C7110000}"/>
    <cellStyle name="Normal 7 7" xfId="220" xr:uid="{00000000-0005-0000-0000-0000C8110000}"/>
    <cellStyle name="Normal 7 7 2" xfId="440" xr:uid="{00000000-0005-0000-0000-0000C9110000}"/>
    <cellStyle name="Normal 7 7 2 2" xfId="866" xr:uid="{00000000-0005-0000-0000-0000CA110000}"/>
    <cellStyle name="Normal 7 7 2 2 2" xfId="2158" xr:uid="{00000000-0005-0000-0000-0000CB110000}"/>
    <cellStyle name="Normal 7 7 2 2 3" xfId="3436" xr:uid="{00000000-0005-0000-0000-0000CC110000}"/>
    <cellStyle name="Normal 7 7 2 2 4" xfId="4723" xr:uid="{00000000-0005-0000-0000-0000CD110000}"/>
    <cellStyle name="Normal 7 7 2 3" xfId="1292" xr:uid="{00000000-0005-0000-0000-0000CE110000}"/>
    <cellStyle name="Normal 7 7 2 3 2" xfId="2584" xr:uid="{00000000-0005-0000-0000-0000CF110000}"/>
    <cellStyle name="Normal 7 7 2 3 3" xfId="3862" xr:uid="{00000000-0005-0000-0000-0000D0110000}"/>
    <cellStyle name="Normal 7 7 2 3 4" xfId="5149" xr:uid="{00000000-0005-0000-0000-0000D1110000}"/>
    <cellStyle name="Normal 7 7 2 4" xfId="1732" xr:uid="{00000000-0005-0000-0000-0000D2110000}"/>
    <cellStyle name="Normal 7 7 2 5" xfId="3010" xr:uid="{00000000-0005-0000-0000-0000D3110000}"/>
    <cellStyle name="Normal 7 7 2 6" xfId="4297" xr:uid="{00000000-0005-0000-0000-0000D4110000}"/>
    <cellStyle name="Normal 7 7 3" xfId="653" xr:uid="{00000000-0005-0000-0000-0000D5110000}"/>
    <cellStyle name="Normal 7 7 3 2" xfId="1945" xr:uid="{00000000-0005-0000-0000-0000D6110000}"/>
    <cellStyle name="Normal 7 7 3 3" xfId="3223" xr:uid="{00000000-0005-0000-0000-0000D7110000}"/>
    <cellStyle name="Normal 7 7 3 4" xfId="4510" xr:uid="{00000000-0005-0000-0000-0000D8110000}"/>
    <cellStyle name="Normal 7 7 4" xfId="1079" xr:uid="{00000000-0005-0000-0000-0000D9110000}"/>
    <cellStyle name="Normal 7 7 4 2" xfId="2371" xr:uid="{00000000-0005-0000-0000-0000DA110000}"/>
    <cellStyle name="Normal 7 7 4 3" xfId="3649" xr:uid="{00000000-0005-0000-0000-0000DB110000}"/>
    <cellStyle name="Normal 7 7 4 4" xfId="4936" xr:uid="{00000000-0005-0000-0000-0000DC110000}"/>
    <cellStyle name="Normal 7 7 5" xfId="1519" xr:uid="{00000000-0005-0000-0000-0000DD110000}"/>
    <cellStyle name="Normal 7 7 6" xfId="2797" xr:uid="{00000000-0005-0000-0000-0000DE110000}"/>
    <cellStyle name="Normal 7 7 7" xfId="4084" xr:uid="{00000000-0005-0000-0000-0000DF110000}"/>
    <cellStyle name="Normal 7 8" xfId="221" xr:uid="{00000000-0005-0000-0000-0000E0110000}"/>
    <cellStyle name="Normal 7 8 2" xfId="441" xr:uid="{00000000-0005-0000-0000-0000E1110000}"/>
    <cellStyle name="Normal 7 8 2 2" xfId="867" xr:uid="{00000000-0005-0000-0000-0000E2110000}"/>
    <cellStyle name="Normal 7 8 2 2 2" xfId="2159" xr:uid="{00000000-0005-0000-0000-0000E3110000}"/>
    <cellStyle name="Normal 7 8 2 2 3" xfId="3437" xr:uid="{00000000-0005-0000-0000-0000E4110000}"/>
    <cellStyle name="Normal 7 8 2 2 4" xfId="4724" xr:uid="{00000000-0005-0000-0000-0000E5110000}"/>
    <cellStyle name="Normal 7 8 2 3" xfId="1293" xr:uid="{00000000-0005-0000-0000-0000E6110000}"/>
    <cellStyle name="Normal 7 8 2 3 2" xfId="2585" xr:uid="{00000000-0005-0000-0000-0000E7110000}"/>
    <cellStyle name="Normal 7 8 2 3 3" xfId="3863" xr:uid="{00000000-0005-0000-0000-0000E8110000}"/>
    <cellStyle name="Normal 7 8 2 3 4" xfId="5150" xr:uid="{00000000-0005-0000-0000-0000E9110000}"/>
    <cellStyle name="Normal 7 8 2 4" xfId="1733" xr:uid="{00000000-0005-0000-0000-0000EA110000}"/>
    <cellStyle name="Normal 7 8 2 5" xfId="3011" xr:uid="{00000000-0005-0000-0000-0000EB110000}"/>
    <cellStyle name="Normal 7 8 2 6" xfId="4298" xr:uid="{00000000-0005-0000-0000-0000EC110000}"/>
    <cellStyle name="Normal 7 8 3" xfId="654" xr:uid="{00000000-0005-0000-0000-0000ED110000}"/>
    <cellStyle name="Normal 7 8 3 2" xfId="1946" xr:uid="{00000000-0005-0000-0000-0000EE110000}"/>
    <cellStyle name="Normal 7 8 3 3" xfId="3224" xr:uid="{00000000-0005-0000-0000-0000EF110000}"/>
    <cellStyle name="Normal 7 8 3 4" xfId="4511" xr:uid="{00000000-0005-0000-0000-0000F0110000}"/>
    <cellStyle name="Normal 7 8 4" xfId="1080" xr:uid="{00000000-0005-0000-0000-0000F1110000}"/>
    <cellStyle name="Normal 7 8 4 2" xfId="2372" xr:uid="{00000000-0005-0000-0000-0000F2110000}"/>
    <cellStyle name="Normal 7 8 4 3" xfId="3650" xr:uid="{00000000-0005-0000-0000-0000F3110000}"/>
    <cellStyle name="Normal 7 8 4 4" xfId="4937" xr:uid="{00000000-0005-0000-0000-0000F4110000}"/>
    <cellStyle name="Normal 7 8 5" xfId="1520" xr:uid="{00000000-0005-0000-0000-0000F5110000}"/>
    <cellStyle name="Normal 7 8 6" xfId="2798" xr:uid="{00000000-0005-0000-0000-0000F6110000}"/>
    <cellStyle name="Normal 7 8 7" xfId="4085" xr:uid="{00000000-0005-0000-0000-0000F7110000}"/>
    <cellStyle name="Normal 7 9" xfId="266" xr:uid="{00000000-0005-0000-0000-0000F8110000}"/>
    <cellStyle name="Normal 7 9 2" xfId="479" xr:uid="{00000000-0005-0000-0000-0000F9110000}"/>
    <cellStyle name="Normal 7 9 2 2" xfId="904" xr:uid="{00000000-0005-0000-0000-0000FA110000}"/>
    <cellStyle name="Normal 7 9 2 2 2" xfId="2196" xr:uid="{00000000-0005-0000-0000-0000FB110000}"/>
    <cellStyle name="Normal 7 9 2 2 3" xfId="3474" xr:uid="{00000000-0005-0000-0000-0000FC110000}"/>
    <cellStyle name="Normal 7 9 2 2 4" xfId="4761" xr:uid="{00000000-0005-0000-0000-0000FD110000}"/>
    <cellStyle name="Normal 7 9 2 3" xfId="1330" xr:uid="{00000000-0005-0000-0000-0000FE110000}"/>
    <cellStyle name="Normal 7 9 2 3 2" xfId="2622" xr:uid="{00000000-0005-0000-0000-0000FF110000}"/>
    <cellStyle name="Normal 7 9 2 3 3" xfId="3900" xr:uid="{00000000-0005-0000-0000-000000120000}"/>
    <cellStyle name="Normal 7 9 2 3 4" xfId="5187" xr:uid="{00000000-0005-0000-0000-000001120000}"/>
    <cellStyle name="Normal 7 9 2 4" xfId="1770" xr:uid="{00000000-0005-0000-0000-000002120000}"/>
    <cellStyle name="Normal 7 9 2 5" xfId="3048" xr:uid="{00000000-0005-0000-0000-000003120000}"/>
    <cellStyle name="Normal 7 9 2 6" xfId="4335" xr:uid="{00000000-0005-0000-0000-000004120000}"/>
    <cellStyle name="Normal 7 9 3" xfId="691" xr:uid="{00000000-0005-0000-0000-000005120000}"/>
    <cellStyle name="Normal 7 9 3 2" xfId="1983" xr:uid="{00000000-0005-0000-0000-000006120000}"/>
    <cellStyle name="Normal 7 9 3 3" xfId="3261" xr:uid="{00000000-0005-0000-0000-000007120000}"/>
    <cellStyle name="Normal 7 9 3 4" xfId="4548" xr:uid="{00000000-0005-0000-0000-000008120000}"/>
    <cellStyle name="Normal 7 9 4" xfId="1117" xr:uid="{00000000-0005-0000-0000-000009120000}"/>
    <cellStyle name="Normal 7 9 4 2" xfId="2409" xr:uid="{00000000-0005-0000-0000-00000A120000}"/>
    <cellStyle name="Normal 7 9 4 3" xfId="3687" xr:uid="{00000000-0005-0000-0000-00000B120000}"/>
    <cellStyle name="Normal 7 9 4 4" xfId="4974" xr:uid="{00000000-0005-0000-0000-00000C120000}"/>
    <cellStyle name="Normal 7 9 5" xfId="1557" xr:uid="{00000000-0005-0000-0000-00000D120000}"/>
    <cellStyle name="Normal 7 9 6" xfId="2835" xr:uid="{00000000-0005-0000-0000-00000E120000}"/>
    <cellStyle name="Normal 7 9 7" xfId="4122" xr:uid="{00000000-0005-0000-0000-00000F120000}"/>
    <cellStyle name="Normal 8" xfId="222" xr:uid="{00000000-0005-0000-0000-000010120000}"/>
    <cellStyle name="Normal 8 2" xfId="247" xr:uid="{00000000-0005-0000-0000-000011120000}"/>
    <cellStyle name="Normal 8 2 2" xfId="442" xr:uid="{00000000-0005-0000-0000-000012120000}"/>
    <cellStyle name="Normal 8 3" xfId="5312" xr:uid="{00000000-0005-0000-0000-000013120000}"/>
    <cellStyle name="Normal 9" xfId="253" xr:uid="{00000000-0005-0000-0000-000014120000}"/>
    <cellStyle name="Normal 9 2" xfId="1361" xr:uid="{00000000-0005-0000-0000-000015120000}"/>
    <cellStyle name="Normal_A" xfId="5335" xr:uid="{00000000-0005-0000-0000-000016120000}"/>
    <cellStyle name="Normal_Indirects_1" xfId="41" xr:uid="{00000000-0005-0000-0000-000018120000}"/>
    <cellStyle name="Normal_Sheet1" xfId="80" xr:uid="{00000000-0005-0000-0000-000019120000}"/>
    <cellStyle name="Note" xfId="8" builtinId="10"/>
    <cellStyle name="Note 2" xfId="36" xr:uid="{00000000-0005-0000-0000-00001C120000}"/>
    <cellStyle name="Note 2 10" xfId="1081" xr:uid="{00000000-0005-0000-0000-00001D120000}"/>
    <cellStyle name="Note 2 10 2" xfId="2373" xr:uid="{00000000-0005-0000-0000-00001E120000}"/>
    <cellStyle name="Note 2 10 3" xfId="3651" xr:uid="{00000000-0005-0000-0000-00001F120000}"/>
    <cellStyle name="Note 2 10 4" xfId="4938" xr:uid="{00000000-0005-0000-0000-000020120000}"/>
    <cellStyle name="Note 2 11" xfId="1521" xr:uid="{00000000-0005-0000-0000-000021120000}"/>
    <cellStyle name="Note 2 12" xfId="2799" xr:uid="{00000000-0005-0000-0000-000022120000}"/>
    <cellStyle name="Note 2 13" xfId="4086" xr:uid="{00000000-0005-0000-0000-000023120000}"/>
    <cellStyle name="Note 2 14" xfId="5313" xr:uid="{00000000-0005-0000-0000-000024120000}"/>
    <cellStyle name="Note 2 2" xfId="37" xr:uid="{00000000-0005-0000-0000-000025120000}"/>
    <cellStyle name="Note 2 2 10" xfId="1522" xr:uid="{00000000-0005-0000-0000-000026120000}"/>
    <cellStyle name="Note 2 2 11" xfId="2800" xr:uid="{00000000-0005-0000-0000-000027120000}"/>
    <cellStyle name="Note 2 2 12" xfId="4087" xr:uid="{00000000-0005-0000-0000-000028120000}"/>
    <cellStyle name="Note 2 2 13" xfId="5314" xr:uid="{00000000-0005-0000-0000-000029120000}"/>
    <cellStyle name="Note 2 2 2" xfId="223" xr:uid="{00000000-0005-0000-0000-00002A120000}"/>
    <cellStyle name="Note 2 2 2 2" xfId="224" xr:uid="{00000000-0005-0000-0000-00002B120000}"/>
    <cellStyle name="Note 2 2 2 2 2" xfId="446" xr:uid="{00000000-0005-0000-0000-00002C120000}"/>
    <cellStyle name="Note 2 2 2 2 2 2" xfId="871" xr:uid="{00000000-0005-0000-0000-00002D120000}"/>
    <cellStyle name="Note 2 2 2 2 2 2 2" xfId="2163" xr:uid="{00000000-0005-0000-0000-00002E120000}"/>
    <cellStyle name="Note 2 2 2 2 2 2 3" xfId="3441" xr:uid="{00000000-0005-0000-0000-00002F120000}"/>
    <cellStyle name="Note 2 2 2 2 2 2 4" xfId="4728" xr:uid="{00000000-0005-0000-0000-000030120000}"/>
    <cellStyle name="Note 2 2 2 2 2 3" xfId="1297" xr:uid="{00000000-0005-0000-0000-000031120000}"/>
    <cellStyle name="Note 2 2 2 2 2 3 2" xfId="2589" xr:uid="{00000000-0005-0000-0000-000032120000}"/>
    <cellStyle name="Note 2 2 2 2 2 3 3" xfId="3867" xr:uid="{00000000-0005-0000-0000-000033120000}"/>
    <cellStyle name="Note 2 2 2 2 2 3 4" xfId="5154" xr:uid="{00000000-0005-0000-0000-000034120000}"/>
    <cellStyle name="Note 2 2 2 2 2 4" xfId="1737" xr:uid="{00000000-0005-0000-0000-000035120000}"/>
    <cellStyle name="Note 2 2 2 2 2 5" xfId="3015" xr:uid="{00000000-0005-0000-0000-000036120000}"/>
    <cellStyle name="Note 2 2 2 2 2 6" xfId="4302" xr:uid="{00000000-0005-0000-0000-000037120000}"/>
    <cellStyle name="Note 2 2 2 2 3" xfId="658" xr:uid="{00000000-0005-0000-0000-000038120000}"/>
    <cellStyle name="Note 2 2 2 2 3 2" xfId="1950" xr:uid="{00000000-0005-0000-0000-000039120000}"/>
    <cellStyle name="Note 2 2 2 2 3 3" xfId="3228" xr:uid="{00000000-0005-0000-0000-00003A120000}"/>
    <cellStyle name="Note 2 2 2 2 3 4" xfId="4515" xr:uid="{00000000-0005-0000-0000-00003B120000}"/>
    <cellStyle name="Note 2 2 2 2 4" xfId="1084" xr:uid="{00000000-0005-0000-0000-00003C120000}"/>
    <cellStyle name="Note 2 2 2 2 4 2" xfId="2376" xr:uid="{00000000-0005-0000-0000-00003D120000}"/>
    <cellStyle name="Note 2 2 2 2 4 3" xfId="3654" xr:uid="{00000000-0005-0000-0000-00003E120000}"/>
    <cellStyle name="Note 2 2 2 2 4 4" xfId="4941" xr:uid="{00000000-0005-0000-0000-00003F120000}"/>
    <cellStyle name="Note 2 2 2 2 5" xfId="1524" xr:uid="{00000000-0005-0000-0000-000040120000}"/>
    <cellStyle name="Note 2 2 2 2 6" xfId="2802" xr:uid="{00000000-0005-0000-0000-000041120000}"/>
    <cellStyle name="Note 2 2 2 2 7" xfId="4089" xr:uid="{00000000-0005-0000-0000-000042120000}"/>
    <cellStyle name="Note 2 2 2 2 8" xfId="5316" xr:uid="{00000000-0005-0000-0000-000043120000}"/>
    <cellStyle name="Note 2 2 2 3" xfId="445" xr:uid="{00000000-0005-0000-0000-000044120000}"/>
    <cellStyle name="Note 2 2 2 3 2" xfId="870" xr:uid="{00000000-0005-0000-0000-000045120000}"/>
    <cellStyle name="Note 2 2 2 3 2 2" xfId="2162" xr:uid="{00000000-0005-0000-0000-000046120000}"/>
    <cellStyle name="Note 2 2 2 3 2 3" xfId="3440" xr:uid="{00000000-0005-0000-0000-000047120000}"/>
    <cellStyle name="Note 2 2 2 3 2 4" xfId="4727" xr:uid="{00000000-0005-0000-0000-000048120000}"/>
    <cellStyle name="Note 2 2 2 3 3" xfId="1296" xr:uid="{00000000-0005-0000-0000-000049120000}"/>
    <cellStyle name="Note 2 2 2 3 3 2" xfId="2588" xr:uid="{00000000-0005-0000-0000-00004A120000}"/>
    <cellStyle name="Note 2 2 2 3 3 3" xfId="3866" xr:uid="{00000000-0005-0000-0000-00004B120000}"/>
    <cellStyle name="Note 2 2 2 3 3 4" xfId="5153" xr:uid="{00000000-0005-0000-0000-00004C120000}"/>
    <cellStyle name="Note 2 2 2 3 4" xfId="1736" xr:uid="{00000000-0005-0000-0000-00004D120000}"/>
    <cellStyle name="Note 2 2 2 3 5" xfId="3014" xr:uid="{00000000-0005-0000-0000-00004E120000}"/>
    <cellStyle name="Note 2 2 2 3 6" xfId="4301" xr:uid="{00000000-0005-0000-0000-00004F120000}"/>
    <cellStyle name="Note 2 2 2 4" xfId="657" xr:uid="{00000000-0005-0000-0000-000050120000}"/>
    <cellStyle name="Note 2 2 2 4 2" xfId="1949" xr:uid="{00000000-0005-0000-0000-000051120000}"/>
    <cellStyle name="Note 2 2 2 4 3" xfId="3227" xr:uid="{00000000-0005-0000-0000-000052120000}"/>
    <cellStyle name="Note 2 2 2 4 4" xfId="4514" xr:uid="{00000000-0005-0000-0000-000053120000}"/>
    <cellStyle name="Note 2 2 2 5" xfId="1083" xr:uid="{00000000-0005-0000-0000-000054120000}"/>
    <cellStyle name="Note 2 2 2 5 2" xfId="2375" xr:uid="{00000000-0005-0000-0000-000055120000}"/>
    <cellStyle name="Note 2 2 2 5 3" xfId="3653" xr:uid="{00000000-0005-0000-0000-000056120000}"/>
    <cellStyle name="Note 2 2 2 5 4" xfId="4940" xr:uid="{00000000-0005-0000-0000-000057120000}"/>
    <cellStyle name="Note 2 2 2 6" xfId="1523" xr:uid="{00000000-0005-0000-0000-000058120000}"/>
    <cellStyle name="Note 2 2 2 7" xfId="2801" xr:uid="{00000000-0005-0000-0000-000059120000}"/>
    <cellStyle name="Note 2 2 2 8" xfId="4088" xr:uid="{00000000-0005-0000-0000-00005A120000}"/>
    <cellStyle name="Note 2 2 2 9" xfId="5315" xr:uid="{00000000-0005-0000-0000-00005B120000}"/>
    <cellStyle name="Note 2 2 3" xfId="225" xr:uid="{00000000-0005-0000-0000-00005C120000}"/>
    <cellStyle name="Note 2 2 3 2" xfId="447" xr:uid="{00000000-0005-0000-0000-00005D120000}"/>
    <cellStyle name="Note 2 2 3 2 2" xfId="872" xr:uid="{00000000-0005-0000-0000-00005E120000}"/>
    <cellStyle name="Note 2 2 3 2 2 2" xfId="2164" xr:uid="{00000000-0005-0000-0000-00005F120000}"/>
    <cellStyle name="Note 2 2 3 2 2 3" xfId="3442" xr:uid="{00000000-0005-0000-0000-000060120000}"/>
    <cellStyle name="Note 2 2 3 2 2 4" xfId="4729" xr:uid="{00000000-0005-0000-0000-000061120000}"/>
    <cellStyle name="Note 2 2 3 2 3" xfId="1298" xr:uid="{00000000-0005-0000-0000-000062120000}"/>
    <cellStyle name="Note 2 2 3 2 3 2" xfId="2590" xr:uid="{00000000-0005-0000-0000-000063120000}"/>
    <cellStyle name="Note 2 2 3 2 3 3" xfId="3868" xr:uid="{00000000-0005-0000-0000-000064120000}"/>
    <cellStyle name="Note 2 2 3 2 3 4" xfId="5155" xr:uid="{00000000-0005-0000-0000-000065120000}"/>
    <cellStyle name="Note 2 2 3 2 4" xfId="1738" xr:uid="{00000000-0005-0000-0000-000066120000}"/>
    <cellStyle name="Note 2 2 3 2 5" xfId="3016" xr:uid="{00000000-0005-0000-0000-000067120000}"/>
    <cellStyle name="Note 2 2 3 2 6" xfId="4303" xr:uid="{00000000-0005-0000-0000-000068120000}"/>
    <cellStyle name="Note 2 2 3 3" xfId="659" xr:uid="{00000000-0005-0000-0000-000069120000}"/>
    <cellStyle name="Note 2 2 3 3 2" xfId="1951" xr:uid="{00000000-0005-0000-0000-00006A120000}"/>
    <cellStyle name="Note 2 2 3 3 3" xfId="3229" xr:uid="{00000000-0005-0000-0000-00006B120000}"/>
    <cellStyle name="Note 2 2 3 3 4" xfId="4516" xr:uid="{00000000-0005-0000-0000-00006C120000}"/>
    <cellStyle name="Note 2 2 3 4" xfId="1085" xr:uid="{00000000-0005-0000-0000-00006D120000}"/>
    <cellStyle name="Note 2 2 3 4 2" xfId="2377" xr:uid="{00000000-0005-0000-0000-00006E120000}"/>
    <cellStyle name="Note 2 2 3 4 3" xfId="3655" xr:uid="{00000000-0005-0000-0000-00006F120000}"/>
    <cellStyle name="Note 2 2 3 4 4" xfId="4942" xr:uid="{00000000-0005-0000-0000-000070120000}"/>
    <cellStyle name="Note 2 2 3 5" xfId="1525" xr:uid="{00000000-0005-0000-0000-000071120000}"/>
    <cellStyle name="Note 2 2 3 6" xfId="2803" xr:uid="{00000000-0005-0000-0000-000072120000}"/>
    <cellStyle name="Note 2 2 3 7" xfId="4090" xr:uid="{00000000-0005-0000-0000-000073120000}"/>
    <cellStyle name="Note 2 2 3 8" xfId="5317" xr:uid="{00000000-0005-0000-0000-000074120000}"/>
    <cellStyle name="Note 2 2 4" xfId="226" xr:uid="{00000000-0005-0000-0000-000075120000}"/>
    <cellStyle name="Note 2 2 4 2" xfId="448" xr:uid="{00000000-0005-0000-0000-000076120000}"/>
    <cellStyle name="Note 2 2 4 2 2" xfId="873" xr:uid="{00000000-0005-0000-0000-000077120000}"/>
    <cellStyle name="Note 2 2 4 2 2 2" xfId="2165" xr:uid="{00000000-0005-0000-0000-000078120000}"/>
    <cellStyle name="Note 2 2 4 2 2 3" xfId="3443" xr:uid="{00000000-0005-0000-0000-000079120000}"/>
    <cellStyle name="Note 2 2 4 2 2 4" xfId="4730" xr:uid="{00000000-0005-0000-0000-00007A120000}"/>
    <cellStyle name="Note 2 2 4 2 3" xfId="1299" xr:uid="{00000000-0005-0000-0000-00007B120000}"/>
    <cellStyle name="Note 2 2 4 2 3 2" xfId="2591" xr:uid="{00000000-0005-0000-0000-00007C120000}"/>
    <cellStyle name="Note 2 2 4 2 3 3" xfId="3869" xr:uid="{00000000-0005-0000-0000-00007D120000}"/>
    <cellStyle name="Note 2 2 4 2 3 4" xfId="5156" xr:uid="{00000000-0005-0000-0000-00007E120000}"/>
    <cellStyle name="Note 2 2 4 2 4" xfId="1739" xr:uid="{00000000-0005-0000-0000-00007F120000}"/>
    <cellStyle name="Note 2 2 4 2 5" xfId="3017" xr:uid="{00000000-0005-0000-0000-000080120000}"/>
    <cellStyle name="Note 2 2 4 2 6" xfId="4304" xr:uid="{00000000-0005-0000-0000-000081120000}"/>
    <cellStyle name="Note 2 2 4 3" xfId="660" xr:uid="{00000000-0005-0000-0000-000082120000}"/>
    <cellStyle name="Note 2 2 4 3 2" xfId="1952" xr:uid="{00000000-0005-0000-0000-000083120000}"/>
    <cellStyle name="Note 2 2 4 3 3" xfId="3230" xr:uid="{00000000-0005-0000-0000-000084120000}"/>
    <cellStyle name="Note 2 2 4 3 4" xfId="4517" xr:uid="{00000000-0005-0000-0000-000085120000}"/>
    <cellStyle name="Note 2 2 4 4" xfId="1086" xr:uid="{00000000-0005-0000-0000-000086120000}"/>
    <cellStyle name="Note 2 2 4 4 2" xfId="2378" xr:uid="{00000000-0005-0000-0000-000087120000}"/>
    <cellStyle name="Note 2 2 4 4 3" xfId="3656" xr:uid="{00000000-0005-0000-0000-000088120000}"/>
    <cellStyle name="Note 2 2 4 4 4" xfId="4943" xr:uid="{00000000-0005-0000-0000-000089120000}"/>
    <cellStyle name="Note 2 2 4 5" xfId="1526" xr:uid="{00000000-0005-0000-0000-00008A120000}"/>
    <cellStyle name="Note 2 2 4 6" xfId="2804" xr:uid="{00000000-0005-0000-0000-00008B120000}"/>
    <cellStyle name="Note 2 2 4 7" xfId="4091" xr:uid="{00000000-0005-0000-0000-00008C120000}"/>
    <cellStyle name="Note 2 2 5" xfId="227" xr:uid="{00000000-0005-0000-0000-00008D120000}"/>
    <cellStyle name="Note 2 2 5 2" xfId="449" xr:uid="{00000000-0005-0000-0000-00008E120000}"/>
    <cellStyle name="Note 2 2 5 2 2" xfId="874" xr:uid="{00000000-0005-0000-0000-00008F120000}"/>
    <cellStyle name="Note 2 2 5 2 2 2" xfId="2166" xr:uid="{00000000-0005-0000-0000-000090120000}"/>
    <cellStyle name="Note 2 2 5 2 2 3" xfId="3444" xr:uid="{00000000-0005-0000-0000-000091120000}"/>
    <cellStyle name="Note 2 2 5 2 2 4" xfId="4731" xr:uid="{00000000-0005-0000-0000-000092120000}"/>
    <cellStyle name="Note 2 2 5 2 3" xfId="1300" xr:uid="{00000000-0005-0000-0000-000093120000}"/>
    <cellStyle name="Note 2 2 5 2 3 2" xfId="2592" xr:uid="{00000000-0005-0000-0000-000094120000}"/>
    <cellStyle name="Note 2 2 5 2 3 3" xfId="3870" xr:uid="{00000000-0005-0000-0000-000095120000}"/>
    <cellStyle name="Note 2 2 5 2 3 4" xfId="5157" xr:uid="{00000000-0005-0000-0000-000096120000}"/>
    <cellStyle name="Note 2 2 5 2 4" xfId="1740" xr:uid="{00000000-0005-0000-0000-000097120000}"/>
    <cellStyle name="Note 2 2 5 2 5" xfId="3018" xr:uid="{00000000-0005-0000-0000-000098120000}"/>
    <cellStyle name="Note 2 2 5 2 6" xfId="4305" xr:uid="{00000000-0005-0000-0000-000099120000}"/>
    <cellStyle name="Note 2 2 5 3" xfId="661" xr:uid="{00000000-0005-0000-0000-00009A120000}"/>
    <cellStyle name="Note 2 2 5 3 2" xfId="1953" xr:uid="{00000000-0005-0000-0000-00009B120000}"/>
    <cellStyle name="Note 2 2 5 3 3" xfId="3231" xr:uid="{00000000-0005-0000-0000-00009C120000}"/>
    <cellStyle name="Note 2 2 5 3 4" xfId="4518" xr:uid="{00000000-0005-0000-0000-00009D120000}"/>
    <cellStyle name="Note 2 2 5 4" xfId="1087" xr:uid="{00000000-0005-0000-0000-00009E120000}"/>
    <cellStyle name="Note 2 2 5 4 2" xfId="2379" xr:uid="{00000000-0005-0000-0000-00009F120000}"/>
    <cellStyle name="Note 2 2 5 4 3" xfId="3657" xr:uid="{00000000-0005-0000-0000-0000A0120000}"/>
    <cellStyle name="Note 2 2 5 4 4" xfId="4944" xr:uid="{00000000-0005-0000-0000-0000A1120000}"/>
    <cellStyle name="Note 2 2 5 5" xfId="1527" xr:uid="{00000000-0005-0000-0000-0000A2120000}"/>
    <cellStyle name="Note 2 2 5 6" xfId="2805" xr:uid="{00000000-0005-0000-0000-0000A3120000}"/>
    <cellStyle name="Note 2 2 5 7" xfId="4092" xr:uid="{00000000-0005-0000-0000-0000A4120000}"/>
    <cellStyle name="Note 2 2 6" xfId="282" xr:uid="{00000000-0005-0000-0000-0000A5120000}"/>
    <cellStyle name="Note 2 2 6 2" xfId="495" xr:uid="{00000000-0005-0000-0000-0000A6120000}"/>
    <cellStyle name="Note 2 2 6 2 2" xfId="920" xr:uid="{00000000-0005-0000-0000-0000A7120000}"/>
    <cellStyle name="Note 2 2 6 2 2 2" xfId="2212" xr:uid="{00000000-0005-0000-0000-0000A8120000}"/>
    <cellStyle name="Note 2 2 6 2 2 3" xfId="3490" xr:uid="{00000000-0005-0000-0000-0000A9120000}"/>
    <cellStyle name="Note 2 2 6 2 2 4" xfId="4777" xr:uid="{00000000-0005-0000-0000-0000AA120000}"/>
    <cellStyle name="Note 2 2 6 2 3" xfId="1346" xr:uid="{00000000-0005-0000-0000-0000AB120000}"/>
    <cellStyle name="Note 2 2 6 2 3 2" xfId="2638" xr:uid="{00000000-0005-0000-0000-0000AC120000}"/>
    <cellStyle name="Note 2 2 6 2 3 3" xfId="3916" xr:uid="{00000000-0005-0000-0000-0000AD120000}"/>
    <cellStyle name="Note 2 2 6 2 3 4" xfId="5203" xr:uid="{00000000-0005-0000-0000-0000AE120000}"/>
    <cellStyle name="Note 2 2 6 2 4" xfId="1786" xr:uid="{00000000-0005-0000-0000-0000AF120000}"/>
    <cellStyle name="Note 2 2 6 2 5" xfId="3064" xr:uid="{00000000-0005-0000-0000-0000B0120000}"/>
    <cellStyle name="Note 2 2 6 2 6" xfId="4351" xr:uid="{00000000-0005-0000-0000-0000B1120000}"/>
    <cellStyle name="Note 2 2 6 3" xfId="707" xr:uid="{00000000-0005-0000-0000-0000B2120000}"/>
    <cellStyle name="Note 2 2 6 3 2" xfId="1999" xr:uid="{00000000-0005-0000-0000-0000B3120000}"/>
    <cellStyle name="Note 2 2 6 3 3" xfId="3277" xr:uid="{00000000-0005-0000-0000-0000B4120000}"/>
    <cellStyle name="Note 2 2 6 3 4" xfId="4564" xr:uid="{00000000-0005-0000-0000-0000B5120000}"/>
    <cellStyle name="Note 2 2 6 4" xfId="1133" xr:uid="{00000000-0005-0000-0000-0000B6120000}"/>
    <cellStyle name="Note 2 2 6 4 2" xfId="2425" xr:uid="{00000000-0005-0000-0000-0000B7120000}"/>
    <cellStyle name="Note 2 2 6 4 3" xfId="3703" xr:uid="{00000000-0005-0000-0000-0000B8120000}"/>
    <cellStyle name="Note 2 2 6 4 4" xfId="4990" xr:uid="{00000000-0005-0000-0000-0000B9120000}"/>
    <cellStyle name="Note 2 2 6 5" xfId="1573" xr:uid="{00000000-0005-0000-0000-0000BA120000}"/>
    <cellStyle name="Note 2 2 6 6" xfId="2851" xr:uid="{00000000-0005-0000-0000-0000BB120000}"/>
    <cellStyle name="Note 2 2 6 7" xfId="4138" xr:uid="{00000000-0005-0000-0000-0000BC120000}"/>
    <cellStyle name="Note 2 2 7" xfId="444" xr:uid="{00000000-0005-0000-0000-0000BD120000}"/>
    <cellStyle name="Note 2 2 7 2" xfId="869" xr:uid="{00000000-0005-0000-0000-0000BE120000}"/>
    <cellStyle name="Note 2 2 7 2 2" xfId="2161" xr:uid="{00000000-0005-0000-0000-0000BF120000}"/>
    <cellStyle name="Note 2 2 7 2 3" xfId="3439" xr:uid="{00000000-0005-0000-0000-0000C0120000}"/>
    <cellStyle name="Note 2 2 7 2 4" xfId="4726" xr:uid="{00000000-0005-0000-0000-0000C1120000}"/>
    <cellStyle name="Note 2 2 7 3" xfId="1295" xr:uid="{00000000-0005-0000-0000-0000C2120000}"/>
    <cellStyle name="Note 2 2 7 3 2" xfId="2587" xr:uid="{00000000-0005-0000-0000-0000C3120000}"/>
    <cellStyle name="Note 2 2 7 3 3" xfId="3865" xr:uid="{00000000-0005-0000-0000-0000C4120000}"/>
    <cellStyle name="Note 2 2 7 3 4" xfId="5152" xr:uid="{00000000-0005-0000-0000-0000C5120000}"/>
    <cellStyle name="Note 2 2 7 4" xfId="1735" xr:uid="{00000000-0005-0000-0000-0000C6120000}"/>
    <cellStyle name="Note 2 2 7 5" xfId="3013" xr:uid="{00000000-0005-0000-0000-0000C7120000}"/>
    <cellStyle name="Note 2 2 7 6" xfId="4300" xr:uid="{00000000-0005-0000-0000-0000C8120000}"/>
    <cellStyle name="Note 2 2 8" xfId="656" xr:uid="{00000000-0005-0000-0000-0000C9120000}"/>
    <cellStyle name="Note 2 2 8 2" xfId="1948" xr:uid="{00000000-0005-0000-0000-0000CA120000}"/>
    <cellStyle name="Note 2 2 8 3" xfId="3226" xr:uid="{00000000-0005-0000-0000-0000CB120000}"/>
    <cellStyle name="Note 2 2 8 4" xfId="4513" xr:uid="{00000000-0005-0000-0000-0000CC120000}"/>
    <cellStyle name="Note 2 2 9" xfId="1082" xr:uid="{00000000-0005-0000-0000-0000CD120000}"/>
    <cellStyle name="Note 2 2 9 2" xfId="2374" xr:uid="{00000000-0005-0000-0000-0000CE120000}"/>
    <cellStyle name="Note 2 2 9 3" xfId="3652" xr:uid="{00000000-0005-0000-0000-0000CF120000}"/>
    <cellStyle name="Note 2 2 9 4" xfId="4939" xr:uid="{00000000-0005-0000-0000-0000D0120000}"/>
    <cellStyle name="Note 2 3" xfId="228" xr:uid="{00000000-0005-0000-0000-0000D1120000}"/>
    <cellStyle name="Note 2 3 2" xfId="229" xr:uid="{00000000-0005-0000-0000-0000D2120000}"/>
    <cellStyle name="Note 2 3 2 2" xfId="451" xr:uid="{00000000-0005-0000-0000-0000D3120000}"/>
    <cellStyle name="Note 2 3 2 2 2" xfId="876" xr:uid="{00000000-0005-0000-0000-0000D4120000}"/>
    <cellStyle name="Note 2 3 2 2 2 2" xfId="2168" xr:uid="{00000000-0005-0000-0000-0000D5120000}"/>
    <cellStyle name="Note 2 3 2 2 2 3" xfId="3446" xr:uid="{00000000-0005-0000-0000-0000D6120000}"/>
    <cellStyle name="Note 2 3 2 2 2 4" xfId="4733" xr:uid="{00000000-0005-0000-0000-0000D7120000}"/>
    <cellStyle name="Note 2 3 2 2 3" xfId="1302" xr:uid="{00000000-0005-0000-0000-0000D8120000}"/>
    <cellStyle name="Note 2 3 2 2 3 2" xfId="2594" xr:uid="{00000000-0005-0000-0000-0000D9120000}"/>
    <cellStyle name="Note 2 3 2 2 3 3" xfId="3872" xr:uid="{00000000-0005-0000-0000-0000DA120000}"/>
    <cellStyle name="Note 2 3 2 2 3 4" xfId="5159" xr:uid="{00000000-0005-0000-0000-0000DB120000}"/>
    <cellStyle name="Note 2 3 2 2 4" xfId="1742" xr:uid="{00000000-0005-0000-0000-0000DC120000}"/>
    <cellStyle name="Note 2 3 2 2 5" xfId="3020" xr:uid="{00000000-0005-0000-0000-0000DD120000}"/>
    <cellStyle name="Note 2 3 2 2 6" xfId="4307" xr:uid="{00000000-0005-0000-0000-0000DE120000}"/>
    <cellStyle name="Note 2 3 2 3" xfId="663" xr:uid="{00000000-0005-0000-0000-0000DF120000}"/>
    <cellStyle name="Note 2 3 2 3 2" xfId="1955" xr:uid="{00000000-0005-0000-0000-0000E0120000}"/>
    <cellStyle name="Note 2 3 2 3 3" xfId="3233" xr:uid="{00000000-0005-0000-0000-0000E1120000}"/>
    <cellStyle name="Note 2 3 2 3 4" xfId="4520" xr:uid="{00000000-0005-0000-0000-0000E2120000}"/>
    <cellStyle name="Note 2 3 2 4" xfId="1089" xr:uid="{00000000-0005-0000-0000-0000E3120000}"/>
    <cellStyle name="Note 2 3 2 4 2" xfId="2381" xr:uid="{00000000-0005-0000-0000-0000E4120000}"/>
    <cellStyle name="Note 2 3 2 4 3" xfId="3659" xr:uid="{00000000-0005-0000-0000-0000E5120000}"/>
    <cellStyle name="Note 2 3 2 4 4" xfId="4946" xr:uid="{00000000-0005-0000-0000-0000E6120000}"/>
    <cellStyle name="Note 2 3 2 5" xfId="1529" xr:uid="{00000000-0005-0000-0000-0000E7120000}"/>
    <cellStyle name="Note 2 3 2 6" xfId="2807" xr:uid="{00000000-0005-0000-0000-0000E8120000}"/>
    <cellStyle name="Note 2 3 2 7" xfId="4094" xr:uid="{00000000-0005-0000-0000-0000E9120000}"/>
    <cellStyle name="Note 2 3 2 8" xfId="5319" xr:uid="{00000000-0005-0000-0000-0000EA120000}"/>
    <cellStyle name="Note 2 3 3" xfId="450" xr:uid="{00000000-0005-0000-0000-0000EB120000}"/>
    <cellStyle name="Note 2 3 3 2" xfId="875" xr:uid="{00000000-0005-0000-0000-0000EC120000}"/>
    <cellStyle name="Note 2 3 3 2 2" xfId="2167" xr:uid="{00000000-0005-0000-0000-0000ED120000}"/>
    <cellStyle name="Note 2 3 3 2 3" xfId="3445" xr:uid="{00000000-0005-0000-0000-0000EE120000}"/>
    <cellStyle name="Note 2 3 3 2 4" xfId="4732" xr:uid="{00000000-0005-0000-0000-0000EF120000}"/>
    <cellStyle name="Note 2 3 3 3" xfId="1301" xr:uid="{00000000-0005-0000-0000-0000F0120000}"/>
    <cellStyle name="Note 2 3 3 3 2" xfId="2593" xr:uid="{00000000-0005-0000-0000-0000F1120000}"/>
    <cellStyle name="Note 2 3 3 3 3" xfId="3871" xr:uid="{00000000-0005-0000-0000-0000F2120000}"/>
    <cellStyle name="Note 2 3 3 3 4" xfId="5158" xr:uid="{00000000-0005-0000-0000-0000F3120000}"/>
    <cellStyle name="Note 2 3 3 4" xfId="1741" xr:uid="{00000000-0005-0000-0000-0000F4120000}"/>
    <cellStyle name="Note 2 3 3 5" xfId="3019" xr:uid="{00000000-0005-0000-0000-0000F5120000}"/>
    <cellStyle name="Note 2 3 3 6" xfId="4306" xr:uid="{00000000-0005-0000-0000-0000F6120000}"/>
    <cellStyle name="Note 2 3 4" xfId="662" xr:uid="{00000000-0005-0000-0000-0000F7120000}"/>
    <cellStyle name="Note 2 3 4 2" xfId="1954" xr:uid="{00000000-0005-0000-0000-0000F8120000}"/>
    <cellStyle name="Note 2 3 4 3" xfId="3232" xr:uid="{00000000-0005-0000-0000-0000F9120000}"/>
    <cellStyle name="Note 2 3 4 4" xfId="4519" xr:uid="{00000000-0005-0000-0000-0000FA120000}"/>
    <cellStyle name="Note 2 3 5" xfId="1088" xr:uid="{00000000-0005-0000-0000-0000FB120000}"/>
    <cellStyle name="Note 2 3 5 2" xfId="2380" xr:uid="{00000000-0005-0000-0000-0000FC120000}"/>
    <cellStyle name="Note 2 3 5 3" xfId="3658" xr:uid="{00000000-0005-0000-0000-0000FD120000}"/>
    <cellStyle name="Note 2 3 5 4" xfId="4945" xr:uid="{00000000-0005-0000-0000-0000FE120000}"/>
    <cellStyle name="Note 2 3 6" xfId="1528" xr:uid="{00000000-0005-0000-0000-0000FF120000}"/>
    <cellStyle name="Note 2 3 7" xfId="2806" xr:uid="{00000000-0005-0000-0000-000000130000}"/>
    <cellStyle name="Note 2 3 8" xfId="4093" xr:uid="{00000000-0005-0000-0000-000001130000}"/>
    <cellStyle name="Note 2 3 9" xfId="5318" xr:uid="{00000000-0005-0000-0000-000002130000}"/>
    <cellStyle name="Note 2 4" xfId="230" xr:uid="{00000000-0005-0000-0000-000003130000}"/>
    <cellStyle name="Note 2 4 2" xfId="452" xr:uid="{00000000-0005-0000-0000-000004130000}"/>
    <cellStyle name="Note 2 4 2 2" xfId="877" xr:uid="{00000000-0005-0000-0000-000005130000}"/>
    <cellStyle name="Note 2 4 2 2 2" xfId="2169" xr:uid="{00000000-0005-0000-0000-000006130000}"/>
    <cellStyle name="Note 2 4 2 2 3" xfId="3447" xr:uid="{00000000-0005-0000-0000-000007130000}"/>
    <cellStyle name="Note 2 4 2 2 4" xfId="4734" xr:uid="{00000000-0005-0000-0000-000008130000}"/>
    <cellStyle name="Note 2 4 2 3" xfId="1303" xr:uid="{00000000-0005-0000-0000-000009130000}"/>
    <cellStyle name="Note 2 4 2 3 2" xfId="2595" xr:uid="{00000000-0005-0000-0000-00000A130000}"/>
    <cellStyle name="Note 2 4 2 3 3" xfId="3873" xr:uid="{00000000-0005-0000-0000-00000B130000}"/>
    <cellStyle name="Note 2 4 2 3 4" xfId="5160" xr:uid="{00000000-0005-0000-0000-00000C130000}"/>
    <cellStyle name="Note 2 4 2 4" xfId="1743" xr:uid="{00000000-0005-0000-0000-00000D130000}"/>
    <cellStyle name="Note 2 4 2 5" xfId="3021" xr:uid="{00000000-0005-0000-0000-00000E130000}"/>
    <cellStyle name="Note 2 4 2 6" xfId="4308" xr:uid="{00000000-0005-0000-0000-00000F130000}"/>
    <cellStyle name="Note 2 4 3" xfId="664" xr:uid="{00000000-0005-0000-0000-000010130000}"/>
    <cellStyle name="Note 2 4 3 2" xfId="1956" xr:uid="{00000000-0005-0000-0000-000011130000}"/>
    <cellStyle name="Note 2 4 3 3" xfId="3234" xr:uid="{00000000-0005-0000-0000-000012130000}"/>
    <cellStyle name="Note 2 4 3 4" xfId="4521" xr:uid="{00000000-0005-0000-0000-000013130000}"/>
    <cellStyle name="Note 2 4 4" xfId="1090" xr:uid="{00000000-0005-0000-0000-000014130000}"/>
    <cellStyle name="Note 2 4 4 2" xfId="2382" xr:uid="{00000000-0005-0000-0000-000015130000}"/>
    <cellStyle name="Note 2 4 4 3" xfId="3660" xr:uid="{00000000-0005-0000-0000-000016130000}"/>
    <cellStyle name="Note 2 4 4 4" xfId="4947" xr:uid="{00000000-0005-0000-0000-000017130000}"/>
    <cellStyle name="Note 2 4 5" xfId="1530" xr:uid="{00000000-0005-0000-0000-000018130000}"/>
    <cellStyle name="Note 2 4 6" xfId="2808" xr:uid="{00000000-0005-0000-0000-000019130000}"/>
    <cellStyle name="Note 2 4 7" xfId="4095" xr:uid="{00000000-0005-0000-0000-00001A130000}"/>
    <cellStyle name="Note 2 4 8" xfId="5320" xr:uid="{00000000-0005-0000-0000-00001B130000}"/>
    <cellStyle name="Note 2 5" xfId="231" xr:uid="{00000000-0005-0000-0000-00001C130000}"/>
    <cellStyle name="Note 2 5 2" xfId="453" xr:uid="{00000000-0005-0000-0000-00001D130000}"/>
    <cellStyle name="Note 2 5 2 2" xfId="878" xr:uid="{00000000-0005-0000-0000-00001E130000}"/>
    <cellStyle name="Note 2 5 2 2 2" xfId="2170" xr:uid="{00000000-0005-0000-0000-00001F130000}"/>
    <cellStyle name="Note 2 5 2 2 3" xfId="3448" xr:uid="{00000000-0005-0000-0000-000020130000}"/>
    <cellStyle name="Note 2 5 2 2 4" xfId="4735" xr:uid="{00000000-0005-0000-0000-000021130000}"/>
    <cellStyle name="Note 2 5 2 3" xfId="1304" xr:uid="{00000000-0005-0000-0000-000022130000}"/>
    <cellStyle name="Note 2 5 2 3 2" xfId="2596" xr:uid="{00000000-0005-0000-0000-000023130000}"/>
    <cellStyle name="Note 2 5 2 3 3" xfId="3874" xr:uid="{00000000-0005-0000-0000-000024130000}"/>
    <cellStyle name="Note 2 5 2 3 4" xfId="5161" xr:uid="{00000000-0005-0000-0000-000025130000}"/>
    <cellStyle name="Note 2 5 2 4" xfId="1744" xr:uid="{00000000-0005-0000-0000-000026130000}"/>
    <cellStyle name="Note 2 5 2 5" xfId="3022" xr:uid="{00000000-0005-0000-0000-000027130000}"/>
    <cellStyle name="Note 2 5 2 6" xfId="4309" xr:uid="{00000000-0005-0000-0000-000028130000}"/>
    <cellStyle name="Note 2 5 3" xfId="665" xr:uid="{00000000-0005-0000-0000-000029130000}"/>
    <cellStyle name="Note 2 5 3 2" xfId="1957" xr:uid="{00000000-0005-0000-0000-00002A130000}"/>
    <cellStyle name="Note 2 5 3 3" xfId="3235" xr:uid="{00000000-0005-0000-0000-00002B130000}"/>
    <cellStyle name="Note 2 5 3 4" xfId="4522" xr:uid="{00000000-0005-0000-0000-00002C130000}"/>
    <cellStyle name="Note 2 5 4" xfId="1091" xr:uid="{00000000-0005-0000-0000-00002D130000}"/>
    <cellStyle name="Note 2 5 4 2" xfId="2383" xr:uid="{00000000-0005-0000-0000-00002E130000}"/>
    <cellStyle name="Note 2 5 4 3" xfId="3661" xr:uid="{00000000-0005-0000-0000-00002F130000}"/>
    <cellStyle name="Note 2 5 4 4" xfId="4948" xr:uid="{00000000-0005-0000-0000-000030130000}"/>
    <cellStyle name="Note 2 5 5" xfId="1531" xr:uid="{00000000-0005-0000-0000-000031130000}"/>
    <cellStyle name="Note 2 5 6" xfId="2809" xr:uid="{00000000-0005-0000-0000-000032130000}"/>
    <cellStyle name="Note 2 5 7" xfId="4096" xr:uid="{00000000-0005-0000-0000-000033130000}"/>
    <cellStyle name="Note 2 6" xfId="232" xr:uid="{00000000-0005-0000-0000-000034130000}"/>
    <cellStyle name="Note 2 6 2" xfId="454" xr:uid="{00000000-0005-0000-0000-000035130000}"/>
    <cellStyle name="Note 2 6 2 2" xfId="879" xr:uid="{00000000-0005-0000-0000-000036130000}"/>
    <cellStyle name="Note 2 6 2 2 2" xfId="2171" xr:uid="{00000000-0005-0000-0000-000037130000}"/>
    <cellStyle name="Note 2 6 2 2 3" xfId="3449" xr:uid="{00000000-0005-0000-0000-000038130000}"/>
    <cellStyle name="Note 2 6 2 2 4" xfId="4736" xr:uid="{00000000-0005-0000-0000-000039130000}"/>
    <cellStyle name="Note 2 6 2 3" xfId="1305" xr:uid="{00000000-0005-0000-0000-00003A130000}"/>
    <cellStyle name="Note 2 6 2 3 2" xfId="2597" xr:uid="{00000000-0005-0000-0000-00003B130000}"/>
    <cellStyle name="Note 2 6 2 3 3" xfId="3875" xr:uid="{00000000-0005-0000-0000-00003C130000}"/>
    <cellStyle name="Note 2 6 2 3 4" xfId="5162" xr:uid="{00000000-0005-0000-0000-00003D130000}"/>
    <cellStyle name="Note 2 6 2 4" xfId="1745" xr:uid="{00000000-0005-0000-0000-00003E130000}"/>
    <cellStyle name="Note 2 6 2 5" xfId="3023" xr:uid="{00000000-0005-0000-0000-00003F130000}"/>
    <cellStyle name="Note 2 6 2 6" xfId="4310" xr:uid="{00000000-0005-0000-0000-000040130000}"/>
    <cellStyle name="Note 2 6 3" xfId="666" xr:uid="{00000000-0005-0000-0000-000041130000}"/>
    <cellStyle name="Note 2 6 3 2" xfId="1958" xr:uid="{00000000-0005-0000-0000-000042130000}"/>
    <cellStyle name="Note 2 6 3 3" xfId="3236" xr:uid="{00000000-0005-0000-0000-000043130000}"/>
    <cellStyle name="Note 2 6 3 4" xfId="4523" xr:uid="{00000000-0005-0000-0000-000044130000}"/>
    <cellStyle name="Note 2 6 4" xfId="1092" xr:uid="{00000000-0005-0000-0000-000045130000}"/>
    <cellStyle name="Note 2 6 4 2" xfId="2384" xr:uid="{00000000-0005-0000-0000-000046130000}"/>
    <cellStyle name="Note 2 6 4 3" xfId="3662" xr:uid="{00000000-0005-0000-0000-000047130000}"/>
    <cellStyle name="Note 2 6 4 4" xfId="4949" xr:uid="{00000000-0005-0000-0000-000048130000}"/>
    <cellStyle name="Note 2 6 5" xfId="1532" xr:uid="{00000000-0005-0000-0000-000049130000}"/>
    <cellStyle name="Note 2 6 6" xfId="2810" xr:uid="{00000000-0005-0000-0000-00004A130000}"/>
    <cellStyle name="Note 2 6 7" xfId="4097" xr:uid="{00000000-0005-0000-0000-00004B130000}"/>
    <cellStyle name="Note 2 7" xfId="267" xr:uid="{00000000-0005-0000-0000-00004C130000}"/>
    <cellStyle name="Note 2 7 2" xfId="480" xr:uid="{00000000-0005-0000-0000-00004D130000}"/>
    <cellStyle name="Note 2 7 2 2" xfId="905" xr:uid="{00000000-0005-0000-0000-00004E130000}"/>
    <cellStyle name="Note 2 7 2 2 2" xfId="2197" xr:uid="{00000000-0005-0000-0000-00004F130000}"/>
    <cellStyle name="Note 2 7 2 2 3" xfId="3475" xr:uid="{00000000-0005-0000-0000-000050130000}"/>
    <cellStyle name="Note 2 7 2 2 4" xfId="4762" xr:uid="{00000000-0005-0000-0000-000051130000}"/>
    <cellStyle name="Note 2 7 2 3" xfId="1331" xr:uid="{00000000-0005-0000-0000-000052130000}"/>
    <cellStyle name="Note 2 7 2 3 2" xfId="2623" xr:uid="{00000000-0005-0000-0000-000053130000}"/>
    <cellStyle name="Note 2 7 2 3 3" xfId="3901" xr:uid="{00000000-0005-0000-0000-000054130000}"/>
    <cellStyle name="Note 2 7 2 3 4" xfId="5188" xr:uid="{00000000-0005-0000-0000-000055130000}"/>
    <cellStyle name="Note 2 7 2 4" xfId="1771" xr:uid="{00000000-0005-0000-0000-000056130000}"/>
    <cellStyle name="Note 2 7 2 5" xfId="3049" xr:uid="{00000000-0005-0000-0000-000057130000}"/>
    <cellStyle name="Note 2 7 2 6" xfId="4336" xr:uid="{00000000-0005-0000-0000-000058130000}"/>
    <cellStyle name="Note 2 7 3" xfId="692" xr:uid="{00000000-0005-0000-0000-000059130000}"/>
    <cellStyle name="Note 2 7 3 2" xfId="1984" xr:uid="{00000000-0005-0000-0000-00005A130000}"/>
    <cellStyle name="Note 2 7 3 3" xfId="3262" xr:uid="{00000000-0005-0000-0000-00005B130000}"/>
    <cellStyle name="Note 2 7 3 4" xfId="4549" xr:uid="{00000000-0005-0000-0000-00005C130000}"/>
    <cellStyle name="Note 2 7 4" xfId="1118" xr:uid="{00000000-0005-0000-0000-00005D130000}"/>
    <cellStyle name="Note 2 7 4 2" xfId="2410" xr:uid="{00000000-0005-0000-0000-00005E130000}"/>
    <cellStyle name="Note 2 7 4 3" xfId="3688" xr:uid="{00000000-0005-0000-0000-00005F130000}"/>
    <cellStyle name="Note 2 7 4 4" xfId="4975" xr:uid="{00000000-0005-0000-0000-000060130000}"/>
    <cellStyle name="Note 2 7 5" xfId="1558" xr:uid="{00000000-0005-0000-0000-000061130000}"/>
    <cellStyle name="Note 2 7 6" xfId="2836" xr:uid="{00000000-0005-0000-0000-000062130000}"/>
    <cellStyle name="Note 2 7 7" xfId="4123" xr:uid="{00000000-0005-0000-0000-000063130000}"/>
    <cellStyle name="Note 2 8" xfId="443" xr:uid="{00000000-0005-0000-0000-000064130000}"/>
    <cellStyle name="Note 2 8 2" xfId="868" xr:uid="{00000000-0005-0000-0000-000065130000}"/>
    <cellStyle name="Note 2 8 2 2" xfId="2160" xr:uid="{00000000-0005-0000-0000-000066130000}"/>
    <cellStyle name="Note 2 8 2 3" xfId="3438" xr:uid="{00000000-0005-0000-0000-000067130000}"/>
    <cellStyle name="Note 2 8 2 4" xfId="4725" xr:uid="{00000000-0005-0000-0000-000068130000}"/>
    <cellStyle name="Note 2 8 3" xfId="1294" xr:uid="{00000000-0005-0000-0000-000069130000}"/>
    <cellStyle name="Note 2 8 3 2" xfId="2586" xr:uid="{00000000-0005-0000-0000-00006A130000}"/>
    <cellStyle name="Note 2 8 3 3" xfId="3864" xr:uid="{00000000-0005-0000-0000-00006B130000}"/>
    <cellStyle name="Note 2 8 3 4" xfId="5151" xr:uid="{00000000-0005-0000-0000-00006C130000}"/>
    <cellStyle name="Note 2 8 4" xfId="1734" xr:uid="{00000000-0005-0000-0000-00006D130000}"/>
    <cellStyle name="Note 2 8 5" xfId="3012" xr:uid="{00000000-0005-0000-0000-00006E130000}"/>
    <cellStyle name="Note 2 8 6" xfId="4299" xr:uid="{00000000-0005-0000-0000-00006F130000}"/>
    <cellStyle name="Note 2 9" xfId="655" xr:uid="{00000000-0005-0000-0000-000070130000}"/>
    <cellStyle name="Note 2 9 2" xfId="1947" xr:uid="{00000000-0005-0000-0000-000071130000}"/>
    <cellStyle name="Note 2 9 3" xfId="3225" xr:uid="{00000000-0005-0000-0000-000072130000}"/>
    <cellStyle name="Note 2 9 4" xfId="4512" xr:uid="{00000000-0005-0000-0000-000073130000}"/>
    <cellStyle name="Note 3" xfId="38" xr:uid="{00000000-0005-0000-0000-000074130000}"/>
    <cellStyle name="Note 3 10" xfId="1093" xr:uid="{00000000-0005-0000-0000-000075130000}"/>
    <cellStyle name="Note 3 10 2" xfId="2385" xr:uid="{00000000-0005-0000-0000-000076130000}"/>
    <cellStyle name="Note 3 10 3" xfId="3663" xr:uid="{00000000-0005-0000-0000-000077130000}"/>
    <cellStyle name="Note 3 10 4" xfId="4950" xr:uid="{00000000-0005-0000-0000-000078130000}"/>
    <cellStyle name="Note 3 11" xfId="1533" xr:uid="{00000000-0005-0000-0000-000079130000}"/>
    <cellStyle name="Note 3 12" xfId="2811" xr:uid="{00000000-0005-0000-0000-00007A130000}"/>
    <cellStyle name="Note 3 13" xfId="4098" xr:uid="{00000000-0005-0000-0000-00007B130000}"/>
    <cellStyle name="Note 3 14" xfId="5321" xr:uid="{00000000-0005-0000-0000-00007C130000}"/>
    <cellStyle name="Note 3 2" xfId="39" xr:uid="{00000000-0005-0000-0000-00007D130000}"/>
    <cellStyle name="Note 3 2 10" xfId="1534" xr:uid="{00000000-0005-0000-0000-00007E130000}"/>
    <cellStyle name="Note 3 2 11" xfId="2812" xr:uid="{00000000-0005-0000-0000-00007F130000}"/>
    <cellStyle name="Note 3 2 12" xfId="4099" xr:uid="{00000000-0005-0000-0000-000080130000}"/>
    <cellStyle name="Note 3 2 13" xfId="5322" xr:uid="{00000000-0005-0000-0000-000081130000}"/>
    <cellStyle name="Note 3 2 2" xfId="233" xr:uid="{00000000-0005-0000-0000-000082130000}"/>
    <cellStyle name="Note 3 2 2 2" xfId="234" xr:uid="{00000000-0005-0000-0000-000083130000}"/>
    <cellStyle name="Note 3 2 2 2 2" xfId="458" xr:uid="{00000000-0005-0000-0000-000084130000}"/>
    <cellStyle name="Note 3 2 2 2 2 2" xfId="883" xr:uid="{00000000-0005-0000-0000-000085130000}"/>
    <cellStyle name="Note 3 2 2 2 2 2 2" xfId="2175" xr:uid="{00000000-0005-0000-0000-000086130000}"/>
    <cellStyle name="Note 3 2 2 2 2 2 3" xfId="3453" xr:uid="{00000000-0005-0000-0000-000087130000}"/>
    <cellStyle name="Note 3 2 2 2 2 2 4" xfId="4740" xr:uid="{00000000-0005-0000-0000-000088130000}"/>
    <cellStyle name="Note 3 2 2 2 2 3" xfId="1309" xr:uid="{00000000-0005-0000-0000-000089130000}"/>
    <cellStyle name="Note 3 2 2 2 2 3 2" xfId="2601" xr:uid="{00000000-0005-0000-0000-00008A130000}"/>
    <cellStyle name="Note 3 2 2 2 2 3 3" xfId="3879" xr:uid="{00000000-0005-0000-0000-00008B130000}"/>
    <cellStyle name="Note 3 2 2 2 2 3 4" xfId="5166" xr:uid="{00000000-0005-0000-0000-00008C130000}"/>
    <cellStyle name="Note 3 2 2 2 2 4" xfId="1749" xr:uid="{00000000-0005-0000-0000-00008D130000}"/>
    <cellStyle name="Note 3 2 2 2 2 5" xfId="3027" xr:uid="{00000000-0005-0000-0000-00008E130000}"/>
    <cellStyle name="Note 3 2 2 2 2 6" xfId="4314" xr:uid="{00000000-0005-0000-0000-00008F130000}"/>
    <cellStyle name="Note 3 2 2 2 3" xfId="670" xr:uid="{00000000-0005-0000-0000-000090130000}"/>
    <cellStyle name="Note 3 2 2 2 3 2" xfId="1962" xr:uid="{00000000-0005-0000-0000-000091130000}"/>
    <cellStyle name="Note 3 2 2 2 3 3" xfId="3240" xr:uid="{00000000-0005-0000-0000-000092130000}"/>
    <cellStyle name="Note 3 2 2 2 3 4" xfId="4527" xr:uid="{00000000-0005-0000-0000-000093130000}"/>
    <cellStyle name="Note 3 2 2 2 4" xfId="1096" xr:uid="{00000000-0005-0000-0000-000094130000}"/>
    <cellStyle name="Note 3 2 2 2 4 2" xfId="2388" xr:uid="{00000000-0005-0000-0000-000095130000}"/>
    <cellStyle name="Note 3 2 2 2 4 3" xfId="3666" xr:uid="{00000000-0005-0000-0000-000096130000}"/>
    <cellStyle name="Note 3 2 2 2 4 4" xfId="4953" xr:uid="{00000000-0005-0000-0000-000097130000}"/>
    <cellStyle name="Note 3 2 2 2 5" xfId="1536" xr:uid="{00000000-0005-0000-0000-000098130000}"/>
    <cellStyle name="Note 3 2 2 2 6" xfId="2814" xr:uid="{00000000-0005-0000-0000-000099130000}"/>
    <cellStyle name="Note 3 2 2 2 7" xfId="4101" xr:uid="{00000000-0005-0000-0000-00009A130000}"/>
    <cellStyle name="Note 3 2 2 2 8" xfId="5324" xr:uid="{00000000-0005-0000-0000-00009B130000}"/>
    <cellStyle name="Note 3 2 2 3" xfId="457" xr:uid="{00000000-0005-0000-0000-00009C130000}"/>
    <cellStyle name="Note 3 2 2 3 2" xfId="882" xr:uid="{00000000-0005-0000-0000-00009D130000}"/>
    <cellStyle name="Note 3 2 2 3 2 2" xfId="2174" xr:uid="{00000000-0005-0000-0000-00009E130000}"/>
    <cellStyle name="Note 3 2 2 3 2 3" xfId="3452" xr:uid="{00000000-0005-0000-0000-00009F130000}"/>
    <cellStyle name="Note 3 2 2 3 2 4" xfId="4739" xr:uid="{00000000-0005-0000-0000-0000A0130000}"/>
    <cellStyle name="Note 3 2 2 3 3" xfId="1308" xr:uid="{00000000-0005-0000-0000-0000A1130000}"/>
    <cellStyle name="Note 3 2 2 3 3 2" xfId="2600" xr:uid="{00000000-0005-0000-0000-0000A2130000}"/>
    <cellStyle name="Note 3 2 2 3 3 3" xfId="3878" xr:uid="{00000000-0005-0000-0000-0000A3130000}"/>
    <cellStyle name="Note 3 2 2 3 3 4" xfId="5165" xr:uid="{00000000-0005-0000-0000-0000A4130000}"/>
    <cellStyle name="Note 3 2 2 3 4" xfId="1748" xr:uid="{00000000-0005-0000-0000-0000A5130000}"/>
    <cellStyle name="Note 3 2 2 3 5" xfId="3026" xr:uid="{00000000-0005-0000-0000-0000A6130000}"/>
    <cellStyle name="Note 3 2 2 3 6" xfId="4313" xr:uid="{00000000-0005-0000-0000-0000A7130000}"/>
    <cellStyle name="Note 3 2 2 4" xfId="669" xr:uid="{00000000-0005-0000-0000-0000A8130000}"/>
    <cellStyle name="Note 3 2 2 4 2" xfId="1961" xr:uid="{00000000-0005-0000-0000-0000A9130000}"/>
    <cellStyle name="Note 3 2 2 4 3" xfId="3239" xr:uid="{00000000-0005-0000-0000-0000AA130000}"/>
    <cellStyle name="Note 3 2 2 4 4" xfId="4526" xr:uid="{00000000-0005-0000-0000-0000AB130000}"/>
    <cellStyle name="Note 3 2 2 5" xfId="1095" xr:uid="{00000000-0005-0000-0000-0000AC130000}"/>
    <cellStyle name="Note 3 2 2 5 2" xfId="2387" xr:uid="{00000000-0005-0000-0000-0000AD130000}"/>
    <cellStyle name="Note 3 2 2 5 3" xfId="3665" xr:uid="{00000000-0005-0000-0000-0000AE130000}"/>
    <cellStyle name="Note 3 2 2 5 4" xfId="4952" xr:uid="{00000000-0005-0000-0000-0000AF130000}"/>
    <cellStyle name="Note 3 2 2 6" xfId="1535" xr:uid="{00000000-0005-0000-0000-0000B0130000}"/>
    <cellStyle name="Note 3 2 2 7" xfId="2813" xr:uid="{00000000-0005-0000-0000-0000B1130000}"/>
    <cellStyle name="Note 3 2 2 8" xfId="4100" xr:uid="{00000000-0005-0000-0000-0000B2130000}"/>
    <cellStyle name="Note 3 2 2 9" xfId="5323" xr:uid="{00000000-0005-0000-0000-0000B3130000}"/>
    <cellStyle name="Note 3 2 3" xfId="235" xr:uid="{00000000-0005-0000-0000-0000B4130000}"/>
    <cellStyle name="Note 3 2 3 2" xfId="459" xr:uid="{00000000-0005-0000-0000-0000B5130000}"/>
    <cellStyle name="Note 3 2 3 2 2" xfId="884" xr:uid="{00000000-0005-0000-0000-0000B6130000}"/>
    <cellStyle name="Note 3 2 3 2 2 2" xfId="2176" xr:uid="{00000000-0005-0000-0000-0000B7130000}"/>
    <cellStyle name="Note 3 2 3 2 2 3" xfId="3454" xr:uid="{00000000-0005-0000-0000-0000B8130000}"/>
    <cellStyle name="Note 3 2 3 2 2 4" xfId="4741" xr:uid="{00000000-0005-0000-0000-0000B9130000}"/>
    <cellStyle name="Note 3 2 3 2 3" xfId="1310" xr:uid="{00000000-0005-0000-0000-0000BA130000}"/>
    <cellStyle name="Note 3 2 3 2 3 2" xfId="2602" xr:uid="{00000000-0005-0000-0000-0000BB130000}"/>
    <cellStyle name="Note 3 2 3 2 3 3" xfId="3880" xr:uid="{00000000-0005-0000-0000-0000BC130000}"/>
    <cellStyle name="Note 3 2 3 2 3 4" xfId="5167" xr:uid="{00000000-0005-0000-0000-0000BD130000}"/>
    <cellStyle name="Note 3 2 3 2 4" xfId="1750" xr:uid="{00000000-0005-0000-0000-0000BE130000}"/>
    <cellStyle name="Note 3 2 3 2 5" xfId="3028" xr:uid="{00000000-0005-0000-0000-0000BF130000}"/>
    <cellStyle name="Note 3 2 3 2 6" xfId="4315" xr:uid="{00000000-0005-0000-0000-0000C0130000}"/>
    <cellStyle name="Note 3 2 3 3" xfId="671" xr:uid="{00000000-0005-0000-0000-0000C1130000}"/>
    <cellStyle name="Note 3 2 3 3 2" xfId="1963" xr:uid="{00000000-0005-0000-0000-0000C2130000}"/>
    <cellStyle name="Note 3 2 3 3 3" xfId="3241" xr:uid="{00000000-0005-0000-0000-0000C3130000}"/>
    <cellStyle name="Note 3 2 3 3 4" xfId="4528" xr:uid="{00000000-0005-0000-0000-0000C4130000}"/>
    <cellStyle name="Note 3 2 3 4" xfId="1097" xr:uid="{00000000-0005-0000-0000-0000C5130000}"/>
    <cellStyle name="Note 3 2 3 4 2" xfId="2389" xr:uid="{00000000-0005-0000-0000-0000C6130000}"/>
    <cellStyle name="Note 3 2 3 4 3" xfId="3667" xr:uid="{00000000-0005-0000-0000-0000C7130000}"/>
    <cellStyle name="Note 3 2 3 4 4" xfId="4954" xr:uid="{00000000-0005-0000-0000-0000C8130000}"/>
    <cellStyle name="Note 3 2 3 5" xfId="1537" xr:uid="{00000000-0005-0000-0000-0000C9130000}"/>
    <cellStyle name="Note 3 2 3 6" xfId="2815" xr:uid="{00000000-0005-0000-0000-0000CA130000}"/>
    <cellStyle name="Note 3 2 3 7" xfId="4102" xr:uid="{00000000-0005-0000-0000-0000CB130000}"/>
    <cellStyle name="Note 3 2 3 8" xfId="5325" xr:uid="{00000000-0005-0000-0000-0000CC130000}"/>
    <cellStyle name="Note 3 2 4" xfId="236" xr:uid="{00000000-0005-0000-0000-0000CD130000}"/>
    <cellStyle name="Note 3 2 4 2" xfId="460" xr:uid="{00000000-0005-0000-0000-0000CE130000}"/>
    <cellStyle name="Note 3 2 4 2 2" xfId="885" xr:uid="{00000000-0005-0000-0000-0000CF130000}"/>
    <cellStyle name="Note 3 2 4 2 2 2" xfId="2177" xr:uid="{00000000-0005-0000-0000-0000D0130000}"/>
    <cellStyle name="Note 3 2 4 2 2 3" xfId="3455" xr:uid="{00000000-0005-0000-0000-0000D1130000}"/>
    <cellStyle name="Note 3 2 4 2 2 4" xfId="4742" xr:uid="{00000000-0005-0000-0000-0000D2130000}"/>
    <cellStyle name="Note 3 2 4 2 3" xfId="1311" xr:uid="{00000000-0005-0000-0000-0000D3130000}"/>
    <cellStyle name="Note 3 2 4 2 3 2" xfId="2603" xr:uid="{00000000-0005-0000-0000-0000D4130000}"/>
    <cellStyle name="Note 3 2 4 2 3 3" xfId="3881" xr:uid="{00000000-0005-0000-0000-0000D5130000}"/>
    <cellStyle name="Note 3 2 4 2 3 4" xfId="5168" xr:uid="{00000000-0005-0000-0000-0000D6130000}"/>
    <cellStyle name="Note 3 2 4 2 4" xfId="1751" xr:uid="{00000000-0005-0000-0000-0000D7130000}"/>
    <cellStyle name="Note 3 2 4 2 5" xfId="3029" xr:uid="{00000000-0005-0000-0000-0000D8130000}"/>
    <cellStyle name="Note 3 2 4 2 6" xfId="4316" xr:uid="{00000000-0005-0000-0000-0000D9130000}"/>
    <cellStyle name="Note 3 2 4 3" xfId="672" xr:uid="{00000000-0005-0000-0000-0000DA130000}"/>
    <cellStyle name="Note 3 2 4 3 2" xfId="1964" xr:uid="{00000000-0005-0000-0000-0000DB130000}"/>
    <cellStyle name="Note 3 2 4 3 3" xfId="3242" xr:uid="{00000000-0005-0000-0000-0000DC130000}"/>
    <cellStyle name="Note 3 2 4 3 4" xfId="4529" xr:uid="{00000000-0005-0000-0000-0000DD130000}"/>
    <cellStyle name="Note 3 2 4 4" xfId="1098" xr:uid="{00000000-0005-0000-0000-0000DE130000}"/>
    <cellStyle name="Note 3 2 4 4 2" xfId="2390" xr:uid="{00000000-0005-0000-0000-0000DF130000}"/>
    <cellStyle name="Note 3 2 4 4 3" xfId="3668" xr:uid="{00000000-0005-0000-0000-0000E0130000}"/>
    <cellStyle name="Note 3 2 4 4 4" xfId="4955" xr:uid="{00000000-0005-0000-0000-0000E1130000}"/>
    <cellStyle name="Note 3 2 4 5" xfId="1538" xr:uid="{00000000-0005-0000-0000-0000E2130000}"/>
    <cellStyle name="Note 3 2 4 6" xfId="2816" xr:uid="{00000000-0005-0000-0000-0000E3130000}"/>
    <cellStyle name="Note 3 2 4 7" xfId="4103" xr:uid="{00000000-0005-0000-0000-0000E4130000}"/>
    <cellStyle name="Note 3 2 5" xfId="237" xr:uid="{00000000-0005-0000-0000-0000E5130000}"/>
    <cellStyle name="Note 3 2 5 2" xfId="461" xr:uid="{00000000-0005-0000-0000-0000E6130000}"/>
    <cellStyle name="Note 3 2 5 2 2" xfId="886" xr:uid="{00000000-0005-0000-0000-0000E7130000}"/>
    <cellStyle name="Note 3 2 5 2 2 2" xfId="2178" xr:uid="{00000000-0005-0000-0000-0000E8130000}"/>
    <cellStyle name="Note 3 2 5 2 2 3" xfId="3456" xr:uid="{00000000-0005-0000-0000-0000E9130000}"/>
    <cellStyle name="Note 3 2 5 2 2 4" xfId="4743" xr:uid="{00000000-0005-0000-0000-0000EA130000}"/>
    <cellStyle name="Note 3 2 5 2 3" xfId="1312" xr:uid="{00000000-0005-0000-0000-0000EB130000}"/>
    <cellStyle name="Note 3 2 5 2 3 2" xfId="2604" xr:uid="{00000000-0005-0000-0000-0000EC130000}"/>
    <cellStyle name="Note 3 2 5 2 3 3" xfId="3882" xr:uid="{00000000-0005-0000-0000-0000ED130000}"/>
    <cellStyle name="Note 3 2 5 2 3 4" xfId="5169" xr:uid="{00000000-0005-0000-0000-0000EE130000}"/>
    <cellStyle name="Note 3 2 5 2 4" xfId="1752" xr:uid="{00000000-0005-0000-0000-0000EF130000}"/>
    <cellStyle name="Note 3 2 5 2 5" xfId="3030" xr:uid="{00000000-0005-0000-0000-0000F0130000}"/>
    <cellStyle name="Note 3 2 5 2 6" xfId="4317" xr:uid="{00000000-0005-0000-0000-0000F1130000}"/>
    <cellStyle name="Note 3 2 5 3" xfId="673" xr:uid="{00000000-0005-0000-0000-0000F2130000}"/>
    <cellStyle name="Note 3 2 5 3 2" xfId="1965" xr:uid="{00000000-0005-0000-0000-0000F3130000}"/>
    <cellStyle name="Note 3 2 5 3 3" xfId="3243" xr:uid="{00000000-0005-0000-0000-0000F4130000}"/>
    <cellStyle name="Note 3 2 5 3 4" xfId="4530" xr:uid="{00000000-0005-0000-0000-0000F5130000}"/>
    <cellStyle name="Note 3 2 5 4" xfId="1099" xr:uid="{00000000-0005-0000-0000-0000F6130000}"/>
    <cellStyle name="Note 3 2 5 4 2" xfId="2391" xr:uid="{00000000-0005-0000-0000-0000F7130000}"/>
    <cellStyle name="Note 3 2 5 4 3" xfId="3669" xr:uid="{00000000-0005-0000-0000-0000F8130000}"/>
    <cellStyle name="Note 3 2 5 4 4" xfId="4956" xr:uid="{00000000-0005-0000-0000-0000F9130000}"/>
    <cellStyle name="Note 3 2 5 5" xfId="1539" xr:uid="{00000000-0005-0000-0000-0000FA130000}"/>
    <cellStyle name="Note 3 2 5 6" xfId="2817" xr:uid="{00000000-0005-0000-0000-0000FB130000}"/>
    <cellStyle name="Note 3 2 5 7" xfId="4104" xr:uid="{00000000-0005-0000-0000-0000FC130000}"/>
    <cellStyle name="Note 3 2 6" xfId="283" xr:uid="{00000000-0005-0000-0000-0000FD130000}"/>
    <cellStyle name="Note 3 2 6 2" xfId="496" xr:uid="{00000000-0005-0000-0000-0000FE130000}"/>
    <cellStyle name="Note 3 2 6 2 2" xfId="921" xr:uid="{00000000-0005-0000-0000-0000FF130000}"/>
    <cellStyle name="Note 3 2 6 2 2 2" xfId="2213" xr:uid="{00000000-0005-0000-0000-000000140000}"/>
    <cellStyle name="Note 3 2 6 2 2 3" xfId="3491" xr:uid="{00000000-0005-0000-0000-000001140000}"/>
    <cellStyle name="Note 3 2 6 2 2 4" xfId="4778" xr:uid="{00000000-0005-0000-0000-000002140000}"/>
    <cellStyle name="Note 3 2 6 2 3" xfId="1347" xr:uid="{00000000-0005-0000-0000-000003140000}"/>
    <cellStyle name="Note 3 2 6 2 3 2" xfId="2639" xr:uid="{00000000-0005-0000-0000-000004140000}"/>
    <cellStyle name="Note 3 2 6 2 3 3" xfId="3917" xr:uid="{00000000-0005-0000-0000-000005140000}"/>
    <cellStyle name="Note 3 2 6 2 3 4" xfId="5204" xr:uid="{00000000-0005-0000-0000-000006140000}"/>
    <cellStyle name="Note 3 2 6 2 4" xfId="1787" xr:uid="{00000000-0005-0000-0000-000007140000}"/>
    <cellStyle name="Note 3 2 6 2 5" xfId="3065" xr:uid="{00000000-0005-0000-0000-000008140000}"/>
    <cellStyle name="Note 3 2 6 2 6" xfId="4352" xr:uid="{00000000-0005-0000-0000-000009140000}"/>
    <cellStyle name="Note 3 2 6 3" xfId="708" xr:uid="{00000000-0005-0000-0000-00000A140000}"/>
    <cellStyle name="Note 3 2 6 3 2" xfId="2000" xr:uid="{00000000-0005-0000-0000-00000B140000}"/>
    <cellStyle name="Note 3 2 6 3 3" xfId="3278" xr:uid="{00000000-0005-0000-0000-00000C140000}"/>
    <cellStyle name="Note 3 2 6 3 4" xfId="4565" xr:uid="{00000000-0005-0000-0000-00000D140000}"/>
    <cellStyle name="Note 3 2 6 4" xfId="1134" xr:uid="{00000000-0005-0000-0000-00000E140000}"/>
    <cellStyle name="Note 3 2 6 4 2" xfId="2426" xr:uid="{00000000-0005-0000-0000-00000F140000}"/>
    <cellStyle name="Note 3 2 6 4 3" xfId="3704" xr:uid="{00000000-0005-0000-0000-000010140000}"/>
    <cellStyle name="Note 3 2 6 4 4" xfId="4991" xr:uid="{00000000-0005-0000-0000-000011140000}"/>
    <cellStyle name="Note 3 2 6 5" xfId="1574" xr:uid="{00000000-0005-0000-0000-000012140000}"/>
    <cellStyle name="Note 3 2 6 6" xfId="2852" xr:uid="{00000000-0005-0000-0000-000013140000}"/>
    <cellStyle name="Note 3 2 6 7" xfId="4139" xr:uid="{00000000-0005-0000-0000-000014140000}"/>
    <cellStyle name="Note 3 2 7" xfId="456" xr:uid="{00000000-0005-0000-0000-000015140000}"/>
    <cellStyle name="Note 3 2 7 2" xfId="881" xr:uid="{00000000-0005-0000-0000-000016140000}"/>
    <cellStyle name="Note 3 2 7 2 2" xfId="2173" xr:uid="{00000000-0005-0000-0000-000017140000}"/>
    <cellStyle name="Note 3 2 7 2 3" xfId="3451" xr:uid="{00000000-0005-0000-0000-000018140000}"/>
    <cellStyle name="Note 3 2 7 2 4" xfId="4738" xr:uid="{00000000-0005-0000-0000-000019140000}"/>
    <cellStyle name="Note 3 2 7 3" xfId="1307" xr:uid="{00000000-0005-0000-0000-00001A140000}"/>
    <cellStyle name="Note 3 2 7 3 2" xfId="2599" xr:uid="{00000000-0005-0000-0000-00001B140000}"/>
    <cellStyle name="Note 3 2 7 3 3" xfId="3877" xr:uid="{00000000-0005-0000-0000-00001C140000}"/>
    <cellStyle name="Note 3 2 7 3 4" xfId="5164" xr:uid="{00000000-0005-0000-0000-00001D140000}"/>
    <cellStyle name="Note 3 2 7 4" xfId="1747" xr:uid="{00000000-0005-0000-0000-00001E140000}"/>
    <cellStyle name="Note 3 2 7 5" xfId="3025" xr:uid="{00000000-0005-0000-0000-00001F140000}"/>
    <cellStyle name="Note 3 2 7 6" xfId="4312" xr:uid="{00000000-0005-0000-0000-000020140000}"/>
    <cellStyle name="Note 3 2 8" xfId="668" xr:uid="{00000000-0005-0000-0000-000021140000}"/>
    <cellStyle name="Note 3 2 8 2" xfId="1960" xr:uid="{00000000-0005-0000-0000-000022140000}"/>
    <cellStyle name="Note 3 2 8 3" xfId="3238" xr:uid="{00000000-0005-0000-0000-000023140000}"/>
    <cellStyle name="Note 3 2 8 4" xfId="4525" xr:uid="{00000000-0005-0000-0000-000024140000}"/>
    <cellStyle name="Note 3 2 9" xfId="1094" xr:uid="{00000000-0005-0000-0000-000025140000}"/>
    <cellStyle name="Note 3 2 9 2" xfId="2386" xr:uid="{00000000-0005-0000-0000-000026140000}"/>
    <cellStyle name="Note 3 2 9 3" xfId="3664" xr:uid="{00000000-0005-0000-0000-000027140000}"/>
    <cellStyle name="Note 3 2 9 4" xfId="4951" xr:uid="{00000000-0005-0000-0000-000028140000}"/>
    <cellStyle name="Note 3 3" xfId="238" xr:uid="{00000000-0005-0000-0000-000029140000}"/>
    <cellStyle name="Note 3 3 2" xfId="239" xr:uid="{00000000-0005-0000-0000-00002A140000}"/>
    <cellStyle name="Note 3 3 2 2" xfId="463" xr:uid="{00000000-0005-0000-0000-00002B140000}"/>
    <cellStyle name="Note 3 3 2 2 2" xfId="888" xr:uid="{00000000-0005-0000-0000-00002C140000}"/>
    <cellStyle name="Note 3 3 2 2 2 2" xfId="2180" xr:uid="{00000000-0005-0000-0000-00002D140000}"/>
    <cellStyle name="Note 3 3 2 2 2 3" xfId="3458" xr:uid="{00000000-0005-0000-0000-00002E140000}"/>
    <cellStyle name="Note 3 3 2 2 2 4" xfId="4745" xr:uid="{00000000-0005-0000-0000-00002F140000}"/>
    <cellStyle name="Note 3 3 2 2 3" xfId="1314" xr:uid="{00000000-0005-0000-0000-000030140000}"/>
    <cellStyle name="Note 3 3 2 2 3 2" xfId="2606" xr:uid="{00000000-0005-0000-0000-000031140000}"/>
    <cellStyle name="Note 3 3 2 2 3 3" xfId="3884" xr:uid="{00000000-0005-0000-0000-000032140000}"/>
    <cellStyle name="Note 3 3 2 2 3 4" xfId="5171" xr:uid="{00000000-0005-0000-0000-000033140000}"/>
    <cellStyle name="Note 3 3 2 2 4" xfId="1754" xr:uid="{00000000-0005-0000-0000-000034140000}"/>
    <cellStyle name="Note 3 3 2 2 5" xfId="3032" xr:uid="{00000000-0005-0000-0000-000035140000}"/>
    <cellStyle name="Note 3 3 2 2 6" xfId="4319" xr:uid="{00000000-0005-0000-0000-000036140000}"/>
    <cellStyle name="Note 3 3 2 3" xfId="675" xr:uid="{00000000-0005-0000-0000-000037140000}"/>
    <cellStyle name="Note 3 3 2 3 2" xfId="1967" xr:uid="{00000000-0005-0000-0000-000038140000}"/>
    <cellStyle name="Note 3 3 2 3 3" xfId="3245" xr:uid="{00000000-0005-0000-0000-000039140000}"/>
    <cellStyle name="Note 3 3 2 3 4" xfId="4532" xr:uid="{00000000-0005-0000-0000-00003A140000}"/>
    <cellStyle name="Note 3 3 2 4" xfId="1101" xr:uid="{00000000-0005-0000-0000-00003B140000}"/>
    <cellStyle name="Note 3 3 2 4 2" xfId="2393" xr:uid="{00000000-0005-0000-0000-00003C140000}"/>
    <cellStyle name="Note 3 3 2 4 3" xfId="3671" xr:uid="{00000000-0005-0000-0000-00003D140000}"/>
    <cellStyle name="Note 3 3 2 4 4" xfId="4958" xr:uid="{00000000-0005-0000-0000-00003E140000}"/>
    <cellStyle name="Note 3 3 2 5" xfId="1541" xr:uid="{00000000-0005-0000-0000-00003F140000}"/>
    <cellStyle name="Note 3 3 2 6" xfId="2819" xr:uid="{00000000-0005-0000-0000-000040140000}"/>
    <cellStyle name="Note 3 3 2 7" xfId="4106" xr:uid="{00000000-0005-0000-0000-000041140000}"/>
    <cellStyle name="Note 3 3 2 8" xfId="5327" xr:uid="{00000000-0005-0000-0000-000042140000}"/>
    <cellStyle name="Note 3 3 3" xfId="462" xr:uid="{00000000-0005-0000-0000-000043140000}"/>
    <cellStyle name="Note 3 3 3 2" xfId="887" xr:uid="{00000000-0005-0000-0000-000044140000}"/>
    <cellStyle name="Note 3 3 3 2 2" xfId="2179" xr:uid="{00000000-0005-0000-0000-000045140000}"/>
    <cellStyle name="Note 3 3 3 2 3" xfId="3457" xr:uid="{00000000-0005-0000-0000-000046140000}"/>
    <cellStyle name="Note 3 3 3 2 4" xfId="4744" xr:uid="{00000000-0005-0000-0000-000047140000}"/>
    <cellStyle name="Note 3 3 3 3" xfId="1313" xr:uid="{00000000-0005-0000-0000-000048140000}"/>
    <cellStyle name="Note 3 3 3 3 2" xfId="2605" xr:uid="{00000000-0005-0000-0000-000049140000}"/>
    <cellStyle name="Note 3 3 3 3 3" xfId="3883" xr:uid="{00000000-0005-0000-0000-00004A140000}"/>
    <cellStyle name="Note 3 3 3 3 4" xfId="5170" xr:uid="{00000000-0005-0000-0000-00004B140000}"/>
    <cellStyle name="Note 3 3 3 4" xfId="1753" xr:uid="{00000000-0005-0000-0000-00004C140000}"/>
    <cellStyle name="Note 3 3 3 5" xfId="3031" xr:uid="{00000000-0005-0000-0000-00004D140000}"/>
    <cellStyle name="Note 3 3 3 6" xfId="4318" xr:uid="{00000000-0005-0000-0000-00004E140000}"/>
    <cellStyle name="Note 3 3 4" xfId="674" xr:uid="{00000000-0005-0000-0000-00004F140000}"/>
    <cellStyle name="Note 3 3 4 2" xfId="1966" xr:uid="{00000000-0005-0000-0000-000050140000}"/>
    <cellStyle name="Note 3 3 4 3" xfId="3244" xr:uid="{00000000-0005-0000-0000-000051140000}"/>
    <cellStyle name="Note 3 3 4 4" xfId="4531" xr:uid="{00000000-0005-0000-0000-000052140000}"/>
    <cellStyle name="Note 3 3 5" xfId="1100" xr:uid="{00000000-0005-0000-0000-000053140000}"/>
    <cellStyle name="Note 3 3 5 2" xfId="2392" xr:uid="{00000000-0005-0000-0000-000054140000}"/>
    <cellStyle name="Note 3 3 5 3" xfId="3670" xr:uid="{00000000-0005-0000-0000-000055140000}"/>
    <cellStyle name="Note 3 3 5 4" xfId="4957" xr:uid="{00000000-0005-0000-0000-000056140000}"/>
    <cellStyle name="Note 3 3 6" xfId="1540" xr:uid="{00000000-0005-0000-0000-000057140000}"/>
    <cellStyle name="Note 3 3 7" xfId="2818" xr:uid="{00000000-0005-0000-0000-000058140000}"/>
    <cellStyle name="Note 3 3 8" xfId="4105" xr:uid="{00000000-0005-0000-0000-000059140000}"/>
    <cellStyle name="Note 3 3 9" xfId="5326" xr:uid="{00000000-0005-0000-0000-00005A140000}"/>
    <cellStyle name="Note 3 4" xfId="240" xr:uid="{00000000-0005-0000-0000-00005B140000}"/>
    <cellStyle name="Note 3 4 2" xfId="464" xr:uid="{00000000-0005-0000-0000-00005C140000}"/>
    <cellStyle name="Note 3 4 2 2" xfId="889" xr:uid="{00000000-0005-0000-0000-00005D140000}"/>
    <cellStyle name="Note 3 4 2 2 2" xfId="2181" xr:uid="{00000000-0005-0000-0000-00005E140000}"/>
    <cellStyle name="Note 3 4 2 2 3" xfId="3459" xr:uid="{00000000-0005-0000-0000-00005F140000}"/>
    <cellStyle name="Note 3 4 2 2 4" xfId="4746" xr:uid="{00000000-0005-0000-0000-000060140000}"/>
    <cellStyle name="Note 3 4 2 3" xfId="1315" xr:uid="{00000000-0005-0000-0000-000061140000}"/>
    <cellStyle name="Note 3 4 2 3 2" xfId="2607" xr:uid="{00000000-0005-0000-0000-000062140000}"/>
    <cellStyle name="Note 3 4 2 3 3" xfId="3885" xr:uid="{00000000-0005-0000-0000-000063140000}"/>
    <cellStyle name="Note 3 4 2 3 4" xfId="5172" xr:uid="{00000000-0005-0000-0000-000064140000}"/>
    <cellStyle name="Note 3 4 2 4" xfId="1755" xr:uid="{00000000-0005-0000-0000-000065140000}"/>
    <cellStyle name="Note 3 4 2 5" xfId="3033" xr:uid="{00000000-0005-0000-0000-000066140000}"/>
    <cellStyle name="Note 3 4 2 6" xfId="4320" xr:uid="{00000000-0005-0000-0000-000067140000}"/>
    <cellStyle name="Note 3 4 3" xfId="676" xr:uid="{00000000-0005-0000-0000-000068140000}"/>
    <cellStyle name="Note 3 4 3 2" xfId="1968" xr:uid="{00000000-0005-0000-0000-000069140000}"/>
    <cellStyle name="Note 3 4 3 3" xfId="3246" xr:uid="{00000000-0005-0000-0000-00006A140000}"/>
    <cellStyle name="Note 3 4 3 4" xfId="4533" xr:uid="{00000000-0005-0000-0000-00006B140000}"/>
    <cellStyle name="Note 3 4 4" xfId="1102" xr:uid="{00000000-0005-0000-0000-00006C140000}"/>
    <cellStyle name="Note 3 4 4 2" xfId="2394" xr:uid="{00000000-0005-0000-0000-00006D140000}"/>
    <cellStyle name="Note 3 4 4 3" xfId="3672" xr:uid="{00000000-0005-0000-0000-00006E140000}"/>
    <cellStyle name="Note 3 4 4 4" xfId="4959" xr:uid="{00000000-0005-0000-0000-00006F140000}"/>
    <cellStyle name="Note 3 4 5" xfId="1542" xr:uid="{00000000-0005-0000-0000-000070140000}"/>
    <cellStyle name="Note 3 4 6" xfId="2820" xr:uid="{00000000-0005-0000-0000-000071140000}"/>
    <cellStyle name="Note 3 4 7" xfId="4107" xr:uid="{00000000-0005-0000-0000-000072140000}"/>
    <cellStyle name="Note 3 4 8" xfId="5328" xr:uid="{00000000-0005-0000-0000-000073140000}"/>
    <cellStyle name="Note 3 5" xfId="241" xr:uid="{00000000-0005-0000-0000-000074140000}"/>
    <cellStyle name="Note 3 5 2" xfId="465" xr:uid="{00000000-0005-0000-0000-000075140000}"/>
    <cellStyle name="Note 3 5 2 2" xfId="890" xr:uid="{00000000-0005-0000-0000-000076140000}"/>
    <cellStyle name="Note 3 5 2 2 2" xfId="2182" xr:uid="{00000000-0005-0000-0000-000077140000}"/>
    <cellStyle name="Note 3 5 2 2 3" xfId="3460" xr:uid="{00000000-0005-0000-0000-000078140000}"/>
    <cellStyle name="Note 3 5 2 2 4" xfId="4747" xr:uid="{00000000-0005-0000-0000-000079140000}"/>
    <cellStyle name="Note 3 5 2 3" xfId="1316" xr:uid="{00000000-0005-0000-0000-00007A140000}"/>
    <cellStyle name="Note 3 5 2 3 2" xfId="2608" xr:uid="{00000000-0005-0000-0000-00007B140000}"/>
    <cellStyle name="Note 3 5 2 3 3" xfId="3886" xr:uid="{00000000-0005-0000-0000-00007C140000}"/>
    <cellStyle name="Note 3 5 2 3 4" xfId="5173" xr:uid="{00000000-0005-0000-0000-00007D140000}"/>
    <cellStyle name="Note 3 5 2 4" xfId="1756" xr:uid="{00000000-0005-0000-0000-00007E140000}"/>
    <cellStyle name="Note 3 5 2 5" xfId="3034" xr:uid="{00000000-0005-0000-0000-00007F140000}"/>
    <cellStyle name="Note 3 5 2 6" xfId="4321" xr:uid="{00000000-0005-0000-0000-000080140000}"/>
    <cellStyle name="Note 3 5 3" xfId="677" xr:uid="{00000000-0005-0000-0000-000081140000}"/>
    <cellStyle name="Note 3 5 3 2" xfId="1969" xr:uid="{00000000-0005-0000-0000-000082140000}"/>
    <cellStyle name="Note 3 5 3 3" xfId="3247" xr:uid="{00000000-0005-0000-0000-000083140000}"/>
    <cellStyle name="Note 3 5 3 4" xfId="4534" xr:uid="{00000000-0005-0000-0000-000084140000}"/>
    <cellStyle name="Note 3 5 4" xfId="1103" xr:uid="{00000000-0005-0000-0000-000085140000}"/>
    <cellStyle name="Note 3 5 4 2" xfId="2395" xr:uid="{00000000-0005-0000-0000-000086140000}"/>
    <cellStyle name="Note 3 5 4 3" xfId="3673" xr:uid="{00000000-0005-0000-0000-000087140000}"/>
    <cellStyle name="Note 3 5 4 4" xfId="4960" xr:uid="{00000000-0005-0000-0000-000088140000}"/>
    <cellStyle name="Note 3 5 5" xfId="1543" xr:uid="{00000000-0005-0000-0000-000089140000}"/>
    <cellStyle name="Note 3 5 6" xfId="2821" xr:uid="{00000000-0005-0000-0000-00008A140000}"/>
    <cellStyle name="Note 3 5 7" xfId="4108" xr:uid="{00000000-0005-0000-0000-00008B140000}"/>
    <cellStyle name="Note 3 6" xfId="242" xr:uid="{00000000-0005-0000-0000-00008C140000}"/>
    <cellStyle name="Note 3 6 2" xfId="466" xr:uid="{00000000-0005-0000-0000-00008D140000}"/>
    <cellStyle name="Note 3 6 2 2" xfId="891" xr:uid="{00000000-0005-0000-0000-00008E140000}"/>
    <cellStyle name="Note 3 6 2 2 2" xfId="2183" xr:uid="{00000000-0005-0000-0000-00008F140000}"/>
    <cellStyle name="Note 3 6 2 2 3" xfId="3461" xr:uid="{00000000-0005-0000-0000-000090140000}"/>
    <cellStyle name="Note 3 6 2 2 4" xfId="4748" xr:uid="{00000000-0005-0000-0000-000091140000}"/>
    <cellStyle name="Note 3 6 2 3" xfId="1317" xr:uid="{00000000-0005-0000-0000-000092140000}"/>
    <cellStyle name="Note 3 6 2 3 2" xfId="2609" xr:uid="{00000000-0005-0000-0000-000093140000}"/>
    <cellStyle name="Note 3 6 2 3 3" xfId="3887" xr:uid="{00000000-0005-0000-0000-000094140000}"/>
    <cellStyle name="Note 3 6 2 3 4" xfId="5174" xr:uid="{00000000-0005-0000-0000-000095140000}"/>
    <cellStyle name="Note 3 6 2 4" xfId="1757" xr:uid="{00000000-0005-0000-0000-000096140000}"/>
    <cellStyle name="Note 3 6 2 5" xfId="3035" xr:uid="{00000000-0005-0000-0000-000097140000}"/>
    <cellStyle name="Note 3 6 2 6" xfId="4322" xr:uid="{00000000-0005-0000-0000-000098140000}"/>
    <cellStyle name="Note 3 6 3" xfId="678" xr:uid="{00000000-0005-0000-0000-000099140000}"/>
    <cellStyle name="Note 3 6 3 2" xfId="1970" xr:uid="{00000000-0005-0000-0000-00009A140000}"/>
    <cellStyle name="Note 3 6 3 3" xfId="3248" xr:uid="{00000000-0005-0000-0000-00009B140000}"/>
    <cellStyle name="Note 3 6 3 4" xfId="4535" xr:uid="{00000000-0005-0000-0000-00009C140000}"/>
    <cellStyle name="Note 3 6 4" xfId="1104" xr:uid="{00000000-0005-0000-0000-00009D140000}"/>
    <cellStyle name="Note 3 6 4 2" xfId="2396" xr:uid="{00000000-0005-0000-0000-00009E140000}"/>
    <cellStyle name="Note 3 6 4 3" xfId="3674" xr:uid="{00000000-0005-0000-0000-00009F140000}"/>
    <cellStyle name="Note 3 6 4 4" xfId="4961" xr:uid="{00000000-0005-0000-0000-0000A0140000}"/>
    <cellStyle name="Note 3 6 5" xfId="1544" xr:uid="{00000000-0005-0000-0000-0000A1140000}"/>
    <cellStyle name="Note 3 6 6" xfId="2822" xr:uid="{00000000-0005-0000-0000-0000A2140000}"/>
    <cellStyle name="Note 3 6 7" xfId="4109" xr:uid="{00000000-0005-0000-0000-0000A3140000}"/>
    <cellStyle name="Note 3 7" xfId="268" xr:uid="{00000000-0005-0000-0000-0000A4140000}"/>
    <cellStyle name="Note 3 7 2" xfId="481" xr:uid="{00000000-0005-0000-0000-0000A5140000}"/>
    <cellStyle name="Note 3 7 2 2" xfId="906" xr:uid="{00000000-0005-0000-0000-0000A6140000}"/>
    <cellStyle name="Note 3 7 2 2 2" xfId="2198" xr:uid="{00000000-0005-0000-0000-0000A7140000}"/>
    <cellStyle name="Note 3 7 2 2 3" xfId="3476" xr:uid="{00000000-0005-0000-0000-0000A8140000}"/>
    <cellStyle name="Note 3 7 2 2 4" xfId="4763" xr:uid="{00000000-0005-0000-0000-0000A9140000}"/>
    <cellStyle name="Note 3 7 2 3" xfId="1332" xr:uid="{00000000-0005-0000-0000-0000AA140000}"/>
    <cellStyle name="Note 3 7 2 3 2" xfId="2624" xr:uid="{00000000-0005-0000-0000-0000AB140000}"/>
    <cellStyle name="Note 3 7 2 3 3" xfId="3902" xr:uid="{00000000-0005-0000-0000-0000AC140000}"/>
    <cellStyle name="Note 3 7 2 3 4" xfId="5189" xr:uid="{00000000-0005-0000-0000-0000AD140000}"/>
    <cellStyle name="Note 3 7 2 4" xfId="1772" xr:uid="{00000000-0005-0000-0000-0000AE140000}"/>
    <cellStyle name="Note 3 7 2 5" xfId="3050" xr:uid="{00000000-0005-0000-0000-0000AF140000}"/>
    <cellStyle name="Note 3 7 2 6" xfId="4337" xr:uid="{00000000-0005-0000-0000-0000B0140000}"/>
    <cellStyle name="Note 3 7 3" xfId="693" xr:uid="{00000000-0005-0000-0000-0000B1140000}"/>
    <cellStyle name="Note 3 7 3 2" xfId="1985" xr:uid="{00000000-0005-0000-0000-0000B2140000}"/>
    <cellStyle name="Note 3 7 3 3" xfId="3263" xr:uid="{00000000-0005-0000-0000-0000B3140000}"/>
    <cellStyle name="Note 3 7 3 4" xfId="4550" xr:uid="{00000000-0005-0000-0000-0000B4140000}"/>
    <cellStyle name="Note 3 7 4" xfId="1119" xr:uid="{00000000-0005-0000-0000-0000B5140000}"/>
    <cellStyle name="Note 3 7 4 2" xfId="2411" xr:uid="{00000000-0005-0000-0000-0000B6140000}"/>
    <cellStyle name="Note 3 7 4 3" xfId="3689" xr:uid="{00000000-0005-0000-0000-0000B7140000}"/>
    <cellStyle name="Note 3 7 4 4" xfId="4976" xr:uid="{00000000-0005-0000-0000-0000B8140000}"/>
    <cellStyle name="Note 3 7 5" xfId="1559" xr:uid="{00000000-0005-0000-0000-0000B9140000}"/>
    <cellStyle name="Note 3 7 6" xfId="2837" xr:uid="{00000000-0005-0000-0000-0000BA140000}"/>
    <cellStyle name="Note 3 7 7" xfId="4124" xr:uid="{00000000-0005-0000-0000-0000BB140000}"/>
    <cellStyle name="Note 3 8" xfId="455" xr:uid="{00000000-0005-0000-0000-0000BC140000}"/>
    <cellStyle name="Note 3 8 2" xfId="880" xr:uid="{00000000-0005-0000-0000-0000BD140000}"/>
    <cellStyle name="Note 3 8 2 2" xfId="2172" xr:uid="{00000000-0005-0000-0000-0000BE140000}"/>
    <cellStyle name="Note 3 8 2 3" xfId="3450" xr:uid="{00000000-0005-0000-0000-0000BF140000}"/>
    <cellStyle name="Note 3 8 2 4" xfId="4737" xr:uid="{00000000-0005-0000-0000-0000C0140000}"/>
    <cellStyle name="Note 3 8 3" xfId="1306" xr:uid="{00000000-0005-0000-0000-0000C1140000}"/>
    <cellStyle name="Note 3 8 3 2" xfId="2598" xr:uid="{00000000-0005-0000-0000-0000C2140000}"/>
    <cellStyle name="Note 3 8 3 3" xfId="3876" xr:uid="{00000000-0005-0000-0000-0000C3140000}"/>
    <cellStyle name="Note 3 8 3 4" xfId="5163" xr:uid="{00000000-0005-0000-0000-0000C4140000}"/>
    <cellStyle name="Note 3 8 4" xfId="1746" xr:uid="{00000000-0005-0000-0000-0000C5140000}"/>
    <cellStyle name="Note 3 8 5" xfId="3024" xr:uid="{00000000-0005-0000-0000-0000C6140000}"/>
    <cellStyle name="Note 3 8 6" xfId="4311" xr:uid="{00000000-0005-0000-0000-0000C7140000}"/>
    <cellStyle name="Note 3 9" xfId="667" xr:uid="{00000000-0005-0000-0000-0000C8140000}"/>
    <cellStyle name="Note 3 9 2" xfId="1959" xr:uid="{00000000-0005-0000-0000-0000C9140000}"/>
    <cellStyle name="Note 3 9 3" xfId="3237" xr:uid="{00000000-0005-0000-0000-0000CA140000}"/>
    <cellStyle name="Note 3 9 4" xfId="4524" xr:uid="{00000000-0005-0000-0000-0000CB140000}"/>
    <cellStyle name="Output" xfId="3" builtinId="21" customBuiltin="1"/>
    <cellStyle name="Percent" xfId="2" builtinId="5"/>
    <cellStyle name="Percent 2" xfId="40" xr:uid="{00000000-0005-0000-0000-0000CE140000}"/>
    <cellStyle name="Percent 2 2" xfId="249" xr:uid="{00000000-0005-0000-0000-0000CF140000}"/>
    <cellStyle name="Percent 2 2 2" xfId="5329" xr:uid="{00000000-0005-0000-0000-0000D0140000}"/>
    <cellStyle name="Percent 3" xfId="243" xr:uid="{00000000-0005-0000-0000-0000D1140000}"/>
    <cellStyle name="Percent 3 2" xfId="1357" xr:uid="{00000000-0005-0000-0000-0000D2140000}"/>
    <cellStyle name="Percent 3 2 2" xfId="5330" xr:uid="{00000000-0005-0000-0000-0000D3140000}"/>
    <cellStyle name="Percent 4" xfId="244" xr:uid="{00000000-0005-0000-0000-0000D4140000}"/>
    <cellStyle name="Percent 4 2" xfId="1353" xr:uid="{00000000-0005-0000-0000-0000D5140000}"/>
    <cellStyle name="Percent 4 2 2" xfId="5331" xr:uid="{00000000-0005-0000-0000-0000D6140000}"/>
    <cellStyle name="Title" xfId="42" builtinId="15" customBuiltin="1"/>
    <cellStyle name="Total" xfId="56" builtinId="25" customBuiltin="1"/>
    <cellStyle name="Warning Text" xfId="54" builtinId="11" customBuiltin="1"/>
  </cellStyles>
  <dxfs count="13">
    <dxf>
      <font>
        <b/>
        <i val="0"/>
        <color rgb="FF191970"/>
      </font>
      <fill>
        <patternFill>
          <bgColor rgb="FFFFDEAD"/>
        </patternFill>
      </fill>
    </dxf>
    <dxf>
      <font>
        <b/>
        <i val="0"/>
        <color rgb="FF191970"/>
      </font>
      <fill>
        <patternFill>
          <bgColor rgb="FFFFDEA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191970"/>
      </font>
      <fill>
        <patternFill>
          <bgColor rgb="FFFFDEA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s>
  <tableStyles count="0" defaultTableStyle="TableStyleMedium9" defaultPivotStyle="PivotStyleLight16"/>
  <colors>
    <mruColors>
      <color rgb="FFFFCCFF"/>
      <color rgb="FFFFFFCC"/>
      <color rgb="FFCCFF99"/>
      <color rgb="FFE9F54D"/>
      <color rgb="FFFFE1FF"/>
      <color rgb="FFDDFFDD"/>
      <color rgb="FFCCFFCC"/>
      <color rgb="FF66FF33"/>
      <color rgb="FFFD8BF5"/>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4.0/"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57</xdr:row>
      <xdr:rowOff>0</xdr:rowOff>
    </xdr:from>
    <xdr:to>
      <xdr:col>0</xdr:col>
      <xdr:colOff>762000</xdr:colOff>
      <xdr:row>57</xdr:row>
      <xdr:rowOff>132874</xdr:rowOff>
    </xdr:to>
    <xdr:pic>
      <xdr:nvPicPr>
        <xdr:cNvPr id="2" name="Picture 1" descr="Creative Commons License">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068050"/>
          <a:ext cx="762000" cy="140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xdr:colOff>
      <xdr:row>0</xdr:row>
      <xdr:rowOff>0</xdr:rowOff>
    </xdr:from>
    <xdr:to>
      <xdr:col>14</xdr:col>
      <xdr:colOff>1</xdr:colOff>
      <xdr:row>17</xdr:row>
      <xdr:rowOff>171450</xdr:rowOff>
    </xdr:to>
    <xdr:sp macro="" textlink="">
      <xdr:nvSpPr>
        <xdr:cNvPr id="2" name="TextBox 1" title="GL 810 Guidance">
          <a:extLst>
            <a:ext uri="{FF2B5EF4-FFF2-40B4-BE49-F238E27FC236}">
              <a16:creationId xmlns:a16="http://schemas.microsoft.com/office/drawing/2014/main" id="{00000000-0008-0000-0400-000002000000}"/>
            </a:ext>
          </a:extLst>
        </xdr:cNvPr>
        <xdr:cNvSpPr txBox="1"/>
      </xdr:nvSpPr>
      <xdr:spPr>
        <a:xfrm>
          <a:off x="9525001" y="0"/>
          <a:ext cx="3657600" cy="3409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810 Restricted for Other Items </a:t>
          </a:r>
        </a:p>
        <a:p>
          <a:pPr algn="l"/>
          <a:r>
            <a:rPr lang="en-US" sz="1100" b="0" i="0"/>
            <a:t>This account is used for recording</a:t>
          </a:r>
          <a:r>
            <a:rPr lang="en-US" sz="1100" b="0" i="0" baseline="0"/>
            <a:t> restrictions on spendable fund balance for amounts that have not been recorded in other accounts.</a:t>
          </a:r>
        </a:p>
        <a:p>
          <a:pPr algn="l"/>
          <a:endParaRPr lang="en-US" sz="1100" b="0" i="0" baseline="0"/>
        </a:p>
        <a:p>
          <a:pPr algn="l"/>
          <a:r>
            <a:rPr lang="en-US" sz="1100" b="1" i="0" baseline="0"/>
            <a:t>Beginning in 2011-2012: </a:t>
          </a:r>
          <a:r>
            <a:rPr lang="en-US" sz="1100" b="0" i="0" baseline="0"/>
            <a:t>Record amounts from the ASB Fund and the Debt Service Fund that are neither Nonspendable or recorded in a separate Restricted account. The fund balance for these funds should be reported in this GL  beginning  in 2011-2012. Districts are encouraged to use this GL for their Transportation Vehicle Fund balance as well.</a:t>
          </a:r>
          <a:endParaRPr lang="en-US" sz="1100" b="1" i="0" baseline="0"/>
        </a:p>
        <a:p>
          <a:pPr algn="l"/>
          <a:endParaRPr lang="en-US" sz="1100" b="0" i="0" baseline="0"/>
        </a:p>
        <a:p>
          <a:pPr algn="ctr"/>
          <a:r>
            <a:rPr lang="en-US" sz="1100" b="0" i="1" baseline="0"/>
            <a:t>Instructions for this sheet</a:t>
          </a:r>
        </a:p>
        <a:p>
          <a:pPr algn="l"/>
          <a:r>
            <a:rPr lang="en-US" sz="1100" b="0" i="0" baseline="0"/>
            <a:t>Space is provided for a number of restrictions on fund balance use. Restrictions come from outside of the district (Legislature, creditors, etc.). Each fund has its own column. Enter a description and enter the amount in the appropriate column.</a:t>
          </a:r>
          <a:endParaRPr lang="en-US" sz="1100" b="0" i="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0</xdr:rowOff>
    </xdr:from>
    <xdr:to>
      <xdr:col>14</xdr:col>
      <xdr:colOff>0</xdr:colOff>
      <xdr:row>18</xdr:row>
      <xdr:rowOff>0</xdr:rowOff>
    </xdr:to>
    <xdr:sp macro="" textlink="">
      <xdr:nvSpPr>
        <xdr:cNvPr id="2" name="TextBox 1" title="GL 815 Guidance">
          <a:extLst>
            <a:ext uri="{FF2B5EF4-FFF2-40B4-BE49-F238E27FC236}">
              <a16:creationId xmlns:a16="http://schemas.microsoft.com/office/drawing/2014/main" id="{00000000-0008-0000-0500-000002000000}"/>
            </a:ext>
          </a:extLst>
        </xdr:cNvPr>
        <xdr:cNvSpPr txBox="1"/>
      </xdr:nvSpPr>
      <xdr:spPr>
        <a:xfrm>
          <a:off x="6362700" y="0"/>
          <a:ext cx="4876800" cy="3457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a:t>
          </a:r>
          <a:r>
            <a:rPr lang="en-US" sz="1100" b="1" i="1" baseline="0"/>
            <a:t> 815 Restricted for Unequalized Deductible Revenues </a:t>
          </a:r>
        </a:p>
        <a:p>
          <a:r>
            <a:rPr lang="en-US" sz="1100" b="0" i="0" baseline="0"/>
            <a:t>This account is provided as a means for restricting fund balance for future recovery of deductible revenues. Refer to Chapter 2 for more information on deductible revenues. Cash basis districts make a restriction of fund balance for recoverable revenue at the time the revenue is received for reversal at the time the revenue is recovered. This account would be used for the following funding streams: 1400 Local in Lieu of Taxes, </a:t>
          </a:r>
          <a:r>
            <a:rPr lang="en-US" sz="1100" b="0" i="0" strike="sngStrike" baseline="0"/>
            <a:t>1600 County-Administered Forests, 3600 State Forests,</a:t>
          </a:r>
          <a:r>
            <a:rPr lang="en-US" sz="1100" b="0" i="0" baseline="0"/>
            <a:t> 5400 Federal in Lieu of Taxes. These General Fund revenues of the school district reduce the state payment to the district in Revenue 3100 Apportionment.</a:t>
          </a:r>
        </a:p>
        <a:p>
          <a:endParaRPr lang="en-US" sz="1100" b="0" i="0" baseline="0"/>
        </a:p>
        <a:p>
          <a:pPr algn="ctr"/>
          <a:r>
            <a:rPr lang="en-US" sz="1100" b="0" i="1" baseline="0"/>
            <a:t>Instructions for this sheet</a:t>
          </a:r>
        </a:p>
        <a:p>
          <a:pPr algn="l"/>
          <a:r>
            <a:rPr lang="en-US" sz="1100" b="0" i="0" baseline="0"/>
            <a:t>In the yellow cells, enter the amounts for prior year beginning balance, then deductible revenues reduced in the fiscal year (these are the prior year amounts that should have been reduced in the current year). </a:t>
          </a:r>
        </a:p>
        <a:p>
          <a:pPr algn="l"/>
          <a:endParaRPr lang="en-US" sz="1100" b="0" i="0" baseline="0"/>
        </a:p>
        <a:p>
          <a:pPr algn="l"/>
          <a:r>
            <a:rPr lang="en-US" sz="1100" b="0" i="0" baseline="0"/>
            <a:t>Next, enter any deductible revenues that have been received but not yet equalized against the district's General Apportionment payment. These amounts will be equalized in the coming year.</a:t>
          </a:r>
          <a:endParaRPr lang="en-US" sz="1100" b="0" i="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228600</xdr:colOff>
      <xdr:row>0</xdr:row>
      <xdr:rowOff>123825</xdr:rowOff>
    </xdr:from>
    <xdr:to>
      <xdr:col>13</xdr:col>
      <xdr:colOff>428625</xdr:colOff>
      <xdr:row>18</xdr:row>
      <xdr:rowOff>28575</xdr:rowOff>
    </xdr:to>
    <xdr:sp macro="" textlink="">
      <xdr:nvSpPr>
        <xdr:cNvPr id="2" name="TextBox 1" title="GL 819 Guidance">
          <a:extLst>
            <a:ext uri="{FF2B5EF4-FFF2-40B4-BE49-F238E27FC236}">
              <a16:creationId xmlns:a16="http://schemas.microsoft.com/office/drawing/2014/main" id="{00000000-0008-0000-0600-000002000000}"/>
            </a:ext>
          </a:extLst>
        </xdr:cNvPr>
        <xdr:cNvSpPr txBox="1"/>
      </xdr:nvSpPr>
      <xdr:spPr>
        <a:xfrm>
          <a:off x="228600" y="123825"/>
          <a:ext cx="8124825" cy="333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819 Restricted for Fund Purposes</a:t>
          </a:r>
          <a:endParaRPr lang="en-US" sz="1100" b="1" i="1" baseline="0"/>
        </a:p>
        <a:p>
          <a:pPr algn="ctr"/>
          <a:r>
            <a:rPr lang="en-US" sz="1100" b="1" i="1" baseline="0"/>
            <a:t>ASB, TVF</a:t>
          </a:r>
        </a:p>
        <a:p>
          <a:pPr algn="l"/>
          <a:r>
            <a:rPr lang="en-US" sz="1100" b="0" i="0" baseline="0"/>
            <a:t>This account is used to record the ending fund balance in governmental funds relating to resources that are restricted by enabling legislation, legal requirements, or other enforceable claims. Amounts in this account are  restricted to being used only for the purposes of the fund they are in.</a:t>
          </a:r>
        </a:p>
        <a:p>
          <a:pPr algn="l"/>
          <a:endParaRPr lang="en-US" sz="1100" b="0" i="0" baseline="0"/>
        </a:p>
        <a:p>
          <a:pPr algn="l"/>
          <a:r>
            <a:rPr lang="en-US" sz="1100" b="0" i="0" baseline="0"/>
            <a:t>The amount in this account is equal to the fund's assets less liabilities, less amounts that are Nonspendable or otherwise Restricted. If this account would be negative, record the amount in GL 890 Unassigned Fund Balance instead.</a:t>
          </a:r>
        </a:p>
        <a:p>
          <a:pPr algn="l"/>
          <a:endParaRPr lang="en-US" sz="1100" b="0" i="0" baseline="0"/>
        </a:p>
        <a:p>
          <a:pPr algn="ctr"/>
          <a:r>
            <a:rPr lang="en-US" sz="1100" b="0" i="1" baseline="0"/>
            <a:t>Instructions for this Sheet</a:t>
          </a:r>
        </a:p>
        <a:p>
          <a:pPr algn="l"/>
          <a:r>
            <a:rPr lang="en-US" sz="1100" b="0" i="0" baseline="0"/>
            <a:t>This is a residual account for the ASB Fund and Transportation Vehicle Fund. No entry is necessary for this sheet.</a:t>
          </a:r>
          <a:endParaRPr lang="en-US" sz="1100" b="0" i="0"/>
        </a:p>
        <a:p>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9524</xdr:colOff>
      <xdr:row>0</xdr:row>
      <xdr:rowOff>0</xdr:rowOff>
    </xdr:from>
    <xdr:to>
      <xdr:col>13</xdr:col>
      <xdr:colOff>609599</xdr:colOff>
      <xdr:row>24</xdr:row>
      <xdr:rowOff>66675</xdr:rowOff>
    </xdr:to>
    <xdr:sp macro="" textlink="">
      <xdr:nvSpPr>
        <xdr:cNvPr id="2" name="TextBox 1" title="GL 821 Guidance">
          <a:extLst>
            <a:ext uri="{FF2B5EF4-FFF2-40B4-BE49-F238E27FC236}">
              <a16:creationId xmlns:a16="http://schemas.microsoft.com/office/drawing/2014/main" id="{00000000-0008-0000-0800-000002000000}"/>
            </a:ext>
          </a:extLst>
        </xdr:cNvPr>
        <xdr:cNvSpPr txBox="1"/>
      </xdr:nvSpPr>
      <xdr:spPr>
        <a:xfrm>
          <a:off x="10106024" y="0"/>
          <a:ext cx="5286375" cy="47529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a:t>GL</a:t>
          </a:r>
          <a:r>
            <a:rPr lang="en-US" sz="1100" b="1" i="1" u="none" baseline="0"/>
            <a:t> 821 Restricted for Carryover of Restricted Revenue</a:t>
          </a:r>
        </a:p>
        <a:p>
          <a:r>
            <a:rPr lang="en-US" sz="1100" b="0" i="0" u="none"/>
            <a:t>This General Ledger account is</a:t>
          </a:r>
          <a:r>
            <a:rPr lang="en-US" sz="1100" b="0" i="0" u="none" baseline="0"/>
            <a:t> provided as a means for accumulating and restricting fund balance for future uses. All districts must identify a restriction of fund balance at year-end for amounts determined to be unspent carryover funds with restricted use. This would include the following state funding streams: Learning Assistance Program, Transitional Bilingual, Highly Capable, Student Transportation, State Institutions, Special Education, Fire District, Vocational Funds, and other such unspent funds as may be subject to restricted-use carryover.</a:t>
          </a:r>
        </a:p>
        <a:p>
          <a:endParaRPr lang="en-US" sz="1100" b="0" i="0" u="none" baseline="0"/>
        </a:p>
        <a:p>
          <a:pPr algn="ctr"/>
          <a:r>
            <a:rPr lang="en-US" sz="1100" b="0" i="1" u="none" baseline="0"/>
            <a:t>Instructions for this sheet</a:t>
          </a:r>
        </a:p>
        <a:p>
          <a:pPr algn="l"/>
          <a:r>
            <a:rPr lang="en-US" sz="1100" b="0" i="0" u="none" baseline="0"/>
            <a:t>The CCDDD reference in cell F1 is linked to the summary sheet and should not be changed. You should only change the CCDDD number in the Fund Balance Summary worksheet.</a:t>
          </a:r>
        </a:p>
        <a:p>
          <a:pPr algn="l"/>
          <a:endParaRPr lang="en-US" sz="1100" b="0" i="0" u="none" baseline="0"/>
        </a:p>
        <a:p>
          <a:pPr algn="l"/>
          <a:r>
            <a:rPr lang="en-US" sz="1100" b="0" i="0" u="none" baseline="0"/>
            <a:t>This sheet is based on Jackie McDonald's Recovery/Carryover worksheet. </a:t>
          </a:r>
          <a:r>
            <a:rPr lang="en-US" sz="1100" b="1" i="0" u="none" baseline="0">
              <a:solidFill>
                <a:srgbClr val="C00000"/>
              </a:solidFill>
            </a:rPr>
            <a:t>Allocations are as of August 2024</a:t>
          </a:r>
          <a:r>
            <a:rPr lang="en-US" sz="1100" b="0" i="0" u="none" baseline="0"/>
            <a:t>. This GL821 Restricted worksheet is intended to provide a reasonable estimate of carryover/recovery amounts. </a:t>
          </a:r>
          <a:r>
            <a:rPr lang="en-US" sz="1100" b="0" i="1" u="sng" baseline="0"/>
            <a:t>Final recovery/carryover calculations will be performed in January, and amounts may differ slightly from the amounts shown here. </a:t>
          </a:r>
          <a:r>
            <a:rPr lang="en-US" sz="1100" b="0" i="0" u="none" baseline="0"/>
            <a:t>If there is a discrepancy between this sheet and </a:t>
          </a:r>
          <a:r>
            <a:rPr lang="en-US" sz="1100" b="0" i="0" baseline="0">
              <a:solidFill>
                <a:schemeClr val="dk1"/>
              </a:solidFill>
              <a:effectLst/>
              <a:latin typeface="+mn-lt"/>
              <a:ea typeface="+mn-ea"/>
              <a:cs typeface="+mn-cs"/>
            </a:rPr>
            <a:t>Jackie McDonald's </a:t>
          </a:r>
          <a:r>
            <a:rPr lang="en-US" sz="1100" b="0" i="0" u="none" baseline="0"/>
            <a:t>Estimated Recovery Sheet, use the amount from </a:t>
          </a:r>
          <a:r>
            <a:rPr lang="en-US" sz="1100" b="0" i="0" baseline="0">
              <a:solidFill>
                <a:schemeClr val="dk1"/>
              </a:solidFill>
              <a:effectLst/>
              <a:latin typeface="+mn-lt"/>
              <a:ea typeface="+mn-ea"/>
              <a:cs typeface="+mn-cs"/>
            </a:rPr>
            <a:t>Jackie McDonald's Recovery/Carryover worksheet</a:t>
          </a:r>
          <a:r>
            <a:rPr lang="en-US" sz="1100" b="0" i="0" u="none" baseline="0"/>
            <a:t>.</a:t>
          </a:r>
          <a:endParaRPr lang="en-US" sz="1100" b="0" i="1" u="sng" baseline="0"/>
        </a:p>
        <a:p>
          <a:pPr algn="l"/>
          <a:endParaRPr lang="en-US" sz="1100" b="0" i="0" u="none" baseline="0"/>
        </a:p>
        <a:p>
          <a:pPr algn="l"/>
          <a:r>
            <a:rPr lang="en-US" sz="1100" b="0" i="0" u="none" baseline="0"/>
            <a:t>Most of this sheet will auto-populate. </a:t>
          </a:r>
          <a:r>
            <a:rPr lang="en-US" sz="1100" b="1" i="0" u="none" baseline="0"/>
            <a:t>Enter missing information,</a:t>
          </a:r>
          <a:r>
            <a:rPr lang="en-US" sz="1100" b="0" i="0" u="none" baseline="0"/>
            <a:t> as appropriate, into the </a:t>
          </a:r>
          <a:r>
            <a:rPr lang="en-US" sz="1100" b="1" i="0" u="none" baseline="0">
              <a:solidFill>
                <a:sysClr val="windowText" lastClr="000000"/>
              </a:solidFill>
            </a:rPr>
            <a:t>yellow cells</a:t>
          </a:r>
          <a:r>
            <a:rPr lang="en-US" sz="1100" b="0" i="0" u="none" baseline="0"/>
            <a:t>.</a:t>
          </a:r>
        </a:p>
        <a:p>
          <a:pPr algn="l"/>
          <a:endParaRPr lang="en-US" sz="1100" b="0" i="0" u="none" baseline="0"/>
        </a:p>
        <a:p>
          <a:pPr algn="l"/>
          <a:r>
            <a:rPr lang="en-US" sz="1100" b="0" i="0" u="none" baseline="0"/>
            <a:t>If the district is a cash-basis district, recovery amounts are calculated and should be included in the balance of GL 821. For accrual-basis districts, recovery amounts should be accrued as a liability (GL 630 Due to Other Governmental Units).</a:t>
          </a:r>
          <a:endParaRPr lang="en-US" sz="1100" b="0" i="0" u="none"/>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190499</xdr:rowOff>
    </xdr:from>
    <xdr:to>
      <xdr:col>15</xdr:col>
      <xdr:colOff>466725</xdr:colOff>
      <xdr:row>32</xdr:row>
      <xdr:rowOff>85724</xdr:rowOff>
    </xdr:to>
    <xdr:pic>
      <xdr:nvPicPr>
        <xdr:cNvPr id="4" name="Picture 3" title="GL 825 Guidance">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43850" y="380999"/>
          <a:ext cx="5953125" cy="5857875"/>
        </a:xfrm>
        <a:prstGeom prst="rect">
          <a:avLst/>
        </a:prstGeom>
        <a:solidFill>
          <a:schemeClr val="bg1"/>
        </a:solidFill>
        <a:ln>
          <a:solidFill>
            <a:sysClr val="windowText" lastClr="000000"/>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0</xdr:colOff>
      <xdr:row>1</xdr:row>
      <xdr:rowOff>0</xdr:rowOff>
    </xdr:from>
    <xdr:to>
      <xdr:col>40</xdr:col>
      <xdr:colOff>472440</xdr:colOff>
      <xdr:row>32</xdr:row>
      <xdr:rowOff>160020</xdr:rowOff>
    </xdr:to>
    <xdr:pic>
      <xdr:nvPicPr>
        <xdr:cNvPr id="3" name="Picture 2" title="GL 828 Guidance">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88650" y="190500"/>
          <a:ext cx="5953125" cy="6477000"/>
        </a:xfrm>
        <a:prstGeom prst="rect">
          <a:avLst/>
        </a:prstGeom>
        <a:solidFill>
          <a:schemeClr val="bg1"/>
        </a:solidFill>
        <a:ln>
          <a:solidFill>
            <a:sysClr val="windowText" lastClr="000000"/>
          </a:solid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600075</xdr:colOff>
      <xdr:row>0</xdr:row>
      <xdr:rowOff>0</xdr:rowOff>
    </xdr:from>
    <xdr:to>
      <xdr:col>14</xdr:col>
      <xdr:colOff>0</xdr:colOff>
      <xdr:row>18</xdr:row>
      <xdr:rowOff>123825</xdr:rowOff>
    </xdr:to>
    <xdr:sp macro="" textlink="">
      <xdr:nvSpPr>
        <xdr:cNvPr id="2" name="TextBox 1" title="gl 830 guidance">
          <a:extLst>
            <a:ext uri="{FF2B5EF4-FFF2-40B4-BE49-F238E27FC236}">
              <a16:creationId xmlns:a16="http://schemas.microsoft.com/office/drawing/2014/main" id="{00000000-0008-0000-0E00-000002000000}"/>
            </a:ext>
          </a:extLst>
        </xdr:cNvPr>
        <xdr:cNvSpPr txBox="1"/>
      </xdr:nvSpPr>
      <xdr:spPr>
        <a:xfrm>
          <a:off x="6743700" y="0"/>
          <a:ext cx="3667125" cy="3552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830 Restricted for Debt Service</a:t>
          </a:r>
          <a:r>
            <a:rPr lang="en-US" sz="1100" b="1" i="1" baseline="0"/>
            <a:t> </a:t>
          </a:r>
        </a:p>
        <a:p>
          <a:r>
            <a:rPr lang="en-US" sz="1100" b="0" i="0" baseline="0"/>
            <a:t>This account provides the means for accumulating and restricting fund balance for the future payment of contractual obligations incurred and carried in the Schedule of Long-Term Debt. The balance of this account represents a restriction of both fund cash and fund balance.</a:t>
          </a:r>
        </a:p>
        <a:p>
          <a:endParaRPr lang="en-US" sz="1100" b="0" i="0" baseline="0"/>
        </a:p>
        <a:p>
          <a:pPr algn="ctr"/>
          <a:r>
            <a:rPr lang="en-US" sz="1100" b="0" i="1" baseline="0"/>
            <a:t>Instructions for this sheet</a:t>
          </a:r>
        </a:p>
        <a:p>
          <a:pPr algn="l"/>
          <a:r>
            <a:rPr lang="en-US" sz="1100" b="0" i="0" baseline="0"/>
            <a:t>Space is provided in rows 7-26 for any amounts that are being restricted for debt service payments in funds other than the Debt Service Fund. The extra space is provided in the event of multiple restrictions that the district wants to track separately.</a:t>
          </a:r>
        </a:p>
        <a:p>
          <a:pPr algn="l"/>
          <a:endParaRPr lang="en-US" sz="1100" b="0" i="0" baseline="0"/>
        </a:p>
        <a:p>
          <a:pPr algn="l"/>
          <a:r>
            <a:rPr lang="en-US" sz="1100" b="0" i="0" baseline="0"/>
            <a:t>There is a column for the Debt Service Fund as well, but there is no entry for the DSF. Aside from money needed for arbitrage rebate or any fund balance amounts that are derived from state forest revenues, the residual should go into this account. No entry is necessary.</a:t>
          </a:r>
          <a:endParaRPr lang="en-US" sz="1100" b="0" i="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0</xdr:row>
      <xdr:rowOff>0</xdr:rowOff>
    </xdr:from>
    <xdr:to>
      <xdr:col>14</xdr:col>
      <xdr:colOff>0</xdr:colOff>
      <xdr:row>8</xdr:row>
      <xdr:rowOff>180974</xdr:rowOff>
    </xdr:to>
    <xdr:sp macro="" textlink="">
      <xdr:nvSpPr>
        <xdr:cNvPr id="2" name="TextBox 1" title="gl 835 guidance">
          <a:extLst>
            <a:ext uri="{FF2B5EF4-FFF2-40B4-BE49-F238E27FC236}">
              <a16:creationId xmlns:a16="http://schemas.microsoft.com/office/drawing/2014/main" id="{00000000-0008-0000-0F00-000002000000}"/>
            </a:ext>
          </a:extLst>
        </xdr:cNvPr>
        <xdr:cNvSpPr txBox="1"/>
      </xdr:nvSpPr>
      <xdr:spPr>
        <a:xfrm>
          <a:off x="8877300" y="0"/>
          <a:ext cx="3657600" cy="1704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a:t>GL 835 Restricted for Arbitrage</a:t>
          </a:r>
          <a:r>
            <a:rPr lang="en-US" sz="1100" b="1" i="1" u="none" baseline="0"/>
            <a:t> Rebate</a:t>
          </a:r>
        </a:p>
        <a:p>
          <a:r>
            <a:rPr lang="en-US" sz="1100" b="0" i="0" u="none" baseline="0"/>
            <a:t>The purpose of this account is to show a restriction on fund balance for the amount of arbitrage rebate payable to the IRS more than one year in the future.</a:t>
          </a:r>
        </a:p>
        <a:p>
          <a:endParaRPr lang="en-US" sz="1100" b="0" i="0" u="none" baseline="0"/>
        </a:p>
        <a:p>
          <a:pPr algn="ctr"/>
          <a:r>
            <a:rPr lang="en-US" sz="1100" b="0" i="1" u="none" baseline="0"/>
            <a:t>Instructions for this sheet</a:t>
          </a:r>
        </a:p>
        <a:p>
          <a:pPr algn="l"/>
          <a:r>
            <a:rPr lang="en-US" sz="1100" b="0" i="0" u="none" baseline="0"/>
            <a:t>If the district owes (or expects to owe) arbitrage rebate that is due more than one year in the future, enter the amount in the appropriate fund column of the amount that is owed.</a:t>
          </a:r>
          <a:endParaRPr lang="en-US" sz="1100" b="0" i="0" u="none"/>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0</xdr:row>
      <xdr:rowOff>1</xdr:rowOff>
    </xdr:from>
    <xdr:to>
      <xdr:col>16</xdr:col>
      <xdr:colOff>609599</xdr:colOff>
      <xdr:row>11</xdr:row>
      <xdr:rowOff>1</xdr:rowOff>
    </xdr:to>
    <xdr:sp macro="" textlink="">
      <xdr:nvSpPr>
        <xdr:cNvPr id="2" name="TextBox 1" title="gl 840 guidance">
          <a:extLst>
            <a:ext uri="{FF2B5EF4-FFF2-40B4-BE49-F238E27FC236}">
              <a16:creationId xmlns:a16="http://schemas.microsoft.com/office/drawing/2014/main" id="{00000000-0008-0000-1000-000002000000}"/>
            </a:ext>
          </a:extLst>
        </xdr:cNvPr>
        <xdr:cNvSpPr txBox="1"/>
      </xdr:nvSpPr>
      <xdr:spPr>
        <a:xfrm>
          <a:off x="8305800" y="1"/>
          <a:ext cx="4876799"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840 Nonspendable</a:t>
          </a:r>
          <a:r>
            <a:rPr lang="en-US" sz="1100" b="1" i="1" baseline="0"/>
            <a:t> Fund Balance—Inventory and Prepaid Items </a:t>
          </a:r>
        </a:p>
        <a:p>
          <a:r>
            <a:rPr lang="en-US" sz="1100" b="0" i="0" baseline="0"/>
            <a:t>This account balance should reflect the district's recorded inventories and/or prepaid items on the balance sheet. These are assets of the district that are not in spendable form.</a:t>
          </a:r>
        </a:p>
        <a:p>
          <a:endParaRPr lang="en-US" sz="1100" b="0" i="0" baseline="0"/>
        </a:p>
        <a:p>
          <a:pPr algn="ctr"/>
          <a:r>
            <a:rPr lang="en-US" sz="1100" b="0" i="1" baseline="0"/>
            <a:t>Instructions for this sheet</a:t>
          </a:r>
        </a:p>
        <a:p>
          <a:pPr algn="l"/>
          <a:r>
            <a:rPr lang="en-US" sz="1100" b="0" i="0" baseline="0"/>
            <a:t>In the yellow cells, enter the amounts in the appropriate corresponding GL code for the appropriate fund. The General Fund and ASB Fund calculate separately.</a:t>
          </a:r>
        </a:p>
        <a:p>
          <a:pPr algn="l"/>
          <a:endParaRPr lang="en-US" sz="1100" b="0" i="0" baseline="0"/>
        </a:p>
        <a:p>
          <a:pPr algn="l"/>
          <a:r>
            <a:rPr lang="en-US" sz="1100" b="0" i="0" baseline="0"/>
            <a:t>These amounts represent net assets (fund balance) of the district that are not in spendable form.</a:t>
          </a:r>
          <a:endParaRPr lang="en-US" sz="1100" b="0" i="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7</xdr:col>
      <xdr:colOff>9525</xdr:colOff>
      <xdr:row>0</xdr:row>
      <xdr:rowOff>0</xdr:rowOff>
    </xdr:from>
    <xdr:ext cx="3667125" cy="1914524"/>
    <xdr:sp macro="" textlink="">
      <xdr:nvSpPr>
        <xdr:cNvPr id="2" name="TextBox 1" title="gl 845 guidance">
          <a:extLst>
            <a:ext uri="{FF2B5EF4-FFF2-40B4-BE49-F238E27FC236}">
              <a16:creationId xmlns:a16="http://schemas.microsoft.com/office/drawing/2014/main" id="{00000000-0008-0000-1100-000002000000}"/>
            </a:ext>
          </a:extLst>
        </xdr:cNvPr>
        <xdr:cNvSpPr txBox="1"/>
      </xdr:nvSpPr>
      <xdr:spPr>
        <a:xfrm>
          <a:off x="5600700" y="0"/>
          <a:ext cx="3667125" cy="1914524"/>
        </a:xfrm>
        <a:prstGeom prst="rect">
          <a:avLst/>
        </a:prstGeom>
        <a:solidFill>
          <a:schemeClr val="bg1"/>
        </a:solidFill>
        <a:ln>
          <a:solidFill>
            <a:schemeClr val="bg2">
              <a:lumMod val="2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b="1" i="1"/>
            <a:t>GL 845 Restricted</a:t>
          </a:r>
          <a:r>
            <a:rPr lang="en-US" sz="1100" b="1" i="1" baseline="0"/>
            <a:t> for Self-Insurance</a:t>
          </a:r>
        </a:p>
        <a:p>
          <a:r>
            <a:rPr lang="en-US" sz="1100" b="0" i="0" baseline="0"/>
            <a:t>This account is used to restrict fund balance for amounts that the district is legally required to maintain as a condition of being self-insured (with the Department of Labor and Industries). </a:t>
          </a:r>
        </a:p>
        <a:p>
          <a:endParaRPr lang="en-US" sz="1100" b="0" i="0" baseline="0"/>
        </a:p>
        <a:p>
          <a:pPr algn="ctr"/>
          <a:r>
            <a:rPr lang="en-US" sz="1100" b="0" i="1" baseline="0"/>
            <a:t>Instructions for this sheet</a:t>
          </a:r>
        </a:p>
        <a:p>
          <a:pPr algn="l"/>
          <a:r>
            <a:rPr lang="en-US" sz="1100" b="0" i="0" baseline="0"/>
            <a:t>If the district is self-insured for industrial insurance, enter the amount that the district is required to maintain in reserve as a condition of being self-insured.</a:t>
          </a:r>
          <a:endParaRPr lang="en-US" sz="1100" b="0" i="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9</xdr:col>
      <xdr:colOff>0</xdr:colOff>
      <xdr:row>0</xdr:row>
      <xdr:rowOff>0</xdr:rowOff>
    </xdr:from>
    <xdr:to>
      <xdr:col>17</xdr:col>
      <xdr:colOff>0</xdr:colOff>
      <xdr:row>12</xdr:row>
      <xdr:rowOff>9524</xdr:rowOff>
    </xdr:to>
    <xdr:sp macro="" textlink="">
      <xdr:nvSpPr>
        <xdr:cNvPr id="2" name="TextBox 1" title="gl 850 guidance">
          <a:extLst>
            <a:ext uri="{FF2B5EF4-FFF2-40B4-BE49-F238E27FC236}">
              <a16:creationId xmlns:a16="http://schemas.microsoft.com/office/drawing/2014/main" id="{00000000-0008-0000-1200-000002000000}"/>
            </a:ext>
          </a:extLst>
        </xdr:cNvPr>
        <xdr:cNvSpPr txBox="1"/>
      </xdr:nvSpPr>
      <xdr:spPr>
        <a:xfrm>
          <a:off x="7515225" y="0"/>
          <a:ext cx="4876800" cy="2295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850 Restricted for</a:t>
          </a:r>
          <a:r>
            <a:rPr lang="en-US" sz="1100" b="1" i="1" baseline="0"/>
            <a:t> Uninsured Risks </a:t>
          </a:r>
          <a:endParaRPr lang="en-US" sz="1100" b="0" i="0" baseline="0"/>
        </a:p>
        <a:p>
          <a:r>
            <a:rPr lang="en-US" sz="1100" b="0" i="0" baseline="0"/>
            <a:t>This account is used to restrict a portion of fund balance for future losses not covered by insurance. The amounts put in this account are required under self-insurance. Contra entries are made to Account 890 Unassigned Fund Balance (GF) or 889 Assigned to Fund Purposes (all other listed funds).</a:t>
          </a:r>
        </a:p>
        <a:p>
          <a:endParaRPr lang="en-US" sz="1100" b="0" i="0" baseline="0"/>
        </a:p>
        <a:p>
          <a:pPr algn="ctr"/>
          <a:r>
            <a:rPr lang="en-US" sz="1100" b="0" i="1" baseline="0"/>
            <a:t>Instructions for this sheet</a:t>
          </a:r>
        </a:p>
        <a:p>
          <a:pPr algn="l"/>
          <a:r>
            <a:rPr lang="en-US" sz="1100" b="0" i="0" baseline="0"/>
            <a:t>If the district maintains self-insurance for items other than industrial insurance, any amounts that the district is required to keep in reserve should be reported in this account. Space is provided for multiple accounts if necessary. Also, any other contractual obligations to maintain coverage in the event of losses not covered by insurance should be reported here.</a:t>
          </a:r>
          <a:endParaRPr lang="en-US" sz="1100" b="1" i="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0</xdr:row>
      <xdr:rowOff>0</xdr:rowOff>
    </xdr:from>
    <xdr:to>
      <xdr:col>12</xdr:col>
      <xdr:colOff>600075</xdr:colOff>
      <xdr:row>11</xdr:row>
      <xdr:rowOff>0</xdr:rowOff>
    </xdr:to>
    <xdr:sp macro="" textlink="">
      <xdr:nvSpPr>
        <xdr:cNvPr id="2" name="TextBox 1" title="gl 855 guidance">
          <a:extLst>
            <a:ext uri="{FF2B5EF4-FFF2-40B4-BE49-F238E27FC236}">
              <a16:creationId xmlns:a16="http://schemas.microsoft.com/office/drawing/2014/main" id="{00000000-0008-0000-1300-000002000000}"/>
            </a:ext>
          </a:extLst>
        </xdr:cNvPr>
        <xdr:cNvSpPr txBox="1"/>
      </xdr:nvSpPr>
      <xdr:spPr>
        <a:xfrm>
          <a:off x="5514975" y="0"/>
          <a:ext cx="3648075" cy="229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855 Nonspendable</a:t>
          </a:r>
          <a:r>
            <a:rPr lang="en-US" sz="1100" b="1" i="1" baseline="0"/>
            <a:t> Fund Balance—Trust Principal           </a:t>
          </a:r>
        </a:p>
        <a:p>
          <a:r>
            <a:rPr lang="en-US" sz="1100" b="0" i="0" baseline="0"/>
            <a:t>For use only in trust funds where the principal may not be expended, this account shows the portion of trust assets that represents principal. After the closing of the nonoperating revenue and nonoperating expense accounts, this account is equal to the principal of the trust.</a:t>
          </a:r>
        </a:p>
        <a:p>
          <a:endParaRPr lang="en-US" sz="1100" b="0" i="0" baseline="0"/>
        </a:p>
        <a:p>
          <a:pPr algn="ctr"/>
          <a:r>
            <a:rPr lang="en-US" sz="1100" b="0" i="1" baseline="0"/>
            <a:t>Instructions for this sheet</a:t>
          </a:r>
        </a:p>
        <a:p>
          <a:pPr algn="l"/>
          <a:r>
            <a:rPr lang="en-US" sz="1100" b="0" i="0" baseline="0"/>
            <a:t>If the district has a permanent fund (a donation or other endowment that is limited such that only interest earnings may be spent), enter the amount of the principal of that fund in this account.</a:t>
          </a:r>
          <a:endParaRPr lang="en-US" sz="1100" b="0" i="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600074</xdr:colOff>
      <xdr:row>0</xdr:row>
      <xdr:rowOff>1</xdr:rowOff>
    </xdr:from>
    <xdr:to>
      <xdr:col>12</xdr:col>
      <xdr:colOff>609599</xdr:colOff>
      <xdr:row>10</xdr:row>
      <xdr:rowOff>0</xdr:rowOff>
    </xdr:to>
    <xdr:sp macro="" textlink="">
      <xdr:nvSpPr>
        <xdr:cNvPr id="2" name="TextBox 1" title="gl 861 guidance">
          <a:extLst>
            <a:ext uri="{FF2B5EF4-FFF2-40B4-BE49-F238E27FC236}">
              <a16:creationId xmlns:a16="http://schemas.microsoft.com/office/drawing/2014/main" id="{00000000-0008-0000-1400-000002000000}"/>
            </a:ext>
          </a:extLst>
        </xdr:cNvPr>
        <xdr:cNvSpPr txBox="1"/>
      </xdr:nvSpPr>
      <xdr:spPr>
        <a:xfrm>
          <a:off x="6143624" y="1"/>
          <a:ext cx="4276725" cy="1904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861 Restricted from Bond Proceeds</a:t>
          </a:r>
          <a:endParaRPr lang="en-US" sz="1100" b="1" i="1" baseline="0"/>
        </a:p>
        <a:p>
          <a:r>
            <a:rPr lang="en-US" sz="1100" b="0" i="0" baseline="0"/>
            <a:t>This account is provided to record the amounts remaining from bond issues and earnings from bond proceeds investments that have been allocated for specific projects or the amounts remaining after the proposition projects have been completed.</a:t>
          </a:r>
        </a:p>
        <a:p>
          <a:endParaRPr lang="en-US" sz="1100" b="0" i="0" baseline="0"/>
        </a:p>
        <a:p>
          <a:pPr algn="ctr"/>
          <a:r>
            <a:rPr lang="en-US" sz="1100" b="0" i="1" baseline="0"/>
            <a:t>Instructions for this sheet</a:t>
          </a:r>
        </a:p>
        <a:p>
          <a:pPr algn="l"/>
          <a:r>
            <a:rPr lang="en-US" sz="1100" b="0" i="0" baseline="0"/>
            <a:t>Bonds sold and interest earned should be equal to CPF revenues with a source/use code of 1. Expenditures with a source/use code of 1 should be recorded in the appropriate place.</a:t>
          </a:r>
          <a:endParaRPr lang="en-US" sz="1100" b="0" i="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0</xdr:row>
      <xdr:rowOff>0</xdr:rowOff>
    </xdr:from>
    <xdr:to>
      <xdr:col>13</xdr:col>
      <xdr:colOff>0</xdr:colOff>
      <xdr:row>10</xdr:row>
      <xdr:rowOff>9524</xdr:rowOff>
    </xdr:to>
    <xdr:sp macro="" textlink="">
      <xdr:nvSpPr>
        <xdr:cNvPr id="2" name="TextBox 1" title="gl 862 guidance">
          <a:extLst>
            <a:ext uri="{FF2B5EF4-FFF2-40B4-BE49-F238E27FC236}">
              <a16:creationId xmlns:a16="http://schemas.microsoft.com/office/drawing/2014/main" id="{00000000-0008-0000-1500-000002000000}"/>
            </a:ext>
          </a:extLst>
        </xdr:cNvPr>
        <xdr:cNvSpPr txBox="1"/>
      </xdr:nvSpPr>
      <xdr:spPr>
        <a:xfrm>
          <a:off x="6153150" y="0"/>
          <a:ext cx="4267200" cy="1914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862</a:t>
          </a:r>
          <a:r>
            <a:rPr lang="en-US" sz="1100" b="1" i="1" baseline="0"/>
            <a:t> Committed from Levy Proceeds</a:t>
          </a:r>
        </a:p>
        <a:p>
          <a:r>
            <a:rPr lang="en-US" sz="1100" b="0" i="0" baseline="0"/>
            <a:t>This account is provided to record the amounts remaining from capital projects levies that have been allocated for specific purposes or the amounts remaining after the proposition projects have been completed.</a:t>
          </a:r>
        </a:p>
        <a:p>
          <a:endParaRPr lang="en-US" sz="1100" b="0" i="0" baseline="0"/>
        </a:p>
        <a:p>
          <a:pPr algn="ctr"/>
          <a:r>
            <a:rPr lang="en-US" sz="1100" b="0" i="1" baseline="0"/>
            <a:t>Instructions for this sheet</a:t>
          </a:r>
        </a:p>
        <a:p>
          <a:pPr algn="l"/>
          <a:r>
            <a:rPr lang="en-US" sz="1100" b="0" i="0" baseline="0"/>
            <a:t>This sheet is used to record transactions (revenues, expenditures) in the CPF with a source/use code of "2".</a:t>
          </a:r>
          <a:endParaRPr lang="en-US" sz="1100" b="0" i="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9525</xdr:colOff>
      <xdr:row>0</xdr:row>
      <xdr:rowOff>0</xdr:rowOff>
    </xdr:from>
    <xdr:to>
      <xdr:col>13</xdr:col>
      <xdr:colOff>0</xdr:colOff>
      <xdr:row>9</xdr:row>
      <xdr:rowOff>0</xdr:rowOff>
    </xdr:to>
    <xdr:sp macro="" textlink="">
      <xdr:nvSpPr>
        <xdr:cNvPr id="2" name="TextBox 1" title="gl 863 guidance">
          <a:extLst>
            <a:ext uri="{FF2B5EF4-FFF2-40B4-BE49-F238E27FC236}">
              <a16:creationId xmlns:a16="http://schemas.microsoft.com/office/drawing/2014/main" id="{00000000-0008-0000-1600-000002000000}"/>
            </a:ext>
          </a:extLst>
        </xdr:cNvPr>
        <xdr:cNvSpPr txBox="1"/>
      </xdr:nvSpPr>
      <xdr:spPr>
        <a:xfrm>
          <a:off x="6772275" y="0"/>
          <a:ext cx="3648075"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863 Restricted from</a:t>
          </a:r>
          <a:r>
            <a:rPr lang="en-US" sz="1100" b="1" i="1" baseline="0"/>
            <a:t> State Proceeds</a:t>
          </a:r>
        </a:p>
        <a:p>
          <a:r>
            <a:rPr lang="en-US" sz="1100" b="0" i="0" baseline="0"/>
            <a:t>This account is provided to close project revenues and expenditures for projects funded totally or in part with state funds.</a:t>
          </a:r>
        </a:p>
        <a:p>
          <a:endParaRPr lang="en-US" sz="1100" b="0" i="0" baseline="0"/>
        </a:p>
        <a:p>
          <a:pPr algn="ctr"/>
          <a:r>
            <a:rPr lang="en-US" sz="1100" b="0" i="1" baseline="0"/>
            <a:t>Instructions for this sheet</a:t>
          </a:r>
        </a:p>
        <a:p>
          <a:pPr algn="l"/>
          <a:r>
            <a:rPr lang="en-US" sz="1100" b="0" i="0" baseline="0"/>
            <a:t>This sheet is used to record transactions (revenues, expenditures) in the CPF that have a source/use code of "3".</a:t>
          </a:r>
          <a:endParaRPr lang="en-US" sz="1100" b="0" i="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0</xdr:colOff>
      <xdr:row>0</xdr:row>
      <xdr:rowOff>0</xdr:rowOff>
    </xdr:from>
    <xdr:to>
      <xdr:col>13</xdr:col>
      <xdr:colOff>9525</xdr:colOff>
      <xdr:row>8</xdr:row>
      <xdr:rowOff>9525</xdr:rowOff>
    </xdr:to>
    <xdr:sp macro="" textlink="">
      <xdr:nvSpPr>
        <xdr:cNvPr id="2" name="TextBox 1" title="GL 864 Guiidance">
          <a:extLst>
            <a:ext uri="{FF2B5EF4-FFF2-40B4-BE49-F238E27FC236}">
              <a16:creationId xmlns:a16="http://schemas.microsoft.com/office/drawing/2014/main" id="{00000000-0008-0000-1700-000002000000}"/>
            </a:ext>
          </a:extLst>
        </xdr:cNvPr>
        <xdr:cNvSpPr txBox="1"/>
      </xdr:nvSpPr>
      <xdr:spPr>
        <a:xfrm>
          <a:off x="6762750" y="0"/>
          <a:ext cx="3667125"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864 Restricted from</a:t>
          </a:r>
          <a:r>
            <a:rPr lang="en-US" sz="1100" b="1" i="1" baseline="0"/>
            <a:t> Federal Proceeds </a:t>
          </a:r>
        </a:p>
        <a:p>
          <a:r>
            <a:rPr lang="en-US" sz="1100" b="0" i="0" baseline="0"/>
            <a:t>This account is provided to close project revenues and expenditures for projects funded totally or in part by federal agencies.</a:t>
          </a:r>
        </a:p>
        <a:p>
          <a:endParaRPr lang="en-US" sz="1100" b="0" i="0" baseline="0"/>
        </a:p>
        <a:p>
          <a:pPr algn="ctr"/>
          <a:r>
            <a:rPr lang="en-US" sz="1100" b="0" i="1" baseline="0"/>
            <a:t>Instructions for this sheet</a:t>
          </a:r>
        </a:p>
        <a:p>
          <a:pPr algn="l"/>
          <a:r>
            <a:rPr lang="en-US" sz="1100" b="0" i="0" baseline="0"/>
            <a:t>This sheet is for recording transactions (revenues, expenditures) in the CPF that have a source/use code of "4".</a:t>
          </a:r>
          <a:endParaRPr lang="en-US" sz="1100" b="0" i="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0</xdr:rowOff>
    </xdr:from>
    <xdr:to>
      <xdr:col>13</xdr:col>
      <xdr:colOff>600075</xdr:colOff>
      <xdr:row>10</xdr:row>
      <xdr:rowOff>0</xdr:rowOff>
    </xdr:to>
    <xdr:sp macro="" textlink="">
      <xdr:nvSpPr>
        <xdr:cNvPr id="2" name="TextBox 1" title="GL 865 Guidance">
          <a:extLst>
            <a:ext uri="{FF2B5EF4-FFF2-40B4-BE49-F238E27FC236}">
              <a16:creationId xmlns:a16="http://schemas.microsoft.com/office/drawing/2014/main" id="{00000000-0008-0000-1800-000002000000}"/>
            </a:ext>
          </a:extLst>
        </xdr:cNvPr>
        <xdr:cNvSpPr txBox="1"/>
      </xdr:nvSpPr>
      <xdr:spPr>
        <a:xfrm>
          <a:off x="6762750" y="0"/>
          <a:ext cx="4257675" cy="190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865 Restricted from Other Proceeds</a:t>
          </a:r>
          <a:r>
            <a:rPr lang="en-US" sz="1100" b="1" i="1" baseline="0"/>
            <a:t> </a:t>
          </a:r>
        </a:p>
        <a:p>
          <a:r>
            <a:rPr lang="en-US" sz="1100" b="0" i="0" baseline="0"/>
            <a:t>This account is provided to close project revenues and expenditures for projects funded totally or in part by sources other than bond, levy, state, or federal proceeds. For example, the district may receive resources from a private citizen for the construction of a library; these resources would be restricted for that purpose.</a:t>
          </a:r>
        </a:p>
        <a:p>
          <a:endParaRPr lang="en-US" sz="1100" b="0" i="0" baseline="0"/>
        </a:p>
        <a:p>
          <a:pPr algn="ctr"/>
          <a:r>
            <a:rPr lang="en-US" sz="1100" b="0" i="1" baseline="0"/>
            <a:t>Instructions for this sheet</a:t>
          </a:r>
        </a:p>
        <a:p>
          <a:pPr algn="l"/>
          <a:r>
            <a:rPr lang="en-US" sz="1100" b="0" i="0" baseline="0"/>
            <a:t>This sheet is for recording transactions (revenues, expenditures) in the CPF that have a source/use code of "5".</a:t>
          </a:r>
          <a:endParaRPr lang="en-US" sz="1100" b="0" i="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9525</xdr:colOff>
      <xdr:row>0</xdr:row>
      <xdr:rowOff>0</xdr:rowOff>
    </xdr:from>
    <xdr:to>
      <xdr:col>13</xdr:col>
      <xdr:colOff>0</xdr:colOff>
      <xdr:row>9</xdr:row>
      <xdr:rowOff>0</xdr:rowOff>
    </xdr:to>
    <xdr:sp macro="" textlink="">
      <xdr:nvSpPr>
        <xdr:cNvPr id="2" name="TextBox 1" title="GL 866 Guidance">
          <a:extLst>
            <a:ext uri="{FF2B5EF4-FFF2-40B4-BE49-F238E27FC236}">
              <a16:creationId xmlns:a16="http://schemas.microsoft.com/office/drawing/2014/main" id="{00000000-0008-0000-1900-000002000000}"/>
            </a:ext>
          </a:extLst>
        </xdr:cNvPr>
        <xdr:cNvSpPr txBox="1"/>
      </xdr:nvSpPr>
      <xdr:spPr>
        <a:xfrm>
          <a:off x="6772275" y="0"/>
          <a:ext cx="3648075"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866</a:t>
          </a:r>
          <a:r>
            <a:rPr lang="en-US" sz="1100" b="1" i="1" baseline="0"/>
            <a:t> Restricted from Impact Fee Proceeds </a:t>
          </a:r>
        </a:p>
        <a:p>
          <a:r>
            <a:rPr lang="en-US" sz="1100" b="0" i="0" baseline="0"/>
            <a:t>This account is provided to close project revenues and expenditures for projects funded totally or in part by impact fees collected in accordance with the Growth Management Act.</a:t>
          </a:r>
        </a:p>
        <a:p>
          <a:endParaRPr lang="en-US" sz="1100" b="0" i="0" baseline="0"/>
        </a:p>
        <a:p>
          <a:pPr algn="ctr"/>
          <a:r>
            <a:rPr lang="en-US" sz="1100" b="0" i="1" baseline="0"/>
            <a:t>Instructions for this sheet</a:t>
          </a:r>
        </a:p>
        <a:p>
          <a:pPr algn="l"/>
          <a:r>
            <a:rPr lang="en-US" sz="1100" b="0" i="0" baseline="0"/>
            <a:t>This sheet is for recording transactions (revenues, expenditures) in the CPF that have a source/use code of "6".</a:t>
          </a:r>
          <a:endParaRPr lang="en-US" sz="1100" b="0" i="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0</xdr:colOff>
      <xdr:row>0</xdr:row>
      <xdr:rowOff>1</xdr:rowOff>
    </xdr:from>
    <xdr:to>
      <xdr:col>13</xdr:col>
      <xdr:colOff>0</xdr:colOff>
      <xdr:row>8</xdr:row>
      <xdr:rowOff>1</xdr:rowOff>
    </xdr:to>
    <xdr:sp macro="" textlink="">
      <xdr:nvSpPr>
        <xdr:cNvPr id="2" name="TextBox 1" title="GL 867 Guidance">
          <a:extLst>
            <a:ext uri="{FF2B5EF4-FFF2-40B4-BE49-F238E27FC236}">
              <a16:creationId xmlns:a16="http://schemas.microsoft.com/office/drawing/2014/main" id="{00000000-0008-0000-1A00-000002000000}"/>
            </a:ext>
          </a:extLst>
        </xdr:cNvPr>
        <xdr:cNvSpPr txBox="1"/>
      </xdr:nvSpPr>
      <xdr:spPr>
        <a:xfrm>
          <a:off x="6762750" y="1"/>
          <a:ext cx="3657600"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867</a:t>
          </a:r>
          <a:r>
            <a:rPr lang="en-US" sz="1100" b="1" i="1" baseline="0"/>
            <a:t> Restricted from Mitigation Fee Proceeds</a:t>
          </a:r>
        </a:p>
        <a:p>
          <a:r>
            <a:rPr lang="en-US" sz="1100" b="0" i="0" baseline="0"/>
            <a:t>This account is provided to close project revenues and expenditures for projects funded totally or in part by State Environmental Protection Act (SEPA) mitigation fees.</a:t>
          </a:r>
        </a:p>
        <a:p>
          <a:endParaRPr lang="en-US" sz="1100" b="0" i="0" baseline="0"/>
        </a:p>
        <a:p>
          <a:pPr algn="ctr"/>
          <a:r>
            <a:rPr lang="en-US" sz="1100" b="0" i="1" baseline="0"/>
            <a:t>Instructions for this sheet</a:t>
          </a:r>
        </a:p>
        <a:p>
          <a:pPr algn="l"/>
          <a:r>
            <a:rPr lang="en-US" sz="1100" b="0" i="0" baseline="0"/>
            <a:t>This sheet is for recording transactions (revenues, expenditures) in the CPF that have a source/use code of "7".</a:t>
          </a:r>
          <a:endParaRPr lang="en-US" sz="1100" b="0" i="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0</xdr:colOff>
      <xdr:row>0</xdr:row>
      <xdr:rowOff>0</xdr:rowOff>
    </xdr:from>
    <xdr:to>
      <xdr:col>12</xdr:col>
      <xdr:colOff>600075</xdr:colOff>
      <xdr:row>7</xdr:row>
      <xdr:rowOff>0</xdr:rowOff>
    </xdr:to>
    <xdr:sp macro="" textlink="">
      <xdr:nvSpPr>
        <xdr:cNvPr id="2" name="TextBox 1" title="GL 869 Guidance">
          <a:extLst>
            <a:ext uri="{FF2B5EF4-FFF2-40B4-BE49-F238E27FC236}">
              <a16:creationId xmlns:a16="http://schemas.microsoft.com/office/drawing/2014/main" id="{00000000-0008-0000-1B00-000002000000}"/>
            </a:ext>
          </a:extLst>
        </xdr:cNvPr>
        <xdr:cNvSpPr txBox="1"/>
      </xdr:nvSpPr>
      <xdr:spPr>
        <a:xfrm>
          <a:off x="6762750" y="0"/>
          <a:ext cx="3648075"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869 Restricted from</a:t>
          </a:r>
          <a:r>
            <a:rPr lang="en-US" sz="1100" b="1" i="1" baseline="0"/>
            <a:t> Undistributed Proceeds</a:t>
          </a:r>
        </a:p>
        <a:p>
          <a:r>
            <a:rPr lang="en-US" sz="1100" b="0" i="0" baseline="0"/>
            <a:t>This account is provided to record unassigned amounts distributed to other restriction accounts at year-end.</a:t>
          </a:r>
        </a:p>
        <a:p>
          <a:endParaRPr lang="en-US" sz="1100" b="0" i="0" baseline="0"/>
        </a:p>
        <a:p>
          <a:pPr algn="ctr"/>
          <a:r>
            <a:rPr lang="en-US" sz="1100" b="0" i="1" baseline="0"/>
            <a:t>Instructions for this sheet</a:t>
          </a:r>
        </a:p>
        <a:p>
          <a:pPr algn="l"/>
          <a:r>
            <a:rPr lang="en-US" sz="1100" b="0" i="0" baseline="0"/>
            <a:t>This sheet is for recording transactions (revenues, expenditures) in the CPF that have a source/use code of "9".</a:t>
          </a:r>
          <a:endParaRPr lang="en-US" sz="1100" b="0" i="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0</xdr:colOff>
      <xdr:row>0</xdr:row>
      <xdr:rowOff>0</xdr:rowOff>
    </xdr:from>
    <xdr:to>
      <xdr:col>16</xdr:col>
      <xdr:colOff>0</xdr:colOff>
      <xdr:row>12</xdr:row>
      <xdr:rowOff>0</xdr:rowOff>
    </xdr:to>
    <xdr:sp macro="" textlink="">
      <xdr:nvSpPr>
        <xdr:cNvPr id="2" name="TextBox 1" title="GL 870 Guidance">
          <a:extLst>
            <a:ext uri="{FF2B5EF4-FFF2-40B4-BE49-F238E27FC236}">
              <a16:creationId xmlns:a16="http://schemas.microsoft.com/office/drawing/2014/main" id="{00000000-0008-0000-1C00-000002000000}"/>
            </a:ext>
          </a:extLst>
        </xdr:cNvPr>
        <xdr:cNvSpPr txBox="1"/>
      </xdr:nvSpPr>
      <xdr:spPr>
        <a:xfrm>
          <a:off x="9172575" y="0"/>
          <a:ext cx="426720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870 Committed to Other Purposes </a:t>
          </a:r>
        </a:p>
        <a:p>
          <a:r>
            <a:rPr lang="en-US" sz="1100" b="0" i="0"/>
            <a:t>This</a:t>
          </a:r>
          <a:r>
            <a:rPr lang="en-US" sz="1100" b="0" i="0" baseline="0"/>
            <a:t> account is provided as a means for accumulating and recording commitments of district resources for future uses. Commitments represent the board of directors' intended use of resources, and a resolution has been passed to commit funds for those purposes.</a:t>
          </a:r>
        </a:p>
        <a:p>
          <a:endParaRPr lang="en-US" sz="1100" b="0" i="0" baseline="0"/>
        </a:p>
        <a:p>
          <a:pPr algn="ctr"/>
          <a:r>
            <a:rPr lang="en-US" sz="1100" b="0" i="1" baseline="0"/>
            <a:t>Instructions for this sheet</a:t>
          </a:r>
        </a:p>
        <a:p>
          <a:pPr algn="l"/>
          <a:r>
            <a:rPr lang="en-US" sz="1100" b="0" i="0" baseline="0"/>
            <a:t>If the district has passed any resolutions committing funds for a particular purpose, or if there are existing board policies setting aside funds for a particular purpose other than maintaining a policy of economic stabilization,  record those amounts here. Space is provided for multiple different commitments if needed.</a:t>
          </a:r>
          <a:endParaRPr lang="en-US" sz="1100" b="0" i="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0</xdr:colOff>
      <xdr:row>0</xdr:row>
      <xdr:rowOff>0</xdr:rowOff>
    </xdr:from>
    <xdr:to>
      <xdr:col>13</xdr:col>
      <xdr:colOff>0</xdr:colOff>
      <xdr:row>28</xdr:row>
      <xdr:rowOff>171450</xdr:rowOff>
    </xdr:to>
    <xdr:sp macro="" textlink="">
      <xdr:nvSpPr>
        <xdr:cNvPr id="5" name="TextBox 4" title="GL 872 Guidance">
          <a:extLst>
            <a:ext uri="{FF2B5EF4-FFF2-40B4-BE49-F238E27FC236}">
              <a16:creationId xmlns:a16="http://schemas.microsoft.com/office/drawing/2014/main" id="{00000000-0008-0000-1D00-000005000000}"/>
            </a:ext>
          </a:extLst>
        </xdr:cNvPr>
        <xdr:cNvSpPr txBox="1"/>
      </xdr:nvSpPr>
      <xdr:spPr>
        <a:xfrm>
          <a:off x="7105650" y="0"/>
          <a:ext cx="4267200" cy="55054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Calibri"/>
              <a:ea typeface="+mn-ea"/>
              <a:cs typeface="+mn-cs"/>
            </a:rPr>
            <a:t>GL 872 Committed to Economic Stabilization</a:t>
          </a:r>
        </a:p>
        <a:p>
          <a:r>
            <a:rPr lang="en-US" sz="1100" b="0" i="0" u="none" strike="noStrike" baseline="0">
              <a:latin typeface="+mn-lt"/>
              <a:ea typeface="+mn-ea"/>
              <a:cs typeface="+mn-cs"/>
            </a:rPr>
            <a:t>Commitments of fund balance require a formal action by the school district’s board of directors, such as a school board policy or a resolution of the board of directors. </a:t>
          </a:r>
        </a:p>
        <a:p>
          <a:endParaRPr lang="en-US" sz="1100" b="0" i="0" u="none" strike="noStrike" baseline="0">
            <a:latin typeface="+mn-lt"/>
            <a:ea typeface="+mn-ea"/>
            <a:cs typeface="+mn-cs"/>
          </a:endParaRPr>
        </a:p>
        <a:p>
          <a:r>
            <a:rPr lang="en-US" sz="1100" b="0" i="0" u="none" strike="noStrike" baseline="0">
              <a:latin typeface="+mn-lt"/>
              <a:ea typeface="+mn-ea"/>
              <a:cs typeface="+mn-cs"/>
            </a:rPr>
            <a:t>Specific circumstances and conditions must be described to set aside funds in this account. Amounts set aside may only be expended when specific conditions exist. These circumstances cannot be expected to routinely occur, and using the term “in an emergency” is not sufficient. If amounts are set aside to offset anticipated revenue shortfalls, the shortfall must be quantifiable and of a magnitude that distinguishes it from other revenue shortfalls that normally occur. </a:t>
          </a:r>
        </a:p>
        <a:p>
          <a:endParaRPr lang="en-US" sz="1100" b="0" i="0" u="none" strike="noStrike" baseline="0">
            <a:latin typeface="+mn-lt"/>
            <a:ea typeface="+mn-ea"/>
            <a:cs typeface="+mn-cs"/>
          </a:endParaRPr>
        </a:p>
        <a:p>
          <a:r>
            <a:rPr lang="en-US" sz="1100" b="0" i="0" u="none" strike="noStrike" baseline="0">
              <a:latin typeface="+mn-lt"/>
              <a:ea typeface="+mn-ea"/>
              <a:cs typeface="+mn-cs"/>
            </a:rPr>
            <a:t>Details of commitments, including the nature of the commitment and the date of the board action creating the commitment, should be included in the Notes to the Financial Statements. </a:t>
          </a:r>
        </a:p>
        <a:p>
          <a:endParaRPr lang="en-US" sz="1100" b="0" i="0" u="none" strike="noStrike" baseline="0">
            <a:latin typeface="+mn-lt"/>
            <a:ea typeface="+mn-ea"/>
            <a:cs typeface="+mn-cs"/>
          </a:endParaRPr>
        </a:p>
        <a:p>
          <a:r>
            <a:rPr lang="en-US" sz="1100" b="0" i="0" u="none" strike="noStrike" baseline="0">
              <a:latin typeface="+mn-lt"/>
              <a:ea typeface="+mn-ea"/>
              <a:cs typeface="+mn-cs"/>
            </a:rPr>
            <a:t>This account is to be used in districts where the school board has taken such action to create an economic stabilization policy which meets the criteria of a stabilization arrangement. The board action taken must outline the amount to be used in such a policy, whether it is a dollar amount or a percentage of the district’s revenues or expenditures. This information must also be included in the Notes to the Financial Statements. </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Calibri"/>
              <a:ea typeface="+mn-ea"/>
              <a:cs typeface="+mn-cs"/>
            </a:rPr>
            <a:t>Instructions for this sheet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If the district has passed a resolution committing funds  in an Economic Stabilization Policy, record those amounts here. Space is provided for multiple  specific  circumstances  and conditions  detailed in the policy, if needed.</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0</xdr:colOff>
      <xdr:row>0</xdr:row>
      <xdr:rowOff>0</xdr:rowOff>
    </xdr:from>
    <xdr:to>
      <xdr:col>13</xdr:col>
      <xdr:colOff>0</xdr:colOff>
      <xdr:row>28</xdr:row>
      <xdr:rowOff>171450</xdr:rowOff>
    </xdr:to>
    <xdr:sp macro="" textlink="">
      <xdr:nvSpPr>
        <xdr:cNvPr id="2" name="TextBox 1" title="GL 872 Guidance">
          <a:extLst>
            <a:ext uri="{FF2B5EF4-FFF2-40B4-BE49-F238E27FC236}">
              <a16:creationId xmlns:a16="http://schemas.microsoft.com/office/drawing/2014/main" id="{5C469112-6BD8-425C-A100-7A6EF1A6F823}"/>
            </a:ext>
          </a:extLst>
        </xdr:cNvPr>
        <xdr:cNvSpPr txBox="1"/>
      </xdr:nvSpPr>
      <xdr:spPr>
        <a:xfrm>
          <a:off x="7439025" y="0"/>
          <a:ext cx="4267200" cy="55054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Calibri"/>
              <a:ea typeface="+mn-ea"/>
              <a:cs typeface="+mn-cs"/>
            </a:rPr>
            <a:t>GL 873 Committed to Depreciation Sub-Fund Facility Maintenance</a:t>
          </a:r>
        </a:p>
        <a:p>
          <a:r>
            <a:rPr lang="en-US" sz="1100" b="0" i="0" u="none" strike="noStrike" baseline="0">
              <a:latin typeface="+mn-lt"/>
              <a:ea typeface="+mn-ea"/>
              <a:cs typeface="+mn-cs"/>
            </a:rPr>
            <a:t>Commitments of fund balance require a formal action by the school district’s board of directors, such as a school board policy or a resolution of the board of directors. </a:t>
          </a:r>
        </a:p>
        <a:p>
          <a:endParaRPr lang="en-US" sz="1100" b="0" i="0" u="none" strike="noStrike" baseline="0">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effectLst/>
              <a:latin typeface="+mn-lt"/>
              <a:ea typeface="+mn-ea"/>
              <a:cs typeface="+mn-cs"/>
            </a:rPr>
            <a:t>The</a:t>
          </a:r>
          <a:r>
            <a:rPr lang="en-US" sz="1100" b="0" i="0" baseline="0">
              <a:effectLst/>
              <a:latin typeface="+mn-lt"/>
              <a:ea typeface="+mn-ea"/>
              <a:cs typeface="+mn-cs"/>
            </a:rPr>
            <a:t> use of GL 873 and the </a:t>
          </a:r>
          <a:r>
            <a:rPr lang="en-US" sz="1100" b="0" i="0">
              <a:effectLst/>
              <a:latin typeface="+mn-lt"/>
              <a:ea typeface="+mn-ea"/>
              <a:cs typeface="+mn-cs"/>
            </a:rPr>
            <a:t>establishment of the depreciation sub-fund is limited to second class school districts with fewer than 2000 students. </a:t>
          </a:r>
          <a:r>
            <a:rPr lang="en-US" sz="1100">
              <a:effectLst/>
              <a:latin typeface="+mn-lt"/>
              <a:ea typeface="+mn-ea"/>
              <a:cs typeface="+mn-cs"/>
            </a:rPr>
            <a:t> </a:t>
          </a:r>
          <a:endParaRPr lang="en-US">
            <a:effectLst/>
          </a:endParaRPr>
        </a:p>
        <a:p>
          <a:endParaRPr lang="en-US" sz="1100" b="0" i="0" u="none" strike="noStrike" baseline="0">
            <a:latin typeface="+mn-lt"/>
            <a:ea typeface="+mn-ea"/>
            <a:cs typeface="+mn-cs"/>
          </a:endParaRPr>
        </a:p>
        <a:p>
          <a:r>
            <a:rPr lang="en-US" sz="1100" b="0" i="0" u="none" strike="noStrike" baseline="0">
              <a:latin typeface="+mn-lt"/>
              <a:ea typeface="+mn-ea"/>
              <a:cs typeface="+mn-cs"/>
            </a:rPr>
            <a:t>Specific circumstances and conditions must be described to set aside funds in this account. Amounts set aside may only be expended when specific conditions exist. </a:t>
          </a:r>
        </a:p>
        <a:p>
          <a:endParaRPr lang="en-US" sz="1100" b="0" i="0" u="none" strike="noStrike" baseline="0">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The depreciation subfund provides for the school district to reserve funds for future facility and equipment needs. Up to two percent of a school district's general fund may be deposited each fiscal year into the depreciation subfund for the purpose of preventative maintenance or emergency facility needs.</a:t>
          </a:r>
        </a:p>
        <a:p>
          <a:endParaRPr lang="en-US" sz="1100" b="0" i="0" u="none" strike="noStrike" baseline="0">
            <a:latin typeface="+mn-lt"/>
            <a:ea typeface="+mn-ea"/>
            <a:cs typeface="+mn-cs"/>
          </a:endParaRPr>
        </a:p>
        <a:p>
          <a:r>
            <a:rPr lang="en-US" sz="1100" b="0" i="0" u="none" strike="noStrike" baseline="0">
              <a:latin typeface="+mn-lt"/>
              <a:ea typeface="+mn-ea"/>
              <a:cs typeface="+mn-cs"/>
            </a:rPr>
            <a:t>Details of commitments, including the nature of the commitment and the date of the board action creating the commitment, should be included in the Notes to the Financial Statements. </a:t>
          </a:r>
          <a:r>
            <a:rPr lang="en-US" sz="1100" b="0" i="0" u="none" strike="noStrike">
              <a:effectLst/>
              <a:latin typeface="+mn-lt"/>
              <a:ea typeface="+mn-ea"/>
              <a:cs typeface="+mn-cs"/>
            </a:rPr>
            <a:t>SB5403 limits the establishment of the depreciation sub-fund to second class school districts with fewer than 2000 students. </a:t>
          </a:r>
          <a:r>
            <a:rPr lang="en-US">
              <a:effectLst/>
            </a:rPr>
            <a:t>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Calibri"/>
              <a:ea typeface="+mn-ea"/>
              <a:cs typeface="+mn-cs"/>
            </a:rPr>
            <a:t>Instructions for this sheet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If the district has passed a resolution committing funds for use in the Depreciation Sub-Fund for Facility Maintenance, record those amounts here. Space is provided for multiple  specific  circumstances  and conditions  detailed in the policy, if needed.</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0</xdr:colOff>
      <xdr:row>0</xdr:row>
      <xdr:rowOff>0</xdr:rowOff>
    </xdr:from>
    <xdr:to>
      <xdr:col>13</xdr:col>
      <xdr:colOff>0</xdr:colOff>
      <xdr:row>14</xdr:row>
      <xdr:rowOff>0</xdr:rowOff>
    </xdr:to>
    <xdr:sp macro="" textlink="">
      <xdr:nvSpPr>
        <xdr:cNvPr id="2" name="TextBox 1" title="GL 875 guidance">
          <a:extLst>
            <a:ext uri="{FF2B5EF4-FFF2-40B4-BE49-F238E27FC236}">
              <a16:creationId xmlns:a16="http://schemas.microsoft.com/office/drawing/2014/main" id="{00000000-0008-0000-1E00-000002000000}"/>
            </a:ext>
          </a:extLst>
        </xdr:cNvPr>
        <xdr:cNvSpPr txBox="1"/>
      </xdr:nvSpPr>
      <xdr:spPr>
        <a:xfrm>
          <a:off x="5448300" y="0"/>
          <a:ext cx="4267200"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875 Assigned</a:t>
          </a:r>
          <a:r>
            <a:rPr lang="en-US" sz="1100" b="1" i="1" baseline="0"/>
            <a:t> to Contingencies </a:t>
          </a:r>
        </a:p>
        <a:p>
          <a:r>
            <a:rPr lang="en-US" sz="1100" b="0" i="0" baseline="0"/>
            <a:t>This account is used to assign a portion of the school district's fund balance for contingencies, such as unanticipated changes in the tax and spending policies of federal and state governments, court decisions, financial impacts of labor agreements (arbitration), natural disasters, and unexpected or emergency capital expenditures. Assignments represent management's and/or board of directors' intended use of resources.</a:t>
          </a:r>
        </a:p>
        <a:p>
          <a:endParaRPr lang="en-US" sz="1100" b="0" i="0" baseline="0"/>
        </a:p>
        <a:p>
          <a:pPr algn="ctr"/>
          <a:r>
            <a:rPr lang="en-US" sz="1100" b="0" i="1" baseline="0"/>
            <a:t>Instructions for this sheet</a:t>
          </a:r>
        </a:p>
        <a:p>
          <a:pPr algn="l"/>
          <a:r>
            <a:rPr lang="en-US" sz="1100" b="0" i="0" baseline="0"/>
            <a:t>If the district has identified possible contingencies and wishes to set aside money for them without a formal resolution, those amounts should be recorded in this account. Space is provided for multiple contingencies as needed.</a:t>
          </a:r>
          <a:endParaRPr lang="en-US" sz="1100" b="0" i="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1</xdr:colOff>
      <xdr:row>0</xdr:row>
      <xdr:rowOff>1</xdr:rowOff>
    </xdr:from>
    <xdr:to>
      <xdr:col>15</xdr:col>
      <xdr:colOff>1</xdr:colOff>
      <xdr:row>10</xdr:row>
      <xdr:rowOff>1</xdr:rowOff>
    </xdr:to>
    <xdr:sp macro="" textlink="">
      <xdr:nvSpPr>
        <xdr:cNvPr id="2" name="TextBox 1" title="GL 884 Guidance">
          <a:extLst>
            <a:ext uri="{FF2B5EF4-FFF2-40B4-BE49-F238E27FC236}">
              <a16:creationId xmlns:a16="http://schemas.microsoft.com/office/drawing/2014/main" id="{00000000-0008-0000-1F00-000002000000}"/>
            </a:ext>
          </a:extLst>
        </xdr:cNvPr>
        <xdr:cNvSpPr txBox="1"/>
      </xdr:nvSpPr>
      <xdr:spPr>
        <a:xfrm>
          <a:off x="5886451" y="1"/>
          <a:ext cx="4876800" cy="190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884 Assigned</a:t>
          </a:r>
          <a:r>
            <a:rPr lang="en-US" sz="1100" b="1" i="1" baseline="0"/>
            <a:t> to Other Capital Projects </a:t>
          </a:r>
        </a:p>
        <a:p>
          <a:r>
            <a:rPr lang="en-US" sz="1100" b="0" i="0" baseline="0"/>
            <a:t>This account is used to record those funds the district intends to use for capital project purposes other than those funds that have been legally restricted for those purposes. Capital Project Fund bond or levy proceeds, or Transportation Vehicle Fund levy proceeds are never recorded in this account.</a:t>
          </a:r>
        </a:p>
        <a:p>
          <a:endParaRPr lang="en-US" sz="1100" b="0" i="0" baseline="0"/>
        </a:p>
        <a:p>
          <a:pPr algn="ctr"/>
          <a:r>
            <a:rPr lang="en-US" sz="1100" b="0" i="1" baseline="0"/>
            <a:t>Instructions for this sheet</a:t>
          </a:r>
        </a:p>
        <a:p>
          <a:pPr algn="l"/>
          <a:r>
            <a:rPr lang="en-US" sz="1100" b="0" i="0" baseline="0"/>
            <a:t>If the district desires to put money aside for capital improvements using money in the General Fund, space is provided to record those amounts here. In the event of multiple projects, there is additional space provided.</a:t>
          </a:r>
          <a:endParaRPr lang="en-US" sz="1100" b="0" i="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1</xdr:colOff>
      <xdr:row>0</xdr:row>
      <xdr:rowOff>1</xdr:rowOff>
    </xdr:from>
    <xdr:to>
      <xdr:col>14</xdr:col>
      <xdr:colOff>1</xdr:colOff>
      <xdr:row>11</xdr:row>
      <xdr:rowOff>1</xdr:rowOff>
    </xdr:to>
    <xdr:sp macro="" textlink="">
      <xdr:nvSpPr>
        <xdr:cNvPr id="2" name="TextBox 1" title="GL 888 Guidance">
          <a:extLst>
            <a:ext uri="{FF2B5EF4-FFF2-40B4-BE49-F238E27FC236}">
              <a16:creationId xmlns:a16="http://schemas.microsoft.com/office/drawing/2014/main" id="{00000000-0008-0000-2000-000002000000}"/>
            </a:ext>
          </a:extLst>
        </xdr:cNvPr>
        <xdr:cNvSpPr txBox="1"/>
      </xdr:nvSpPr>
      <xdr:spPr>
        <a:xfrm>
          <a:off x="6743701" y="1"/>
          <a:ext cx="4267200"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888 Assigned</a:t>
          </a:r>
          <a:r>
            <a:rPr lang="en-US" sz="1100" b="1" i="1" baseline="0"/>
            <a:t> to Other Purposes </a:t>
          </a:r>
        </a:p>
        <a:p>
          <a:r>
            <a:rPr lang="en-US" sz="1100" b="0" i="0" baseline="0"/>
            <a:t>This account is provided as a means to assign a portion of the district's ending fund balance for items that are not recorded in other accounts. Assignments represent management's and/or the board of directors' intended use of resources.</a:t>
          </a:r>
        </a:p>
        <a:p>
          <a:endParaRPr lang="en-US" sz="1100" b="0" i="0" baseline="0"/>
        </a:p>
        <a:p>
          <a:pPr algn="ctr"/>
          <a:r>
            <a:rPr lang="en-US" sz="1100" b="0" i="1" baseline="0"/>
            <a:t>Instructions for this sheet</a:t>
          </a:r>
        </a:p>
        <a:p>
          <a:pPr algn="l"/>
          <a:r>
            <a:rPr lang="en-US" sz="1100" b="0" i="0" baseline="0"/>
            <a:t>Space is provided for the district to record different assignments of fund balance. Assignments represent a desire to spend money for a particular item (such as new curriculum) without the necessity for formal board action.</a:t>
          </a:r>
          <a:endParaRPr lang="en-US" sz="1100" b="0" i="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11</xdr:row>
      <xdr:rowOff>0</xdr:rowOff>
    </xdr:to>
    <xdr:sp macro="" textlink="">
      <xdr:nvSpPr>
        <xdr:cNvPr id="2" name="TextBox 1" title="GL 889 Guidance">
          <a:extLst>
            <a:ext uri="{FF2B5EF4-FFF2-40B4-BE49-F238E27FC236}">
              <a16:creationId xmlns:a16="http://schemas.microsoft.com/office/drawing/2014/main" id="{00000000-0008-0000-2100-000002000000}"/>
            </a:ext>
          </a:extLst>
        </xdr:cNvPr>
        <xdr:cNvSpPr txBox="1"/>
      </xdr:nvSpPr>
      <xdr:spPr>
        <a:xfrm>
          <a:off x="0" y="0"/>
          <a:ext cx="6705600"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889 Assigned</a:t>
          </a:r>
          <a:r>
            <a:rPr lang="en-US" sz="1100" b="1" i="1" baseline="0"/>
            <a:t> to Fund Purposes (p 4-36)</a:t>
          </a:r>
        </a:p>
        <a:p>
          <a:pPr algn="ctr"/>
          <a:r>
            <a:rPr lang="en-US" sz="1100" b="1" i="1" baseline="0"/>
            <a:t>All Funds Other Than General Fund</a:t>
          </a:r>
        </a:p>
        <a:p>
          <a:r>
            <a:rPr lang="en-US" sz="1100" b="0" i="0"/>
            <a:t>After the closing</a:t>
          </a:r>
          <a:r>
            <a:rPr lang="en-US" sz="1100" b="0" i="0" baseline="0"/>
            <a:t> of the budgetary, revenue, other financing sources, expenditures, and the establishment of any amounts that are Nonspendable, Restricted, Committed, or otherwise Assigned, this account is equal to the ending available fund balance. The net results of operations is summarized in this account. If there is a deficit balance, it should be recorded in GL 890 Unassigned Fund Balance.</a:t>
          </a:r>
        </a:p>
        <a:p>
          <a:endParaRPr lang="en-US" sz="1100" b="0" i="0" baseline="0"/>
        </a:p>
        <a:p>
          <a:r>
            <a:rPr lang="en-US" sz="1100" b="0" i="0" baseline="0"/>
            <a:t>In the ASB Fund, subsidiary accounts represent the equity of each school's ASB within the district, and the subcategory activities within each school's ASB.</a:t>
          </a:r>
        </a:p>
        <a:p>
          <a:endParaRPr lang="en-US" sz="1100" b="0" i="0" baseline="0"/>
        </a:p>
        <a:p>
          <a:r>
            <a:rPr lang="en-US" sz="1100" b="1" i="1" u="sng" baseline="0"/>
            <a:t>SPECIAL NOTE:</a:t>
          </a:r>
          <a:r>
            <a:rPr lang="en-US" sz="1100" b="1" i="0" u="none" baseline="0"/>
            <a:t> </a:t>
          </a:r>
          <a:r>
            <a:rPr lang="en-US" sz="1100" b="0" i="0" u="none" baseline="0"/>
            <a:t>This is a residual account. No entry on this sheet is necessary.</a:t>
          </a:r>
          <a:endParaRPr lang="en-US" sz="1100" b="1" i="1" u="sng"/>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1</xdr:colOff>
      <xdr:row>13</xdr:row>
      <xdr:rowOff>0</xdr:rowOff>
    </xdr:to>
    <xdr:sp macro="" textlink="">
      <xdr:nvSpPr>
        <xdr:cNvPr id="2" name="TextBox 1" title="GL 890 Guidance">
          <a:extLst>
            <a:ext uri="{FF2B5EF4-FFF2-40B4-BE49-F238E27FC236}">
              <a16:creationId xmlns:a16="http://schemas.microsoft.com/office/drawing/2014/main" id="{00000000-0008-0000-2200-000002000000}"/>
            </a:ext>
          </a:extLst>
        </xdr:cNvPr>
        <xdr:cNvSpPr txBox="1"/>
      </xdr:nvSpPr>
      <xdr:spPr>
        <a:xfrm>
          <a:off x="1" y="0"/>
          <a:ext cx="7315200" cy="247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890 Unassigned</a:t>
          </a:r>
          <a:r>
            <a:rPr lang="en-US" sz="1100" b="1" i="1" baseline="0"/>
            <a:t> Fund Balance</a:t>
          </a:r>
        </a:p>
        <a:p>
          <a:pPr algn="l"/>
          <a:r>
            <a:rPr lang="en-US" sz="1100" b="1" i="0" baseline="0"/>
            <a:t>In the General Fund only:</a:t>
          </a:r>
        </a:p>
        <a:p>
          <a:pPr algn="l"/>
          <a:r>
            <a:rPr lang="en-US" sz="1100" b="0" i="0" baseline="0"/>
            <a:t>After the closing of the budgetary, revenue, other financing sources, and expenditure accounts, this account is equal to the excess of assets over liabilities, all Nonspendable amounts set aside, and then all Restrictions, Commitments, and Assignments have been made. The net result of fund operations is summarized in this account.</a:t>
          </a:r>
        </a:p>
        <a:p>
          <a:pPr algn="l"/>
          <a:endParaRPr lang="en-US" sz="1100" b="0" i="0" baseline="0"/>
        </a:p>
        <a:p>
          <a:pPr algn="l"/>
          <a:r>
            <a:rPr lang="en-US" sz="1100" b="1" i="0" baseline="0"/>
            <a:t>In all other funds:</a:t>
          </a:r>
        </a:p>
        <a:p>
          <a:pPr algn="l"/>
          <a:r>
            <a:rPr lang="en-US" sz="1100" b="0" i="0" baseline="0"/>
            <a:t>If after the closing of the budgetary, revenue, other financing sources, and expenditure accounts, and the establishment of any amounts that are Nonspendable, Restricted, or Committed, a fund other than the General Fund has a deficit balance (that is, a negative fund balance), they would record that deficit in this account. Funds other than the General Fund never record a positive amount in this account.</a:t>
          </a:r>
        </a:p>
        <a:p>
          <a:pPr algn="l"/>
          <a:endParaRPr lang="en-US" sz="1100" b="0" i="0" baseline="0"/>
        </a:p>
        <a:p>
          <a:pPr algn="l"/>
          <a:r>
            <a:rPr lang="en-US" sz="1100" b="1" i="1" u="sng" baseline="0"/>
            <a:t>SPECIAL NOTE:</a:t>
          </a:r>
          <a:r>
            <a:rPr lang="en-US" sz="1100" b="0" i="0" u="none" baseline="0"/>
            <a:t> This is a residual account. For the purposes of this reporting tool, no entry is necessary on this sheet.</a:t>
          </a:r>
          <a:endParaRPr lang="en-US" sz="1100" b="1" i="1" u="sng" baseline="0"/>
        </a:p>
        <a:p>
          <a:endParaRPr lang="en-US" sz="1100" b="1" i="1"/>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0</xdr:colOff>
      <xdr:row>0</xdr:row>
      <xdr:rowOff>0</xdr:rowOff>
    </xdr:from>
    <xdr:to>
      <xdr:col>16</xdr:col>
      <xdr:colOff>0</xdr:colOff>
      <xdr:row>27</xdr:row>
      <xdr:rowOff>133350</xdr:rowOff>
    </xdr:to>
    <xdr:sp macro="" textlink="">
      <xdr:nvSpPr>
        <xdr:cNvPr id="2" name="TextBox 1" title="GL 891 Guidance">
          <a:extLst>
            <a:ext uri="{FF2B5EF4-FFF2-40B4-BE49-F238E27FC236}">
              <a16:creationId xmlns:a16="http://schemas.microsoft.com/office/drawing/2014/main" id="{00000000-0008-0000-2300-000002000000}"/>
            </a:ext>
          </a:extLst>
        </xdr:cNvPr>
        <xdr:cNvSpPr txBox="1"/>
      </xdr:nvSpPr>
      <xdr:spPr>
        <a:xfrm>
          <a:off x="7496175" y="0"/>
          <a:ext cx="6096000" cy="52768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891 Unassigned</a:t>
          </a:r>
          <a:r>
            <a:rPr lang="en-US" sz="1100" b="1" i="1" baseline="0"/>
            <a:t> </a:t>
          </a:r>
          <a:r>
            <a:rPr lang="en-US" sz="1100" b="1" i="1"/>
            <a:t> to Minimum Fund Balance Policy </a:t>
          </a:r>
          <a:endParaRPr lang="en-US" sz="1100" b="1" i="1">
            <a:solidFill>
              <a:sysClr val="windowText" lastClr="000000"/>
            </a:solidFill>
          </a:endParaRPr>
        </a:p>
        <a:p>
          <a:endParaRPr lang="en-US" sz="1100" b="0" i="0"/>
        </a:p>
        <a:p>
          <a:r>
            <a:rPr lang="en-US" sz="1100" b="0" i="0" baseline="0"/>
            <a:t>Per GASBS 54, Minimum Fund Balance Policies have no effect on the classification of Fund Balance  for financial reporting .  Note disclosure , however, is required.  </a:t>
          </a:r>
          <a:r>
            <a:rPr lang="en-US" sz="1100" b="0" i="0"/>
            <a:t>This</a:t>
          </a:r>
          <a:r>
            <a:rPr lang="en-US" sz="1100" b="0" i="0" baseline="0"/>
            <a:t> account has been added to the chart of accounts  to allow those districts that wish to segregate and identify the  amounts set aside  by policy on the district's trial balance reports.  Amounts entered into GL 891 are included in the single Unassigned Fund Balance  classification on the F-196.  </a:t>
          </a:r>
          <a:r>
            <a:rPr lang="en-US" sz="1100" b="1" i="0" baseline="0"/>
            <a:t>Use of this account is optional</a:t>
          </a:r>
          <a:r>
            <a:rPr lang="en-US" sz="1100" b="0" i="0" baseline="0"/>
            <a:t>. </a:t>
          </a:r>
        </a:p>
        <a:p>
          <a:endParaRPr lang="en-US" sz="1100" b="0" i="0" baseline="0"/>
        </a:p>
        <a:p>
          <a:r>
            <a:rPr lang="en-US" sz="1100" b="0" i="0" baseline="0"/>
            <a:t>This account is used in districts whose school boards have passed a resolution establishing a policy of maintaining a minimum fund balance in the General Fund. The board policy on such a fiscal strategy should identify whether the amounts dedicated  are for a given dollar amount or if it is based on a percentage of the district's revenues or expenditures.</a:t>
          </a:r>
        </a:p>
        <a:p>
          <a:endParaRPr lang="en-US" sz="1100" b="0" i="0" baseline="0"/>
        </a:p>
        <a:p>
          <a:pPr algn="ctr"/>
          <a:r>
            <a:rPr lang="en-US" sz="1100" b="0" i="1" baseline="0"/>
            <a:t>Instructions for this sheet</a:t>
          </a:r>
        </a:p>
        <a:p>
          <a:pPr algn="l"/>
          <a:r>
            <a:rPr lang="en-US" sz="1100" b="0" i="0" baseline="0"/>
            <a:t>If the district has a board policy that indicates that the districts shall maintain a minimum amount of fund balance, the value of the fund balance set aside can be recorded in this account. There are different options for a minimum fund balance policy; we illustrate three general types here.</a:t>
          </a:r>
        </a:p>
        <a:p>
          <a:pPr algn="l"/>
          <a:endParaRPr lang="en-US" sz="1100" b="0" i="0" baseline="0"/>
        </a:p>
        <a:p>
          <a:pPr algn="l"/>
          <a:r>
            <a:rPr lang="en-US" sz="1100" b="0" i="0" u="sng" baseline="0"/>
            <a:t>Policy based on percentage range</a:t>
          </a:r>
          <a:r>
            <a:rPr lang="en-US" sz="1100" b="0" i="0" u="none" baseline="0"/>
            <a:t> This can be used for a policy based on either a range of expenditures or revenues (the text uses expenditures, but can be changed to revenues if that fits the district policy). Enter the base being used, then the top and bottom percentages of the range to be used.  In the last cell in this group, enter the amount being set aside for meeting the policy (it should be somewhere between the min/max values).</a:t>
          </a:r>
        </a:p>
        <a:p>
          <a:pPr algn="l"/>
          <a:endParaRPr lang="en-US" sz="1100" b="0" i="0" u="sng"/>
        </a:p>
        <a:p>
          <a:pPr algn="l"/>
          <a:r>
            <a:rPr lang="en-US" sz="1100" b="0" i="0" u="sng"/>
            <a:t>Policy</a:t>
          </a:r>
          <a:r>
            <a:rPr lang="en-US" sz="1100" b="0" i="0" u="sng" baseline="0"/>
            <a:t> based on single percentage</a:t>
          </a:r>
          <a:r>
            <a:rPr lang="en-US" sz="1100" b="0" i="0" u="none" baseline="0"/>
            <a:t> If the district's policy is a single percentage (e.g. 5%), enter the base used and the percentage amount.  In the yellow cell, enter the amount used to meet the policy (it should be equal to the amount calculated).</a:t>
          </a:r>
        </a:p>
        <a:p>
          <a:pPr algn="l"/>
          <a:endParaRPr lang="en-US" sz="1100" b="0" i="0" u="none" baseline="0"/>
        </a:p>
        <a:p>
          <a:pPr algn="l"/>
          <a:r>
            <a:rPr lang="en-US" sz="1100" b="0" i="0" u="sng" baseline="0"/>
            <a:t>Policy based on single amount</a:t>
          </a:r>
          <a:r>
            <a:rPr lang="en-US" sz="1100" b="0" i="0" u="none" baseline="0"/>
            <a:t> Enter the amount stated in the district's policy.</a:t>
          </a:r>
          <a:endParaRPr lang="en-US" sz="1100" b="0" i="0" u="sng"/>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K32"/>
  <sheetViews>
    <sheetView workbookViewId="0">
      <selection activeCell="B9" sqref="B9"/>
    </sheetView>
  </sheetViews>
  <sheetFormatPr defaultRowHeight="14.45"/>
  <cols>
    <col min="1" max="1" width="4.5703125" customWidth="1"/>
    <col min="2" max="2" width="88.85546875" customWidth="1"/>
  </cols>
  <sheetData>
    <row r="1" spans="2:11" ht="15" thickBot="1"/>
    <row r="2" spans="2:11" ht="39.75" customHeight="1" thickBot="1">
      <c r="B2" s="208" t="s">
        <v>0</v>
      </c>
      <c r="C2" s="115"/>
      <c r="D2" s="115"/>
      <c r="E2" s="115"/>
      <c r="G2" s="115"/>
      <c r="H2" s="115"/>
      <c r="I2" s="115"/>
      <c r="J2" s="115"/>
      <c r="K2" s="115"/>
    </row>
    <row r="3" spans="2:11" ht="36" customHeight="1">
      <c r="B3" s="209" t="s">
        <v>1</v>
      </c>
    </row>
    <row r="4" spans="2:11" ht="36" customHeight="1">
      <c r="B4" s="209" t="s">
        <v>2</v>
      </c>
    </row>
    <row r="5" spans="2:11" ht="36" customHeight="1">
      <c r="B5" s="209" t="s">
        <v>3</v>
      </c>
    </row>
    <row r="6" spans="2:11" ht="27" customHeight="1">
      <c r="B6" s="210" t="s">
        <v>4</v>
      </c>
    </row>
    <row r="7" spans="2:11" ht="36.75" customHeight="1">
      <c r="B7" s="206" t="s">
        <v>5</v>
      </c>
    </row>
    <row r="8" spans="2:11" ht="36.75" customHeight="1">
      <c r="B8" s="209" t="s">
        <v>6</v>
      </c>
    </row>
    <row r="9" spans="2:11" ht="36.75" customHeight="1">
      <c r="B9" s="210" t="s">
        <v>7</v>
      </c>
    </row>
    <row r="10" spans="2:11" ht="26.25" customHeight="1">
      <c r="B10" s="207" t="s">
        <v>8</v>
      </c>
    </row>
    <row r="11" spans="2:11" ht="33.6">
      <c r="B11" s="206" t="s">
        <v>9</v>
      </c>
    </row>
    <row r="12" spans="2:11" ht="18.600000000000001" customHeight="1">
      <c r="B12" s="206" t="s">
        <v>10</v>
      </c>
    </row>
    <row r="13" spans="2:11" ht="15.6">
      <c r="B13" s="305" t="s">
        <v>11</v>
      </c>
    </row>
    <row r="14" spans="2:11" ht="15.6">
      <c r="B14" s="305" t="s">
        <v>12</v>
      </c>
    </row>
    <row r="15" spans="2:11" ht="21" customHeight="1" thickBot="1">
      <c r="B15" s="209" t="s">
        <v>13</v>
      </c>
    </row>
    <row r="16" spans="2:11" ht="21" customHeight="1">
      <c r="B16" s="306" t="s">
        <v>14</v>
      </c>
    </row>
    <row r="17" spans="2:2" ht="21" customHeight="1">
      <c r="B17" s="307" t="s">
        <v>15</v>
      </c>
    </row>
    <row r="18" spans="2:2" ht="15.6">
      <c r="B18" s="308" t="s">
        <v>16</v>
      </c>
    </row>
    <row r="19" spans="2:2" ht="31.15">
      <c r="B19" s="309" t="s">
        <v>17</v>
      </c>
    </row>
    <row r="20" spans="2:2" ht="15.6">
      <c r="B20" s="309" t="s">
        <v>18</v>
      </c>
    </row>
    <row r="21" spans="2:2" ht="15.6">
      <c r="B21" s="310" t="s">
        <v>19</v>
      </c>
    </row>
    <row r="22" spans="2:2" ht="63" customHeight="1" thickBot="1">
      <c r="B22" s="311" t="s">
        <v>20</v>
      </c>
    </row>
    <row r="23" spans="2:2" ht="5.25" customHeight="1">
      <c r="B23" s="201"/>
    </row>
    <row r="24" spans="2:2" ht="25.5" customHeight="1">
      <c r="B24" s="202" t="s">
        <v>21</v>
      </c>
    </row>
    <row r="25" spans="2:2" ht="53.25" customHeight="1">
      <c r="B25" s="203" t="s">
        <v>22</v>
      </c>
    </row>
    <row r="26" spans="2:2" ht="39" customHeight="1">
      <c r="B26" s="204" t="s">
        <v>23</v>
      </c>
    </row>
    <row r="27" spans="2:2" ht="38.25" customHeight="1">
      <c r="B27" s="205" t="s">
        <v>24</v>
      </c>
    </row>
    <row r="28" spans="2:2" ht="16.5" customHeight="1"/>
    <row r="29" spans="2:2" ht="16.5" customHeight="1"/>
    <row r="31" spans="2:2" ht="15" customHeight="1"/>
    <row r="32" spans="2:2" ht="15" customHeight="1"/>
  </sheetData>
  <pageMargins left="0.7" right="0.7" top="0.65" bottom="0.3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70"/>
  <sheetViews>
    <sheetView workbookViewId="0">
      <pane ySplit="1" topLeftCell="A2" activePane="bottomLeft" state="frozen"/>
      <selection pane="bottomLeft" activeCell="F13" sqref="F13"/>
    </sheetView>
  </sheetViews>
  <sheetFormatPr defaultRowHeight="14.45"/>
  <cols>
    <col min="1" max="1" width="9.140625" style="67"/>
    <col min="2" max="2" width="35.85546875" bestFit="1" customWidth="1"/>
    <col min="6" max="6" width="7.28515625" style="67" customWidth="1"/>
    <col min="8" max="8" width="2" bestFit="1" customWidth="1"/>
    <col min="9" max="9" width="2.5703125" bestFit="1" customWidth="1"/>
    <col min="11" max="11" width="7.140625" bestFit="1" customWidth="1"/>
    <col min="12" max="12" width="30.85546875" bestFit="1" customWidth="1"/>
    <col min="13" max="13" width="5.5703125" style="24" bestFit="1" customWidth="1"/>
    <col min="14" max="14" width="6.7109375" style="25" bestFit="1" customWidth="1"/>
    <col min="15" max="15" width="7.7109375" style="25" customWidth="1"/>
    <col min="16" max="16" width="3" bestFit="1" customWidth="1"/>
    <col min="17" max="17" width="5.85546875" customWidth="1"/>
    <col min="18" max="18" width="2" bestFit="1" customWidth="1"/>
    <col min="19" max="19" width="2.7109375" bestFit="1" customWidth="1"/>
    <col min="22" max="22" width="6.7109375" bestFit="1" customWidth="1"/>
    <col min="23" max="23" width="30.85546875" bestFit="1" customWidth="1"/>
    <col min="24" max="24" width="5.5703125" bestFit="1" customWidth="1"/>
    <col min="25" max="25" width="7" bestFit="1" customWidth="1"/>
    <col min="26" max="26" width="7.5703125" bestFit="1" customWidth="1"/>
    <col min="27" max="27" width="3" bestFit="1" customWidth="1"/>
  </cols>
  <sheetData>
    <row r="1" spans="1:27">
      <c r="A1" s="395" t="s">
        <v>25</v>
      </c>
      <c r="B1" s="366" t="s">
        <v>26</v>
      </c>
      <c r="C1" s="367" t="s">
        <v>27</v>
      </c>
      <c r="D1" s="367" t="s">
        <v>28</v>
      </c>
      <c r="E1" s="368" t="s">
        <v>29</v>
      </c>
      <c r="F1" s="67">
        <f>SUM(F2:F335)</f>
        <v>97</v>
      </c>
      <c r="H1" s="374">
        <f>SUM(H2:H329)</f>
        <v>1</v>
      </c>
      <c r="I1" s="374">
        <v>2</v>
      </c>
      <c r="K1" s="365" t="s">
        <v>25</v>
      </c>
      <c r="L1" s="366" t="s">
        <v>30</v>
      </c>
      <c r="M1" s="367" t="s">
        <v>27</v>
      </c>
      <c r="N1" s="367" t="s">
        <v>28</v>
      </c>
      <c r="O1" s="368" t="s">
        <v>29</v>
      </c>
      <c r="P1">
        <f>SUM(P2:P335)</f>
        <v>97</v>
      </c>
      <c r="V1" s="385"/>
      <c r="W1" s="386"/>
      <c r="X1" s="386"/>
      <c r="Y1" s="386"/>
      <c r="Z1" s="386"/>
    </row>
    <row r="2" spans="1:27">
      <c r="A2" s="396" t="s">
        <v>31</v>
      </c>
      <c r="B2" s="149" t="s">
        <v>32</v>
      </c>
      <c r="C2" s="67">
        <v>1</v>
      </c>
      <c r="D2" s="67" t="s">
        <v>33</v>
      </c>
      <c r="E2" s="75" t="s">
        <v>34</v>
      </c>
      <c r="F2" s="394">
        <f t="shared" ref="F2:F65" si="0">IF(+D2="cash",1,0)</f>
        <v>0</v>
      </c>
      <c r="H2" s="67">
        <v>0</v>
      </c>
      <c r="I2" s="172">
        <v>0</v>
      </c>
      <c r="K2" s="369" t="s">
        <v>31</v>
      </c>
      <c r="L2" s="149" t="s">
        <v>32</v>
      </c>
      <c r="M2" s="67">
        <v>1</v>
      </c>
      <c r="N2" s="67" t="s">
        <v>33</v>
      </c>
      <c r="O2" s="75" t="s">
        <v>34</v>
      </c>
      <c r="P2" s="176">
        <f t="shared" ref="P2:P65" si="1">IF(+N2="cash",1,0)</f>
        <v>0</v>
      </c>
      <c r="Q2" s="177"/>
      <c r="S2" s="45"/>
      <c r="V2" s="387"/>
      <c r="W2" s="175"/>
      <c r="X2" s="69"/>
      <c r="Y2" s="69"/>
      <c r="Z2" s="69"/>
      <c r="AA2" s="45"/>
    </row>
    <row r="3" spans="1:27">
      <c r="A3" s="396" t="s">
        <v>35</v>
      </c>
      <c r="B3" s="149" t="s">
        <v>36</v>
      </c>
      <c r="C3" s="67">
        <v>2</v>
      </c>
      <c r="D3" s="67" t="s">
        <v>33</v>
      </c>
      <c r="E3" s="75" t="s">
        <v>34</v>
      </c>
      <c r="F3" s="394">
        <f t="shared" si="0"/>
        <v>0</v>
      </c>
      <c r="H3" s="67">
        <v>0</v>
      </c>
      <c r="I3" s="172">
        <v>0</v>
      </c>
      <c r="K3" s="369" t="s">
        <v>35</v>
      </c>
      <c r="L3" s="149" t="s">
        <v>36</v>
      </c>
      <c r="M3" s="67">
        <v>2</v>
      </c>
      <c r="N3" s="67" t="s">
        <v>33</v>
      </c>
      <c r="O3" s="75" t="s">
        <v>34</v>
      </c>
      <c r="P3" s="176">
        <f t="shared" si="1"/>
        <v>0</v>
      </c>
      <c r="Q3" s="177"/>
      <c r="S3" s="45"/>
      <c r="V3" s="387"/>
      <c r="W3" s="175"/>
      <c r="X3" s="69"/>
      <c r="Y3" s="69"/>
      <c r="Z3" s="69"/>
      <c r="AA3" s="45"/>
    </row>
    <row r="4" spans="1:27">
      <c r="A4" s="396" t="s">
        <v>37</v>
      </c>
      <c r="B4" s="149" t="s">
        <v>38</v>
      </c>
      <c r="C4" s="67">
        <v>2</v>
      </c>
      <c r="D4" s="67" t="s">
        <v>39</v>
      </c>
      <c r="E4" s="75" t="s">
        <v>40</v>
      </c>
      <c r="F4" s="394">
        <f t="shared" si="0"/>
        <v>1</v>
      </c>
      <c r="H4" s="67">
        <v>0</v>
      </c>
      <c r="I4" s="172">
        <v>0</v>
      </c>
      <c r="K4" s="369" t="s">
        <v>37</v>
      </c>
      <c r="L4" s="149" t="s">
        <v>38</v>
      </c>
      <c r="M4" s="67">
        <v>2</v>
      </c>
      <c r="N4" s="67" t="s">
        <v>39</v>
      </c>
      <c r="O4" s="75" t="s">
        <v>40</v>
      </c>
      <c r="P4" s="176">
        <f t="shared" si="1"/>
        <v>1</v>
      </c>
      <c r="Q4" s="177"/>
      <c r="S4" s="45"/>
      <c r="V4" s="387"/>
      <c r="W4" s="175"/>
      <c r="X4" s="69"/>
      <c r="Y4" s="69"/>
      <c r="Z4" s="69"/>
      <c r="AA4" s="45"/>
    </row>
    <row r="5" spans="1:27">
      <c r="A5" s="396" t="s">
        <v>41</v>
      </c>
      <c r="B5" s="149" t="s">
        <v>42</v>
      </c>
      <c r="C5" s="67">
        <v>1</v>
      </c>
      <c r="D5" s="67" t="s">
        <v>33</v>
      </c>
      <c r="E5" s="75" t="s">
        <v>34</v>
      </c>
      <c r="F5" s="394">
        <f t="shared" si="0"/>
        <v>0</v>
      </c>
      <c r="H5" s="67">
        <v>0</v>
      </c>
      <c r="I5" s="172">
        <v>0</v>
      </c>
      <c r="K5" s="369" t="s">
        <v>41</v>
      </c>
      <c r="L5" s="149" t="s">
        <v>42</v>
      </c>
      <c r="M5" s="67">
        <v>1</v>
      </c>
      <c r="N5" s="67" t="s">
        <v>33</v>
      </c>
      <c r="O5" s="75" t="s">
        <v>34</v>
      </c>
      <c r="P5" s="176">
        <f t="shared" si="1"/>
        <v>0</v>
      </c>
      <c r="Q5" s="177"/>
      <c r="S5" s="45"/>
      <c r="V5" s="387"/>
      <c r="W5" s="175"/>
      <c r="X5" s="69"/>
      <c r="Y5" s="69"/>
      <c r="Z5" s="69"/>
      <c r="AA5" s="45"/>
    </row>
    <row r="6" spans="1:27">
      <c r="A6" s="396" t="s">
        <v>43</v>
      </c>
      <c r="B6" s="149" t="s">
        <v>44</v>
      </c>
      <c r="C6" s="67">
        <v>1</v>
      </c>
      <c r="D6" s="67" t="s">
        <v>33</v>
      </c>
      <c r="E6" s="75" t="s">
        <v>34</v>
      </c>
      <c r="F6" s="394">
        <f t="shared" si="0"/>
        <v>0</v>
      </c>
      <c r="H6" s="67">
        <v>0</v>
      </c>
      <c r="I6" s="172">
        <v>0</v>
      </c>
      <c r="K6" s="369" t="s">
        <v>43</v>
      </c>
      <c r="L6" s="149" t="s">
        <v>44</v>
      </c>
      <c r="M6" s="67">
        <v>1</v>
      </c>
      <c r="N6" s="67" t="s">
        <v>33</v>
      </c>
      <c r="O6" s="75" t="s">
        <v>34</v>
      </c>
      <c r="P6" s="176">
        <f t="shared" si="1"/>
        <v>0</v>
      </c>
      <c r="Q6" s="177"/>
      <c r="S6" s="45"/>
      <c r="V6" s="387"/>
      <c r="W6" s="175"/>
      <c r="X6" s="69"/>
      <c r="Y6" s="69"/>
      <c r="Z6" s="69"/>
      <c r="AA6" s="45"/>
    </row>
    <row r="7" spans="1:27">
      <c r="A7" s="396" t="s">
        <v>45</v>
      </c>
      <c r="B7" s="149" t="s">
        <v>46</v>
      </c>
      <c r="C7" s="67">
        <v>2</v>
      </c>
      <c r="D7" s="67" t="s">
        <v>39</v>
      </c>
      <c r="E7" s="75" t="s">
        <v>34</v>
      </c>
      <c r="F7" s="394">
        <f t="shared" si="0"/>
        <v>1</v>
      </c>
      <c r="H7" s="67">
        <v>0</v>
      </c>
      <c r="I7" s="172">
        <v>0</v>
      </c>
      <c r="K7" s="369" t="s">
        <v>45</v>
      </c>
      <c r="L7" s="149" t="s">
        <v>46</v>
      </c>
      <c r="M7" s="67">
        <v>2</v>
      </c>
      <c r="N7" s="67" t="s">
        <v>39</v>
      </c>
      <c r="O7" s="75" t="s">
        <v>34</v>
      </c>
      <c r="P7" s="176">
        <f t="shared" si="1"/>
        <v>1</v>
      </c>
      <c r="Q7" s="177"/>
      <c r="S7" s="45"/>
      <c r="V7" s="387"/>
      <c r="W7" s="175"/>
      <c r="X7" s="69"/>
      <c r="Y7" s="69"/>
      <c r="Z7" s="69"/>
      <c r="AA7" s="45"/>
    </row>
    <row r="8" spans="1:27">
      <c r="A8" s="396" t="s">
        <v>47</v>
      </c>
      <c r="B8" s="149" t="s">
        <v>48</v>
      </c>
      <c r="C8" s="67">
        <v>1</v>
      </c>
      <c r="D8" s="67" t="s">
        <v>33</v>
      </c>
      <c r="E8" s="75" t="s">
        <v>34</v>
      </c>
      <c r="F8" s="394">
        <f t="shared" si="0"/>
        <v>0</v>
      </c>
      <c r="H8" s="67">
        <v>0</v>
      </c>
      <c r="I8" s="172">
        <v>0</v>
      </c>
      <c r="K8" s="369" t="s">
        <v>47</v>
      </c>
      <c r="L8" s="149" t="s">
        <v>48</v>
      </c>
      <c r="M8" s="67">
        <v>1</v>
      </c>
      <c r="N8" s="67" t="s">
        <v>33</v>
      </c>
      <c r="O8" s="75" t="s">
        <v>34</v>
      </c>
      <c r="P8" s="176">
        <f t="shared" si="1"/>
        <v>0</v>
      </c>
      <c r="Q8" s="177"/>
      <c r="S8" s="45"/>
      <c r="V8" s="387"/>
      <c r="W8" s="175"/>
      <c r="X8" s="69"/>
      <c r="Y8" s="69"/>
      <c r="Z8" s="69"/>
      <c r="AA8" s="45"/>
    </row>
    <row r="9" spans="1:27">
      <c r="A9" s="396" t="s">
        <v>49</v>
      </c>
      <c r="B9" s="149" t="s">
        <v>50</v>
      </c>
      <c r="C9" s="67">
        <v>1</v>
      </c>
      <c r="D9" s="67" t="s">
        <v>33</v>
      </c>
      <c r="E9" s="75" t="s">
        <v>34</v>
      </c>
      <c r="F9" s="394">
        <f t="shared" si="0"/>
        <v>0</v>
      </c>
      <c r="H9" s="67">
        <v>0</v>
      </c>
      <c r="I9" s="172">
        <v>0</v>
      </c>
      <c r="K9" s="369" t="s">
        <v>49</v>
      </c>
      <c r="L9" s="149" t="s">
        <v>50</v>
      </c>
      <c r="M9" s="67">
        <v>1</v>
      </c>
      <c r="N9" s="67" t="s">
        <v>33</v>
      </c>
      <c r="O9" s="75" t="s">
        <v>34</v>
      </c>
      <c r="P9" s="176">
        <f t="shared" si="1"/>
        <v>0</v>
      </c>
      <c r="Q9" s="177"/>
      <c r="S9" s="45"/>
      <c r="V9" s="387"/>
      <c r="W9" s="175"/>
      <c r="X9" s="69"/>
      <c r="Y9" s="69"/>
      <c r="Z9" s="69"/>
      <c r="AA9" s="45"/>
    </row>
    <row r="10" spans="1:27">
      <c r="A10" s="396" t="s">
        <v>51</v>
      </c>
      <c r="B10" s="149" t="s">
        <v>52</v>
      </c>
      <c r="C10" s="67">
        <v>1</v>
      </c>
      <c r="D10" s="67" t="s">
        <v>33</v>
      </c>
      <c r="E10" s="75" t="s">
        <v>34</v>
      </c>
      <c r="F10" s="394">
        <f t="shared" si="0"/>
        <v>0</v>
      </c>
      <c r="H10" s="67">
        <v>0</v>
      </c>
      <c r="I10" s="172">
        <v>0</v>
      </c>
      <c r="K10" s="369" t="s">
        <v>51</v>
      </c>
      <c r="L10" s="149" t="s">
        <v>52</v>
      </c>
      <c r="M10" s="67">
        <v>1</v>
      </c>
      <c r="N10" s="67" t="s">
        <v>33</v>
      </c>
      <c r="O10" s="75" t="s">
        <v>34</v>
      </c>
      <c r="P10" s="176">
        <f t="shared" si="1"/>
        <v>0</v>
      </c>
      <c r="Q10" s="177"/>
      <c r="S10" s="45"/>
      <c r="V10" s="387"/>
      <c r="W10" s="175"/>
      <c r="X10" s="69"/>
      <c r="Y10" s="69"/>
      <c r="Z10" s="69"/>
      <c r="AA10" s="45"/>
    </row>
    <row r="11" spans="1:27">
      <c r="A11" s="396" t="s">
        <v>53</v>
      </c>
      <c r="B11" s="149" t="s">
        <v>54</v>
      </c>
      <c r="C11" s="67">
        <v>1</v>
      </c>
      <c r="D11" s="67" t="s">
        <v>33</v>
      </c>
      <c r="E11" s="75" t="s">
        <v>34</v>
      </c>
      <c r="F11" s="394">
        <f t="shared" si="0"/>
        <v>0</v>
      </c>
      <c r="H11" s="67">
        <v>0</v>
      </c>
      <c r="I11" s="172">
        <v>0</v>
      </c>
      <c r="K11" s="369" t="s">
        <v>53</v>
      </c>
      <c r="L11" s="149" t="s">
        <v>54</v>
      </c>
      <c r="M11" s="67">
        <v>1</v>
      </c>
      <c r="N11" s="67" t="s">
        <v>33</v>
      </c>
      <c r="O11" s="75" t="s">
        <v>34</v>
      </c>
      <c r="P11" s="176">
        <f t="shared" si="1"/>
        <v>0</v>
      </c>
      <c r="Q11" s="177"/>
      <c r="S11" s="45"/>
      <c r="V11" s="387"/>
      <c r="W11" s="175"/>
      <c r="X11" s="69"/>
      <c r="Y11" s="69"/>
      <c r="Z11" s="69"/>
      <c r="AA11" s="45"/>
    </row>
    <row r="12" spans="1:27">
      <c r="A12" s="396" t="s">
        <v>55</v>
      </c>
      <c r="B12" s="149" t="s">
        <v>56</v>
      </c>
      <c r="C12" s="67">
        <v>1</v>
      </c>
      <c r="D12" s="67" t="s">
        <v>33</v>
      </c>
      <c r="E12" s="75" t="s">
        <v>34</v>
      </c>
      <c r="F12" s="394">
        <f t="shared" si="0"/>
        <v>0</v>
      </c>
      <c r="H12" s="67">
        <v>0</v>
      </c>
      <c r="I12" s="172">
        <v>0</v>
      </c>
      <c r="K12" s="369" t="s">
        <v>55</v>
      </c>
      <c r="L12" s="149" t="s">
        <v>56</v>
      </c>
      <c r="M12" s="67">
        <v>1</v>
      </c>
      <c r="N12" s="67" t="s">
        <v>33</v>
      </c>
      <c r="O12" s="75" t="s">
        <v>34</v>
      </c>
      <c r="P12" s="176">
        <f t="shared" si="1"/>
        <v>0</v>
      </c>
      <c r="Q12" s="177"/>
      <c r="S12" s="45"/>
      <c r="V12" s="387"/>
      <c r="W12" s="175"/>
      <c r="X12" s="69"/>
      <c r="Y12" s="69"/>
      <c r="Z12" s="69"/>
      <c r="AA12" s="45"/>
    </row>
    <row r="13" spans="1:27">
      <c r="A13" s="396" t="s">
        <v>57</v>
      </c>
      <c r="B13" s="149" t="s">
        <v>58</v>
      </c>
      <c r="C13" s="67">
        <v>2</v>
      </c>
      <c r="D13" s="67" t="s">
        <v>39</v>
      </c>
      <c r="E13" s="75" t="s">
        <v>40</v>
      </c>
      <c r="F13" s="394">
        <f t="shared" si="0"/>
        <v>1</v>
      </c>
      <c r="H13" s="67">
        <v>0</v>
      </c>
      <c r="I13" s="172">
        <v>0</v>
      </c>
      <c r="K13" s="369" t="s">
        <v>57</v>
      </c>
      <c r="L13" s="149" t="s">
        <v>58</v>
      </c>
      <c r="M13" s="67">
        <v>2</v>
      </c>
      <c r="N13" s="67" t="s">
        <v>39</v>
      </c>
      <c r="O13" s="75" t="s">
        <v>40</v>
      </c>
      <c r="P13" s="176">
        <f t="shared" si="1"/>
        <v>1</v>
      </c>
      <c r="Q13" s="177"/>
      <c r="S13" s="45"/>
      <c r="V13" s="387"/>
      <c r="W13" s="175"/>
      <c r="X13" s="69"/>
      <c r="Y13" s="69"/>
      <c r="Z13" s="69"/>
      <c r="AA13" s="45"/>
    </row>
    <row r="14" spans="1:27">
      <c r="A14" s="396" t="s">
        <v>59</v>
      </c>
      <c r="B14" s="149" t="s">
        <v>60</v>
      </c>
      <c r="C14" s="67">
        <v>1</v>
      </c>
      <c r="D14" s="67" t="s">
        <v>33</v>
      </c>
      <c r="E14" s="75" t="s">
        <v>34</v>
      </c>
      <c r="F14" s="394">
        <f t="shared" si="0"/>
        <v>0</v>
      </c>
      <c r="H14" s="67">
        <v>0</v>
      </c>
      <c r="I14" s="172">
        <v>0</v>
      </c>
      <c r="K14" s="369" t="s">
        <v>59</v>
      </c>
      <c r="L14" s="149" t="s">
        <v>60</v>
      </c>
      <c r="M14" s="67">
        <v>1</v>
      </c>
      <c r="N14" s="67" t="s">
        <v>33</v>
      </c>
      <c r="O14" s="75" t="s">
        <v>34</v>
      </c>
      <c r="P14" s="176">
        <f t="shared" si="1"/>
        <v>0</v>
      </c>
      <c r="Q14" s="177"/>
      <c r="S14" s="45"/>
      <c r="V14" s="387"/>
      <c r="W14" s="175"/>
      <c r="X14" s="69"/>
      <c r="Y14" s="69"/>
      <c r="Z14" s="69"/>
      <c r="AA14" s="45"/>
    </row>
    <row r="15" spans="1:27">
      <c r="A15" s="396" t="s">
        <v>61</v>
      </c>
      <c r="B15" s="149" t="s">
        <v>62</v>
      </c>
      <c r="C15" s="67">
        <v>2</v>
      </c>
      <c r="D15" s="67" t="s">
        <v>39</v>
      </c>
      <c r="E15" s="75" t="s">
        <v>34</v>
      </c>
      <c r="F15" s="394">
        <f t="shared" si="0"/>
        <v>1</v>
      </c>
      <c r="H15" s="67">
        <v>0</v>
      </c>
      <c r="I15" s="172">
        <v>0</v>
      </c>
      <c r="K15" s="369" t="s">
        <v>61</v>
      </c>
      <c r="L15" s="149" t="s">
        <v>62</v>
      </c>
      <c r="M15" s="67">
        <v>2</v>
      </c>
      <c r="N15" s="67" t="s">
        <v>39</v>
      </c>
      <c r="O15" s="75" t="s">
        <v>34</v>
      </c>
      <c r="P15" s="176">
        <f t="shared" si="1"/>
        <v>1</v>
      </c>
      <c r="Q15" s="177"/>
      <c r="S15" s="45"/>
      <c r="V15" s="387"/>
      <c r="W15" s="175"/>
      <c r="X15" s="69"/>
      <c r="Y15" s="69"/>
      <c r="Z15" s="69"/>
      <c r="AA15" s="45"/>
    </row>
    <row r="16" spans="1:27">
      <c r="A16" s="396" t="s">
        <v>63</v>
      </c>
      <c r="B16" s="149" t="s">
        <v>64</v>
      </c>
      <c r="C16" s="67">
        <v>1</v>
      </c>
      <c r="D16" s="67" t="s">
        <v>33</v>
      </c>
      <c r="E16" s="75" t="s">
        <v>34</v>
      </c>
      <c r="F16" s="394">
        <f t="shared" si="0"/>
        <v>0</v>
      </c>
      <c r="H16" s="67">
        <v>0</v>
      </c>
      <c r="I16" s="172">
        <v>0</v>
      </c>
      <c r="K16" s="369" t="s">
        <v>63</v>
      </c>
      <c r="L16" s="149" t="s">
        <v>64</v>
      </c>
      <c r="M16" s="67">
        <v>1</v>
      </c>
      <c r="N16" s="67" t="s">
        <v>33</v>
      </c>
      <c r="O16" s="75" t="s">
        <v>34</v>
      </c>
      <c r="P16" s="176">
        <f t="shared" si="1"/>
        <v>0</v>
      </c>
      <c r="Q16" s="177"/>
      <c r="S16" s="45"/>
      <c r="V16" s="387"/>
      <c r="W16" s="175"/>
      <c r="X16" s="69"/>
      <c r="Y16" s="69"/>
      <c r="Z16" s="69"/>
      <c r="AA16" s="45"/>
    </row>
    <row r="17" spans="1:27">
      <c r="A17" s="396" t="s">
        <v>65</v>
      </c>
      <c r="B17" s="149" t="s">
        <v>66</v>
      </c>
      <c r="C17" s="67">
        <v>2</v>
      </c>
      <c r="D17" s="67" t="s">
        <v>39</v>
      </c>
      <c r="E17" s="75" t="s">
        <v>40</v>
      </c>
      <c r="F17" s="394">
        <f t="shared" si="0"/>
        <v>1</v>
      </c>
      <c r="H17" s="67">
        <v>0</v>
      </c>
      <c r="I17" s="172">
        <v>0</v>
      </c>
      <c r="K17" s="369" t="s">
        <v>65</v>
      </c>
      <c r="L17" s="149" t="s">
        <v>66</v>
      </c>
      <c r="M17" s="67">
        <v>2</v>
      </c>
      <c r="N17" s="67" t="s">
        <v>39</v>
      </c>
      <c r="O17" s="75" t="s">
        <v>40</v>
      </c>
      <c r="P17" s="176">
        <f t="shared" si="1"/>
        <v>1</v>
      </c>
      <c r="Q17" s="177"/>
      <c r="S17" s="45"/>
      <c r="V17" s="387"/>
      <c r="W17" s="175"/>
      <c r="X17" s="69"/>
      <c r="Y17" s="69"/>
      <c r="Z17" s="69"/>
      <c r="AA17" s="45"/>
    </row>
    <row r="18" spans="1:27">
      <c r="A18" s="396" t="s">
        <v>67</v>
      </c>
      <c r="B18" s="149" t="s">
        <v>68</v>
      </c>
      <c r="C18" s="67">
        <v>1</v>
      </c>
      <c r="D18" s="67" t="s">
        <v>33</v>
      </c>
      <c r="E18" s="75" t="s">
        <v>34</v>
      </c>
      <c r="F18" s="394">
        <f t="shared" si="0"/>
        <v>0</v>
      </c>
      <c r="H18" s="67">
        <v>0</v>
      </c>
      <c r="I18" s="172">
        <v>0</v>
      </c>
      <c r="K18" s="369" t="s">
        <v>67</v>
      </c>
      <c r="L18" s="149" t="s">
        <v>68</v>
      </c>
      <c r="M18" s="67">
        <v>1</v>
      </c>
      <c r="N18" s="67" t="s">
        <v>33</v>
      </c>
      <c r="O18" s="75" t="s">
        <v>34</v>
      </c>
      <c r="P18" s="176">
        <f t="shared" si="1"/>
        <v>0</v>
      </c>
      <c r="Q18" s="177"/>
      <c r="S18" s="45"/>
      <c r="V18" s="387"/>
      <c r="W18" s="175"/>
      <c r="X18" s="69"/>
      <c r="Y18" s="69"/>
      <c r="Z18" s="69"/>
      <c r="AA18" s="45"/>
    </row>
    <row r="19" spans="1:27">
      <c r="A19" s="396" t="s">
        <v>69</v>
      </c>
      <c r="B19" s="149" t="s">
        <v>70</v>
      </c>
      <c r="C19" s="67">
        <v>2</v>
      </c>
      <c r="D19" s="67" t="s">
        <v>33</v>
      </c>
      <c r="E19" s="75" t="s">
        <v>34</v>
      </c>
      <c r="F19" s="394">
        <f t="shared" si="0"/>
        <v>0</v>
      </c>
      <c r="H19" s="67">
        <v>0</v>
      </c>
      <c r="I19" s="172">
        <v>0</v>
      </c>
      <c r="K19" s="369" t="s">
        <v>69</v>
      </c>
      <c r="L19" s="149" t="s">
        <v>70</v>
      </c>
      <c r="M19" s="67">
        <v>2</v>
      </c>
      <c r="N19" s="67" t="s">
        <v>33</v>
      </c>
      <c r="O19" s="75" t="s">
        <v>34</v>
      </c>
      <c r="P19" s="176">
        <f t="shared" si="1"/>
        <v>0</v>
      </c>
      <c r="Q19" s="177"/>
      <c r="S19" s="45"/>
      <c r="V19" s="387"/>
      <c r="W19" s="175"/>
      <c r="X19" s="69"/>
      <c r="Y19" s="69"/>
      <c r="Z19" s="69"/>
      <c r="AA19" s="45"/>
    </row>
    <row r="20" spans="1:27">
      <c r="A20" s="396" t="s">
        <v>71</v>
      </c>
      <c r="B20" s="149" t="s">
        <v>72</v>
      </c>
      <c r="C20" s="67">
        <v>2</v>
      </c>
      <c r="D20" s="67" t="s">
        <v>33</v>
      </c>
      <c r="E20" s="75" t="s">
        <v>34</v>
      </c>
      <c r="F20" s="394">
        <f t="shared" si="0"/>
        <v>0</v>
      </c>
      <c r="H20" s="67">
        <v>0</v>
      </c>
      <c r="I20" s="172">
        <v>0</v>
      </c>
      <c r="K20" s="369" t="s">
        <v>71</v>
      </c>
      <c r="L20" s="149" t="s">
        <v>72</v>
      </c>
      <c r="M20" s="67">
        <v>2</v>
      </c>
      <c r="N20" s="67" t="s">
        <v>33</v>
      </c>
      <c r="O20" s="75" t="s">
        <v>34</v>
      </c>
      <c r="P20" s="176">
        <f t="shared" si="1"/>
        <v>0</v>
      </c>
      <c r="Q20" s="177"/>
      <c r="S20" s="45"/>
      <c r="V20" s="387"/>
      <c r="W20" s="175"/>
      <c r="X20" s="69"/>
      <c r="Y20" s="69"/>
      <c r="Z20" s="69"/>
      <c r="AA20" s="45"/>
    </row>
    <row r="21" spans="1:27">
      <c r="A21" s="396" t="s">
        <v>73</v>
      </c>
      <c r="B21" s="149" t="s">
        <v>74</v>
      </c>
      <c r="C21" s="67">
        <v>2</v>
      </c>
      <c r="D21" s="67" t="s">
        <v>39</v>
      </c>
      <c r="E21" s="75" t="s">
        <v>40</v>
      </c>
      <c r="F21" s="394">
        <f t="shared" si="0"/>
        <v>1</v>
      </c>
      <c r="H21" s="67">
        <v>0</v>
      </c>
      <c r="I21" s="172">
        <v>0</v>
      </c>
      <c r="K21" s="369" t="s">
        <v>73</v>
      </c>
      <c r="L21" s="149" t="s">
        <v>74</v>
      </c>
      <c r="M21" s="67">
        <v>2</v>
      </c>
      <c r="N21" s="67" t="s">
        <v>39</v>
      </c>
      <c r="O21" s="75" t="s">
        <v>40</v>
      </c>
      <c r="P21" s="176">
        <f t="shared" si="1"/>
        <v>1</v>
      </c>
      <c r="Q21" s="177"/>
      <c r="S21" s="45"/>
      <c r="V21" s="387"/>
      <c r="W21" s="175"/>
      <c r="X21" s="69"/>
      <c r="Y21" s="69"/>
      <c r="Z21" s="69"/>
      <c r="AA21" s="45"/>
    </row>
    <row r="22" spans="1:27">
      <c r="A22" s="396" t="s">
        <v>75</v>
      </c>
      <c r="B22" s="149" t="s">
        <v>76</v>
      </c>
      <c r="C22" s="67">
        <v>1</v>
      </c>
      <c r="D22" s="67" t="s">
        <v>33</v>
      </c>
      <c r="E22" s="75" t="s">
        <v>34</v>
      </c>
      <c r="F22" s="394">
        <f t="shared" si="0"/>
        <v>0</v>
      </c>
      <c r="H22" s="67">
        <v>0</v>
      </c>
      <c r="I22" s="172">
        <v>0</v>
      </c>
      <c r="K22" s="369" t="s">
        <v>75</v>
      </c>
      <c r="L22" s="149" t="s">
        <v>76</v>
      </c>
      <c r="M22" s="67">
        <v>1</v>
      </c>
      <c r="N22" s="67" t="s">
        <v>33</v>
      </c>
      <c r="O22" s="75" t="s">
        <v>34</v>
      </c>
      <c r="P22" s="176">
        <f t="shared" si="1"/>
        <v>0</v>
      </c>
      <c r="Q22" s="177"/>
      <c r="S22" s="45"/>
      <c r="V22" s="387"/>
      <c r="W22" s="175"/>
      <c r="X22" s="69"/>
      <c r="Y22" s="69"/>
      <c r="Z22" s="69"/>
      <c r="AA22" s="45"/>
    </row>
    <row r="23" spans="1:27">
      <c r="A23" s="396" t="s">
        <v>77</v>
      </c>
      <c r="B23" s="149" t="s">
        <v>78</v>
      </c>
      <c r="C23" s="67">
        <v>1</v>
      </c>
      <c r="D23" s="67" t="s">
        <v>33</v>
      </c>
      <c r="E23" s="75" t="s">
        <v>34</v>
      </c>
      <c r="F23" s="394">
        <f t="shared" si="0"/>
        <v>0</v>
      </c>
      <c r="H23" s="67">
        <v>0</v>
      </c>
      <c r="I23" s="172">
        <v>0</v>
      </c>
      <c r="K23" s="369" t="s">
        <v>77</v>
      </c>
      <c r="L23" s="149" t="s">
        <v>78</v>
      </c>
      <c r="M23" s="67">
        <v>1</v>
      </c>
      <c r="N23" s="67" t="s">
        <v>33</v>
      </c>
      <c r="O23" s="75" t="s">
        <v>34</v>
      </c>
      <c r="P23" s="176">
        <f t="shared" si="1"/>
        <v>0</v>
      </c>
      <c r="Q23" s="177"/>
      <c r="S23" s="45"/>
      <c r="V23" s="387"/>
      <c r="W23" s="175"/>
      <c r="X23" s="69"/>
      <c r="Y23" s="69"/>
      <c r="Z23" s="69"/>
      <c r="AA23" s="45"/>
    </row>
    <row r="24" spans="1:27">
      <c r="A24" s="396" t="s">
        <v>79</v>
      </c>
      <c r="B24" s="149" t="s">
        <v>80</v>
      </c>
      <c r="C24" s="67">
        <v>2</v>
      </c>
      <c r="D24" s="67" t="s">
        <v>33</v>
      </c>
      <c r="E24" s="75" t="s">
        <v>34</v>
      </c>
      <c r="F24" s="394">
        <f t="shared" si="0"/>
        <v>0</v>
      </c>
      <c r="H24" s="67">
        <v>0</v>
      </c>
      <c r="I24" s="172">
        <v>0</v>
      </c>
      <c r="K24" s="369" t="s">
        <v>79</v>
      </c>
      <c r="L24" s="149" t="s">
        <v>80</v>
      </c>
      <c r="M24" s="67">
        <v>2</v>
      </c>
      <c r="N24" s="67" t="s">
        <v>33</v>
      </c>
      <c r="O24" s="75" t="s">
        <v>34</v>
      </c>
      <c r="P24" s="176">
        <f t="shared" si="1"/>
        <v>0</v>
      </c>
      <c r="Q24" s="177"/>
      <c r="S24" s="45"/>
      <c r="V24" s="387"/>
      <c r="W24" s="175"/>
      <c r="X24" s="69"/>
      <c r="Y24" s="69"/>
      <c r="Z24" s="69"/>
      <c r="AA24" s="45"/>
    </row>
    <row r="25" spans="1:27">
      <c r="A25" s="396" t="s">
        <v>81</v>
      </c>
      <c r="B25" s="149" t="s">
        <v>82</v>
      </c>
      <c r="C25" s="67">
        <v>2</v>
      </c>
      <c r="D25" s="67" t="s">
        <v>39</v>
      </c>
      <c r="E25" s="75" t="s">
        <v>40</v>
      </c>
      <c r="F25" s="394">
        <f t="shared" si="0"/>
        <v>1</v>
      </c>
      <c r="H25" s="67">
        <v>0</v>
      </c>
      <c r="I25" s="172">
        <v>0</v>
      </c>
      <c r="K25" s="369" t="s">
        <v>81</v>
      </c>
      <c r="L25" s="149" t="s">
        <v>82</v>
      </c>
      <c r="M25" s="67">
        <v>2</v>
      </c>
      <c r="N25" s="67" t="s">
        <v>39</v>
      </c>
      <c r="O25" s="75" t="s">
        <v>40</v>
      </c>
      <c r="P25" s="176">
        <f t="shared" si="1"/>
        <v>1</v>
      </c>
      <c r="Q25" s="177"/>
      <c r="S25" s="45"/>
      <c r="V25" s="387"/>
      <c r="W25" s="175"/>
      <c r="X25" s="69"/>
      <c r="Y25" s="69"/>
      <c r="Z25" s="69"/>
      <c r="AA25" s="45"/>
    </row>
    <row r="26" spans="1:27">
      <c r="A26" s="396" t="s">
        <v>83</v>
      </c>
      <c r="B26" s="149" t="s">
        <v>84</v>
      </c>
      <c r="C26" s="67">
        <v>2</v>
      </c>
      <c r="D26" s="67" t="s">
        <v>33</v>
      </c>
      <c r="E26" s="75" t="s">
        <v>34</v>
      </c>
      <c r="F26" s="394">
        <f t="shared" si="0"/>
        <v>0</v>
      </c>
      <c r="H26" s="67">
        <v>0</v>
      </c>
      <c r="I26" s="172">
        <v>0</v>
      </c>
      <c r="K26" s="369" t="s">
        <v>83</v>
      </c>
      <c r="L26" s="149" t="s">
        <v>84</v>
      </c>
      <c r="M26" s="67">
        <v>2</v>
      </c>
      <c r="N26" s="67" t="s">
        <v>33</v>
      </c>
      <c r="O26" s="75" t="s">
        <v>34</v>
      </c>
      <c r="P26" s="176">
        <f t="shared" si="1"/>
        <v>0</v>
      </c>
      <c r="Q26" s="177"/>
      <c r="S26" s="45"/>
      <c r="V26" s="387"/>
      <c r="W26" s="175"/>
      <c r="X26" s="69"/>
      <c r="Y26" s="69"/>
      <c r="Z26" s="69"/>
      <c r="AA26" s="45"/>
    </row>
    <row r="27" spans="1:27">
      <c r="A27" s="396" t="s">
        <v>85</v>
      </c>
      <c r="B27" s="149" t="s">
        <v>86</v>
      </c>
      <c r="C27" s="67">
        <v>2</v>
      </c>
      <c r="D27" s="67" t="s">
        <v>33</v>
      </c>
      <c r="E27" s="75" t="s">
        <v>34</v>
      </c>
      <c r="F27" s="394">
        <f t="shared" si="0"/>
        <v>0</v>
      </c>
      <c r="H27" s="67">
        <v>0</v>
      </c>
      <c r="I27" s="172">
        <v>0</v>
      </c>
      <c r="K27" s="369" t="s">
        <v>85</v>
      </c>
      <c r="L27" s="149" t="s">
        <v>86</v>
      </c>
      <c r="M27" s="67">
        <v>2</v>
      </c>
      <c r="N27" s="67" t="s">
        <v>33</v>
      </c>
      <c r="O27" s="75" t="s">
        <v>34</v>
      </c>
      <c r="P27" s="176">
        <f t="shared" si="1"/>
        <v>0</v>
      </c>
      <c r="Q27" s="177"/>
      <c r="S27" s="45"/>
      <c r="V27" s="387"/>
      <c r="W27" s="175"/>
      <c r="X27" s="69"/>
      <c r="Y27" s="69"/>
      <c r="Z27" s="69"/>
      <c r="AA27" s="45"/>
    </row>
    <row r="28" spans="1:27">
      <c r="A28" s="396" t="s">
        <v>87</v>
      </c>
      <c r="B28" s="149" t="s">
        <v>88</v>
      </c>
      <c r="C28" s="67">
        <v>2</v>
      </c>
      <c r="D28" s="67" t="s">
        <v>33</v>
      </c>
      <c r="E28" s="75" t="s">
        <v>34</v>
      </c>
      <c r="F28" s="394">
        <f t="shared" si="0"/>
        <v>0</v>
      </c>
      <c r="H28" s="67">
        <v>0</v>
      </c>
      <c r="I28" s="172">
        <v>0</v>
      </c>
      <c r="K28" s="369" t="s">
        <v>87</v>
      </c>
      <c r="L28" s="149" t="s">
        <v>88</v>
      </c>
      <c r="M28" s="67">
        <v>2</v>
      </c>
      <c r="N28" s="67" t="s">
        <v>33</v>
      </c>
      <c r="O28" s="75" t="s">
        <v>34</v>
      </c>
      <c r="P28" s="176">
        <f t="shared" si="1"/>
        <v>0</v>
      </c>
      <c r="Q28" s="177"/>
      <c r="S28" s="45"/>
      <c r="V28" s="387"/>
      <c r="W28" s="175"/>
      <c r="X28" s="69"/>
      <c r="Y28" s="69"/>
      <c r="Z28" s="69"/>
      <c r="AA28" s="45"/>
    </row>
    <row r="29" spans="1:27">
      <c r="A29" s="397" t="s">
        <v>89</v>
      </c>
      <c r="B29" s="74" t="s">
        <v>90</v>
      </c>
      <c r="C29" s="67">
        <v>2</v>
      </c>
      <c r="D29" s="67" t="s">
        <v>33</v>
      </c>
      <c r="E29" s="75" t="s">
        <v>34</v>
      </c>
      <c r="F29" s="394">
        <f t="shared" si="0"/>
        <v>0</v>
      </c>
      <c r="H29" s="67">
        <v>0</v>
      </c>
      <c r="I29" s="172">
        <v>0</v>
      </c>
      <c r="K29" s="190" t="s">
        <v>89</v>
      </c>
      <c r="L29" s="74" t="s">
        <v>90</v>
      </c>
      <c r="M29" s="67">
        <v>2</v>
      </c>
      <c r="N29" s="67" t="s">
        <v>33</v>
      </c>
      <c r="O29" s="75" t="s">
        <v>34</v>
      </c>
      <c r="P29" s="176">
        <f t="shared" si="1"/>
        <v>0</v>
      </c>
      <c r="Q29" s="177"/>
      <c r="S29" s="45"/>
      <c r="V29" s="127"/>
      <c r="W29" s="127"/>
      <c r="X29" s="69"/>
      <c r="Y29" s="69"/>
      <c r="Z29" s="69"/>
      <c r="AA29" s="45"/>
    </row>
    <row r="30" spans="1:27">
      <c r="A30" s="396" t="s">
        <v>91</v>
      </c>
      <c r="B30" s="149" t="s">
        <v>92</v>
      </c>
      <c r="C30" s="67">
        <v>2</v>
      </c>
      <c r="D30" s="67" t="s">
        <v>39</v>
      </c>
      <c r="E30" s="75" t="s">
        <v>40</v>
      </c>
      <c r="F30" s="394">
        <f t="shared" si="0"/>
        <v>1</v>
      </c>
      <c r="H30" s="67">
        <v>0</v>
      </c>
      <c r="I30" s="172">
        <v>0</v>
      </c>
      <c r="K30" s="369" t="s">
        <v>91</v>
      </c>
      <c r="L30" s="149" t="s">
        <v>92</v>
      </c>
      <c r="M30" s="67">
        <v>2</v>
      </c>
      <c r="N30" s="67" t="s">
        <v>39</v>
      </c>
      <c r="O30" s="75" t="s">
        <v>40</v>
      </c>
      <c r="P30" s="176">
        <f t="shared" si="1"/>
        <v>1</v>
      </c>
      <c r="Q30" s="177"/>
      <c r="S30" s="45"/>
      <c r="V30" s="387"/>
      <c r="W30" s="175"/>
      <c r="X30" s="69"/>
      <c r="Y30" s="69"/>
      <c r="Z30" s="69"/>
      <c r="AA30" s="45"/>
    </row>
    <row r="31" spans="1:27">
      <c r="A31" s="396" t="s">
        <v>93</v>
      </c>
      <c r="B31" s="149" t="s">
        <v>94</v>
      </c>
      <c r="C31" s="67">
        <v>1</v>
      </c>
      <c r="D31" s="67" t="s">
        <v>33</v>
      </c>
      <c r="E31" s="75" t="s">
        <v>34</v>
      </c>
      <c r="F31" s="394">
        <f t="shared" si="0"/>
        <v>0</v>
      </c>
      <c r="H31" s="67">
        <v>0</v>
      </c>
      <c r="I31" s="172">
        <v>0</v>
      </c>
      <c r="K31" s="369" t="s">
        <v>93</v>
      </c>
      <c r="L31" s="149" t="s">
        <v>94</v>
      </c>
      <c r="M31" s="67">
        <v>1</v>
      </c>
      <c r="N31" s="67" t="s">
        <v>33</v>
      </c>
      <c r="O31" s="75" t="s">
        <v>34</v>
      </c>
      <c r="P31" s="176">
        <f t="shared" si="1"/>
        <v>0</v>
      </c>
      <c r="Q31" s="177"/>
      <c r="S31" s="45"/>
      <c r="V31" s="387"/>
      <c r="W31" s="175"/>
      <c r="X31" s="69"/>
      <c r="Y31" s="69"/>
      <c r="Z31" s="69"/>
      <c r="AA31" s="45"/>
    </row>
    <row r="32" spans="1:27">
      <c r="A32" s="396" t="s">
        <v>95</v>
      </c>
      <c r="B32" s="149" t="s">
        <v>96</v>
      </c>
      <c r="C32" s="67">
        <v>1</v>
      </c>
      <c r="D32" s="67" t="s">
        <v>33</v>
      </c>
      <c r="E32" s="75" t="s">
        <v>34</v>
      </c>
      <c r="F32" s="394">
        <f t="shared" si="0"/>
        <v>0</v>
      </c>
      <c r="H32" s="67">
        <v>0</v>
      </c>
      <c r="I32" s="172">
        <v>0</v>
      </c>
      <c r="K32" s="369" t="s">
        <v>95</v>
      </c>
      <c r="L32" s="149" t="s">
        <v>96</v>
      </c>
      <c r="M32" s="67">
        <v>1</v>
      </c>
      <c r="N32" s="67" t="s">
        <v>33</v>
      </c>
      <c r="O32" s="75" t="s">
        <v>34</v>
      </c>
      <c r="P32" s="176">
        <f t="shared" si="1"/>
        <v>0</v>
      </c>
      <c r="Q32" s="177"/>
      <c r="S32" s="45"/>
      <c r="V32" s="387"/>
      <c r="W32" s="175"/>
      <c r="X32" s="69"/>
      <c r="Y32" s="69"/>
      <c r="Z32" s="69"/>
      <c r="AA32" s="45"/>
    </row>
    <row r="33" spans="1:27">
      <c r="A33" s="396" t="s">
        <v>97</v>
      </c>
      <c r="B33" s="149" t="s">
        <v>98</v>
      </c>
      <c r="C33" s="67">
        <v>1</v>
      </c>
      <c r="D33" s="67" t="s">
        <v>33</v>
      </c>
      <c r="E33" s="75" t="s">
        <v>34</v>
      </c>
      <c r="F33" s="394">
        <f t="shared" si="0"/>
        <v>0</v>
      </c>
      <c r="H33" s="67">
        <v>0</v>
      </c>
      <c r="I33" s="172">
        <v>0</v>
      </c>
      <c r="K33" s="369" t="s">
        <v>97</v>
      </c>
      <c r="L33" s="149" t="s">
        <v>98</v>
      </c>
      <c r="M33" s="67">
        <v>1</v>
      </c>
      <c r="N33" s="67" t="s">
        <v>33</v>
      </c>
      <c r="O33" s="75" t="s">
        <v>34</v>
      </c>
      <c r="P33" s="176">
        <f t="shared" si="1"/>
        <v>0</v>
      </c>
      <c r="Q33" s="177"/>
      <c r="S33" s="45"/>
      <c r="V33" s="387"/>
      <c r="W33" s="175"/>
      <c r="X33" s="69"/>
      <c r="Y33" s="69"/>
      <c r="Z33" s="69"/>
      <c r="AA33" s="45"/>
    </row>
    <row r="34" spans="1:27">
      <c r="A34" s="396" t="s">
        <v>99</v>
      </c>
      <c r="B34" s="149" t="s">
        <v>100</v>
      </c>
      <c r="C34" s="67">
        <v>1</v>
      </c>
      <c r="D34" s="67" t="s">
        <v>33</v>
      </c>
      <c r="E34" s="75" t="s">
        <v>34</v>
      </c>
      <c r="F34" s="394">
        <f t="shared" si="0"/>
        <v>0</v>
      </c>
      <c r="H34" s="67">
        <v>0</v>
      </c>
      <c r="I34" s="172">
        <v>0</v>
      </c>
      <c r="K34" s="369" t="s">
        <v>99</v>
      </c>
      <c r="L34" s="149" t="s">
        <v>100</v>
      </c>
      <c r="M34" s="67">
        <v>1</v>
      </c>
      <c r="N34" s="67" t="s">
        <v>33</v>
      </c>
      <c r="O34" s="75" t="s">
        <v>34</v>
      </c>
      <c r="P34" s="176">
        <f t="shared" si="1"/>
        <v>0</v>
      </c>
      <c r="Q34" s="177"/>
      <c r="S34" s="45"/>
      <c r="V34" s="387"/>
      <c r="W34" s="175"/>
      <c r="X34" s="69"/>
      <c r="Y34" s="69"/>
      <c r="Z34" s="69"/>
      <c r="AA34" s="45"/>
    </row>
    <row r="35" spans="1:27">
      <c r="A35" s="396" t="s">
        <v>101</v>
      </c>
      <c r="B35" s="149" t="s">
        <v>102</v>
      </c>
      <c r="C35" s="67">
        <v>1</v>
      </c>
      <c r="D35" s="67" t="s">
        <v>33</v>
      </c>
      <c r="E35" s="75" t="s">
        <v>34</v>
      </c>
      <c r="F35" s="394">
        <f t="shared" si="0"/>
        <v>0</v>
      </c>
      <c r="H35" s="67">
        <v>0</v>
      </c>
      <c r="I35" s="172">
        <v>0</v>
      </c>
      <c r="K35" s="369" t="s">
        <v>101</v>
      </c>
      <c r="L35" s="149" t="s">
        <v>102</v>
      </c>
      <c r="M35" s="67">
        <v>1</v>
      </c>
      <c r="N35" s="67" t="s">
        <v>33</v>
      </c>
      <c r="O35" s="75" t="s">
        <v>34</v>
      </c>
      <c r="P35" s="176">
        <f t="shared" si="1"/>
        <v>0</v>
      </c>
      <c r="Q35" s="177"/>
      <c r="S35" s="45"/>
      <c r="V35" s="387"/>
      <c r="W35" s="175"/>
      <c r="X35" s="69"/>
      <c r="Y35" s="69"/>
      <c r="Z35" s="69"/>
      <c r="AA35" s="45"/>
    </row>
    <row r="36" spans="1:27">
      <c r="A36" s="396" t="s">
        <v>103</v>
      </c>
      <c r="B36" s="149" t="s">
        <v>104</v>
      </c>
      <c r="C36" s="67">
        <v>2</v>
      </c>
      <c r="D36" s="67" t="s">
        <v>33</v>
      </c>
      <c r="E36" s="75" t="s">
        <v>34</v>
      </c>
      <c r="F36" s="394">
        <f t="shared" si="0"/>
        <v>0</v>
      </c>
      <c r="H36" s="67">
        <v>0</v>
      </c>
      <c r="I36" s="172">
        <v>0</v>
      </c>
      <c r="K36" s="369" t="s">
        <v>103</v>
      </c>
      <c r="L36" s="149" t="s">
        <v>104</v>
      </c>
      <c r="M36" s="67">
        <v>2</v>
      </c>
      <c r="N36" s="67" t="s">
        <v>33</v>
      </c>
      <c r="O36" s="75" t="s">
        <v>34</v>
      </c>
      <c r="P36" s="176">
        <f t="shared" si="1"/>
        <v>0</v>
      </c>
      <c r="Q36" s="177"/>
      <c r="S36" s="45"/>
      <c r="V36" s="387"/>
      <c r="W36" s="175"/>
      <c r="X36" s="69"/>
      <c r="Y36" s="69"/>
      <c r="Z36" s="69"/>
      <c r="AA36" s="45"/>
    </row>
    <row r="37" spans="1:27">
      <c r="A37" s="398" t="s">
        <v>105</v>
      </c>
      <c r="B37" s="371" t="s">
        <v>106</v>
      </c>
      <c r="C37" s="67">
        <v>2</v>
      </c>
      <c r="D37" s="67" t="s">
        <v>33</v>
      </c>
      <c r="E37" s="75" t="s">
        <v>34</v>
      </c>
      <c r="F37" s="394">
        <f t="shared" si="0"/>
        <v>0</v>
      </c>
      <c r="H37" s="67">
        <v>0</v>
      </c>
      <c r="I37" s="172">
        <v>0</v>
      </c>
      <c r="K37" s="370" t="s">
        <v>105</v>
      </c>
      <c r="L37" s="371" t="s">
        <v>106</v>
      </c>
      <c r="M37" s="67">
        <v>2</v>
      </c>
      <c r="N37" s="67" t="s">
        <v>33</v>
      </c>
      <c r="O37" s="75" t="s">
        <v>34</v>
      </c>
      <c r="P37" s="176">
        <f t="shared" si="1"/>
        <v>0</v>
      </c>
      <c r="Q37" s="177"/>
      <c r="S37" s="45"/>
      <c r="V37" s="388"/>
      <c r="W37" s="181"/>
      <c r="X37" s="69"/>
      <c r="Y37" s="69"/>
      <c r="Z37" s="69"/>
      <c r="AA37" s="45"/>
    </row>
    <row r="38" spans="1:27">
      <c r="A38" s="396" t="s">
        <v>107</v>
      </c>
      <c r="B38" s="149" t="s">
        <v>108</v>
      </c>
      <c r="C38" s="67">
        <v>2</v>
      </c>
      <c r="D38" s="67" t="s">
        <v>33</v>
      </c>
      <c r="E38" s="75" t="s">
        <v>34</v>
      </c>
      <c r="F38" s="394">
        <f t="shared" si="0"/>
        <v>0</v>
      </c>
      <c r="H38" s="67">
        <v>0</v>
      </c>
      <c r="I38" s="172">
        <v>0</v>
      </c>
      <c r="K38" s="369" t="s">
        <v>107</v>
      </c>
      <c r="L38" s="149" t="s">
        <v>108</v>
      </c>
      <c r="M38" s="67">
        <v>2</v>
      </c>
      <c r="N38" s="67" t="s">
        <v>33</v>
      </c>
      <c r="O38" s="75" t="s">
        <v>34</v>
      </c>
      <c r="P38" s="176">
        <f t="shared" si="1"/>
        <v>0</v>
      </c>
      <c r="Q38" s="177"/>
      <c r="S38" s="45"/>
      <c r="V38" s="387"/>
      <c r="W38" s="175"/>
      <c r="X38" s="69"/>
      <c r="Y38" s="69"/>
      <c r="Z38" s="69"/>
      <c r="AA38" s="45"/>
    </row>
    <row r="39" spans="1:27">
      <c r="A39" s="396" t="s">
        <v>109</v>
      </c>
      <c r="B39" s="149" t="s">
        <v>110</v>
      </c>
      <c r="C39" s="67">
        <v>1</v>
      </c>
      <c r="D39" s="67" t="s">
        <v>33</v>
      </c>
      <c r="E39" s="75" t="s">
        <v>34</v>
      </c>
      <c r="F39" s="394">
        <f t="shared" si="0"/>
        <v>0</v>
      </c>
      <c r="H39" s="67">
        <v>0</v>
      </c>
      <c r="I39" s="172">
        <v>0</v>
      </c>
      <c r="K39" s="369" t="s">
        <v>109</v>
      </c>
      <c r="L39" s="149" t="s">
        <v>110</v>
      </c>
      <c r="M39" s="67">
        <v>1</v>
      </c>
      <c r="N39" s="67" t="s">
        <v>33</v>
      </c>
      <c r="O39" s="75" t="s">
        <v>34</v>
      </c>
      <c r="P39" s="176">
        <f t="shared" si="1"/>
        <v>0</v>
      </c>
      <c r="Q39" s="177"/>
      <c r="S39" s="45"/>
      <c r="V39" s="387"/>
      <c r="W39" s="175"/>
      <c r="X39" s="69"/>
      <c r="Y39" s="69"/>
      <c r="Z39" s="69"/>
      <c r="AA39" s="45"/>
    </row>
    <row r="40" spans="1:27">
      <c r="A40" s="396" t="s">
        <v>111</v>
      </c>
      <c r="B40" s="149" t="s">
        <v>112</v>
      </c>
      <c r="C40" s="67">
        <v>2</v>
      </c>
      <c r="D40" s="67" t="s">
        <v>33</v>
      </c>
      <c r="E40" s="75" t="s">
        <v>34</v>
      </c>
      <c r="F40" s="394">
        <f t="shared" si="0"/>
        <v>0</v>
      </c>
      <c r="H40" s="67">
        <v>0</v>
      </c>
      <c r="I40" s="172">
        <v>0</v>
      </c>
      <c r="K40" s="369" t="s">
        <v>111</v>
      </c>
      <c r="L40" s="149" t="s">
        <v>112</v>
      </c>
      <c r="M40" s="67">
        <v>2</v>
      </c>
      <c r="N40" s="67" t="s">
        <v>33</v>
      </c>
      <c r="O40" s="75" t="s">
        <v>34</v>
      </c>
      <c r="P40" s="176">
        <f t="shared" si="1"/>
        <v>0</v>
      </c>
      <c r="Q40" s="177"/>
      <c r="S40" s="45"/>
      <c r="V40" s="387"/>
      <c r="W40" s="175"/>
      <c r="X40" s="69"/>
      <c r="Y40" s="69"/>
      <c r="Z40" s="69"/>
      <c r="AA40" s="45"/>
    </row>
    <row r="41" spans="1:27">
      <c r="A41" s="396" t="s">
        <v>113</v>
      </c>
      <c r="B41" s="149" t="s">
        <v>114</v>
      </c>
      <c r="C41" s="67">
        <v>1</v>
      </c>
      <c r="D41" s="67" t="s">
        <v>33</v>
      </c>
      <c r="E41" s="75" t="s">
        <v>34</v>
      </c>
      <c r="F41" s="394">
        <f t="shared" si="0"/>
        <v>0</v>
      </c>
      <c r="H41" s="67">
        <v>0</v>
      </c>
      <c r="I41" s="172">
        <v>0</v>
      </c>
      <c r="K41" s="369" t="s">
        <v>113</v>
      </c>
      <c r="L41" s="149" t="s">
        <v>114</v>
      </c>
      <c r="M41" s="67">
        <v>1</v>
      </c>
      <c r="N41" s="67" t="s">
        <v>33</v>
      </c>
      <c r="O41" s="75" t="s">
        <v>34</v>
      </c>
      <c r="P41" s="176">
        <f t="shared" si="1"/>
        <v>0</v>
      </c>
      <c r="Q41" s="177"/>
      <c r="S41" s="45"/>
      <c r="V41" s="387"/>
      <c r="W41" s="175"/>
      <c r="X41" s="69"/>
      <c r="Y41" s="69"/>
      <c r="Z41" s="69"/>
      <c r="AA41" s="45"/>
    </row>
    <row r="42" spans="1:27">
      <c r="A42" s="396" t="s">
        <v>115</v>
      </c>
      <c r="B42" s="149" t="s">
        <v>116</v>
      </c>
      <c r="C42" s="67">
        <v>2</v>
      </c>
      <c r="D42" s="67" t="s">
        <v>39</v>
      </c>
      <c r="E42" s="75" t="s">
        <v>34</v>
      </c>
      <c r="F42" s="394">
        <f t="shared" si="0"/>
        <v>1</v>
      </c>
      <c r="H42" s="67">
        <v>0</v>
      </c>
      <c r="I42" s="172">
        <v>0</v>
      </c>
      <c r="K42" s="369" t="s">
        <v>115</v>
      </c>
      <c r="L42" s="149" t="s">
        <v>116</v>
      </c>
      <c r="M42" s="67">
        <v>2</v>
      </c>
      <c r="N42" s="67" t="s">
        <v>39</v>
      </c>
      <c r="O42" s="75" t="s">
        <v>34</v>
      </c>
      <c r="P42" s="176">
        <f t="shared" si="1"/>
        <v>1</v>
      </c>
      <c r="Q42" s="177"/>
      <c r="S42" s="45"/>
      <c r="V42" s="387"/>
      <c r="W42" s="175"/>
      <c r="X42" s="69"/>
      <c r="Y42" s="69"/>
      <c r="Z42" s="69"/>
      <c r="AA42" s="45"/>
    </row>
    <row r="43" spans="1:27">
      <c r="A43" s="396" t="s">
        <v>117</v>
      </c>
      <c r="B43" s="149" t="s">
        <v>118</v>
      </c>
      <c r="C43" s="67">
        <v>2</v>
      </c>
      <c r="D43" s="67" t="s">
        <v>33</v>
      </c>
      <c r="E43" s="75" t="s">
        <v>40</v>
      </c>
      <c r="F43" s="394">
        <f t="shared" si="0"/>
        <v>0</v>
      </c>
      <c r="H43" s="67">
        <v>0</v>
      </c>
      <c r="I43" s="172">
        <v>0</v>
      </c>
      <c r="K43" s="369" t="s">
        <v>117</v>
      </c>
      <c r="L43" s="149" t="s">
        <v>118</v>
      </c>
      <c r="M43" s="67">
        <v>2</v>
      </c>
      <c r="N43" s="67" t="s">
        <v>33</v>
      </c>
      <c r="O43" s="75" t="s">
        <v>40</v>
      </c>
      <c r="P43" s="176">
        <f t="shared" si="1"/>
        <v>0</v>
      </c>
      <c r="Q43" s="177"/>
      <c r="S43" s="45"/>
      <c r="V43" s="387"/>
      <c r="W43" s="175"/>
      <c r="X43" s="69"/>
      <c r="Y43" s="69"/>
      <c r="Z43" s="69"/>
      <c r="AA43" s="45"/>
    </row>
    <row r="44" spans="1:27">
      <c r="A44" s="396" t="s">
        <v>119</v>
      </c>
      <c r="B44" s="149" t="s">
        <v>120</v>
      </c>
      <c r="C44" s="67">
        <v>2</v>
      </c>
      <c r="D44" s="67" t="s">
        <v>39</v>
      </c>
      <c r="E44" s="75" t="s">
        <v>34</v>
      </c>
      <c r="F44" s="394">
        <f t="shared" si="0"/>
        <v>1</v>
      </c>
      <c r="H44" s="67">
        <v>0</v>
      </c>
      <c r="I44" s="172">
        <v>0</v>
      </c>
      <c r="K44" s="369" t="s">
        <v>119</v>
      </c>
      <c r="L44" s="149" t="s">
        <v>120</v>
      </c>
      <c r="M44" s="67">
        <v>2</v>
      </c>
      <c r="N44" s="67" t="s">
        <v>39</v>
      </c>
      <c r="O44" s="75" t="s">
        <v>34</v>
      </c>
      <c r="P44" s="176">
        <f t="shared" si="1"/>
        <v>1</v>
      </c>
      <c r="Q44" s="177"/>
      <c r="S44" s="45"/>
      <c r="V44" s="387"/>
      <c r="W44" s="175"/>
      <c r="X44" s="69"/>
      <c r="Y44" s="69"/>
      <c r="Z44" s="69"/>
      <c r="AA44" s="45"/>
    </row>
    <row r="45" spans="1:27">
      <c r="A45" s="396" t="s">
        <v>121</v>
      </c>
      <c r="B45" s="149" t="s">
        <v>122</v>
      </c>
      <c r="C45" s="67">
        <v>2</v>
      </c>
      <c r="D45" s="67" t="s">
        <v>39</v>
      </c>
      <c r="E45" s="75" t="s">
        <v>34</v>
      </c>
      <c r="F45" s="394">
        <f t="shared" si="0"/>
        <v>1</v>
      </c>
      <c r="H45" s="67">
        <v>0</v>
      </c>
      <c r="I45" s="172">
        <v>0</v>
      </c>
      <c r="K45" s="369" t="s">
        <v>121</v>
      </c>
      <c r="L45" s="149" t="s">
        <v>122</v>
      </c>
      <c r="M45" s="67">
        <v>2</v>
      </c>
      <c r="N45" s="67" t="s">
        <v>39</v>
      </c>
      <c r="O45" s="75" t="s">
        <v>34</v>
      </c>
      <c r="P45" s="176">
        <f t="shared" si="1"/>
        <v>1</v>
      </c>
      <c r="Q45" s="177"/>
      <c r="S45" s="45"/>
      <c r="V45" s="387"/>
      <c r="W45" s="175"/>
      <c r="X45" s="69"/>
      <c r="Y45" s="69"/>
      <c r="Z45" s="69"/>
      <c r="AA45" s="45"/>
    </row>
    <row r="46" spans="1:27">
      <c r="A46" s="396" t="s">
        <v>123</v>
      </c>
      <c r="B46" s="149" t="s">
        <v>124</v>
      </c>
      <c r="C46" s="67">
        <v>2</v>
      </c>
      <c r="D46" s="67" t="s">
        <v>33</v>
      </c>
      <c r="E46" s="75" t="s">
        <v>34</v>
      </c>
      <c r="F46" s="394">
        <f t="shared" si="0"/>
        <v>0</v>
      </c>
      <c r="H46" s="67">
        <v>0</v>
      </c>
      <c r="I46" s="172">
        <v>0</v>
      </c>
      <c r="K46" s="369" t="s">
        <v>123</v>
      </c>
      <c r="L46" s="149" t="s">
        <v>124</v>
      </c>
      <c r="M46" s="67">
        <v>2</v>
      </c>
      <c r="N46" s="67" t="s">
        <v>33</v>
      </c>
      <c r="O46" s="75" t="s">
        <v>34</v>
      </c>
      <c r="P46" s="176">
        <f t="shared" si="1"/>
        <v>0</v>
      </c>
      <c r="Q46" s="177"/>
      <c r="S46" s="45"/>
      <c r="V46" s="387"/>
      <c r="W46" s="175"/>
      <c r="X46" s="69"/>
      <c r="Y46" s="69"/>
      <c r="Z46" s="69"/>
      <c r="AA46" s="45"/>
    </row>
    <row r="47" spans="1:27">
      <c r="A47" s="396" t="s">
        <v>125</v>
      </c>
      <c r="B47" s="149" t="s">
        <v>126</v>
      </c>
      <c r="C47" s="67">
        <v>2</v>
      </c>
      <c r="D47" s="67" t="s">
        <v>33</v>
      </c>
      <c r="E47" s="75" t="s">
        <v>34</v>
      </c>
      <c r="F47" s="394">
        <f t="shared" si="0"/>
        <v>0</v>
      </c>
      <c r="H47" s="67">
        <v>0</v>
      </c>
      <c r="I47" s="172">
        <v>0</v>
      </c>
      <c r="K47" s="369" t="s">
        <v>125</v>
      </c>
      <c r="L47" s="149" t="s">
        <v>126</v>
      </c>
      <c r="M47" s="67">
        <v>2</v>
      </c>
      <c r="N47" s="67" t="s">
        <v>33</v>
      </c>
      <c r="O47" s="75" t="s">
        <v>34</v>
      </c>
      <c r="P47" s="176">
        <f t="shared" si="1"/>
        <v>0</v>
      </c>
      <c r="Q47" s="177"/>
      <c r="S47" s="45"/>
      <c r="V47" s="387"/>
      <c r="W47" s="175"/>
      <c r="X47" s="69"/>
      <c r="Y47" s="69"/>
      <c r="Z47" s="69"/>
      <c r="AA47" s="45"/>
    </row>
    <row r="48" spans="1:27">
      <c r="A48" s="396" t="s">
        <v>127</v>
      </c>
      <c r="B48" s="149" t="s">
        <v>128</v>
      </c>
      <c r="C48" s="67">
        <v>2</v>
      </c>
      <c r="D48" s="67" t="s">
        <v>33</v>
      </c>
      <c r="E48" s="75" t="s">
        <v>34</v>
      </c>
      <c r="F48" s="394">
        <f t="shared" si="0"/>
        <v>0</v>
      </c>
      <c r="H48" s="67">
        <v>0</v>
      </c>
      <c r="I48" s="172">
        <v>0</v>
      </c>
      <c r="K48" s="369" t="s">
        <v>127</v>
      </c>
      <c r="L48" s="149" t="s">
        <v>128</v>
      </c>
      <c r="M48" s="67">
        <v>2</v>
      </c>
      <c r="N48" s="67" t="s">
        <v>33</v>
      </c>
      <c r="O48" s="75" t="s">
        <v>34</v>
      </c>
      <c r="P48" s="176">
        <f t="shared" si="1"/>
        <v>0</v>
      </c>
      <c r="Q48" s="177"/>
      <c r="S48" s="45"/>
      <c r="V48" s="387"/>
      <c r="W48" s="175"/>
      <c r="X48" s="69"/>
      <c r="Y48" s="69"/>
      <c r="Z48" s="69"/>
      <c r="AA48" s="45"/>
    </row>
    <row r="49" spans="1:27">
      <c r="A49" s="396" t="s">
        <v>129</v>
      </c>
      <c r="B49" s="149" t="s">
        <v>130</v>
      </c>
      <c r="C49" s="67">
        <v>2</v>
      </c>
      <c r="D49" s="67" t="s">
        <v>33</v>
      </c>
      <c r="E49" s="75" t="s">
        <v>40</v>
      </c>
      <c r="F49" s="394">
        <f t="shared" si="0"/>
        <v>0</v>
      </c>
      <c r="H49" s="67">
        <v>0</v>
      </c>
      <c r="I49" s="172">
        <v>0</v>
      </c>
      <c r="K49" s="369" t="s">
        <v>129</v>
      </c>
      <c r="L49" s="149" t="s">
        <v>130</v>
      </c>
      <c r="M49" s="67">
        <v>2</v>
      </c>
      <c r="N49" s="67" t="s">
        <v>33</v>
      </c>
      <c r="O49" s="75" t="s">
        <v>40</v>
      </c>
      <c r="P49" s="176">
        <f t="shared" si="1"/>
        <v>0</v>
      </c>
      <c r="Q49" s="177"/>
      <c r="S49" s="45"/>
      <c r="V49" s="387"/>
      <c r="W49" s="175"/>
      <c r="X49" s="69"/>
      <c r="Y49" s="69"/>
      <c r="Z49" s="69"/>
      <c r="AA49" s="45"/>
    </row>
    <row r="50" spans="1:27">
      <c r="A50" s="396" t="s">
        <v>131</v>
      </c>
      <c r="B50" s="149" t="s">
        <v>132</v>
      </c>
      <c r="C50" s="67">
        <v>2</v>
      </c>
      <c r="D50" s="67" t="s">
        <v>39</v>
      </c>
      <c r="E50" s="75" t="s">
        <v>40</v>
      </c>
      <c r="F50" s="394">
        <f t="shared" si="0"/>
        <v>1</v>
      </c>
      <c r="H50" s="67">
        <v>0</v>
      </c>
      <c r="I50" s="172">
        <v>0</v>
      </c>
      <c r="K50" s="369" t="s">
        <v>131</v>
      </c>
      <c r="L50" s="149" t="s">
        <v>132</v>
      </c>
      <c r="M50" s="67">
        <v>2</v>
      </c>
      <c r="N50" s="67" t="s">
        <v>39</v>
      </c>
      <c r="O50" s="75" t="s">
        <v>40</v>
      </c>
      <c r="P50" s="176">
        <f t="shared" si="1"/>
        <v>1</v>
      </c>
      <c r="Q50" s="177"/>
      <c r="S50" s="45"/>
      <c r="V50" s="387"/>
      <c r="W50" s="175"/>
      <c r="X50" s="69"/>
      <c r="Y50" s="69"/>
      <c r="Z50" s="69"/>
      <c r="AA50" s="45"/>
    </row>
    <row r="51" spans="1:27">
      <c r="A51" s="396" t="s">
        <v>133</v>
      </c>
      <c r="B51" s="149" t="s">
        <v>134</v>
      </c>
      <c r="C51" s="67">
        <v>2</v>
      </c>
      <c r="D51" s="67" t="s">
        <v>39</v>
      </c>
      <c r="E51" s="75" t="s">
        <v>34</v>
      </c>
      <c r="F51" s="394">
        <f t="shared" si="0"/>
        <v>1</v>
      </c>
      <c r="H51" s="67">
        <v>0</v>
      </c>
      <c r="I51" s="172">
        <v>0</v>
      </c>
      <c r="K51" s="369" t="s">
        <v>133</v>
      </c>
      <c r="L51" s="149" t="s">
        <v>134</v>
      </c>
      <c r="M51" s="67">
        <v>2</v>
      </c>
      <c r="N51" s="67" t="s">
        <v>39</v>
      </c>
      <c r="O51" s="75" t="s">
        <v>34</v>
      </c>
      <c r="P51" s="176">
        <f t="shared" si="1"/>
        <v>1</v>
      </c>
      <c r="Q51" s="177"/>
      <c r="S51" s="45"/>
      <c r="V51" s="387"/>
      <c r="W51" s="175"/>
      <c r="X51" s="69"/>
      <c r="Y51" s="69"/>
      <c r="Z51" s="69"/>
      <c r="AA51" s="45"/>
    </row>
    <row r="52" spans="1:27">
      <c r="A52" s="396" t="s">
        <v>135</v>
      </c>
      <c r="B52" s="149" t="s">
        <v>136</v>
      </c>
      <c r="C52" s="67">
        <v>2</v>
      </c>
      <c r="D52" s="67" t="s">
        <v>33</v>
      </c>
      <c r="E52" s="75" t="s">
        <v>34</v>
      </c>
      <c r="F52" s="394">
        <f t="shared" si="0"/>
        <v>0</v>
      </c>
      <c r="H52" s="67">
        <v>0</v>
      </c>
      <c r="I52" s="172">
        <v>0</v>
      </c>
      <c r="K52" s="369" t="s">
        <v>135</v>
      </c>
      <c r="L52" s="149" t="s">
        <v>136</v>
      </c>
      <c r="M52" s="67">
        <v>2</v>
      </c>
      <c r="N52" s="67" t="s">
        <v>33</v>
      </c>
      <c r="O52" s="75" t="s">
        <v>34</v>
      </c>
      <c r="P52" s="176">
        <f t="shared" si="1"/>
        <v>0</v>
      </c>
      <c r="Q52" s="177"/>
      <c r="S52" s="45"/>
      <c r="V52" s="387"/>
      <c r="W52" s="175"/>
      <c r="X52" s="69"/>
      <c r="Y52" s="69"/>
      <c r="Z52" s="69"/>
      <c r="AA52" s="45"/>
    </row>
    <row r="53" spans="1:27">
      <c r="A53" s="396" t="s">
        <v>137</v>
      </c>
      <c r="B53" s="149" t="s">
        <v>138</v>
      </c>
      <c r="C53" s="67">
        <v>2</v>
      </c>
      <c r="D53" s="67" t="s">
        <v>33</v>
      </c>
      <c r="E53" s="75" t="s">
        <v>34</v>
      </c>
      <c r="F53" s="394">
        <f t="shared" si="0"/>
        <v>0</v>
      </c>
      <c r="H53" s="67">
        <v>0</v>
      </c>
      <c r="I53" s="172">
        <v>0</v>
      </c>
      <c r="K53" s="369" t="s">
        <v>137</v>
      </c>
      <c r="L53" s="149" t="s">
        <v>138</v>
      </c>
      <c r="M53" s="67">
        <v>2</v>
      </c>
      <c r="N53" s="67" t="s">
        <v>33</v>
      </c>
      <c r="O53" s="75" t="s">
        <v>34</v>
      </c>
      <c r="P53" s="176">
        <f t="shared" si="1"/>
        <v>0</v>
      </c>
      <c r="Q53" s="177"/>
      <c r="S53" s="45"/>
      <c r="V53" s="387"/>
      <c r="W53" s="175"/>
      <c r="X53" s="69"/>
      <c r="Y53" s="69"/>
      <c r="Z53" s="69"/>
      <c r="AA53" s="45"/>
    </row>
    <row r="54" spans="1:27">
      <c r="A54" s="396" t="s">
        <v>139</v>
      </c>
      <c r="B54" s="149" t="s">
        <v>140</v>
      </c>
      <c r="C54" s="67">
        <v>2</v>
      </c>
      <c r="D54" s="67" t="s">
        <v>39</v>
      </c>
      <c r="E54" s="75" t="s">
        <v>34</v>
      </c>
      <c r="F54" s="394">
        <f t="shared" si="0"/>
        <v>1</v>
      </c>
      <c r="H54" s="67">
        <v>0</v>
      </c>
      <c r="I54" s="172">
        <v>0</v>
      </c>
      <c r="K54" s="369" t="s">
        <v>139</v>
      </c>
      <c r="L54" s="149" t="s">
        <v>140</v>
      </c>
      <c r="M54" s="67">
        <v>2</v>
      </c>
      <c r="N54" s="67" t="s">
        <v>39</v>
      </c>
      <c r="O54" s="75" t="s">
        <v>34</v>
      </c>
      <c r="P54" s="176">
        <f t="shared" si="1"/>
        <v>1</v>
      </c>
      <c r="Q54" s="177"/>
      <c r="S54" s="45"/>
      <c r="V54" s="387"/>
      <c r="W54" s="175"/>
      <c r="X54" s="69"/>
      <c r="Y54" s="69"/>
      <c r="Z54" s="69"/>
      <c r="AA54" s="45"/>
    </row>
    <row r="55" spans="1:27">
      <c r="A55" s="396" t="s">
        <v>141</v>
      </c>
      <c r="B55" s="149" t="s">
        <v>142</v>
      </c>
      <c r="C55" s="67">
        <v>2</v>
      </c>
      <c r="D55" s="67" t="s">
        <v>39</v>
      </c>
      <c r="E55" s="75" t="s">
        <v>34</v>
      </c>
      <c r="F55" s="394">
        <f t="shared" si="0"/>
        <v>1</v>
      </c>
      <c r="H55" s="67">
        <v>0</v>
      </c>
      <c r="I55" s="172">
        <v>0</v>
      </c>
      <c r="K55" s="369" t="s">
        <v>141</v>
      </c>
      <c r="L55" s="149" t="s">
        <v>142</v>
      </c>
      <c r="M55" s="67">
        <v>2</v>
      </c>
      <c r="N55" s="67" t="s">
        <v>39</v>
      </c>
      <c r="O55" s="75" t="s">
        <v>34</v>
      </c>
      <c r="P55" s="176">
        <f t="shared" si="1"/>
        <v>1</v>
      </c>
      <c r="Q55" s="177"/>
      <c r="S55" s="45"/>
      <c r="V55" s="387"/>
      <c r="W55" s="175"/>
      <c r="X55" s="69"/>
      <c r="Y55" s="69"/>
      <c r="Z55" s="69"/>
      <c r="AA55" s="45"/>
    </row>
    <row r="56" spans="1:27">
      <c r="A56" s="396" t="s">
        <v>143</v>
      </c>
      <c r="B56" s="149" t="s">
        <v>144</v>
      </c>
      <c r="C56" s="67">
        <v>2</v>
      </c>
      <c r="D56" s="67" t="s">
        <v>39</v>
      </c>
      <c r="E56" s="75" t="s">
        <v>34</v>
      </c>
      <c r="F56" s="394">
        <f t="shared" si="0"/>
        <v>1</v>
      </c>
      <c r="H56" s="67">
        <v>0</v>
      </c>
      <c r="I56" s="172">
        <v>0</v>
      </c>
      <c r="K56" s="369" t="s">
        <v>143</v>
      </c>
      <c r="L56" s="149" t="s">
        <v>144</v>
      </c>
      <c r="M56" s="67">
        <v>2</v>
      </c>
      <c r="N56" s="67" t="s">
        <v>39</v>
      </c>
      <c r="O56" s="75" t="s">
        <v>34</v>
      </c>
      <c r="P56" s="176">
        <f t="shared" si="1"/>
        <v>1</v>
      </c>
      <c r="Q56" s="177"/>
      <c r="S56" s="45"/>
      <c r="V56" s="387"/>
      <c r="W56" s="175"/>
      <c r="X56" s="69"/>
      <c r="Y56" s="69"/>
      <c r="Z56" s="69"/>
      <c r="AA56" s="45"/>
    </row>
    <row r="57" spans="1:27">
      <c r="A57" s="396" t="s">
        <v>145</v>
      </c>
      <c r="B57" s="149" t="s">
        <v>146</v>
      </c>
      <c r="C57" s="67">
        <v>2</v>
      </c>
      <c r="D57" s="67" t="s">
        <v>39</v>
      </c>
      <c r="E57" s="75" t="s">
        <v>40</v>
      </c>
      <c r="F57" s="394">
        <f t="shared" si="0"/>
        <v>1</v>
      </c>
      <c r="H57" s="67">
        <v>0</v>
      </c>
      <c r="I57" s="172">
        <v>0</v>
      </c>
      <c r="K57" s="369" t="s">
        <v>145</v>
      </c>
      <c r="L57" s="149" t="s">
        <v>146</v>
      </c>
      <c r="M57" s="67">
        <v>2</v>
      </c>
      <c r="N57" s="67" t="s">
        <v>39</v>
      </c>
      <c r="O57" s="75" t="s">
        <v>40</v>
      </c>
      <c r="P57" s="176">
        <f t="shared" si="1"/>
        <v>1</v>
      </c>
      <c r="Q57" s="177"/>
      <c r="S57" s="45"/>
      <c r="V57" s="387"/>
      <c r="W57" s="175"/>
      <c r="X57" s="69"/>
      <c r="Y57" s="69"/>
      <c r="Z57" s="69"/>
      <c r="AA57" s="45"/>
    </row>
    <row r="58" spans="1:27">
      <c r="A58" s="396" t="s">
        <v>147</v>
      </c>
      <c r="B58" s="149" t="s">
        <v>148</v>
      </c>
      <c r="C58" s="67">
        <v>2</v>
      </c>
      <c r="D58" s="67" t="s">
        <v>33</v>
      </c>
      <c r="E58" s="75" t="s">
        <v>34</v>
      </c>
      <c r="F58" s="394">
        <f t="shared" si="0"/>
        <v>0</v>
      </c>
      <c r="H58" s="67">
        <v>0</v>
      </c>
      <c r="I58" s="172">
        <v>0</v>
      </c>
      <c r="K58" s="369" t="s">
        <v>147</v>
      </c>
      <c r="L58" s="149" t="s">
        <v>148</v>
      </c>
      <c r="M58" s="67">
        <v>2</v>
      </c>
      <c r="N58" s="67" t="s">
        <v>33</v>
      </c>
      <c r="O58" s="75" t="s">
        <v>34</v>
      </c>
      <c r="P58" s="176">
        <f t="shared" si="1"/>
        <v>0</v>
      </c>
      <c r="Q58" s="177"/>
      <c r="S58" s="45"/>
      <c r="V58" s="387"/>
      <c r="W58" s="175"/>
      <c r="X58" s="69"/>
      <c r="Y58" s="69"/>
      <c r="Z58" s="69"/>
      <c r="AA58" s="45"/>
    </row>
    <row r="59" spans="1:27">
      <c r="A59" s="396" t="s">
        <v>149</v>
      </c>
      <c r="B59" s="149" t="s">
        <v>150</v>
      </c>
      <c r="C59" s="67">
        <v>2</v>
      </c>
      <c r="D59" s="67" t="s">
        <v>39</v>
      </c>
      <c r="E59" s="75" t="s">
        <v>34</v>
      </c>
      <c r="F59" s="394">
        <f t="shared" si="0"/>
        <v>1</v>
      </c>
      <c r="H59" s="67">
        <v>0</v>
      </c>
      <c r="I59" s="172">
        <v>0</v>
      </c>
      <c r="K59" s="369" t="s">
        <v>149</v>
      </c>
      <c r="L59" s="149" t="s">
        <v>150</v>
      </c>
      <c r="M59" s="67">
        <v>2</v>
      </c>
      <c r="N59" s="67" t="s">
        <v>39</v>
      </c>
      <c r="O59" s="75" t="s">
        <v>34</v>
      </c>
      <c r="P59" s="176">
        <f t="shared" si="1"/>
        <v>1</v>
      </c>
      <c r="Q59" s="177"/>
      <c r="S59" s="45"/>
      <c r="V59" s="387"/>
      <c r="W59" s="175"/>
      <c r="X59" s="69"/>
      <c r="Y59" s="69"/>
      <c r="Z59" s="69"/>
      <c r="AA59" s="45"/>
    </row>
    <row r="60" spans="1:27">
      <c r="A60" s="396" t="s">
        <v>151</v>
      </c>
      <c r="B60" s="149" t="s">
        <v>152</v>
      </c>
      <c r="C60" s="67">
        <v>2</v>
      </c>
      <c r="D60" s="67" t="s">
        <v>39</v>
      </c>
      <c r="E60" s="75" t="s">
        <v>34</v>
      </c>
      <c r="F60" s="394">
        <f t="shared" si="0"/>
        <v>1</v>
      </c>
      <c r="H60" s="67">
        <v>0</v>
      </c>
      <c r="I60" s="172">
        <v>0</v>
      </c>
      <c r="K60" s="369" t="s">
        <v>151</v>
      </c>
      <c r="L60" s="149" t="s">
        <v>152</v>
      </c>
      <c r="M60" s="67">
        <v>2</v>
      </c>
      <c r="N60" s="67" t="s">
        <v>39</v>
      </c>
      <c r="O60" s="75" t="s">
        <v>34</v>
      </c>
      <c r="P60" s="176">
        <f t="shared" si="1"/>
        <v>1</v>
      </c>
      <c r="Q60" s="177"/>
      <c r="S60" s="45"/>
      <c r="V60" s="387"/>
      <c r="W60" s="175"/>
      <c r="X60" s="69"/>
      <c r="Y60" s="69"/>
      <c r="Z60" s="69"/>
      <c r="AA60" s="45"/>
    </row>
    <row r="61" spans="1:27">
      <c r="A61" s="396" t="s">
        <v>153</v>
      </c>
      <c r="B61" s="149" t="s">
        <v>154</v>
      </c>
      <c r="C61" s="67">
        <v>1</v>
      </c>
      <c r="D61" s="67" t="s">
        <v>33</v>
      </c>
      <c r="E61" s="75" t="s">
        <v>34</v>
      </c>
      <c r="F61" s="394">
        <f t="shared" si="0"/>
        <v>0</v>
      </c>
      <c r="H61" s="67">
        <v>0</v>
      </c>
      <c r="I61" s="172">
        <v>0</v>
      </c>
      <c r="K61" s="369" t="s">
        <v>153</v>
      </c>
      <c r="L61" s="149" t="s">
        <v>154</v>
      </c>
      <c r="M61" s="67">
        <v>1</v>
      </c>
      <c r="N61" s="67" t="s">
        <v>33</v>
      </c>
      <c r="O61" s="75" t="s">
        <v>34</v>
      </c>
      <c r="P61" s="176">
        <f t="shared" si="1"/>
        <v>0</v>
      </c>
      <c r="Q61" s="177"/>
      <c r="S61" s="45"/>
      <c r="V61" s="387"/>
      <c r="W61" s="175"/>
      <c r="X61" s="69"/>
      <c r="Y61" s="69"/>
      <c r="Z61" s="69"/>
      <c r="AA61" s="45"/>
    </row>
    <row r="62" spans="1:27">
      <c r="A62" s="396" t="s">
        <v>155</v>
      </c>
      <c r="B62" s="149" t="s">
        <v>156</v>
      </c>
      <c r="C62" s="67">
        <v>2</v>
      </c>
      <c r="D62" s="67" t="s">
        <v>33</v>
      </c>
      <c r="E62" s="75" t="s">
        <v>40</v>
      </c>
      <c r="F62" s="394">
        <f t="shared" si="0"/>
        <v>0</v>
      </c>
      <c r="H62" s="67">
        <v>0</v>
      </c>
      <c r="I62" s="172">
        <v>0</v>
      </c>
      <c r="K62" s="369" t="s">
        <v>155</v>
      </c>
      <c r="L62" s="149" t="s">
        <v>156</v>
      </c>
      <c r="M62" s="67">
        <v>2</v>
      </c>
      <c r="N62" s="67" t="s">
        <v>33</v>
      </c>
      <c r="O62" s="75" t="s">
        <v>40</v>
      </c>
      <c r="P62" s="176">
        <f t="shared" si="1"/>
        <v>0</v>
      </c>
      <c r="Q62" s="177"/>
      <c r="S62" s="45"/>
      <c r="V62" s="387"/>
      <c r="W62" s="175"/>
      <c r="X62" s="69"/>
      <c r="Y62" s="69"/>
      <c r="Z62" s="69"/>
      <c r="AA62" s="45"/>
    </row>
    <row r="63" spans="1:27">
      <c r="A63" s="396" t="s">
        <v>157</v>
      </c>
      <c r="B63" s="149" t="s">
        <v>158</v>
      </c>
      <c r="C63" s="67">
        <v>2</v>
      </c>
      <c r="D63" s="67" t="s">
        <v>39</v>
      </c>
      <c r="E63" s="75" t="s">
        <v>40</v>
      </c>
      <c r="F63" s="394">
        <f t="shared" si="0"/>
        <v>1</v>
      </c>
      <c r="H63" s="67">
        <v>0</v>
      </c>
      <c r="I63" s="172">
        <v>0</v>
      </c>
      <c r="K63" s="369" t="s">
        <v>157</v>
      </c>
      <c r="L63" s="149" t="s">
        <v>158</v>
      </c>
      <c r="M63" s="67">
        <v>2</v>
      </c>
      <c r="N63" s="67" t="s">
        <v>39</v>
      </c>
      <c r="O63" s="75" t="s">
        <v>40</v>
      </c>
      <c r="P63" s="176">
        <f t="shared" si="1"/>
        <v>1</v>
      </c>
      <c r="Q63" s="177"/>
      <c r="S63" s="45"/>
      <c r="V63" s="387"/>
      <c r="W63" s="175"/>
      <c r="X63" s="69"/>
      <c r="Y63" s="69"/>
      <c r="Z63" s="69"/>
      <c r="AA63" s="45"/>
    </row>
    <row r="64" spans="1:27">
      <c r="A64" s="396" t="s">
        <v>159</v>
      </c>
      <c r="B64" s="149" t="s">
        <v>160</v>
      </c>
      <c r="C64" s="67">
        <v>1</v>
      </c>
      <c r="D64" s="67" t="s">
        <v>33</v>
      </c>
      <c r="E64" s="75" t="s">
        <v>34</v>
      </c>
      <c r="F64" s="394">
        <f t="shared" si="0"/>
        <v>0</v>
      </c>
      <c r="H64" s="67">
        <v>0</v>
      </c>
      <c r="I64" s="172">
        <v>0</v>
      </c>
      <c r="K64" s="369" t="s">
        <v>159</v>
      </c>
      <c r="L64" s="149" t="s">
        <v>160</v>
      </c>
      <c r="M64" s="67">
        <v>1</v>
      </c>
      <c r="N64" s="67" t="s">
        <v>33</v>
      </c>
      <c r="O64" s="75" t="s">
        <v>34</v>
      </c>
      <c r="P64" s="176">
        <f t="shared" si="1"/>
        <v>0</v>
      </c>
      <c r="Q64" s="177"/>
      <c r="S64" s="45"/>
      <c r="V64" s="387"/>
      <c r="W64" s="175"/>
      <c r="X64" s="69"/>
      <c r="Y64" s="69"/>
      <c r="Z64" s="69"/>
      <c r="AA64" s="45"/>
    </row>
    <row r="65" spans="1:27">
      <c r="A65" s="396" t="s">
        <v>161</v>
      </c>
      <c r="B65" s="149" t="s">
        <v>162</v>
      </c>
      <c r="C65" s="67">
        <v>1</v>
      </c>
      <c r="D65" s="67" t="s">
        <v>33</v>
      </c>
      <c r="E65" s="75" t="s">
        <v>34</v>
      </c>
      <c r="F65" s="394">
        <f t="shared" si="0"/>
        <v>0</v>
      </c>
      <c r="H65" s="67">
        <v>0</v>
      </c>
      <c r="I65" s="172">
        <v>0</v>
      </c>
      <c r="K65" s="369" t="s">
        <v>161</v>
      </c>
      <c r="L65" s="149" t="s">
        <v>162</v>
      </c>
      <c r="M65" s="67">
        <v>1</v>
      </c>
      <c r="N65" s="67" t="s">
        <v>33</v>
      </c>
      <c r="O65" s="75" t="s">
        <v>34</v>
      </c>
      <c r="P65" s="176">
        <f t="shared" si="1"/>
        <v>0</v>
      </c>
      <c r="Q65" s="177"/>
      <c r="S65" s="45"/>
      <c r="V65" s="387"/>
      <c r="W65" s="175"/>
      <c r="X65" s="69"/>
      <c r="Y65" s="69"/>
      <c r="Z65" s="69"/>
      <c r="AA65" s="45"/>
    </row>
    <row r="66" spans="1:27">
      <c r="A66" s="396" t="s">
        <v>163</v>
      </c>
      <c r="B66" s="149" t="s">
        <v>164</v>
      </c>
      <c r="C66" s="67">
        <v>1</v>
      </c>
      <c r="D66" s="67" t="s">
        <v>33</v>
      </c>
      <c r="E66" s="75" t="s">
        <v>34</v>
      </c>
      <c r="F66" s="394">
        <f t="shared" ref="F66:F129" si="2">IF(+D66="cash",1,0)</f>
        <v>0</v>
      </c>
      <c r="H66" s="67">
        <v>0</v>
      </c>
      <c r="I66" s="172">
        <v>0</v>
      </c>
      <c r="K66" s="369" t="s">
        <v>163</v>
      </c>
      <c r="L66" s="149" t="s">
        <v>164</v>
      </c>
      <c r="M66" s="67">
        <v>1</v>
      </c>
      <c r="N66" s="67" t="s">
        <v>33</v>
      </c>
      <c r="O66" s="75" t="s">
        <v>34</v>
      </c>
      <c r="P66" s="176">
        <f t="shared" ref="P66:P129" si="3">IF(+N66="cash",1,0)</f>
        <v>0</v>
      </c>
      <c r="Q66" s="177"/>
      <c r="S66" s="45"/>
      <c r="V66" s="387"/>
      <c r="W66" s="175"/>
      <c r="X66" s="69"/>
      <c r="Y66" s="69"/>
      <c r="Z66" s="69"/>
      <c r="AA66" s="45"/>
    </row>
    <row r="67" spans="1:27">
      <c r="A67" s="396" t="s">
        <v>165</v>
      </c>
      <c r="B67" s="149" t="s">
        <v>166</v>
      </c>
      <c r="C67" s="67">
        <v>2</v>
      </c>
      <c r="D67" s="67" t="s">
        <v>33</v>
      </c>
      <c r="E67" s="75" t="s">
        <v>34</v>
      </c>
      <c r="F67" s="394">
        <f t="shared" si="2"/>
        <v>0</v>
      </c>
      <c r="H67" s="67">
        <v>0</v>
      </c>
      <c r="I67" s="172">
        <v>0</v>
      </c>
      <c r="K67" s="369" t="s">
        <v>165</v>
      </c>
      <c r="L67" s="149" t="s">
        <v>166</v>
      </c>
      <c r="M67" s="67">
        <v>2</v>
      </c>
      <c r="N67" s="67" t="s">
        <v>33</v>
      </c>
      <c r="O67" s="75" t="s">
        <v>34</v>
      </c>
      <c r="P67" s="176">
        <f t="shared" si="3"/>
        <v>0</v>
      </c>
      <c r="Q67" s="177"/>
      <c r="S67" s="45"/>
      <c r="V67" s="387"/>
      <c r="W67" s="175"/>
      <c r="X67" s="69"/>
      <c r="Y67" s="69"/>
      <c r="Z67" s="69"/>
      <c r="AA67" s="45"/>
    </row>
    <row r="68" spans="1:27">
      <c r="A68" s="396" t="s">
        <v>167</v>
      </c>
      <c r="B68" s="149" t="s">
        <v>168</v>
      </c>
      <c r="C68" s="67">
        <v>2</v>
      </c>
      <c r="D68" s="67" t="s">
        <v>33</v>
      </c>
      <c r="E68" s="75" t="s">
        <v>34</v>
      </c>
      <c r="F68" s="394">
        <f t="shared" si="2"/>
        <v>0</v>
      </c>
      <c r="H68" s="67">
        <v>0</v>
      </c>
      <c r="I68" s="172">
        <v>0</v>
      </c>
      <c r="K68" s="369" t="s">
        <v>167</v>
      </c>
      <c r="L68" s="149" t="s">
        <v>168</v>
      </c>
      <c r="M68" s="67">
        <v>2</v>
      </c>
      <c r="N68" s="67" t="s">
        <v>33</v>
      </c>
      <c r="O68" s="75" t="s">
        <v>34</v>
      </c>
      <c r="P68" s="176">
        <f t="shared" si="3"/>
        <v>0</v>
      </c>
      <c r="Q68" s="177"/>
      <c r="S68" s="45"/>
      <c r="V68" s="387"/>
      <c r="W68" s="175"/>
      <c r="X68" s="69"/>
      <c r="Y68" s="69"/>
      <c r="Z68" s="69"/>
      <c r="AA68" s="45"/>
    </row>
    <row r="69" spans="1:27">
      <c r="A69" s="396" t="s">
        <v>169</v>
      </c>
      <c r="B69" s="149" t="s">
        <v>170</v>
      </c>
      <c r="C69" s="67">
        <v>1</v>
      </c>
      <c r="D69" s="67" t="s">
        <v>33</v>
      </c>
      <c r="E69" s="75" t="s">
        <v>34</v>
      </c>
      <c r="F69" s="394">
        <f t="shared" si="2"/>
        <v>0</v>
      </c>
      <c r="H69" s="67">
        <v>0</v>
      </c>
      <c r="I69" s="172">
        <v>0</v>
      </c>
      <c r="K69" s="369" t="s">
        <v>169</v>
      </c>
      <c r="L69" s="149" t="s">
        <v>170</v>
      </c>
      <c r="M69" s="67">
        <v>1</v>
      </c>
      <c r="N69" s="67" t="s">
        <v>33</v>
      </c>
      <c r="O69" s="75" t="s">
        <v>34</v>
      </c>
      <c r="P69" s="176">
        <f t="shared" si="3"/>
        <v>0</v>
      </c>
      <c r="Q69" s="177"/>
      <c r="S69" s="45"/>
      <c r="V69" s="387"/>
      <c r="W69" s="175"/>
      <c r="X69" s="69"/>
      <c r="Y69" s="69"/>
      <c r="Z69" s="69"/>
      <c r="AA69" s="45"/>
    </row>
    <row r="70" spans="1:27">
      <c r="A70" s="396" t="s">
        <v>171</v>
      </c>
      <c r="B70" s="149" t="s">
        <v>172</v>
      </c>
      <c r="C70" s="67">
        <v>1</v>
      </c>
      <c r="D70" s="67" t="s">
        <v>33</v>
      </c>
      <c r="E70" s="75" t="s">
        <v>34</v>
      </c>
      <c r="F70" s="394">
        <f t="shared" si="2"/>
        <v>0</v>
      </c>
      <c r="H70" s="67">
        <v>0</v>
      </c>
      <c r="I70" s="172">
        <v>0</v>
      </c>
      <c r="K70" s="369" t="s">
        <v>171</v>
      </c>
      <c r="L70" s="149" t="s">
        <v>172</v>
      </c>
      <c r="M70" s="67">
        <v>1</v>
      </c>
      <c r="N70" s="67" t="s">
        <v>33</v>
      </c>
      <c r="O70" s="75" t="s">
        <v>34</v>
      </c>
      <c r="P70" s="176">
        <f t="shared" si="3"/>
        <v>0</v>
      </c>
      <c r="Q70" s="177"/>
      <c r="S70" s="45"/>
      <c r="V70" s="387"/>
      <c r="W70" s="175"/>
      <c r="X70" s="69"/>
      <c r="Y70" s="69"/>
      <c r="Z70" s="69"/>
      <c r="AA70" s="45"/>
    </row>
    <row r="71" spans="1:27">
      <c r="A71" s="396" t="s">
        <v>173</v>
      </c>
      <c r="B71" s="149" t="s">
        <v>174</v>
      </c>
      <c r="C71" s="67">
        <v>2</v>
      </c>
      <c r="D71" s="67" t="s">
        <v>33</v>
      </c>
      <c r="E71" s="75" t="s">
        <v>34</v>
      </c>
      <c r="F71" s="394">
        <f t="shared" si="2"/>
        <v>0</v>
      </c>
      <c r="H71" s="67">
        <v>0</v>
      </c>
      <c r="I71" s="172">
        <v>0</v>
      </c>
      <c r="K71" s="369" t="s">
        <v>173</v>
      </c>
      <c r="L71" s="149" t="s">
        <v>174</v>
      </c>
      <c r="M71" s="67">
        <v>2</v>
      </c>
      <c r="N71" s="67" t="s">
        <v>33</v>
      </c>
      <c r="O71" s="75" t="s">
        <v>34</v>
      </c>
      <c r="P71" s="176">
        <f t="shared" si="3"/>
        <v>0</v>
      </c>
      <c r="Q71" s="177"/>
      <c r="S71" s="45"/>
      <c r="V71" s="387"/>
      <c r="W71" s="175"/>
      <c r="X71" s="69"/>
      <c r="Y71" s="69"/>
      <c r="Z71" s="69"/>
      <c r="AA71" s="45"/>
    </row>
    <row r="72" spans="1:27">
      <c r="A72" s="396" t="s">
        <v>175</v>
      </c>
      <c r="B72" s="149" t="s">
        <v>176</v>
      </c>
      <c r="C72" s="67">
        <v>2</v>
      </c>
      <c r="D72" s="67" t="s">
        <v>39</v>
      </c>
      <c r="E72" s="75" t="s">
        <v>40</v>
      </c>
      <c r="F72" s="394">
        <f t="shared" si="2"/>
        <v>1</v>
      </c>
      <c r="H72" s="67">
        <v>0</v>
      </c>
      <c r="I72" s="172">
        <v>0</v>
      </c>
      <c r="K72" s="369" t="s">
        <v>175</v>
      </c>
      <c r="L72" s="149" t="s">
        <v>176</v>
      </c>
      <c r="M72" s="67">
        <v>2</v>
      </c>
      <c r="N72" s="67" t="s">
        <v>39</v>
      </c>
      <c r="O72" s="75" t="s">
        <v>40</v>
      </c>
      <c r="P72" s="176">
        <f t="shared" si="3"/>
        <v>1</v>
      </c>
      <c r="Q72" s="177"/>
      <c r="S72" s="45"/>
      <c r="V72" s="387"/>
      <c r="W72" s="175"/>
      <c r="X72" s="69"/>
      <c r="Y72" s="69"/>
      <c r="Z72" s="69"/>
      <c r="AA72" s="45"/>
    </row>
    <row r="73" spans="1:27">
      <c r="A73" s="396" t="s">
        <v>177</v>
      </c>
      <c r="B73" s="149" t="s">
        <v>178</v>
      </c>
      <c r="C73" s="67">
        <v>2</v>
      </c>
      <c r="D73" s="67" t="s">
        <v>33</v>
      </c>
      <c r="E73" s="75" t="s">
        <v>34</v>
      </c>
      <c r="F73" s="394">
        <f t="shared" si="2"/>
        <v>0</v>
      </c>
      <c r="H73" s="67">
        <v>0</v>
      </c>
      <c r="I73" s="172">
        <v>0</v>
      </c>
      <c r="K73" s="369" t="s">
        <v>177</v>
      </c>
      <c r="L73" s="149" t="s">
        <v>178</v>
      </c>
      <c r="M73" s="67">
        <v>2</v>
      </c>
      <c r="N73" s="67" t="s">
        <v>33</v>
      </c>
      <c r="O73" s="75" t="s">
        <v>34</v>
      </c>
      <c r="P73" s="176">
        <f t="shared" si="3"/>
        <v>0</v>
      </c>
      <c r="Q73" s="177"/>
      <c r="S73" s="45"/>
      <c r="V73" s="387"/>
      <c r="W73" s="175"/>
      <c r="X73" s="69"/>
      <c r="Y73" s="69"/>
      <c r="Z73" s="69"/>
      <c r="AA73" s="45"/>
    </row>
    <row r="74" spans="1:27">
      <c r="A74" s="396" t="s">
        <v>179</v>
      </c>
      <c r="B74" s="149" t="s">
        <v>180</v>
      </c>
      <c r="C74" s="67">
        <v>1</v>
      </c>
      <c r="D74" s="67" t="s">
        <v>33</v>
      </c>
      <c r="E74" s="75" t="s">
        <v>34</v>
      </c>
      <c r="F74" s="394">
        <f t="shared" si="2"/>
        <v>0</v>
      </c>
      <c r="H74" s="67">
        <v>0</v>
      </c>
      <c r="I74" s="172">
        <v>0</v>
      </c>
      <c r="K74" s="369" t="s">
        <v>179</v>
      </c>
      <c r="L74" s="149" t="s">
        <v>180</v>
      </c>
      <c r="M74" s="67">
        <v>1</v>
      </c>
      <c r="N74" s="67" t="s">
        <v>33</v>
      </c>
      <c r="O74" s="75" t="s">
        <v>34</v>
      </c>
      <c r="P74" s="176">
        <f t="shared" si="3"/>
        <v>0</v>
      </c>
      <c r="Q74" s="177"/>
      <c r="S74" s="45"/>
      <c r="V74" s="387"/>
      <c r="W74" s="175"/>
      <c r="X74" s="69"/>
      <c r="Y74" s="69"/>
      <c r="Z74" s="69"/>
      <c r="AA74" s="45"/>
    </row>
    <row r="75" spans="1:27">
      <c r="A75" s="396" t="s">
        <v>181</v>
      </c>
      <c r="B75" s="149" t="s">
        <v>182</v>
      </c>
      <c r="C75" s="67">
        <v>1</v>
      </c>
      <c r="D75" s="67" t="s">
        <v>33</v>
      </c>
      <c r="E75" s="75" t="s">
        <v>34</v>
      </c>
      <c r="F75" s="394">
        <f t="shared" si="2"/>
        <v>0</v>
      </c>
      <c r="H75" s="67">
        <v>0</v>
      </c>
      <c r="I75" s="172">
        <v>0</v>
      </c>
      <c r="K75" s="369" t="s">
        <v>181</v>
      </c>
      <c r="L75" s="149" t="s">
        <v>182</v>
      </c>
      <c r="M75" s="67">
        <v>1</v>
      </c>
      <c r="N75" s="67" t="s">
        <v>33</v>
      </c>
      <c r="O75" s="75" t="s">
        <v>34</v>
      </c>
      <c r="P75" s="176">
        <f t="shared" si="3"/>
        <v>0</v>
      </c>
      <c r="Q75" s="177"/>
      <c r="S75" s="45"/>
      <c r="V75" s="387"/>
      <c r="W75" s="175"/>
      <c r="X75" s="69"/>
      <c r="Y75" s="69"/>
      <c r="Z75" s="69"/>
      <c r="AA75" s="45"/>
    </row>
    <row r="76" spans="1:27">
      <c r="A76" s="399" t="s">
        <v>183</v>
      </c>
      <c r="B76" s="74" t="s">
        <v>184</v>
      </c>
      <c r="C76" s="67">
        <v>1</v>
      </c>
      <c r="D76" s="67" t="s">
        <v>33</v>
      </c>
      <c r="E76" s="75" t="s">
        <v>34</v>
      </c>
      <c r="F76" s="394">
        <f t="shared" si="2"/>
        <v>0</v>
      </c>
      <c r="H76" s="67">
        <v>0</v>
      </c>
      <c r="I76" s="172">
        <v>0</v>
      </c>
      <c r="K76" s="372" t="s">
        <v>183</v>
      </c>
      <c r="L76" s="74" t="s">
        <v>184</v>
      </c>
      <c r="M76" s="67">
        <v>1</v>
      </c>
      <c r="N76" s="67" t="s">
        <v>33</v>
      </c>
      <c r="O76" s="75" t="s">
        <v>34</v>
      </c>
      <c r="P76" s="176">
        <f t="shared" si="3"/>
        <v>0</v>
      </c>
      <c r="Q76" s="177"/>
      <c r="S76" s="45"/>
      <c r="V76" s="389"/>
      <c r="W76" s="127"/>
      <c r="X76" s="69"/>
      <c r="Y76" s="69"/>
      <c r="Z76" s="69"/>
      <c r="AA76" s="45"/>
    </row>
    <row r="77" spans="1:27">
      <c r="A77" s="400" t="s">
        <v>185</v>
      </c>
      <c r="B77" s="74" t="s">
        <v>186</v>
      </c>
      <c r="C77" s="67">
        <v>1</v>
      </c>
      <c r="D77" s="67" t="s">
        <v>33</v>
      </c>
      <c r="E77" s="75" t="s">
        <v>34</v>
      </c>
      <c r="F77" s="394">
        <f t="shared" si="2"/>
        <v>0</v>
      </c>
      <c r="H77" s="67">
        <v>0</v>
      </c>
      <c r="I77" s="172">
        <v>0</v>
      </c>
      <c r="K77" s="373" t="s">
        <v>185</v>
      </c>
      <c r="L77" s="74" t="s">
        <v>186</v>
      </c>
      <c r="M77" s="67">
        <v>1</v>
      </c>
      <c r="N77" s="67" t="s">
        <v>33</v>
      </c>
      <c r="O77" s="75" t="s">
        <v>34</v>
      </c>
      <c r="P77" s="176">
        <f t="shared" si="3"/>
        <v>0</v>
      </c>
      <c r="Q77" s="177"/>
      <c r="S77" s="45"/>
      <c r="V77" s="127"/>
      <c r="W77" s="127"/>
      <c r="X77" s="69"/>
      <c r="Y77" s="69"/>
      <c r="Z77" s="69"/>
      <c r="AA77" s="45"/>
    </row>
    <row r="78" spans="1:27">
      <c r="A78" s="399" t="s">
        <v>187</v>
      </c>
      <c r="B78" s="74" t="s">
        <v>188</v>
      </c>
      <c r="C78" s="67">
        <v>1</v>
      </c>
      <c r="D78" s="67" t="s">
        <v>33</v>
      </c>
      <c r="E78" s="75" t="s">
        <v>34</v>
      </c>
      <c r="F78" s="394">
        <f t="shared" si="2"/>
        <v>0</v>
      </c>
      <c r="H78" s="67">
        <v>0</v>
      </c>
      <c r="I78" s="172">
        <v>0</v>
      </c>
      <c r="K78" s="372" t="s">
        <v>187</v>
      </c>
      <c r="L78" s="74" t="s">
        <v>188</v>
      </c>
      <c r="M78" s="67">
        <v>1</v>
      </c>
      <c r="N78" s="67" t="s">
        <v>33</v>
      </c>
      <c r="O78" s="75" t="s">
        <v>34</v>
      </c>
      <c r="P78" s="176">
        <f t="shared" si="3"/>
        <v>0</v>
      </c>
      <c r="Q78" s="177"/>
      <c r="S78" s="45"/>
      <c r="V78" s="389"/>
      <c r="W78" s="127"/>
      <c r="X78" s="69"/>
      <c r="Y78" s="69"/>
      <c r="Z78" s="69"/>
      <c r="AA78" s="45"/>
    </row>
    <row r="79" spans="1:27">
      <c r="A79" s="399" t="s">
        <v>189</v>
      </c>
      <c r="B79" s="74" t="s">
        <v>190</v>
      </c>
      <c r="C79" s="67">
        <v>1</v>
      </c>
      <c r="D79" s="67" t="s">
        <v>33</v>
      </c>
      <c r="E79" s="75" t="s">
        <v>34</v>
      </c>
      <c r="F79" s="394">
        <f t="shared" si="2"/>
        <v>0</v>
      </c>
      <c r="H79" s="67">
        <v>0</v>
      </c>
      <c r="I79" s="172">
        <v>0</v>
      </c>
      <c r="K79" s="372" t="s">
        <v>189</v>
      </c>
      <c r="L79" s="74" t="s">
        <v>190</v>
      </c>
      <c r="M79" s="67">
        <v>1</v>
      </c>
      <c r="N79" s="67" t="s">
        <v>33</v>
      </c>
      <c r="O79" s="75" t="s">
        <v>34</v>
      </c>
      <c r="P79" s="176">
        <f t="shared" si="3"/>
        <v>0</v>
      </c>
      <c r="Q79" s="177"/>
      <c r="S79" s="45"/>
      <c r="V79" s="389"/>
      <c r="W79" s="127"/>
      <c r="X79" s="69"/>
      <c r="Y79" s="69"/>
      <c r="Z79" s="69"/>
      <c r="AA79" s="45"/>
    </row>
    <row r="80" spans="1:27">
      <c r="A80" s="400" t="s">
        <v>191</v>
      </c>
      <c r="B80" s="74" t="s">
        <v>192</v>
      </c>
      <c r="C80" s="67">
        <v>1</v>
      </c>
      <c r="D80" s="67" t="s">
        <v>33</v>
      </c>
      <c r="E80" s="75" t="s">
        <v>34</v>
      </c>
      <c r="F80" s="394">
        <f t="shared" si="2"/>
        <v>0</v>
      </c>
      <c r="H80" s="67">
        <v>0</v>
      </c>
      <c r="I80" s="172">
        <v>0</v>
      </c>
      <c r="K80" s="373" t="s">
        <v>191</v>
      </c>
      <c r="L80" s="74" t="s">
        <v>192</v>
      </c>
      <c r="M80" s="67">
        <v>1</v>
      </c>
      <c r="N80" s="67" t="s">
        <v>33</v>
      </c>
      <c r="O80" s="75" t="s">
        <v>34</v>
      </c>
      <c r="P80" s="176">
        <f t="shared" si="3"/>
        <v>0</v>
      </c>
      <c r="Q80" s="177"/>
      <c r="S80" s="45"/>
      <c r="V80" s="127"/>
      <c r="W80" s="127"/>
      <c r="X80" s="69"/>
      <c r="Y80" s="69"/>
      <c r="Z80" s="69"/>
      <c r="AA80" s="45"/>
    </row>
    <row r="81" spans="1:27">
      <c r="A81" s="399" t="s">
        <v>193</v>
      </c>
      <c r="B81" s="74" t="s">
        <v>194</v>
      </c>
      <c r="C81" s="67">
        <v>1</v>
      </c>
      <c r="D81" s="67" t="s">
        <v>33</v>
      </c>
      <c r="E81" s="75" t="s">
        <v>34</v>
      </c>
      <c r="F81" s="394">
        <f t="shared" si="2"/>
        <v>0</v>
      </c>
      <c r="H81" s="67">
        <v>0</v>
      </c>
      <c r="I81" s="172">
        <v>0</v>
      </c>
      <c r="K81" s="372" t="s">
        <v>193</v>
      </c>
      <c r="L81" s="74" t="s">
        <v>194</v>
      </c>
      <c r="M81" s="67">
        <v>1</v>
      </c>
      <c r="N81" s="67" t="s">
        <v>33</v>
      </c>
      <c r="O81" s="75" t="s">
        <v>34</v>
      </c>
      <c r="P81" s="176">
        <f t="shared" si="3"/>
        <v>0</v>
      </c>
      <c r="S81" s="45"/>
      <c r="V81" s="389"/>
      <c r="W81" s="127"/>
      <c r="X81" s="69"/>
      <c r="Y81" s="69"/>
      <c r="Z81" s="69"/>
      <c r="AA81" s="45"/>
    </row>
    <row r="82" spans="1:27">
      <c r="A82" s="399" t="s">
        <v>195</v>
      </c>
      <c r="B82" s="74" t="s">
        <v>196</v>
      </c>
      <c r="C82" s="67">
        <v>1</v>
      </c>
      <c r="D82" s="67" t="s">
        <v>33</v>
      </c>
      <c r="E82" s="75" t="s">
        <v>34</v>
      </c>
      <c r="F82" s="394">
        <f t="shared" si="2"/>
        <v>0</v>
      </c>
      <c r="H82" s="67">
        <v>0</v>
      </c>
      <c r="I82" s="172">
        <v>0</v>
      </c>
      <c r="K82" s="372" t="s">
        <v>195</v>
      </c>
      <c r="L82" s="74" t="s">
        <v>196</v>
      </c>
      <c r="M82" s="67">
        <v>1</v>
      </c>
      <c r="N82" s="67" t="s">
        <v>33</v>
      </c>
      <c r="O82" s="75" t="s">
        <v>34</v>
      </c>
      <c r="P82" s="176">
        <f t="shared" si="3"/>
        <v>0</v>
      </c>
      <c r="Q82" s="177"/>
      <c r="S82" s="45"/>
      <c r="V82" s="389"/>
      <c r="W82" s="127"/>
      <c r="X82" s="69"/>
      <c r="Y82" s="69"/>
      <c r="Z82" s="69"/>
      <c r="AA82" s="45"/>
    </row>
    <row r="83" spans="1:27">
      <c r="A83" s="399" t="s">
        <v>197</v>
      </c>
      <c r="B83" s="74" t="s">
        <v>198</v>
      </c>
      <c r="C83" s="67">
        <v>1</v>
      </c>
      <c r="D83" s="67" t="s">
        <v>33</v>
      </c>
      <c r="E83" s="75" t="s">
        <v>34</v>
      </c>
      <c r="F83" s="394">
        <f t="shared" si="2"/>
        <v>0</v>
      </c>
      <c r="H83" s="67">
        <v>0</v>
      </c>
      <c r="I83" s="172">
        <v>0</v>
      </c>
      <c r="K83" s="372" t="s">
        <v>197</v>
      </c>
      <c r="L83" s="74" t="s">
        <v>198</v>
      </c>
      <c r="M83" s="67">
        <v>1</v>
      </c>
      <c r="N83" s="67" t="s">
        <v>33</v>
      </c>
      <c r="O83" s="75" t="s">
        <v>34</v>
      </c>
      <c r="P83" s="176">
        <f t="shared" si="3"/>
        <v>0</v>
      </c>
      <c r="Q83" s="177"/>
      <c r="S83" s="45"/>
      <c r="V83" s="389"/>
      <c r="W83" s="127"/>
      <c r="X83" s="69"/>
      <c r="Y83" s="69"/>
      <c r="Z83" s="69"/>
      <c r="AA83" s="45"/>
    </row>
    <row r="84" spans="1:27">
      <c r="A84" s="399" t="s">
        <v>199</v>
      </c>
      <c r="B84" s="74" t="s">
        <v>200</v>
      </c>
      <c r="C84" s="67">
        <v>1</v>
      </c>
      <c r="D84" s="67" t="s">
        <v>33</v>
      </c>
      <c r="E84" s="75" t="s">
        <v>34</v>
      </c>
      <c r="F84" s="394">
        <f t="shared" si="2"/>
        <v>0</v>
      </c>
      <c r="H84" s="67">
        <v>0</v>
      </c>
      <c r="I84" s="172">
        <v>0</v>
      </c>
      <c r="K84" s="372" t="s">
        <v>199</v>
      </c>
      <c r="L84" s="74" t="s">
        <v>200</v>
      </c>
      <c r="M84" s="67">
        <v>1</v>
      </c>
      <c r="N84" s="67" t="s">
        <v>33</v>
      </c>
      <c r="O84" s="75" t="s">
        <v>34</v>
      </c>
      <c r="P84" s="176">
        <f t="shared" si="3"/>
        <v>0</v>
      </c>
      <c r="Q84" s="177"/>
      <c r="S84" s="45"/>
      <c r="V84" s="389"/>
      <c r="W84" s="127"/>
      <c r="X84" s="69"/>
      <c r="Y84" s="69"/>
      <c r="Z84" s="69"/>
      <c r="AA84" s="45"/>
    </row>
    <row r="85" spans="1:27">
      <c r="A85" s="400" t="s">
        <v>201</v>
      </c>
      <c r="B85" s="74" t="s">
        <v>202</v>
      </c>
      <c r="C85" s="67">
        <v>1</v>
      </c>
      <c r="D85" s="67" t="s">
        <v>33</v>
      </c>
      <c r="E85" s="75" t="s">
        <v>34</v>
      </c>
      <c r="F85" s="394">
        <f t="shared" si="2"/>
        <v>0</v>
      </c>
      <c r="H85" s="67">
        <v>0</v>
      </c>
      <c r="I85" s="172">
        <v>0</v>
      </c>
      <c r="K85" s="373" t="s">
        <v>201</v>
      </c>
      <c r="L85" s="74" t="s">
        <v>202</v>
      </c>
      <c r="M85" s="67">
        <v>1</v>
      </c>
      <c r="N85" s="67" t="s">
        <v>33</v>
      </c>
      <c r="O85" s="75" t="s">
        <v>34</v>
      </c>
      <c r="P85" s="176">
        <f t="shared" si="3"/>
        <v>0</v>
      </c>
      <c r="Q85" s="177"/>
      <c r="S85" s="45"/>
      <c r="V85" s="127"/>
      <c r="W85" s="127"/>
      <c r="X85" s="69"/>
      <c r="Y85" s="69"/>
      <c r="Z85" s="69"/>
      <c r="AA85" s="45"/>
    </row>
    <row r="86" spans="1:27">
      <c r="A86" s="396" t="s">
        <v>203</v>
      </c>
      <c r="B86" s="149" t="s">
        <v>204</v>
      </c>
      <c r="C86" s="67">
        <v>2</v>
      </c>
      <c r="D86" s="67" t="s">
        <v>39</v>
      </c>
      <c r="E86" s="75" t="s">
        <v>40</v>
      </c>
      <c r="F86" s="394">
        <f t="shared" si="2"/>
        <v>1</v>
      </c>
      <c r="H86" s="67">
        <v>0</v>
      </c>
      <c r="I86" s="172">
        <v>0</v>
      </c>
      <c r="K86" s="369" t="s">
        <v>203</v>
      </c>
      <c r="L86" s="149" t="s">
        <v>204</v>
      </c>
      <c r="M86" s="67">
        <v>2</v>
      </c>
      <c r="N86" s="67" t="s">
        <v>39</v>
      </c>
      <c r="O86" s="75" t="s">
        <v>40</v>
      </c>
      <c r="P86" s="176">
        <f t="shared" si="3"/>
        <v>1</v>
      </c>
      <c r="Q86" s="177"/>
      <c r="S86" s="45"/>
      <c r="V86" s="387"/>
      <c r="W86" s="175"/>
      <c r="X86" s="69"/>
      <c r="Y86" s="69"/>
      <c r="Z86" s="69"/>
      <c r="AA86" s="45"/>
    </row>
    <row r="87" spans="1:27">
      <c r="A87" s="396" t="s">
        <v>205</v>
      </c>
      <c r="B87" s="149" t="s">
        <v>206</v>
      </c>
      <c r="C87" s="67">
        <v>1</v>
      </c>
      <c r="D87" s="67" t="s">
        <v>33</v>
      </c>
      <c r="E87" s="75" t="s">
        <v>34</v>
      </c>
      <c r="F87" s="394">
        <f t="shared" si="2"/>
        <v>0</v>
      </c>
      <c r="H87" s="67">
        <v>0</v>
      </c>
      <c r="I87" s="172">
        <v>0</v>
      </c>
      <c r="K87" s="369" t="s">
        <v>205</v>
      </c>
      <c r="L87" s="149" t="s">
        <v>206</v>
      </c>
      <c r="M87" s="67">
        <v>1</v>
      </c>
      <c r="N87" s="67" t="s">
        <v>33</v>
      </c>
      <c r="O87" s="75" t="s">
        <v>34</v>
      </c>
      <c r="P87" s="176">
        <f t="shared" si="3"/>
        <v>0</v>
      </c>
      <c r="Q87" s="177"/>
      <c r="S87" s="45"/>
      <c r="V87" s="387"/>
      <c r="W87" s="175"/>
      <c r="X87" s="69"/>
      <c r="Y87" s="69"/>
      <c r="Z87" s="69"/>
      <c r="AA87" s="45"/>
    </row>
    <row r="88" spans="1:27">
      <c r="A88" s="396" t="s">
        <v>207</v>
      </c>
      <c r="B88" s="149" t="s">
        <v>208</v>
      </c>
      <c r="C88" s="67">
        <v>1</v>
      </c>
      <c r="D88" s="67" t="s">
        <v>33</v>
      </c>
      <c r="E88" s="75" t="s">
        <v>34</v>
      </c>
      <c r="F88" s="394">
        <f t="shared" si="2"/>
        <v>0</v>
      </c>
      <c r="H88" s="67">
        <v>0</v>
      </c>
      <c r="I88" s="172">
        <v>0</v>
      </c>
      <c r="K88" s="369" t="s">
        <v>207</v>
      </c>
      <c r="L88" s="149" t="s">
        <v>208</v>
      </c>
      <c r="M88" s="67">
        <v>1</v>
      </c>
      <c r="N88" s="67" t="s">
        <v>33</v>
      </c>
      <c r="O88" s="75" t="s">
        <v>34</v>
      </c>
      <c r="P88" s="176">
        <f t="shared" si="3"/>
        <v>0</v>
      </c>
      <c r="Q88" s="177"/>
      <c r="S88" s="45"/>
      <c r="V88" s="387"/>
      <c r="W88" s="175"/>
      <c r="X88" s="69"/>
      <c r="Y88" s="69"/>
      <c r="Z88" s="69"/>
      <c r="AA88" s="45"/>
    </row>
    <row r="89" spans="1:27">
      <c r="A89" s="396" t="s">
        <v>209</v>
      </c>
      <c r="B89" s="149" t="s">
        <v>210</v>
      </c>
      <c r="C89" s="67">
        <v>2</v>
      </c>
      <c r="D89" s="67" t="s">
        <v>39</v>
      </c>
      <c r="E89" s="75" t="s">
        <v>40</v>
      </c>
      <c r="F89" s="394">
        <f t="shared" si="2"/>
        <v>1</v>
      </c>
      <c r="H89" s="67">
        <v>0</v>
      </c>
      <c r="I89" s="172">
        <v>0</v>
      </c>
      <c r="K89" s="369" t="s">
        <v>209</v>
      </c>
      <c r="L89" s="149" t="s">
        <v>210</v>
      </c>
      <c r="M89" s="67">
        <v>2</v>
      </c>
      <c r="N89" s="67" t="s">
        <v>39</v>
      </c>
      <c r="O89" s="75" t="s">
        <v>40</v>
      </c>
      <c r="P89" s="176">
        <f t="shared" si="3"/>
        <v>1</v>
      </c>
      <c r="Q89" s="177"/>
      <c r="S89" s="45"/>
      <c r="V89" s="387"/>
      <c r="W89" s="175"/>
      <c r="X89" s="69"/>
      <c r="Y89" s="69"/>
      <c r="Z89" s="69"/>
      <c r="AA89" s="45"/>
    </row>
    <row r="90" spans="1:27">
      <c r="A90" s="396" t="s">
        <v>211</v>
      </c>
      <c r="B90" s="149" t="s">
        <v>212</v>
      </c>
      <c r="C90" s="67">
        <v>1</v>
      </c>
      <c r="D90" s="67" t="s">
        <v>33</v>
      </c>
      <c r="E90" s="75" t="s">
        <v>34</v>
      </c>
      <c r="F90" s="394">
        <f t="shared" si="2"/>
        <v>0</v>
      </c>
      <c r="H90" s="67">
        <v>0</v>
      </c>
      <c r="I90" s="172">
        <v>0</v>
      </c>
      <c r="K90" s="369" t="s">
        <v>211</v>
      </c>
      <c r="L90" s="149" t="s">
        <v>212</v>
      </c>
      <c r="M90" s="67">
        <v>1</v>
      </c>
      <c r="N90" s="67" t="s">
        <v>33</v>
      </c>
      <c r="O90" s="75" t="s">
        <v>34</v>
      </c>
      <c r="P90" s="176">
        <f t="shared" si="3"/>
        <v>0</v>
      </c>
      <c r="Q90" s="177"/>
      <c r="S90" s="45"/>
      <c r="V90" s="387"/>
      <c r="W90" s="175"/>
      <c r="X90" s="69"/>
      <c r="Y90" s="69"/>
      <c r="Z90" s="69"/>
      <c r="AA90" s="45"/>
    </row>
    <row r="91" spans="1:27">
      <c r="A91" s="396" t="s">
        <v>213</v>
      </c>
      <c r="B91" s="149" t="s">
        <v>214</v>
      </c>
      <c r="C91" s="67">
        <v>1</v>
      </c>
      <c r="D91" s="67" t="s">
        <v>33</v>
      </c>
      <c r="E91" s="75" t="s">
        <v>34</v>
      </c>
      <c r="F91" s="394">
        <f t="shared" si="2"/>
        <v>0</v>
      </c>
      <c r="H91" s="67">
        <v>0</v>
      </c>
      <c r="I91" s="172">
        <v>0</v>
      </c>
      <c r="K91" s="369" t="s">
        <v>213</v>
      </c>
      <c r="L91" s="149" t="s">
        <v>214</v>
      </c>
      <c r="M91" s="67">
        <v>1</v>
      </c>
      <c r="N91" s="67" t="s">
        <v>33</v>
      </c>
      <c r="O91" s="75" t="s">
        <v>34</v>
      </c>
      <c r="P91" s="176">
        <f t="shared" si="3"/>
        <v>0</v>
      </c>
      <c r="Q91" s="177"/>
      <c r="S91" s="45"/>
      <c r="V91" s="387"/>
      <c r="W91" s="175"/>
      <c r="X91" s="69"/>
      <c r="Y91" s="69"/>
      <c r="Z91" s="69"/>
      <c r="AA91" s="45"/>
    </row>
    <row r="92" spans="1:27">
      <c r="A92" s="396" t="s">
        <v>215</v>
      </c>
      <c r="B92" s="149" t="s">
        <v>216</v>
      </c>
      <c r="C92" s="67">
        <v>1</v>
      </c>
      <c r="D92" s="67" t="s">
        <v>33</v>
      </c>
      <c r="E92" s="75" t="s">
        <v>34</v>
      </c>
      <c r="F92" s="394">
        <f t="shared" si="2"/>
        <v>0</v>
      </c>
      <c r="H92" s="67">
        <v>0</v>
      </c>
      <c r="I92" s="172">
        <v>0</v>
      </c>
      <c r="K92" s="369" t="s">
        <v>215</v>
      </c>
      <c r="L92" s="149" t="s">
        <v>216</v>
      </c>
      <c r="M92" s="67">
        <v>1</v>
      </c>
      <c r="N92" s="67" t="s">
        <v>33</v>
      </c>
      <c r="O92" s="75" t="s">
        <v>34</v>
      </c>
      <c r="P92" s="176">
        <f t="shared" si="3"/>
        <v>0</v>
      </c>
      <c r="Q92" s="177"/>
      <c r="S92" s="45"/>
      <c r="V92" s="387"/>
      <c r="W92" s="175"/>
      <c r="X92" s="69"/>
      <c r="Y92" s="69"/>
      <c r="Z92" s="69"/>
      <c r="AA92" s="45"/>
    </row>
    <row r="93" spans="1:27">
      <c r="A93" s="396" t="s">
        <v>217</v>
      </c>
      <c r="B93" s="149" t="s">
        <v>218</v>
      </c>
      <c r="C93" s="67">
        <v>2</v>
      </c>
      <c r="D93" s="67" t="s">
        <v>33</v>
      </c>
      <c r="E93" s="75" t="s">
        <v>34</v>
      </c>
      <c r="F93" s="394">
        <f t="shared" si="2"/>
        <v>0</v>
      </c>
      <c r="H93" s="67">
        <v>0</v>
      </c>
      <c r="I93" s="172">
        <v>0</v>
      </c>
      <c r="K93" s="369" t="s">
        <v>217</v>
      </c>
      <c r="L93" s="149" t="s">
        <v>218</v>
      </c>
      <c r="M93" s="67">
        <v>2</v>
      </c>
      <c r="N93" s="67" t="s">
        <v>33</v>
      </c>
      <c r="O93" s="75" t="s">
        <v>34</v>
      </c>
      <c r="P93" s="176">
        <f t="shared" si="3"/>
        <v>0</v>
      </c>
      <c r="Q93" s="45"/>
      <c r="S93" s="45"/>
      <c r="V93" s="387"/>
      <c r="W93" s="175"/>
      <c r="X93" s="69"/>
      <c r="Y93" s="69"/>
      <c r="Z93" s="69"/>
      <c r="AA93" s="45"/>
    </row>
    <row r="94" spans="1:27">
      <c r="A94" s="396" t="s">
        <v>219</v>
      </c>
      <c r="B94" s="149" t="s">
        <v>220</v>
      </c>
      <c r="C94" s="67">
        <v>1</v>
      </c>
      <c r="D94" s="67" t="s">
        <v>33</v>
      </c>
      <c r="E94" s="75" t="s">
        <v>34</v>
      </c>
      <c r="F94" s="394">
        <f t="shared" si="2"/>
        <v>0</v>
      </c>
      <c r="H94" s="67">
        <v>0</v>
      </c>
      <c r="I94" s="172">
        <v>0</v>
      </c>
      <c r="K94" s="369" t="s">
        <v>219</v>
      </c>
      <c r="L94" s="149" t="s">
        <v>220</v>
      </c>
      <c r="M94" s="67">
        <v>1</v>
      </c>
      <c r="N94" s="67" t="s">
        <v>33</v>
      </c>
      <c r="O94" s="75" t="s">
        <v>34</v>
      </c>
      <c r="P94" s="176">
        <f t="shared" si="3"/>
        <v>0</v>
      </c>
      <c r="Q94" s="177"/>
      <c r="S94" s="45"/>
      <c r="V94" s="387"/>
      <c r="W94" s="175"/>
      <c r="X94" s="69"/>
      <c r="Y94" s="69"/>
      <c r="Z94" s="69"/>
      <c r="AA94" s="45"/>
    </row>
    <row r="95" spans="1:27">
      <c r="A95" s="396" t="s">
        <v>221</v>
      </c>
      <c r="B95" s="149" t="s">
        <v>222</v>
      </c>
      <c r="C95" s="67">
        <v>2</v>
      </c>
      <c r="D95" s="67" t="s">
        <v>39</v>
      </c>
      <c r="E95" s="75" t="s">
        <v>34</v>
      </c>
      <c r="F95" s="394">
        <f t="shared" si="2"/>
        <v>1</v>
      </c>
      <c r="H95" s="67">
        <v>0</v>
      </c>
      <c r="I95" s="172">
        <v>0</v>
      </c>
      <c r="K95" s="369" t="s">
        <v>221</v>
      </c>
      <c r="L95" s="149" t="s">
        <v>222</v>
      </c>
      <c r="M95" s="67">
        <v>2</v>
      </c>
      <c r="N95" s="67" t="s">
        <v>39</v>
      </c>
      <c r="O95" s="75" t="s">
        <v>34</v>
      </c>
      <c r="P95" s="176">
        <f t="shared" si="3"/>
        <v>1</v>
      </c>
      <c r="Q95" s="177"/>
      <c r="S95" s="45"/>
      <c r="V95" s="387"/>
      <c r="W95" s="175"/>
      <c r="X95" s="69"/>
      <c r="Y95" s="69"/>
      <c r="Z95" s="69"/>
      <c r="AA95" s="45"/>
    </row>
    <row r="96" spans="1:27">
      <c r="A96" s="396" t="s">
        <v>223</v>
      </c>
      <c r="B96" s="149" t="s">
        <v>224</v>
      </c>
      <c r="C96" s="67">
        <v>2</v>
      </c>
      <c r="D96" s="67" t="s">
        <v>39</v>
      </c>
      <c r="E96" s="75" t="s">
        <v>34</v>
      </c>
      <c r="F96" s="394">
        <f t="shared" si="2"/>
        <v>1</v>
      </c>
      <c r="H96" s="67">
        <v>0</v>
      </c>
      <c r="I96" s="172">
        <v>0</v>
      </c>
      <c r="K96" s="369" t="s">
        <v>223</v>
      </c>
      <c r="L96" s="149" t="s">
        <v>224</v>
      </c>
      <c r="M96" s="67">
        <v>2</v>
      </c>
      <c r="N96" s="67" t="s">
        <v>39</v>
      </c>
      <c r="O96" s="75" t="s">
        <v>34</v>
      </c>
      <c r="P96" s="176">
        <f t="shared" si="3"/>
        <v>1</v>
      </c>
      <c r="Q96" s="177"/>
      <c r="S96" s="45"/>
      <c r="V96" s="387"/>
      <c r="W96" s="175"/>
      <c r="X96" s="69"/>
      <c r="Y96" s="69"/>
      <c r="Z96" s="69"/>
      <c r="AA96" s="45"/>
    </row>
    <row r="97" spans="1:27">
      <c r="A97" s="396" t="s">
        <v>225</v>
      </c>
      <c r="B97" s="149" t="s">
        <v>226</v>
      </c>
      <c r="C97" s="67">
        <v>2</v>
      </c>
      <c r="D97" s="374" t="s">
        <v>33</v>
      </c>
      <c r="E97" s="75" t="s">
        <v>34</v>
      </c>
      <c r="F97" s="394">
        <f t="shared" si="2"/>
        <v>0</v>
      </c>
      <c r="H97" s="67">
        <v>0</v>
      </c>
      <c r="I97" s="290">
        <v>1</v>
      </c>
      <c r="K97" s="369" t="s">
        <v>225</v>
      </c>
      <c r="L97" s="149" t="s">
        <v>226</v>
      </c>
      <c r="M97" s="67">
        <v>2</v>
      </c>
      <c r="N97" s="374" t="s">
        <v>33</v>
      </c>
      <c r="O97" s="75" t="s">
        <v>34</v>
      </c>
      <c r="P97" s="176">
        <f t="shared" si="3"/>
        <v>0</v>
      </c>
      <c r="Q97" s="177"/>
      <c r="S97" s="45"/>
      <c r="V97" s="387"/>
      <c r="W97" s="175"/>
      <c r="X97" s="69"/>
      <c r="Y97" s="69"/>
      <c r="Z97" s="69"/>
      <c r="AA97" s="45"/>
    </row>
    <row r="98" spans="1:27">
      <c r="A98" s="396" t="s">
        <v>227</v>
      </c>
      <c r="B98" s="149" t="s">
        <v>228</v>
      </c>
      <c r="C98" s="67">
        <v>2</v>
      </c>
      <c r="D98" s="67" t="s">
        <v>33</v>
      </c>
      <c r="E98" s="75" t="s">
        <v>34</v>
      </c>
      <c r="F98" s="394">
        <f t="shared" si="2"/>
        <v>0</v>
      </c>
      <c r="H98" s="67">
        <v>0</v>
      </c>
      <c r="I98" s="172">
        <v>0</v>
      </c>
      <c r="K98" s="369" t="s">
        <v>227</v>
      </c>
      <c r="L98" s="149" t="s">
        <v>228</v>
      </c>
      <c r="M98" s="67">
        <v>2</v>
      </c>
      <c r="N98" s="67" t="s">
        <v>33</v>
      </c>
      <c r="O98" s="75" t="s">
        <v>34</v>
      </c>
      <c r="P98" s="176">
        <f t="shared" si="3"/>
        <v>0</v>
      </c>
      <c r="Q98" s="177"/>
      <c r="S98" s="45"/>
      <c r="V98" s="387"/>
      <c r="W98" s="175"/>
      <c r="X98" s="69"/>
      <c r="Y98" s="69"/>
      <c r="Z98" s="69"/>
      <c r="AA98" s="45"/>
    </row>
    <row r="99" spans="1:27">
      <c r="A99" s="396" t="s">
        <v>229</v>
      </c>
      <c r="B99" s="149" t="s">
        <v>230</v>
      </c>
      <c r="C99" s="67">
        <v>2</v>
      </c>
      <c r="D99" s="67" t="s">
        <v>33</v>
      </c>
      <c r="E99" s="75" t="s">
        <v>34</v>
      </c>
      <c r="F99" s="394">
        <f t="shared" si="2"/>
        <v>0</v>
      </c>
      <c r="H99" s="67">
        <v>0</v>
      </c>
      <c r="I99" s="172">
        <v>0</v>
      </c>
      <c r="K99" s="369" t="s">
        <v>229</v>
      </c>
      <c r="L99" s="149" t="s">
        <v>230</v>
      </c>
      <c r="M99" s="67">
        <v>2</v>
      </c>
      <c r="N99" s="67" t="s">
        <v>33</v>
      </c>
      <c r="O99" s="75" t="s">
        <v>34</v>
      </c>
      <c r="P99" s="176">
        <f t="shared" si="3"/>
        <v>0</v>
      </c>
      <c r="Q99" s="177"/>
      <c r="S99" s="45"/>
      <c r="V99" s="387"/>
      <c r="W99" s="175"/>
      <c r="X99" s="69"/>
      <c r="Y99" s="69"/>
      <c r="Z99" s="69"/>
      <c r="AA99" s="45"/>
    </row>
    <row r="100" spans="1:27">
      <c r="A100" s="396" t="s">
        <v>231</v>
      </c>
      <c r="B100" s="149" t="s">
        <v>232</v>
      </c>
      <c r="C100" s="67">
        <v>1</v>
      </c>
      <c r="D100" s="67" t="s">
        <v>33</v>
      </c>
      <c r="E100" s="75" t="s">
        <v>34</v>
      </c>
      <c r="F100" s="394">
        <f t="shared" si="2"/>
        <v>0</v>
      </c>
      <c r="H100" s="67">
        <v>0</v>
      </c>
      <c r="I100" s="172">
        <v>0</v>
      </c>
      <c r="K100" s="369" t="s">
        <v>231</v>
      </c>
      <c r="L100" s="149" t="s">
        <v>232</v>
      </c>
      <c r="M100" s="67">
        <v>1</v>
      </c>
      <c r="N100" s="67" t="s">
        <v>33</v>
      </c>
      <c r="O100" s="75" t="s">
        <v>34</v>
      </c>
      <c r="P100" s="176">
        <f t="shared" si="3"/>
        <v>0</v>
      </c>
      <c r="Q100" s="177"/>
      <c r="S100" s="45"/>
      <c r="V100" s="387"/>
      <c r="W100" s="175"/>
      <c r="X100" s="69"/>
      <c r="Y100" s="69"/>
      <c r="Z100" s="69"/>
      <c r="AA100" s="45"/>
    </row>
    <row r="101" spans="1:27">
      <c r="A101" s="396" t="s">
        <v>233</v>
      </c>
      <c r="B101" s="149" t="s">
        <v>234</v>
      </c>
      <c r="C101" s="67">
        <v>2</v>
      </c>
      <c r="D101" s="67" t="s">
        <v>33</v>
      </c>
      <c r="E101" s="75" t="s">
        <v>34</v>
      </c>
      <c r="F101" s="394">
        <f t="shared" si="2"/>
        <v>0</v>
      </c>
      <c r="H101" s="67">
        <v>0</v>
      </c>
      <c r="I101" s="172">
        <v>0</v>
      </c>
      <c r="K101" s="369" t="s">
        <v>233</v>
      </c>
      <c r="L101" s="149" t="s">
        <v>234</v>
      </c>
      <c r="M101" s="67">
        <v>2</v>
      </c>
      <c r="N101" s="67" t="s">
        <v>33</v>
      </c>
      <c r="O101" s="75" t="s">
        <v>34</v>
      </c>
      <c r="P101" s="176">
        <f t="shared" si="3"/>
        <v>0</v>
      </c>
      <c r="Q101" s="177"/>
      <c r="S101" s="45"/>
      <c r="V101" s="387"/>
      <c r="W101" s="175"/>
      <c r="X101" s="69"/>
      <c r="Y101" s="69"/>
      <c r="Z101" s="69"/>
      <c r="AA101" s="45"/>
    </row>
    <row r="102" spans="1:27">
      <c r="A102" s="396" t="s">
        <v>235</v>
      </c>
      <c r="B102" s="149" t="s">
        <v>236</v>
      </c>
      <c r="C102" s="67">
        <v>1</v>
      </c>
      <c r="D102" s="67" t="s">
        <v>33</v>
      </c>
      <c r="E102" s="75" t="s">
        <v>34</v>
      </c>
      <c r="F102" s="394">
        <f t="shared" si="2"/>
        <v>0</v>
      </c>
      <c r="H102" s="67">
        <v>0</v>
      </c>
      <c r="I102" s="172">
        <v>0</v>
      </c>
      <c r="K102" s="369" t="s">
        <v>235</v>
      </c>
      <c r="L102" s="149" t="s">
        <v>236</v>
      </c>
      <c r="M102" s="67">
        <v>1</v>
      </c>
      <c r="N102" s="67" t="s">
        <v>33</v>
      </c>
      <c r="O102" s="75" t="s">
        <v>34</v>
      </c>
      <c r="P102" s="176">
        <f t="shared" si="3"/>
        <v>0</v>
      </c>
      <c r="Q102" s="177"/>
      <c r="S102" s="45"/>
      <c r="V102" s="387"/>
      <c r="W102" s="175"/>
      <c r="X102" s="69"/>
      <c r="Y102" s="69"/>
      <c r="Z102" s="69"/>
      <c r="AA102" s="45"/>
    </row>
    <row r="103" spans="1:27">
      <c r="A103" s="396" t="s">
        <v>237</v>
      </c>
      <c r="B103" s="149" t="s">
        <v>238</v>
      </c>
      <c r="C103" s="67">
        <v>2</v>
      </c>
      <c r="D103" s="67" t="s">
        <v>39</v>
      </c>
      <c r="E103" s="75" t="s">
        <v>40</v>
      </c>
      <c r="F103" s="394">
        <f t="shared" si="2"/>
        <v>1</v>
      </c>
      <c r="H103" s="67">
        <v>0</v>
      </c>
      <c r="I103" s="172">
        <v>0</v>
      </c>
      <c r="K103" s="369" t="s">
        <v>237</v>
      </c>
      <c r="L103" s="149" t="s">
        <v>238</v>
      </c>
      <c r="M103" s="67">
        <v>2</v>
      </c>
      <c r="N103" s="67" t="s">
        <v>39</v>
      </c>
      <c r="O103" s="75" t="s">
        <v>40</v>
      </c>
      <c r="P103" s="176">
        <f t="shared" si="3"/>
        <v>1</v>
      </c>
      <c r="Q103" s="177"/>
      <c r="S103" s="45"/>
      <c r="V103" s="387"/>
      <c r="W103" s="175"/>
      <c r="X103" s="69"/>
      <c r="Y103" s="69"/>
      <c r="Z103" s="69"/>
      <c r="AA103" s="45"/>
    </row>
    <row r="104" spans="1:27">
      <c r="A104" s="396" t="s">
        <v>239</v>
      </c>
      <c r="B104" s="149" t="s">
        <v>240</v>
      </c>
      <c r="C104" s="67">
        <v>2</v>
      </c>
      <c r="D104" s="67" t="s">
        <v>39</v>
      </c>
      <c r="E104" s="75" t="s">
        <v>40</v>
      </c>
      <c r="F104" s="394">
        <f t="shared" si="2"/>
        <v>1</v>
      </c>
      <c r="H104" s="67">
        <v>0</v>
      </c>
      <c r="I104" s="172">
        <v>0</v>
      </c>
      <c r="K104" s="369" t="s">
        <v>239</v>
      </c>
      <c r="L104" s="149" t="s">
        <v>240</v>
      </c>
      <c r="M104" s="67">
        <v>2</v>
      </c>
      <c r="N104" s="67" t="s">
        <v>39</v>
      </c>
      <c r="O104" s="75" t="s">
        <v>40</v>
      </c>
      <c r="P104" s="176">
        <f t="shared" si="3"/>
        <v>1</v>
      </c>
      <c r="Q104" s="177"/>
      <c r="S104" s="45"/>
      <c r="V104" s="387"/>
      <c r="W104" s="175"/>
      <c r="X104" s="69"/>
      <c r="Y104" s="69"/>
      <c r="Z104" s="69"/>
      <c r="AA104" s="45"/>
    </row>
    <row r="105" spans="1:27">
      <c r="A105" s="396" t="s">
        <v>241</v>
      </c>
      <c r="B105" s="149" t="s">
        <v>242</v>
      </c>
      <c r="C105" s="67">
        <v>2</v>
      </c>
      <c r="D105" s="67" t="s">
        <v>39</v>
      </c>
      <c r="E105" s="75" t="s">
        <v>40</v>
      </c>
      <c r="F105" s="394">
        <f t="shared" si="2"/>
        <v>1</v>
      </c>
      <c r="H105" s="67">
        <v>0</v>
      </c>
      <c r="I105" s="172">
        <v>0</v>
      </c>
      <c r="K105" s="369" t="s">
        <v>241</v>
      </c>
      <c r="L105" s="149" t="s">
        <v>242</v>
      </c>
      <c r="M105" s="67">
        <v>2</v>
      </c>
      <c r="N105" s="67" t="s">
        <v>39</v>
      </c>
      <c r="O105" s="75" t="s">
        <v>40</v>
      </c>
      <c r="P105" s="176">
        <f t="shared" si="3"/>
        <v>1</v>
      </c>
      <c r="Q105" s="177"/>
      <c r="S105" s="45"/>
      <c r="V105" s="387"/>
      <c r="W105" s="175"/>
      <c r="X105" s="69"/>
      <c r="Y105" s="69"/>
      <c r="Z105" s="69"/>
      <c r="AA105" s="45"/>
    </row>
    <row r="106" spans="1:27">
      <c r="A106" s="396" t="s">
        <v>243</v>
      </c>
      <c r="B106" s="149" t="s">
        <v>244</v>
      </c>
      <c r="C106" s="67">
        <v>2</v>
      </c>
      <c r="D106" s="67" t="s">
        <v>39</v>
      </c>
      <c r="E106" s="75" t="s">
        <v>40</v>
      </c>
      <c r="F106" s="394">
        <f t="shared" si="2"/>
        <v>1</v>
      </c>
      <c r="H106" s="67">
        <v>0</v>
      </c>
      <c r="I106" s="172">
        <v>0</v>
      </c>
      <c r="K106" s="369" t="s">
        <v>243</v>
      </c>
      <c r="L106" s="149" t="s">
        <v>244</v>
      </c>
      <c r="M106" s="67">
        <v>2</v>
      </c>
      <c r="N106" s="67" t="s">
        <v>39</v>
      </c>
      <c r="O106" s="75" t="s">
        <v>40</v>
      </c>
      <c r="P106" s="176">
        <f t="shared" si="3"/>
        <v>1</v>
      </c>
      <c r="Q106" s="177"/>
      <c r="S106" s="45"/>
      <c r="V106" s="387"/>
      <c r="W106" s="175"/>
      <c r="X106" s="69"/>
      <c r="Y106" s="69"/>
      <c r="Z106" s="69"/>
      <c r="AA106" s="45"/>
    </row>
    <row r="107" spans="1:27">
      <c r="A107" s="396" t="s">
        <v>245</v>
      </c>
      <c r="B107" s="149" t="s">
        <v>246</v>
      </c>
      <c r="C107" s="67">
        <v>2</v>
      </c>
      <c r="D107" s="67" t="s">
        <v>39</v>
      </c>
      <c r="E107" s="75" t="s">
        <v>34</v>
      </c>
      <c r="F107" s="394">
        <f t="shared" si="2"/>
        <v>1</v>
      </c>
      <c r="H107" s="67">
        <v>0</v>
      </c>
      <c r="I107" s="172">
        <v>0</v>
      </c>
      <c r="K107" s="369" t="s">
        <v>245</v>
      </c>
      <c r="L107" s="149" t="s">
        <v>246</v>
      </c>
      <c r="M107" s="67">
        <v>2</v>
      </c>
      <c r="N107" s="67" t="s">
        <v>39</v>
      </c>
      <c r="O107" s="75" t="s">
        <v>34</v>
      </c>
      <c r="P107" s="176">
        <f t="shared" si="3"/>
        <v>1</v>
      </c>
      <c r="Q107" s="177"/>
      <c r="S107" s="45"/>
      <c r="V107" s="387"/>
      <c r="W107" s="175"/>
      <c r="X107" s="69"/>
      <c r="Y107" s="69"/>
      <c r="Z107" s="69"/>
      <c r="AA107" s="45"/>
    </row>
    <row r="108" spans="1:27">
      <c r="A108" s="396" t="s">
        <v>247</v>
      </c>
      <c r="B108" s="149" t="s">
        <v>248</v>
      </c>
      <c r="C108" s="67">
        <v>2</v>
      </c>
      <c r="D108" s="67" t="s">
        <v>33</v>
      </c>
      <c r="E108" s="75" t="s">
        <v>34</v>
      </c>
      <c r="F108" s="394">
        <f t="shared" si="2"/>
        <v>0</v>
      </c>
      <c r="H108" s="67">
        <v>0</v>
      </c>
      <c r="I108" s="172">
        <v>0</v>
      </c>
      <c r="K108" s="369" t="s">
        <v>247</v>
      </c>
      <c r="L108" s="149" t="s">
        <v>248</v>
      </c>
      <c r="M108" s="67">
        <v>2</v>
      </c>
      <c r="N108" s="67" t="s">
        <v>33</v>
      </c>
      <c r="O108" s="75" t="s">
        <v>34</v>
      </c>
      <c r="P108" s="176">
        <f t="shared" si="3"/>
        <v>0</v>
      </c>
      <c r="Q108" s="177"/>
      <c r="S108" s="45"/>
      <c r="V108" s="387"/>
      <c r="W108" s="175"/>
      <c r="X108" s="69"/>
      <c r="Y108" s="69"/>
      <c r="Z108" s="69"/>
      <c r="AA108" s="45"/>
    </row>
    <row r="109" spans="1:27">
      <c r="A109" s="396" t="s">
        <v>249</v>
      </c>
      <c r="B109" s="149" t="s">
        <v>250</v>
      </c>
      <c r="C109" s="67">
        <v>1</v>
      </c>
      <c r="D109" s="67" t="s">
        <v>33</v>
      </c>
      <c r="E109" s="75" t="s">
        <v>34</v>
      </c>
      <c r="F109" s="394">
        <f t="shared" si="2"/>
        <v>0</v>
      </c>
      <c r="H109" s="67">
        <v>0</v>
      </c>
      <c r="I109" s="172">
        <v>0</v>
      </c>
      <c r="K109" s="369" t="s">
        <v>249</v>
      </c>
      <c r="L109" s="149" t="s">
        <v>250</v>
      </c>
      <c r="M109" s="67">
        <v>1</v>
      </c>
      <c r="N109" s="67" t="s">
        <v>33</v>
      </c>
      <c r="O109" s="75" t="s">
        <v>34</v>
      </c>
      <c r="P109" s="176">
        <f t="shared" si="3"/>
        <v>0</v>
      </c>
      <c r="Q109" s="177"/>
      <c r="S109" s="45"/>
      <c r="V109" s="387"/>
      <c r="W109" s="175"/>
      <c r="X109" s="69"/>
      <c r="Y109" s="69"/>
      <c r="Z109" s="69"/>
      <c r="AA109" s="45"/>
    </row>
    <row r="110" spans="1:27">
      <c r="A110" s="396" t="s">
        <v>251</v>
      </c>
      <c r="B110" s="149" t="s">
        <v>252</v>
      </c>
      <c r="C110" s="67">
        <v>2</v>
      </c>
      <c r="D110" s="67" t="s">
        <v>33</v>
      </c>
      <c r="E110" s="75" t="s">
        <v>34</v>
      </c>
      <c r="F110" s="394">
        <f t="shared" si="2"/>
        <v>0</v>
      </c>
      <c r="H110" s="67">
        <v>0</v>
      </c>
      <c r="I110" s="172">
        <v>0</v>
      </c>
      <c r="K110" s="369" t="s">
        <v>251</v>
      </c>
      <c r="L110" s="149" t="s">
        <v>252</v>
      </c>
      <c r="M110" s="67">
        <v>2</v>
      </c>
      <c r="N110" s="67" t="s">
        <v>33</v>
      </c>
      <c r="O110" s="75" t="s">
        <v>34</v>
      </c>
      <c r="P110" s="176">
        <f t="shared" si="3"/>
        <v>0</v>
      </c>
      <c r="Q110" s="177"/>
      <c r="S110" s="45"/>
      <c r="V110" s="387"/>
      <c r="W110" s="175"/>
      <c r="X110" s="69"/>
      <c r="Y110" s="69"/>
      <c r="Z110" s="69"/>
      <c r="AA110" s="45"/>
    </row>
    <row r="111" spans="1:27">
      <c r="A111" s="396" t="s">
        <v>253</v>
      </c>
      <c r="B111" s="149" t="s">
        <v>254</v>
      </c>
      <c r="C111" s="67">
        <v>2</v>
      </c>
      <c r="D111" s="67" t="s">
        <v>39</v>
      </c>
      <c r="E111" s="75" t="s">
        <v>40</v>
      </c>
      <c r="F111" s="394">
        <f t="shared" si="2"/>
        <v>1</v>
      </c>
      <c r="H111" s="67">
        <v>0</v>
      </c>
      <c r="I111" s="172">
        <v>0</v>
      </c>
      <c r="K111" s="369" t="s">
        <v>253</v>
      </c>
      <c r="L111" s="149" t="s">
        <v>254</v>
      </c>
      <c r="M111" s="67">
        <v>2</v>
      </c>
      <c r="N111" s="67" t="s">
        <v>39</v>
      </c>
      <c r="O111" s="75" t="s">
        <v>40</v>
      </c>
      <c r="P111" s="176">
        <f t="shared" si="3"/>
        <v>1</v>
      </c>
      <c r="Q111" s="177"/>
      <c r="S111" s="45"/>
      <c r="V111" s="387"/>
      <c r="W111" s="175"/>
      <c r="X111" s="69"/>
      <c r="Y111" s="69"/>
      <c r="Z111" s="69"/>
      <c r="AA111" s="45"/>
    </row>
    <row r="112" spans="1:27">
      <c r="A112" s="396" t="s">
        <v>255</v>
      </c>
      <c r="B112" s="149" t="s">
        <v>256</v>
      </c>
      <c r="C112" s="67">
        <v>2</v>
      </c>
      <c r="D112" s="67" t="s">
        <v>33</v>
      </c>
      <c r="E112" s="75" t="s">
        <v>34</v>
      </c>
      <c r="F112" s="394">
        <f t="shared" si="2"/>
        <v>0</v>
      </c>
      <c r="H112" s="67">
        <v>0</v>
      </c>
      <c r="I112" s="172">
        <v>0</v>
      </c>
      <c r="K112" s="369" t="s">
        <v>255</v>
      </c>
      <c r="L112" s="149" t="s">
        <v>256</v>
      </c>
      <c r="M112" s="67">
        <v>2</v>
      </c>
      <c r="N112" s="67" t="s">
        <v>33</v>
      </c>
      <c r="O112" s="75" t="s">
        <v>34</v>
      </c>
      <c r="P112" s="176">
        <f t="shared" si="3"/>
        <v>0</v>
      </c>
      <c r="Q112" s="177"/>
      <c r="S112" s="45"/>
      <c r="V112" s="387"/>
      <c r="W112" s="175"/>
      <c r="X112" s="69"/>
      <c r="Y112" s="69"/>
      <c r="Z112" s="69"/>
      <c r="AA112" s="45"/>
    </row>
    <row r="113" spans="1:27">
      <c r="A113" s="401" t="s">
        <v>257</v>
      </c>
      <c r="B113" s="376" t="s">
        <v>258</v>
      </c>
      <c r="C113" s="67">
        <v>2</v>
      </c>
      <c r="D113" s="67" t="s">
        <v>33</v>
      </c>
      <c r="E113" s="75" t="s">
        <v>34</v>
      </c>
      <c r="F113" s="394">
        <f t="shared" si="2"/>
        <v>0</v>
      </c>
      <c r="H113" s="67">
        <v>0</v>
      </c>
      <c r="I113" s="172">
        <v>0</v>
      </c>
      <c r="K113" s="375" t="s">
        <v>257</v>
      </c>
      <c r="L113" s="376" t="s">
        <v>258</v>
      </c>
      <c r="M113" s="67">
        <v>2</v>
      </c>
      <c r="N113" s="67" t="s">
        <v>33</v>
      </c>
      <c r="O113" s="75" t="s">
        <v>34</v>
      </c>
      <c r="P113" s="176">
        <f t="shared" si="3"/>
        <v>0</v>
      </c>
      <c r="Q113" s="177"/>
      <c r="S113" s="45"/>
      <c r="V113" s="127"/>
      <c r="W113" s="127"/>
      <c r="X113" s="69"/>
      <c r="Y113" s="69"/>
      <c r="Z113" s="69"/>
      <c r="AA113" s="45"/>
    </row>
    <row r="114" spans="1:27">
      <c r="A114" s="397" t="s">
        <v>259</v>
      </c>
      <c r="B114" s="74" t="s">
        <v>260</v>
      </c>
      <c r="C114" s="67">
        <v>2</v>
      </c>
      <c r="D114" s="67" t="s">
        <v>33</v>
      </c>
      <c r="E114" s="75" t="s">
        <v>34</v>
      </c>
      <c r="F114" s="394">
        <f t="shared" si="2"/>
        <v>0</v>
      </c>
      <c r="H114" s="67">
        <v>0</v>
      </c>
      <c r="I114" s="172">
        <v>0</v>
      </c>
      <c r="K114" s="190" t="s">
        <v>259</v>
      </c>
      <c r="L114" s="74" t="s">
        <v>260</v>
      </c>
      <c r="M114" s="67">
        <v>2</v>
      </c>
      <c r="N114" s="67" t="s">
        <v>33</v>
      </c>
      <c r="O114" s="75" t="s">
        <v>34</v>
      </c>
      <c r="P114" s="176">
        <f t="shared" si="3"/>
        <v>0</v>
      </c>
      <c r="Q114" s="177"/>
      <c r="S114" s="45"/>
      <c r="V114" s="388"/>
      <c r="W114" s="127"/>
      <c r="X114" s="69"/>
      <c r="Y114" s="69"/>
      <c r="Z114" s="69"/>
      <c r="AA114" s="45"/>
    </row>
    <row r="115" spans="1:27">
      <c r="A115" s="402" t="s">
        <v>261</v>
      </c>
      <c r="B115" s="74" t="s">
        <v>262</v>
      </c>
      <c r="C115" s="67">
        <v>2</v>
      </c>
      <c r="D115" s="67" t="s">
        <v>33</v>
      </c>
      <c r="E115" s="75" t="s">
        <v>34</v>
      </c>
      <c r="F115" s="394">
        <f t="shared" si="2"/>
        <v>0</v>
      </c>
      <c r="H115" s="67">
        <v>0</v>
      </c>
      <c r="I115" s="172">
        <v>0</v>
      </c>
      <c r="K115" s="377" t="s">
        <v>261</v>
      </c>
      <c r="L115" s="74" t="s">
        <v>262</v>
      </c>
      <c r="M115" s="67">
        <v>2</v>
      </c>
      <c r="N115" s="67" t="s">
        <v>33</v>
      </c>
      <c r="O115" s="75" t="s">
        <v>34</v>
      </c>
      <c r="P115" s="176">
        <f t="shared" si="3"/>
        <v>0</v>
      </c>
      <c r="Q115" s="177"/>
      <c r="S115" s="45"/>
      <c r="V115" s="127"/>
      <c r="W115" s="127"/>
      <c r="X115" s="69"/>
      <c r="Y115" s="69"/>
      <c r="Z115" s="69"/>
      <c r="AA115" s="45"/>
    </row>
    <row r="116" spans="1:27">
      <c r="A116" s="397" t="s">
        <v>263</v>
      </c>
      <c r="B116" s="74" t="s">
        <v>264</v>
      </c>
      <c r="C116" s="67">
        <v>2</v>
      </c>
      <c r="D116" s="67" t="s">
        <v>33</v>
      </c>
      <c r="E116" s="75" t="s">
        <v>34</v>
      </c>
      <c r="F116" s="394">
        <f t="shared" si="2"/>
        <v>0</v>
      </c>
      <c r="H116" s="67">
        <v>0</v>
      </c>
      <c r="I116" s="172">
        <v>0</v>
      </c>
      <c r="K116" s="190" t="s">
        <v>263</v>
      </c>
      <c r="L116" s="74" t="s">
        <v>264</v>
      </c>
      <c r="M116" s="67">
        <v>2</v>
      </c>
      <c r="N116" s="67" t="s">
        <v>33</v>
      </c>
      <c r="O116" s="75" t="s">
        <v>34</v>
      </c>
      <c r="P116" s="176">
        <f t="shared" si="3"/>
        <v>0</v>
      </c>
      <c r="Q116" s="177"/>
      <c r="S116" s="45"/>
      <c r="V116" s="387"/>
      <c r="W116" s="175"/>
      <c r="X116" s="69"/>
      <c r="Y116" s="69"/>
      <c r="Z116" s="69"/>
      <c r="AA116" s="45"/>
    </row>
    <row r="117" spans="1:27">
      <c r="A117" s="396" t="s">
        <v>265</v>
      </c>
      <c r="B117" s="149" t="s">
        <v>266</v>
      </c>
      <c r="C117" s="67">
        <v>2</v>
      </c>
      <c r="D117" s="67" t="s">
        <v>39</v>
      </c>
      <c r="E117" s="75" t="s">
        <v>34</v>
      </c>
      <c r="F117" s="394">
        <f t="shared" si="2"/>
        <v>1</v>
      </c>
      <c r="H117" s="67">
        <v>0</v>
      </c>
      <c r="I117" s="172">
        <v>0</v>
      </c>
      <c r="K117" s="369" t="s">
        <v>265</v>
      </c>
      <c r="L117" s="149" t="s">
        <v>266</v>
      </c>
      <c r="M117" s="67">
        <v>2</v>
      </c>
      <c r="N117" s="67" t="s">
        <v>39</v>
      </c>
      <c r="O117" s="75" t="s">
        <v>34</v>
      </c>
      <c r="P117" s="176">
        <f t="shared" si="3"/>
        <v>1</v>
      </c>
      <c r="Q117" s="177"/>
      <c r="S117" s="45"/>
      <c r="V117" s="387"/>
      <c r="W117" s="175"/>
      <c r="X117" s="69"/>
      <c r="Y117" s="69"/>
      <c r="Z117" s="69"/>
      <c r="AA117" s="45"/>
    </row>
    <row r="118" spans="1:27">
      <c r="A118" s="396" t="s">
        <v>267</v>
      </c>
      <c r="B118" s="149" t="s">
        <v>268</v>
      </c>
      <c r="C118" s="67">
        <v>2</v>
      </c>
      <c r="D118" s="67" t="s">
        <v>33</v>
      </c>
      <c r="E118" s="75" t="s">
        <v>40</v>
      </c>
      <c r="F118" s="394">
        <f t="shared" si="2"/>
        <v>0</v>
      </c>
      <c r="H118" s="67">
        <v>0</v>
      </c>
      <c r="I118" s="172">
        <v>0</v>
      </c>
      <c r="K118" s="369" t="s">
        <v>267</v>
      </c>
      <c r="L118" s="149" t="s">
        <v>268</v>
      </c>
      <c r="M118" s="67">
        <v>2</v>
      </c>
      <c r="N118" s="67" t="s">
        <v>33</v>
      </c>
      <c r="O118" s="75" t="s">
        <v>40</v>
      </c>
      <c r="P118" s="176">
        <f t="shared" si="3"/>
        <v>0</v>
      </c>
      <c r="Q118" s="177"/>
      <c r="S118" s="45"/>
      <c r="V118" s="387"/>
      <c r="W118" s="175"/>
      <c r="X118" s="69"/>
      <c r="Y118" s="69"/>
      <c r="Z118" s="69"/>
      <c r="AA118" s="45"/>
    </row>
    <row r="119" spans="1:27">
      <c r="A119" s="396" t="s">
        <v>269</v>
      </c>
      <c r="B119" s="149" t="s">
        <v>270</v>
      </c>
      <c r="C119" s="67">
        <v>1</v>
      </c>
      <c r="D119" s="67" t="s">
        <v>33</v>
      </c>
      <c r="E119" s="75" t="s">
        <v>34</v>
      </c>
      <c r="F119" s="394">
        <f t="shared" si="2"/>
        <v>0</v>
      </c>
      <c r="H119" s="67">
        <v>0</v>
      </c>
      <c r="I119" s="172">
        <v>0</v>
      </c>
      <c r="K119" s="369" t="s">
        <v>269</v>
      </c>
      <c r="L119" s="149" t="s">
        <v>270</v>
      </c>
      <c r="M119" s="67">
        <v>1</v>
      </c>
      <c r="N119" s="67" t="s">
        <v>33</v>
      </c>
      <c r="O119" s="75" t="s">
        <v>34</v>
      </c>
      <c r="P119" s="176">
        <f t="shared" si="3"/>
        <v>0</v>
      </c>
      <c r="Q119" s="177"/>
      <c r="S119" s="45"/>
      <c r="V119" s="387"/>
      <c r="W119" s="175"/>
      <c r="X119" s="69"/>
      <c r="Y119" s="69"/>
      <c r="Z119" s="69"/>
      <c r="AA119" s="45"/>
    </row>
    <row r="120" spans="1:27">
      <c r="A120" s="396" t="s">
        <v>271</v>
      </c>
      <c r="B120" s="149" t="s">
        <v>272</v>
      </c>
      <c r="C120" s="67">
        <v>2</v>
      </c>
      <c r="D120" s="67" t="s">
        <v>39</v>
      </c>
      <c r="E120" s="75" t="s">
        <v>34</v>
      </c>
      <c r="F120" s="394">
        <f t="shared" si="2"/>
        <v>1</v>
      </c>
      <c r="H120" s="67">
        <v>0</v>
      </c>
      <c r="I120" s="172">
        <v>0</v>
      </c>
      <c r="K120" s="369" t="s">
        <v>271</v>
      </c>
      <c r="L120" s="149" t="s">
        <v>272</v>
      </c>
      <c r="M120" s="67">
        <v>2</v>
      </c>
      <c r="N120" s="67" t="s">
        <v>39</v>
      </c>
      <c r="O120" s="75" t="s">
        <v>34</v>
      </c>
      <c r="P120" s="176">
        <f t="shared" si="3"/>
        <v>1</v>
      </c>
      <c r="Q120" s="177"/>
      <c r="S120" s="45"/>
      <c r="V120" s="387"/>
      <c r="W120" s="175"/>
      <c r="X120" s="69"/>
      <c r="Y120" s="69"/>
      <c r="Z120" s="69"/>
      <c r="AA120" s="45"/>
    </row>
    <row r="121" spans="1:27">
      <c r="A121" s="396" t="s">
        <v>273</v>
      </c>
      <c r="B121" s="149" t="s">
        <v>274</v>
      </c>
      <c r="C121" s="67">
        <v>2</v>
      </c>
      <c r="D121" s="67" t="s">
        <v>33</v>
      </c>
      <c r="E121" s="75" t="s">
        <v>34</v>
      </c>
      <c r="F121" s="394">
        <f t="shared" si="2"/>
        <v>0</v>
      </c>
      <c r="H121" s="67">
        <v>0</v>
      </c>
      <c r="I121" s="172">
        <v>0</v>
      </c>
      <c r="K121" s="369" t="s">
        <v>273</v>
      </c>
      <c r="L121" s="149" t="s">
        <v>274</v>
      </c>
      <c r="M121" s="67">
        <v>2</v>
      </c>
      <c r="N121" s="67" t="s">
        <v>33</v>
      </c>
      <c r="O121" s="75" t="s">
        <v>34</v>
      </c>
      <c r="P121" s="176">
        <f t="shared" si="3"/>
        <v>0</v>
      </c>
      <c r="Q121" s="177"/>
      <c r="S121" s="45"/>
      <c r="V121" s="387"/>
      <c r="W121" s="175"/>
      <c r="X121" s="69"/>
      <c r="Y121" s="69"/>
      <c r="Z121" s="69"/>
      <c r="AA121" s="45"/>
    </row>
    <row r="122" spans="1:27">
      <c r="A122" s="396" t="s">
        <v>275</v>
      </c>
      <c r="B122" s="149" t="s">
        <v>276</v>
      </c>
      <c r="C122" s="67">
        <v>2</v>
      </c>
      <c r="D122" s="67" t="s">
        <v>39</v>
      </c>
      <c r="E122" s="75" t="s">
        <v>40</v>
      </c>
      <c r="F122" s="394">
        <f t="shared" si="2"/>
        <v>1</v>
      </c>
      <c r="H122" s="67">
        <v>0</v>
      </c>
      <c r="I122" s="172">
        <v>0</v>
      </c>
      <c r="K122" s="369" t="s">
        <v>275</v>
      </c>
      <c r="L122" s="149" t="s">
        <v>276</v>
      </c>
      <c r="M122" s="67">
        <v>2</v>
      </c>
      <c r="N122" s="67" t="s">
        <v>39</v>
      </c>
      <c r="O122" s="75" t="s">
        <v>40</v>
      </c>
      <c r="P122" s="176">
        <f t="shared" si="3"/>
        <v>1</v>
      </c>
      <c r="Q122" s="177"/>
      <c r="S122" s="45"/>
      <c r="V122" s="387"/>
      <c r="W122" s="175"/>
      <c r="X122" s="69"/>
      <c r="Y122" s="69"/>
      <c r="Z122" s="69"/>
      <c r="AA122" s="45"/>
    </row>
    <row r="123" spans="1:27">
      <c r="A123" s="396" t="s">
        <v>277</v>
      </c>
      <c r="B123" s="149" t="s">
        <v>278</v>
      </c>
      <c r="C123" s="67">
        <v>1</v>
      </c>
      <c r="D123" s="67" t="s">
        <v>33</v>
      </c>
      <c r="E123" s="75" t="s">
        <v>34</v>
      </c>
      <c r="F123" s="394">
        <f t="shared" si="2"/>
        <v>0</v>
      </c>
      <c r="H123" s="67">
        <v>0</v>
      </c>
      <c r="I123" s="172">
        <v>0</v>
      </c>
      <c r="K123" s="369" t="s">
        <v>277</v>
      </c>
      <c r="L123" s="149" t="s">
        <v>278</v>
      </c>
      <c r="M123" s="67">
        <v>1</v>
      </c>
      <c r="N123" s="67" t="s">
        <v>33</v>
      </c>
      <c r="O123" s="75" t="s">
        <v>34</v>
      </c>
      <c r="P123" s="176">
        <f t="shared" si="3"/>
        <v>0</v>
      </c>
      <c r="Q123" s="177"/>
      <c r="S123" s="45"/>
      <c r="V123" s="387"/>
      <c r="W123" s="175"/>
      <c r="X123" s="69"/>
      <c r="Y123" s="69"/>
      <c r="Z123" s="69"/>
      <c r="AA123" s="45"/>
    </row>
    <row r="124" spans="1:27">
      <c r="A124" s="396" t="s">
        <v>279</v>
      </c>
      <c r="B124" s="149" t="s">
        <v>280</v>
      </c>
      <c r="C124" s="67">
        <v>1</v>
      </c>
      <c r="D124" s="67" t="s">
        <v>33</v>
      </c>
      <c r="E124" s="75" t="s">
        <v>34</v>
      </c>
      <c r="F124" s="394">
        <f t="shared" si="2"/>
        <v>0</v>
      </c>
      <c r="H124" s="67">
        <v>0</v>
      </c>
      <c r="I124" s="172">
        <v>0</v>
      </c>
      <c r="K124" s="369" t="s">
        <v>279</v>
      </c>
      <c r="L124" s="149" t="s">
        <v>280</v>
      </c>
      <c r="M124" s="67">
        <v>1</v>
      </c>
      <c r="N124" s="67" t="s">
        <v>33</v>
      </c>
      <c r="O124" s="75" t="s">
        <v>34</v>
      </c>
      <c r="P124" s="176">
        <f t="shared" si="3"/>
        <v>0</v>
      </c>
      <c r="Q124" s="177"/>
      <c r="S124" s="45"/>
      <c r="V124" s="387"/>
      <c r="W124" s="175"/>
      <c r="X124" s="69"/>
      <c r="Y124" s="69"/>
      <c r="Z124" s="69"/>
      <c r="AA124" s="45"/>
    </row>
    <row r="125" spans="1:27">
      <c r="A125" s="396" t="s">
        <v>281</v>
      </c>
      <c r="B125" s="149" t="s">
        <v>282</v>
      </c>
      <c r="C125" s="67">
        <v>1</v>
      </c>
      <c r="D125" s="67" t="s">
        <v>33</v>
      </c>
      <c r="E125" s="75" t="s">
        <v>34</v>
      </c>
      <c r="F125" s="394">
        <f t="shared" si="2"/>
        <v>0</v>
      </c>
      <c r="H125" s="67">
        <v>0</v>
      </c>
      <c r="I125" s="290">
        <v>1</v>
      </c>
      <c r="K125" s="369" t="s">
        <v>281</v>
      </c>
      <c r="L125" s="149" t="s">
        <v>282</v>
      </c>
      <c r="M125" s="67">
        <v>1</v>
      </c>
      <c r="N125" s="67" t="s">
        <v>33</v>
      </c>
      <c r="O125" s="75" t="s">
        <v>34</v>
      </c>
      <c r="P125" s="176">
        <f t="shared" si="3"/>
        <v>0</v>
      </c>
      <c r="Q125" s="177"/>
      <c r="S125" s="45"/>
      <c r="V125" s="387"/>
      <c r="W125" s="175"/>
      <c r="X125" s="69"/>
      <c r="Y125" s="69"/>
      <c r="Z125" s="69"/>
      <c r="AA125" s="45"/>
    </row>
    <row r="126" spans="1:27">
      <c r="A126" s="396" t="s">
        <v>283</v>
      </c>
      <c r="B126" s="149" t="s">
        <v>284</v>
      </c>
      <c r="C126" s="67">
        <v>2</v>
      </c>
      <c r="D126" s="374" t="s">
        <v>33</v>
      </c>
      <c r="E126" s="75" t="s">
        <v>34</v>
      </c>
      <c r="F126" s="394">
        <f t="shared" si="2"/>
        <v>0</v>
      </c>
      <c r="H126" s="67">
        <v>0</v>
      </c>
      <c r="I126" s="172">
        <v>0</v>
      </c>
      <c r="K126" s="369" t="s">
        <v>283</v>
      </c>
      <c r="L126" s="149" t="s">
        <v>284</v>
      </c>
      <c r="M126" s="67">
        <v>2</v>
      </c>
      <c r="N126" s="374" t="s">
        <v>33</v>
      </c>
      <c r="O126" s="75" t="s">
        <v>34</v>
      </c>
      <c r="P126" s="176">
        <f t="shared" si="3"/>
        <v>0</v>
      </c>
      <c r="Q126" s="177"/>
      <c r="S126" s="45"/>
      <c r="V126" s="387"/>
      <c r="W126" s="175"/>
      <c r="X126" s="69"/>
      <c r="Y126" s="69"/>
      <c r="Z126" s="69"/>
      <c r="AA126" s="45"/>
    </row>
    <row r="127" spans="1:27">
      <c r="A127" s="396" t="s">
        <v>285</v>
      </c>
      <c r="B127" s="149" t="s">
        <v>286</v>
      </c>
      <c r="C127" s="67">
        <v>2</v>
      </c>
      <c r="D127" s="67" t="s">
        <v>33</v>
      </c>
      <c r="E127" s="75" t="s">
        <v>34</v>
      </c>
      <c r="F127" s="394">
        <f t="shared" si="2"/>
        <v>0</v>
      </c>
      <c r="H127" s="67">
        <v>0</v>
      </c>
      <c r="I127" s="172">
        <v>0</v>
      </c>
      <c r="K127" s="369" t="s">
        <v>285</v>
      </c>
      <c r="L127" s="149" t="s">
        <v>286</v>
      </c>
      <c r="M127" s="67">
        <v>2</v>
      </c>
      <c r="N127" s="67" t="s">
        <v>33</v>
      </c>
      <c r="O127" s="75" t="s">
        <v>34</v>
      </c>
      <c r="P127" s="176">
        <f t="shared" si="3"/>
        <v>0</v>
      </c>
      <c r="Q127" s="177"/>
      <c r="S127" s="45"/>
      <c r="V127" s="387"/>
      <c r="W127" s="175"/>
      <c r="X127" s="69"/>
      <c r="Y127" s="69"/>
      <c r="Z127" s="69"/>
      <c r="AA127" s="45"/>
    </row>
    <row r="128" spans="1:27">
      <c r="A128" s="396" t="s">
        <v>287</v>
      </c>
      <c r="B128" s="149" t="s">
        <v>288</v>
      </c>
      <c r="C128" s="67">
        <v>2</v>
      </c>
      <c r="D128" s="67" t="s">
        <v>39</v>
      </c>
      <c r="E128" s="75" t="s">
        <v>34</v>
      </c>
      <c r="F128" s="394">
        <f t="shared" si="2"/>
        <v>1</v>
      </c>
      <c r="H128" s="67">
        <v>0</v>
      </c>
      <c r="I128" s="172">
        <v>0</v>
      </c>
      <c r="K128" s="369" t="s">
        <v>287</v>
      </c>
      <c r="L128" s="149" t="s">
        <v>288</v>
      </c>
      <c r="M128" s="67">
        <v>2</v>
      </c>
      <c r="N128" s="67" t="s">
        <v>39</v>
      </c>
      <c r="O128" s="75" t="s">
        <v>34</v>
      </c>
      <c r="P128" s="176">
        <f t="shared" si="3"/>
        <v>1</v>
      </c>
      <c r="Q128" s="177"/>
      <c r="S128" s="45"/>
      <c r="V128" s="387"/>
      <c r="W128" s="175"/>
      <c r="X128" s="69"/>
      <c r="Y128" s="69"/>
      <c r="Z128" s="69"/>
      <c r="AA128" s="45"/>
    </row>
    <row r="129" spans="1:27">
      <c r="A129" s="396" t="s">
        <v>289</v>
      </c>
      <c r="B129" s="149" t="s">
        <v>290</v>
      </c>
      <c r="C129" s="67">
        <v>2</v>
      </c>
      <c r="D129" s="67" t="s">
        <v>39</v>
      </c>
      <c r="E129" s="75" t="s">
        <v>34</v>
      </c>
      <c r="F129" s="394">
        <f t="shared" si="2"/>
        <v>1</v>
      </c>
      <c r="H129" s="67">
        <v>0</v>
      </c>
      <c r="I129" s="172">
        <v>0</v>
      </c>
      <c r="K129" s="369" t="s">
        <v>289</v>
      </c>
      <c r="L129" s="149" t="s">
        <v>290</v>
      </c>
      <c r="M129" s="67">
        <v>2</v>
      </c>
      <c r="N129" s="67" t="s">
        <v>39</v>
      </c>
      <c r="O129" s="75" t="s">
        <v>34</v>
      </c>
      <c r="P129" s="176">
        <f t="shared" si="3"/>
        <v>1</v>
      </c>
      <c r="Q129" s="177"/>
      <c r="S129" s="45"/>
      <c r="V129" s="387"/>
      <c r="W129" s="175"/>
      <c r="X129" s="69"/>
      <c r="Y129" s="69"/>
      <c r="Z129" s="69"/>
      <c r="AA129" s="45"/>
    </row>
    <row r="130" spans="1:27">
      <c r="A130" s="396" t="s">
        <v>291</v>
      </c>
      <c r="B130" s="149" t="s">
        <v>292</v>
      </c>
      <c r="C130" s="67">
        <v>2</v>
      </c>
      <c r="D130" s="67" t="s">
        <v>33</v>
      </c>
      <c r="E130" s="75" t="s">
        <v>34</v>
      </c>
      <c r="F130" s="394">
        <f t="shared" ref="F130:F193" si="4">IF(+D130="cash",1,0)</f>
        <v>0</v>
      </c>
      <c r="H130" s="67">
        <v>0</v>
      </c>
      <c r="I130" s="172">
        <v>0</v>
      </c>
      <c r="K130" s="369" t="s">
        <v>291</v>
      </c>
      <c r="L130" s="149" t="s">
        <v>292</v>
      </c>
      <c r="M130" s="67">
        <v>2</v>
      </c>
      <c r="N130" s="67" t="s">
        <v>33</v>
      </c>
      <c r="O130" s="75" t="s">
        <v>34</v>
      </c>
      <c r="P130" s="176">
        <f t="shared" ref="P130:P193" si="5">IF(+N130="cash",1,0)</f>
        <v>0</v>
      </c>
      <c r="Q130" s="177"/>
      <c r="S130" s="45"/>
      <c r="V130" s="387"/>
      <c r="W130" s="175"/>
      <c r="X130" s="69"/>
      <c r="Y130" s="69"/>
      <c r="Z130" s="69"/>
      <c r="AA130" s="45"/>
    </row>
    <row r="131" spans="1:27">
      <c r="A131" s="396" t="s">
        <v>293</v>
      </c>
      <c r="B131" s="149" t="s">
        <v>294</v>
      </c>
      <c r="C131" s="67">
        <v>2</v>
      </c>
      <c r="D131" s="67" t="s">
        <v>33</v>
      </c>
      <c r="E131" s="75" t="s">
        <v>34</v>
      </c>
      <c r="F131" s="394">
        <f t="shared" si="4"/>
        <v>0</v>
      </c>
      <c r="H131" s="67">
        <v>0</v>
      </c>
      <c r="I131" s="172">
        <v>0</v>
      </c>
      <c r="K131" s="369" t="s">
        <v>293</v>
      </c>
      <c r="L131" s="149" t="s">
        <v>294</v>
      </c>
      <c r="M131" s="67">
        <v>2</v>
      </c>
      <c r="N131" s="67" t="s">
        <v>33</v>
      </c>
      <c r="O131" s="75" t="s">
        <v>34</v>
      </c>
      <c r="P131" s="176">
        <f t="shared" si="5"/>
        <v>0</v>
      </c>
      <c r="Q131" s="177"/>
      <c r="S131" s="45"/>
      <c r="V131" s="387"/>
      <c r="W131" s="175"/>
      <c r="X131" s="69"/>
      <c r="Y131" s="69"/>
      <c r="Z131" s="69"/>
      <c r="AA131" s="45"/>
    </row>
    <row r="132" spans="1:27">
      <c r="A132" s="396" t="s">
        <v>295</v>
      </c>
      <c r="B132" s="149" t="s">
        <v>296</v>
      </c>
      <c r="C132" s="67">
        <v>2</v>
      </c>
      <c r="D132" s="67" t="s">
        <v>39</v>
      </c>
      <c r="E132" s="75" t="s">
        <v>34</v>
      </c>
      <c r="F132" s="394">
        <f t="shared" si="4"/>
        <v>1</v>
      </c>
      <c r="H132" s="67">
        <v>0</v>
      </c>
      <c r="I132" s="172">
        <v>0</v>
      </c>
      <c r="K132" s="369" t="s">
        <v>295</v>
      </c>
      <c r="L132" s="149" t="s">
        <v>296</v>
      </c>
      <c r="M132" s="67">
        <v>2</v>
      </c>
      <c r="N132" s="67" t="s">
        <v>39</v>
      </c>
      <c r="O132" s="75" t="s">
        <v>34</v>
      </c>
      <c r="P132" s="176">
        <f t="shared" si="5"/>
        <v>1</v>
      </c>
      <c r="Q132" s="177"/>
      <c r="S132" s="45"/>
      <c r="V132" s="387"/>
      <c r="W132" s="175"/>
      <c r="X132" s="69"/>
      <c r="Y132" s="69"/>
      <c r="Z132" s="69"/>
      <c r="AA132" s="45"/>
    </row>
    <row r="133" spans="1:27">
      <c r="A133" s="396" t="s">
        <v>297</v>
      </c>
      <c r="B133" s="149" t="s">
        <v>298</v>
      </c>
      <c r="C133" s="67">
        <v>2</v>
      </c>
      <c r="D133" s="67" t="s">
        <v>33</v>
      </c>
      <c r="E133" s="75" t="s">
        <v>34</v>
      </c>
      <c r="F133" s="394">
        <f t="shared" si="4"/>
        <v>0</v>
      </c>
      <c r="H133" s="67">
        <v>0</v>
      </c>
      <c r="I133" s="172">
        <v>0</v>
      </c>
      <c r="K133" s="369" t="s">
        <v>297</v>
      </c>
      <c r="L133" s="149" t="s">
        <v>298</v>
      </c>
      <c r="M133" s="67">
        <v>2</v>
      </c>
      <c r="N133" s="67" t="s">
        <v>33</v>
      </c>
      <c r="O133" s="75" t="s">
        <v>34</v>
      </c>
      <c r="P133" s="176">
        <f t="shared" si="5"/>
        <v>0</v>
      </c>
      <c r="Q133" s="177"/>
      <c r="S133" s="45"/>
      <c r="V133" s="387"/>
      <c r="W133" s="175"/>
      <c r="X133" s="69"/>
      <c r="Y133" s="69"/>
      <c r="Z133" s="69"/>
      <c r="AA133" s="45"/>
    </row>
    <row r="134" spans="1:27">
      <c r="A134" s="396" t="s">
        <v>299</v>
      </c>
      <c r="B134" s="149" t="s">
        <v>300</v>
      </c>
      <c r="C134" s="67">
        <v>1</v>
      </c>
      <c r="D134" s="67" t="s">
        <v>33</v>
      </c>
      <c r="E134" s="75" t="s">
        <v>34</v>
      </c>
      <c r="F134" s="394">
        <f t="shared" si="4"/>
        <v>0</v>
      </c>
      <c r="H134" s="67">
        <v>0</v>
      </c>
      <c r="I134" s="172">
        <v>0</v>
      </c>
      <c r="K134" s="369" t="s">
        <v>299</v>
      </c>
      <c r="L134" s="149" t="s">
        <v>300</v>
      </c>
      <c r="M134" s="67">
        <v>1</v>
      </c>
      <c r="N134" s="67" t="s">
        <v>33</v>
      </c>
      <c r="O134" s="75" t="s">
        <v>34</v>
      </c>
      <c r="P134" s="176">
        <f t="shared" si="5"/>
        <v>0</v>
      </c>
      <c r="Q134" s="177"/>
      <c r="S134" s="45"/>
      <c r="V134" s="387"/>
      <c r="W134" s="175"/>
      <c r="X134" s="69"/>
      <c r="Y134" s="69"/>
      <c r="Z134" s="69"/>
      <c r="AA134" s="45"/>
    </row>
    <row r="135" spans="1:27">
      <c r="A135" s="396" t="s">
        <v>301</v>
      </c>
      <c r="B135" s="149" t="s">
        <v>302</v>
      </c>
      <c r="C135" s="67">
        <v>1</v>
      </c>
      <c r="D135" s="67" t="s">
        <v>33</v>
      </c>
      <c r="E135" s="75" t="s">
        <v>34</v>
      </c>
      <c r="F135" s="394">
        <f t="shared" si="4"/>
        <v>0</v>
      </c>
      <c r="H135" s="67">
        <v>0</v>
      </c>
      <c r="I135" s="172">
        <v>0</v>
      </c>
      <c r="K135" s="369" t="s">
        <v>301</v>
      </c>
      <c r="L135" s="149" t="s">
        <v>302</v>
      </c>
      <c r="M135" s="67">
        <v>1</v>
      </c>
      <c r="N135" s="67" t="s">
        <v>33</v>
      </c>
      <c r="O135" s="75" t="s">
        <v>34</v>
      </c>
      <c r="P135" s="176">
        <f t="shared" si="5"/>
        <v>0</v>
      </c>
      <c r="Q135" s="177"/>
      <c r="S135" s="45"/>
      <c r="V135" s="387"/>
      <c r="W135" s="175"/>
      <c r="X135" s="69"/>
      <c r="Y135" s="69"/>
      <c r="Z135" s="69"/>
      <c r="AA135" s="45"/>
    </row>
    <row r="136" spans="1:27">
      <c r="A136" s="396" t="s">
        <v>303</v>
      </c>
      <c r="B136" s="149" t="s">
        <v>304</v>
      </c>
      <c r="C136" s="67">
        <v>1</v>
      </c>
      <c r="D136" s="67" t="s">
        <v>33</v>
      </c>
      <c r="E136" s="75" t="s">
        <v>34</v>
      </c>
      <c r="F136" s="394">
        <f t="shared" si="4"/>
        <v>0</v>
      </c>
      <c r="H136" s="67">
        <v>0</v>
      </c>
      <c r="I136" s="172">
        <v>0</v>
      </c>
      <c r="K136" s="369" t="s">
        <v>303</v>
      </c>
      <c r="L136" s="149" t="s">
        <v>304</v>
      </c>
      <c r="M136" s="67">
        <v>1</v>
      </c>
      <c r="N136" s="67" t="s">
        <v>33</v>
      </c>
      <c r="O136" s="75" t="s">
        <v>34</v>
      </c>
      <c r="P136" s="176">
        <f t="shared" si="5"/>
        <v>0</v>
      </c>
      <c r="Q136" s="177"/>
      <c r="S136" s="45"/>
      <c r="V136" s="387"/>
      <c r="W136" s="175"/>
      <c r="X136" s="69"/>
      <c r="Y136" s="69"/>
      <c r="Z136" s="69"/>
      <c r="AA136" s="45"/>
    </row>
    <row r="137" spans="1:27">
      <c r="A137" s="396" t="s">
        <v>305</v>
      </c>
      <c r="B137" s="149" t="s">
        <v>306</v>
      </c>
      <c r="C137" s="67">
        <v>2</v>
      </c>
      <c r="D137" s="67" t="s">
        <v>39</v>
      </c>
      <c r="E137" s="75" t="s">
        <v>40</v>
      </c>
      <c r="F137" s="394">
        <f t="shared" si="4"/>
        <v>1</v>
      </c>
      <c r="H137" s="67">
        <v>0</v>
      </c>
      <c r="I137" s="172">
        <v>0</v>
      </c>
      <c r="K137" s="369" t="s">
        <v>305</v>
      </c>
      <c r="L137" s="149" t="s">
        <v>306</v>
      </c>
      <c r="M137" s="67">
        <v>2</v>
      </c>
      <c r="N137" s="67" t="s">
        <v>39</v>
      </c>
      <c r="O137" s="75" t="s">
        <v>40</v>
      </c>
      <c r="P137" s="176">
        <f t="shared" si="5"/>
        <v>1</v>
      </c>
      <c r="Q137" s="177"/>
      <c r="S137" s="45"/>
      <c r="V137" s="387"/>
      <c r="W137" s="175"/>
      <c r="X137" s="69"/>
      <c r="Y137" s="69"/>
      <c r="Z137" s="69"/>
      <c r="AA137" s="45"/>
    </row>
    <row r="138" spans="1:27">
      <c r="A138" s="396" t="s">
        <v>307</v>
      </c>
      <c r="B138" s="149" t="s">
        <v>308</v>
      </c>
      <c r="C138" s="67">
        <v>2</v>
      </c>
      <c r="D138" s="67" t="s">
        <v>39</v>
      </c>
      <c r="E138" s="75" t="s">
        <v>34</v>
      </c>
      <c r="F138" s="394">
        <f t="shared" si="4"/>
        <v>1</v>
      </c>
      <c r="H138" s="67">
        <v>0</v>
      </c>
      <c r="I138" s="172">
        <v>0</v>
      </c>
      <c r="K138" s="369" t="s">
        <v>307</v>
      </c>
      <c r="L138" s="149" t="s">
        <v>308</v>
      </c>
      <c r="M138" s="67">
        <v>2</v>
      </c>
      <c r="N138" s="67" t="s">
        <v>39</v>
      </c>
      <c r="O138" s="75" t="s">
        <v>34</v>
      </c>
      <c r="P138" s="176">
        <f t="shared" si="5"/>
        <v>1</v>
      </c>
      <c r="Q138" s="177"/>
      <c r="S138" s="45"/>
      <c r="V138" s="387"/>
      <c r="W138" s="175"/>
      <c r="X138" s="69"/>
      <c r="Y138" s="69"/>
      <c r="Z138" s="69"/>
      <c r="AA138" s="45"/>
    </row>
    <row r="139" spans="1:27">
      <c r="A139" s="396" t="s">
        <v>309</v>
      </c>
      <c r="B139" s="149" t="s">
        <v>310</v>
      </c>
      <c r="C139" s="67">
        <v>2</v>
      </c>
      <c r="D139" s="67" t="s">
        <v>39</v>
      </c>
      <c r="E139" s="75" t="s">
        <v>34</v>
      </c>
      <c r="F139" s="394">
        <f t="shared" si="4"/>
        <v>1</v>
      </c>
      <c r="H139" s="67">
        <v>0</v>
      </c>
      <c r="I139" s="172">
        <v>0</v>
      </c>
      <c r="K139" s="369" t="s">
        <v>309</v>
      </c>
      <c r="L139" s="149" t="s">
        <v>310</v>
      </c>
      <c r="M139" s="67">
        <v>2</v>
      </c>
      <c r="N139" s="67" t="s">
        <v>39</v>
      </c>
      <c r="O139" s="75" t="s">
        <v>34</v>
      </c>
      <c r="P139" s="176">
        <f t="shared" si="5"/>
        <v>1</v>
      </c>
      <c r="Q139" s="177"/>
      <c r="S139" s="45"/>
      <c r="V139" s="387"/>
      <c r="W139" s="175"/>
      <c r="X139" s="69"/>
      <c r="Y139" s="69"/>
      <c r="Z139" s="69"/>
      <c r="AA139" s="45"/>
    </row>
    <row r="140" spans="1:27">
      <c r="A140" s="396" t="s">
        <v>311</v>
      </c>
      <c r="B140" s="149" t="s">
        <v>312</v>
      </c>
      <c r="C140" s="67">
        <v>1</v>
      </c>
      <c r="D140" s="67" t="s">
        <v>33</v>
      </c>
      <c r="E140" s="75" t="s">
        <v>34</v>
      </c>
      <c r="F140" s="394">
        <f t="shared" si="4"/>
        <v>0</v>
      </c>
      <c r="H140" s="67">
        <v>0</v>
      </c>
      <c r="I140" s="172">
        <v>0</v>
      </c>
      <c r="K140" s="369" t="s">
        <v>311</v>
      </c>
      <c r="L140" s="149" t="s">
        <v>312</v>
      </c>
      <c r="M140" s="67">
        <v>1</v>
      </c>
      <c r="N140" s="67" t="s">
        <v>33</v>
      </c>
      <c r="O140" s="75" t="s">
        <v>34</v>
      </c>
      <c r="P140" s="176">
        <f t="shared" si="5"/>
        <v>0</v>
      </c>
      <c r="Q140" s="177"/>
      <c r="S140" s="45"/>
      <c r="V140" s="387"/>
      <c r="W140" s="175"/>
      <c r="X140" s="69"/>
      <c r="Y140" s="69"/>
      <c r="Z140" s="69"/>
      <c r="AA140" s="45"/>
    </row>
    <row r="141" spans="1:27">
      <c r="A141" s="396" t="s">
        <v>313</v>
      </c>
      <c r="B141" s="149" t="s">
        <v>314</v>
      </c>
      <c r="C141" s="67">
        <v>2</v>
      </c>
      <c r="D141" s="67" t="s">
        <v>39</v>
      </c>
      <c r="E141" s="75" t="s">
        <v>40</v>
      </c>
      <c r="F141" s="394">
        <f t="shared" si="4"/>
        <v>1</v>
      </c>
      <c r="H141" s="67">
        <v>0</v>
      </c>
      <c r="I141" s="172">
        <v>0</v>
      </c>
      <c r="K141" s="369" t="s">
        <v>313</v>
      </c>
      <c r="L141" s="149" t="s">
        <v>314</v>
      </c>
      <c r="M141" s="67">
        <v>2</v>
      </c>
      <c r="N141" s="67" t="s">
        <v>39</v>
      </c>
      <c r="O141" s="75" t="s">
        <v>40</v>
      </c>
      <c r="P141" s="176">
        <f t="shared" si="5"/>
        <v>1</v>
      </c>
      <c r="Q141" s="177"/>
      <c r="S141" s="45"/>
      <c r="V141" s="387"/>
      <c r="W141" s="175"/>
      <c r="X141" s="69"/>
      <c r="Y141" s="69"/>
      <c r="Z141" s="69"/>
      <c r="AA141" s="45"/>
    </row>
    <row r="142" spans="1:27">
      <c r="A142" s="396" t="s">
        <v>315</v>
      </c>
      <c r="B142" s="149" t="s">
        <v>316</v>
      </c>
      <c r="C142" s="67">
        <v>2</v>
      </c>
      <c r="D142" s="67" t="s">
        <v>33</v>
      </c>
      <c r="E142" s="75" t="s">
        <v>34</v>
      </c>
      <c r="F142" s="394">
        <f t="shared" si="4"/>
        <v>0</v>
      </c>
      <c r="H142" s="67">
        <v>0</v>
      </c>
      <c r="I142" s="172">
        <v>0</v>
      </c>
      <c r="K142" s="369" t="s">
        <v>315</v>
      </c>
      <c r="L142" s="149" t="s">
        <v>316</v>
      </c>
      <c r="M142" s="67">
        <v>2</v>
      </c>
      <c r="N142" s="67" t="s">
        <v>33</v>
      </c>
      <c r="O142" s="75" t="s">
        <v>34</v>
      </c>
      <c r="P142" s="176">
        <f t="shared" si="5"/>
        <v>0</v>
      </c>
      <c r="Q142" s="177"/>
      <c r="S142" s="45"/>
      <c r="V142" s="390"/>
      <c r="W142" s="127"/>
      <c r="X142" s="69"/>
      <c r="Y142" s="69"/>
      <c r="Z142" s="69"/>
      <c r="AA142" s="45"/>
    </row>
    <row r="143" spans="1:27">
      <c r="A143" s="403" t="s">
        <v>317</v>
      </c>
      <c r="B143" s="74" t="s">
        <v>318</v>
      </c>
      <c r="C143" s="67">
        <v>2</v>
      </c>
      <c r="D143" s="67" t="s">
        <v>33</v>
      </c>
      <c r="E143" s="75" t="s">
        <v>34</v>
      </c>
      <c r="F143" s="394">
        <f t="shared" si="4"/>
        <v>0</v>
      </c>
      <c r="H143" s="67">
        <v>0</v>
      </c>
      <c r="I143" s="172">
        <v>0</v>
      </c>
      <c r="K143" s="378" t="s">
        <v>317</v>
      </c>
      <c r="L143" s="74" t="s">
        <v>318</v>
      </c>
      <c r="M143" s="67">
        <v>2</v>
      </c>
      <c r="N143" s="67" t="s">
        <v>33</v>
      </c>
      <c r="O143" s="75" t="s">
        <v>34</v>
      </c>
      <c r="P143" s="176">
        <f t="shared" si="5"/>
        <v>0</v>
      </c>
      <c r="Q143" s="177"/>
      <c r="S143" s="45"/>
      <c r="V143" s="391"/>
      <c r="W143" s="45"/>
      <c r="X143" s="69"/>
      <c r="Y143" s="69"/>
      <c r="Z143" s="69"/>
      <c r="AA143" s="45"/>
    </row>
    <row r="144" spans="1:27">
      <c r="A144" s="404" t="s">
        <v>319</v>
      </c>
      <c r="B144" t="s">
        <v>320</v>
      </c>
      <c r="C144" s="67">
        <v>2</v>
      </c>
      <c r="D144" s="67" t="s">
        <v>33</v>
      </c>
      <c r="E144" s="75" t="s">
        <v>34</v>
      </c>
      <c r="F144" s="394">
        <f t="shared" si="4"/>
        <v>0</v>
      </c>
      <c r="H144" s="67">
        <v>0</v>
      </c>
      <c r="I144" s="172">
        <v>0</v>
      </c>
      <c r="K144" s="379" t="s">
        <v>319</v>
      </c>
      <c r="L144" t="s">
        <v>320</v>
      </c>
      <c r="M144" s="67">
        <v>2</v>
      </c>
      <c r="N144" s="67" t="s">
        <v>33</v>
      </c>
      <c r="O144" s="75" t="s">
        <v>34</v>
      </c>
      <c r="P144" s="176">
        <f t="shared" si="5"/>
        <v>0</v>
      </c>
      <c r="Q144" s="177"/>
      <c r="S144" s="45"/>
      <c r="V144" s="387"/>
      <c r="W144" s="175"/>
      <c r="X144" s="69"/>
      <c r="Y144" s="69"/>
      <c r="Z144" s="69"/>
      <c r="AA144" s="45"/>
    </row>
    <row r="145" spans="1:27">
      <c r="A145" s="396" t="s">
        <v>321</v>
      </c>
      <c r="B145" s="149" t="s">
        <v>322</v>
      </c>
      <c r="C145" s="67">
        <v>2</v>
      </c>
      <c r="D145" s="67" t="s">
        <v>39</v>
      </c>
      <c r="E145" s="75" t="s">
        <v>34</v>
      </c>
      <c r="F145" s="394">
        <f t="shared" si="4"/>
        <v>1</v>
      </c>
      <c r="H145" s="67">
        <v>0</v>
      </c>
      <c r="I145" s="172">
        <v>0</v>
      </c>
      <c r="K145" s="369" t="s">
        <v>321</v>
      </c>
      <c r="L145" s="149" t="s">
        <v>322</v>
      </c>
      <c r="M145" s="67">
        <v>2</v>
      </c>
      <c r="N145" s="67" t="s">
        <v>39</v>
      </c>
      <c r="O145" s="75" t="s">
        <v>34</v>
      </c>
      <c r="P145" s="176">
        <f t="shared" si="5"/>
        <v>1</v>
      </c>
      <c r="Q145" s="177"/>
      <c r="S145" s="45"/>
      <c r="V145" s="387"/>
      <c r="W145" s="175"/>
      <c r="X145" s="69"/>
      <c r="Y145" s="69"/>
      <c r="Z145" s="69"/>
      <c r="AA145" s="45"/>
    </row>
    <row r="146" spans="1:27">
      <c r="A146" s="396" t="s">
        <v>323</v>
      </c>
      <c r="B146" s="149" t="s">
        <v>324</v>
      </c>
      <c r="C146" s="67">
        <v>1</v>
      </c>
      <c r="D146" s="67" t="s">
        <v>33</v>
      </c>
      <c r="E146" s="75" t="s">
        <v>34</v>
      </c>
      <c r="F146" s="394">
        <f t="shared" si="4"/>
        <v>0</v>
      </c>
      <c r="H146" s="67">
        <v>0</v>
      </c>
      <c r="I146" s="172">
        <v>0</v>
      </c>
      <c r="K146" s="369" t="s">
        <v>323</v>
      </c>
      <c r="L146" s="149" t="s">
        <v>324</v>
      </c>
      <c r="M146" s="67">
        <v>1</v>
      </c>
      <c r="N146" s="67" t="s">
        <v>33</v>
      </c>
      <c r="O146" s="75" t="s">
        <v>34</v>
      </c>
      <c r="P146" s="176">
        <f t="shared" si="5"/>
        <v>0</v>
      </c>
      <c r="Q146" s="177"/>
      <c r="S146" s="45"/>
      <c r="V146" s="387"/>
      <c r="W146" s="175"/>
      <c r="X146" s="69"/>
      <c r="Y146" s="69"/>
      <c r="Z146" s="69"/>
      <c r="AA146" s="45"/>
    </row>
    <row r="147" spans="1:27">
      <c r="A147" s="396" t="s">
        <v>325</v>
      </c>
      <c r="B147" s="149" t="s">
        <v>326</v>
      </c>
      <c r="C147" s="67">
        <v>2</v>
      </c>
      <c r="D147" s="67" t="s">
        <v>33</v>
      </c>
      <c r="E147" s="75" t="s">
        <v>34</v>
      </c>
      <c r="F147" s="394">
        <f t="shared" si="4"/>
        <v>0</v>
      </c>
      <c r="H147" s="67">
        <v>0</v>
      </c>
      <c r="I147" s="172">
        <v>0</v>
      </c>
      <c r="K147" s="369" t="s">
        <v>325</v>
      </c>
      <c r="L147" s="149" t="s">
        <v>326</v>
      </c>
      <c r="M147" s="67">
        <v>2</v>
      </c>
      <c r="N147" s="67" t="s">
        <v>33</v>
      </c>
      <c r="O147" s="75" t="s">
        <v>34</v>
      </c>
      <c r="P147" s="176">
        <f t="shared" si="5"/>
        <v>0</v>
      </c>
      <c r="Q147" s="177"/>
      <c r="S147" s="45"/>
      <c r="V147" s="387"/>
      <c r="W147" s="175"/>
      <c r="X147" s="69"/>
      <c r="Y147" s="69"/>
      <c r="Z147" s="69"/>
      <c r="AA147" s="45"/>
    </row>
    <row r="148" spans="1:27">
      <c r="A148" s="396" t="s">
        <v>327</v>
      </c>
      <c r="B148" s="149" t="s">
        <v>328</v>
      </c>
      <c r="C148" s="67">
        <v>2</v>
      </c>
      <c r="D148" s="67" t="s">
        <v>33</v>
      </c>
      <c r="E148" s="75" t="s">
        <v>34</v>
      </c>
      <c r="F148" s="394">
        <f t="shared" si="4"/>
        <v>0</v>
      </c>
      <c r="H148" s="67">
        <v>0</v>
      </c>
      <c r="I148" s="172">
        <v>0</v>
      </c>
      <c r="K148" s="369" t="s">
        <v>327</v>
      </c>
      <c r="L148" s="149" t="s">
        <v>328</v>
      </c>
      <c r="M148" s="67">
        <v>2</v>
      </c>
      <c r="N148" s="67" t="s">
        <v>33</v>
      </c>
      <c r="O148" s="75" t="s">
        <v>34</v>
      </c>
      <c r="P148" s="176">
        <f t="shared" si="5"/>
        <v>0</v>
      </c>
      <c r="Q148" s="177"/>
      <c r="S148" s="45"/>
      <c r="V148" s="387"/>
      <c r="W148" s="175"/>
      <c r="X148" s="69"/>
      <c r="Y148" s="69"/>
      <c r="Z148" s="69"/>
      <c r="AA148" s="45"/>
    </row>
    <row r="149" spans="1:27">
      <c r="A149" s="396" t="s">
        <v>329</v>
      </c>
      <c r="B149" s="149" t="s">
        <v>330</v>
      </c>
      <c r="C149" s="67">
        <v>2</v>
      </c>
      <c r="D149" s="67" t="s">
        <v>33</v>
      </c>
      <c r="E149" s="75" t="s">
        <v>34</v>
      </c>
      <c r="F149" s="394">
        <f t="shared" si="4"/>
        <v>0</v>
      </c>
      <c r="H149" s="67">
        <v>0</v>
      </c>
      <c r="I149" s="172">
        <v>0</v>
      </c>
      <c r="K149" s="369" t="s">
        <v>329</v>
      </c>
      <c r="L149" s="149" t="s">
        <v>330</v>
      </c>
      <c r="M149" s="67">
        <v>2</v>
      </c>
      <c r="N149" s="67" t="s">
        <v>33</v>
      </c>
      <c r="O149" s="75" t="s">
        <v>34</v>
      </c>
      <c r="P149" s="176">
        <f t="shared" si="5"/>
        <v>0</v>
      </c>
      <c r="Q149" s="177"/>
      <c r="S149" s="45"/>
      <c r="V149" s="387"/>
      <c r="W149" s="175"/>
      <c r="X149" s="69"/>
      <c r="Y149" s="69"/>
      <c r="Z149" s="69"/>
      <c r="AA149" s="45"/>
    </row>
    <row r="150" spans="1:27">
      <c r="A150" s="396" t="s">
        <v>331</v>
      </c>
      <c r="B150" s="149" t="s">
        <v>332</v>
      </c>
      <c r="C150" s="67">
        <v>2</v>
      </c>
      <c r="D150" s="67" t="s">
        <v>33</v>
      </c>
      <c r="E150" s="75" t="s">
        <v>34</v>
      </c>
      <c r="F150" s="394">
        <f t="shared" si="4"/>
        <v>0</v>
      </c>
      <c r="H150" s="67">
        <v>0</v>
      </c>
      <c r="I150" s="172">
        <v>0</v>
      </c>
      <c r="K150" s="369" t="s">
        <v>331</v>
      </c>
      <c r="L150" s="149" t="s">
        <v>332</v>
      </c>
      <c r="M150" s="67">
        <v>2</v>
      </c>
      <c r="N150" s="67" t="s">
        <v>33</v>
      </c>
      <c r="O150" s="75" t="s">
        <v>34</v>
      </c>
      <c r="P150" s="176">
        <f t="shared" si="5"/>
        <v>0</v>
      </c>
      <c r="Q150" s="177"/>
      <c r="S150" s="45"/>
      <c r="V150" s="387"/>
      <c r="W150" s="175"/>
      <c r="X150" s="69"/>
      <c r="Y150" s="69"/>
      <c r="Z150" s="69"/>
      <c r="AA150" s="45"/>
    </row>
    <row r="151" spans="1:27">
      <c r="A151" s="396" t="s">
        <v>333</v>
      </c>
      <c r="B151" s="149" t="s">
        <v>334</v>
      </c>
      <c r="C151" s="67">
        <v>2</v>
      </c>
      <c r="D151" s="67" t="s">
        <v>39</v>
      </c>
      <c r="E151" s="75" t="s">
        <v>34</v>
      </c>
      <c r="F151" s="394">
        <f t="shared" si="4"/>
        <v>1</v>
      </c>
      <c r="H151" s="67">
        <v>0</v>
      </c>
      <c r="I151" s="172">
        <v>0</v>
      </c>
      <c r="K151" s="369" t="s">
        <v>333</v>
      </c>
      <c r="L151" s="149" t="s">
        <v>334</v>
      </c>
      <c r="M151" s="67">
        <v>2</v>
      </c>
      <c r="N151" s="67" t="s">
        <v>39</v>
      </c>
      <c r="O151" s="75" t="s">
        <v>34</v>
      </c>
      <c r="P151" s="176">
        <f t="shared" si="5"/>
        <v>1</v>
      </c>
      <c r="Q151" s="177"/>
      <c r="S151" s="45"/>
      <c r="V151" s="387"/>
      <c r="W151" s="175"/>
      <c r="X151" s="69"/>
      <c r="Y151" s="69"/>
      <c r="Z151" s="69"/>
      <c r="AA151" s="45"/>
    </row>
    <row r="152" spans="1:27">
      <c r="A152" s="396" t="s">
        <v>335</v>
      </c>
      <c r="B152" s="149" t="s">
        <v>336</v>
      </c>
      <c r="C152" s="67">
        <v>1</v>
      </c>
      <c r="D152" s="67" t="s">
        <v>33</v>
      </c>
      <c r="E152" s="75" t="s">
        <v>34</v>
      </c>
      <c r="F152" s="394">
        <f t="shared" si="4"/>
        <v>0</v>
      </c>
      <c r="H152" s="67">
        <v>0</v>
      </c>
      <c r="I152" s="172">
        <v>0</v>
      </c>
      <c r="K152" s="369" t="s">
        <v>335</v>
      </c>
      <c r="L152" s="149" t="s">
        <v>336</v>
      </c>
      <c r="M152" s="67">
        <v>1</v>
      </c>
      <c r="N152" s="67" t="s">
        <v>33</v>
      </c>
      <c r="O152" s="75" t="s">
        <v>34</v>
      </c>
      <c r="P152" s="176">
        <f t="shared" si="5"/>
        <v>0</v>
      </c>
      <c r="Q152" s="177"/>
      <c r="S152" s="45"/>
      <c r="V152" s="387"/>
      <c r="W152" s="175"/>
      <c r="X152" s="69"/>
      <c r="Y152" s="69"/>
      <c r="Z152" s="69"/>
      <c r="AA152" s="45"/>
    </row>
    <row r="153" spans="1:27">
      <c r="A153" s="396" t="s">
        <v>337</v>
      </c>
      <c r="B153" s="149" t="s">
        <v>338</v>
      </c>
      <c r="C153" s="67">
        <v>2</v>
      </c>
      <c r="D153" s="67" t="s">
        <v>39</v>
      </c>
      <c r="E153" s="75" t="s">
        <v>40</v>
      </c>
      <c r="F153" s="394">
        <f t="shared" si="4"/>
        <v>1</v>
      </c>
      <c r="H153" s="67">
        <v>0</v>
      </c>
      <c r="I153" s="172">
        <v>0</v>
      </c>
      <c r="K153" s="369" t="s">
        <v>337</v>
      </c>
      <c r="L153" s="149" t="s">
        <v>338</v>
      </c>
      <c r="M153" s="67">
        <v>2</v>
      </c>
      <c r="N153" s="67" t="s">
        <v>39</v>
      </c>
      <c r="O153" s="75" t="s">
        <v>40</v>
      </c>
      <c r="P153" s="176">
        <f t="shared" si="5"/>
        <v>1</v>
      </c>
      <c r="Q153" s="177"/>
      <c r="S153" s="45"/>
      <c r="V153" s="387"/>
      <c r="W153" s="175"/>
      <c r="X153" s="69"/>
      <c r="Y153" s="69"/>
      <c r="Z153" s="69"/>
      <c r="AA153" s="45"/>
    </row>
    <row r="154" spans="1:27">
      <c r="A154" s="396" t="s">
        <v>339</v>
      </c>
      <c r="B154" s="149" t="s">
        <v>340</v>
      </c>
      <c r="C154" s="67">
        <v>1</v>
      </c>
      <c r="D154" s="67" t="s">
        <v>33</v>
      </c>
      <c r="E154" s="75" t="s">
        <v>34</v>
      </c>
      <c r="F154" s="394">
        <f t="shared" si="4"/>
        <v>0</v>
      </c>
      <c r="H154" s="67">
        <v>0</v>
      </c>
      <c r="I154" s="172">
        <v>0</v>
      </c>
      <c r="K154" s="369" t="s">
        <v>339</v>
      </c>
      <c r="L154" s="149" t="s">
        <v>340</v>
      </c>
      <c r="M154" s="67">
        <v>1</v>
      </c>
      <c r="N154" s="67" t="s">
        <v>33</v>
      </c>
      <c r="O154" s="75" t="s">
        <v>34</v>
      </c>
      <c r="P154" s="176">
        <f t="shared" si="5"/>
        <v>0</v>
      </c>
      <c r="Q154" s="177"/>
      <c r="S154" s="45"/>
      <c r="V154" s="387"/>
      <c r="W154" s="175"/>
      <c r="X154" s="69"/>
      <c r="Y154" s="69"/>
      <c r="Z154" s="69"/>
      <c r="AA154" s="45"/>
    </row>
    <row r="155" spans="1:27">
      <c r="A155" s="396" t="s">
        <v>341</v>
      </c>
      <c r="B155" s="149" t="s">
        <v>342</v>
      </c>
      <c r="C155" s="67">
        <v>2</v>
      </c>
      <c r="D155" s="67" t="s">
        <v>33</v>
      </c>
      <c r="E155" s="75" t="s">
        <v>34</v>
      </c>
      <c r="F155" s="394">
        <f t="shared" si="4"/>
        <v>0</v>
      </c>
      <c r="H155" s="67">
        <v>0</v>
      </c>
      <c r="I155" s="172">
        <v>0</v>
      </c>
      <c r="K155" s="369" t="s">
        <v>341</v>
      </c>
      <c r="L155" s="149" t="s">
        <v>342</v>
      </c>
      <c r="M155" s="67">
        <v>2</v>
      </c>
      <c r="N155" s="67" t="s">
        <v>33</v>
      </c>
      <c r="O155" s="75" t="s">
        <v>34</v>
      </c>
      <c r="P155" s="176">
        <f t="shared" si="5"/>
        <v>0</v>
      </c>
      <c r="Q155" s="177"/>
      <c r="S155" s="45"/>
      <c r="V155" s="387"/>
      <c r="W155" s="175"/>
      <c r="X155" s="69"/>
      <c r="Y155" s="69"/>
      <c r="Z155" s="69"/>
      <c r="AA155" s="45"/>
    </row>
    <row r="156" spans="1:27">
      <c r="A156" s="396" t="s">
        <v>343</v>
      </c>
      <c r="B156" s="149" t="s">
        <v>344</v>
      </c>
      <c r="C156" s="67">
        <v>1</v>
      </c>
      <c r="D156" s="67" t="s">
        <v>33</v>
      </c>
      <c r="E156" s="75" t="s">
        <v>34</v>
      </c>
      <c r="F156" s="394">
        <f t="shared" si="4"/>
        <v>0</v>
      </c>
      <c r="H156" s="67">
        <v>0</v>
      </c>
      <c r="I156" s="172">
        <v>0</v>
      </c>
      <c r="K156" s="369" t="s">
        <v>343</v>
      </c>
      <c r="L156" s="149" t="s">
        <v>344</v>
      </c>
      <c r="M156" s="67">
        <v>1</v>
      </c>
      <c r="N156" s="67" t="s">
        <v>33</v>
      </c>
      <c r="O156" s="75" t="s">
        <v>34</v>
      </c>
      <c r="P156" s="176">
        <f t="shared" si="5"/>
        <v>0</v>
      </c>
      <c r="Q156" s="177"/>
      <c r="S156" s="45"/>
      <c r="V156" s="387"/>
      <c r="W156" s="175"/>
      <c r="X156" s="69"/>
      <c r="Y156" s="69"/>
      <c r="Z156" s="69"/>
      <c r="AA156" s="45"/>
    </row>
    <row r="157" spans="1:27">
      <c r="A157" s="396" t="s">
        <v>345</v>
      </c>
      <c r="B157" s="149" t="s">
        <v>346</v>
      </c>
      <c r="C157" s="67">
        <v>2</v>
      </c>
      <c r="D157" s="67" t="s">
        <v>33</v>
      </c>
      <c r="E157" s="75" t="s">
        <v>34</v>
      </c>
      <c r="F157" s="394">
        <f t="shared" si="4"/>
        <v>0</v>
      </c>
      <c r="H157" s="67">
        <v>0</v>
      </c>
      <c r="I157" s="172">
        <v>0</v>
      </c>
      <c r="K157" s="369" t="s">
        <v>345</v>
      </c>
      <c r="L157" s="149" t="s">
        <v>346</v>
      </c>
      <c r="M157" s="67">
        <v>2</v>
      </c>
      <c r="N157" s="67" t="s">
        <v>33</v>
      </c>
      <c r="O157" s="75" t="s">
        <v>34</v>
      </c>
      <c r="P157" s="176">
        <f t="shared" si="5"/>
        <v>0</v>
      </c>
      <c r="Q157" s="177"/>
      <c r="S157" s="45"/>
      <c r="V157" s="387"/>
      <c r="W157" s="175"/>
      <c r="X157" s="69"/>
      <c r="Y157" s="69"/>
      <c r="Z157" s="69"/>
      <c r="AA157" s="45"/>
    </row>
    <row r="158" spans="1:27">
      <c r="A158" s="396" t="s">
        <v>347</v>
      </c>
      <c r="B158" s="149" t="s">
        <v>348</v>
      </c>
      <c r="C158" s="67">
        <v>2</v>
      </c>
      <c r="D158" s="67" t="s">
        <v>33</v>
      </c>
      <c r="E158" s="75" t="s">
        <v>34</v>
      </c>
      <c r="F158" s="394">
        <f t="shared" si="4"/>
        <v>0</v>
      </c>
      <c r="H158" s="67">
        <v>0</v>
      </c>
      <c r="I158" s="172">
        <v>0</v>
      </c>
      <c r="K158" s="369" t="s">
        <v>347</v>
      </c>
      <c r="L158" s="149" t="s">
        <v>348</v>
      </c>
      <c r="M158" s="67">
        <v>2</v>
      </c>
      <c r="N158" s="67" t="s">
        <v>33</v>
      </c>
      <c r="O158" s="75" t="s">
        <v>34</v>
      </c>
      <c r="P158" s="176">
        <f t="shared" si="5"/>
        <v>0</v>
      </c>
      <c r="Q158" s="177"/>
      <c r="S158" s="45"/>
      <c r="V158" s="387"/>
      <c r="W158" s="175"/>
      <c r="X158" s="69"/>
      <c r="Y158" s="69"/>
      <c r="Z158" s="69"/>
      <c r="AA158" s="45"/>
    </row>
    <row r="159" spans="1:27">
      <c r="A159" s="396" t="s">
        <v>349</v>
      </c>
      <c r="B159" s="149" t="s">
        <v>350</v>
      </c>
      <c r="C159" s="67">
        <v>2</v>
      </c>
      <c r="D159" s="67" t="s">
        <v>39</v>
      </c>
      <c r="E159" s="75" t="s">
        <v>40</v>
      </c>
      <c r="F159" s="394">
        <f t="shared" si="4"/>
        <v>1</v>
      </c>
      <c r="H159" s="67">
        <v>0</v>
      </c>
      <c r="I159" s="172">
        <v>0</v>
      </c>
      <c r="K159" s="369" t="s">
        <v>349</v>
      </c>
      <c r="L159" s="149" t="s">
        <v>350</v>
      </c>
      <c r="M159" s="67">
        <v>2</v>
      </c>
      <c r="N159" s="67" t="s">
        <v>39</v>
      </c>
      <c r="O159" s="75" t="s">
        <v>40</v>
      </c>
      <c r="P159" s="176">
        <f t="shared" si="5"/>
        <v>1</v>
      </c>
      <c r="Q159" s="177"/>
      <c r="S159" s="45"/>
      <c r="V159" s="387"/>
      <c r="W159" s="175"/>
      <c r="X159" s="69"/>
      <c r="Y159" s="69"/>
      <c r="Z159" s="69"/>
      <c r="AA159" s="45"/>
    </row>
    <row r="160" spans="1:27">
      <c r="A160" s="396" t="s">
        <v>351</v>
      </c>
      <c r="B160" s="149" t="s">
        <v>352</v>
      </c>
      <c r="C160" s="67">
        <v>1</v>
      </c>
      <c r="D160" s="67" t="s">
        <v>33</v>
      </c>
      <c r="E160" s="75" t="s">
        <v>34</v>
      </c>
      <c r="F160" s="394">
        <f t="shared" si="4"/>
        <v>0</v>
      </c>
      <c r="H160" s="67">
        <v>0</v>
      </c>
      <c r="I160" s="172">
        <v>0</v>
      </c>
      <c r="K160" s="369" t="s">
        <v>351</v>
      </c>
      <c r="L160" s="149" t="s">
        <v>352</v>
      </c>
      <c r="M160" s="67">
        <v>1</v>
      </c>
      <c r="N160" s="67" t="s">
        <v>33</v>
      </c>
      <c r="O160" s="75" t="s">
        <v>34</v>
      </c>
      <c r="P160" s="176">
        <f t="shared" si="5"/>
        <v>0</v>
      </c>
      <c r="Q160" s="177"/>
      <c r="S160" s="45"/>
      <c r="V160" s="387"/>
      <c r="W160" s="175"/>
      <c r="X160" s="69"/>
      <c r="Y160" s="69"/>
      <c r="Z160" s="69"/>
      <c r="AA160" s="45"/>
    </row>
    <row r="161" spans="1:27">
      <c r="A161" s="396" t="s">
        <v>353</v>
      </c>
      <c r="B161" s="149" t="s">
        <v>354</v>
      </c>
      <c r="C161" s="67">
        <v>2</v>
      </c>
      <c r="D161" s="67" t="s">
        <v>33</v>
      </c>
      <c r="E161" s="75" t="s">
        <v>34</v>
      </c>
      <c r="F161" s="394">
        <f t="shared" si="4"/>
        <v>0</v>
      </c>
      <c r="H161" s="67">
        <v>0</v>
      </c>
      <c r="I161" s="172">
        <v>0</v>
      </c>
      <c r="K161" s="369" t="s">
        <v>353</v>
      </c>
      <c r="L161" s="149" t="s">
        <v>354</v>
      </c>
      <c r="M161" s="67">
        <v>2</v>
      </c>
      <c r="N161" s="67" t="s">
        <v>33</v>
      </c>
      <c r="O161" s="75" t="s">
        <v>34</v>
      </c>
      <c r="P161" s="176">
        <f t="shared" si="5"/>
        <v>0</v>
      </c>
      <c r="Q161" s="177"/>
      <c r="S161" s="45"/>
      <c r="V161" s="387"/>
      <c r="W161" s="175"/>
      <c r="X161" s="69"/>
      <c r="Y161" s="69"/>
      <c r="Z161" s="69"/>
      <c r="AA161" s="45"/>
    </row>
    <row r="162" spans="1:27">
      <c r="A162" s="396" t="s">
        <v>355</v>
      </c>
      <c r="B162" s="149" t="s">
        <v>356</v>
      </c>
      <c r="C162" s="67">
        <v>2</v>
      </c>
      <c r="D162" s="67" t="s">
        <v>39</v>
      </c>
      <c r="E162" s="75" t="s">
        <v>34</v>
      </c>
      <c r="F162" s="394">
        <f t="shared" si="4"/>
        <v>1</v>
      </c>
      <c r="H162" s="67">
        <v>0</v>
      </c>
      <c r="I162" s="172">
        <v>0</v>
      </c>
      <c r="K162" s="369" t="s">
        <v>355</v>
      </c>
      <c r="L162" s="149" t="s">
        <v>356</v>
      </c>
      <c r="M162" s="67">
        <v>2</v>
      </c>
      <c r="N162" s="67" t="s">
        <v>39</v>
      </c>
      <c r="O162" s="75" t="s">
        <v>34</v>
      </c>
      <c r="P162" s="176">
        <f t="shared" si="5"/>
        <v>1</v>
      </c>
      <c r="Q162" s="177"/>
      <c r="S162" s="45"/>
      <c r="V162" s="387"/>
      <c r="W162" s="175"/>
      <c r="X162" s="69"/>
      <c r="Y162" s="69"/>
      <c r="Z162" s="69"/>
      <c r="AA162" s="45"/>
    </row>
    <row r="163" spans="1:27">
      <c r="A163" s="396" t="s">
        <v>357</v>
      </c>
      <c r="B163" s="149" t="s">
        <v>358</v>
      </c>
      <c r="C163" s="67">
        <v>1</v>
      </c>
      <c r="D163" s="67" t="s">
        <v>33</v>
      </c>
      <c r="E163" s="75" t="s">
        <v>34</v>
      </c>
      <c r="F163" s="394">
        <f t="shared" si="4"/>
        <v>0</v>
      </c>
      <c r="H163" s="67">
        <v>0</v>
      </c>
      <c r="I163" s="172">
        <v>0</v>
      </c>
      <c r="K163" s="369" t="s">
        <v>357</v>
      </c>
      <c r="L163" s="149" t="s">
        <v>358</v>
      </c>
      <c r="M163" s="67">
        <v>1</v>
      </c>
      <c r="N163" s="67" t="s">
        <v>33</v>
      </c>
      <c r="O163" s="75" t="s">
        <v>34</v>
      </c>
      <c r="P163" s="176">
        <f t="shared" si="5"/>
        <v>0</v>
      </c>
      <c r="Q163" s="177"/>
      <c r="S163" s="45"/>
      <c r="V163" s="387"/>
      <c r="W163" s="175"/>
      <c r="X163" s="69"/>
      <c r="Y163" s="69"/>
      <c r="Z163" s="69"/>
      <c r="AA163" s="45"/>
    </row>
    <row r="164" spans="1:27">
      <c r="A164" s="396" t="s">
        <v>359</v>
      </c>
      <c r="B164" s="149" t="s">
        <v>360</v>
      </c>
      <c r="C164" s="67">
        <v>2</v>
      </c>
      <c r="D164" s="67" t="s">
        <v>33</v>
      </c>
      <c r="E164" s="75" t="s">
        <v>34</v>
      </c>
      <c r="F164" s="394">
        <f t="shared" si="4"/>
        <v>0</v>
      </c>
      <c r="H164" s="67">
        <v>0</v>
      </c>
      <c r="I164" s="172">
        <v>0</v>
      </c>
      <c r="K164" s="369" t="s">
        <v>359</v>
      </c>
      <c r="L164" s="149" t="s">
        <v>360</v>
      </c>
      <c r="M164" s="67">
        <v>2</v>
      </c>
      <c r="N164" s="67" t="s">
        <v>33</v>
      </c>
      <c r="O164" s="75" t="s">
        <v>34</v>
      </c>
      <c r="P164" s="176">
        <f t="shared" si="5"/>
        <v>0</v>
      </c>
      <c r="Q164" s="177"/>
      <c r="S164" s="45"/>
      <c r="V164" s="387"/>
      <c r="W164" s="175"/>
      <c r="X164" s="69"/>
      <c r="Y164" s="69"/>
      <c r="Z164" s="69"/>
      <c r="AA164" s="45"/>
    </row>
    <row r="165" spans="1:27">
      <c r="A165" s="396" t="s">
        <v>361</v>
      </c>
      <c r="B165" s="149" t="s">
        <v>362</v>
      </c>
      <c r="C165" s="67">
        <v>2</v>
      </c>
      <c r="D165" s="67" t="s">
        <v>33</v>
      </c>
      <c r="E165" s="75" t="s">
        <v>34</v>
      </c>
      <c r="F165" s="394">
        <f t="shared" si="4"/>
        <v>0</v>
      </c>
      <c r="H165" s="67">
        <v>0</v>
      </c>
      <c r="I165" s="172">
        <v>0</v>
      </c>
      <c r="K165" s="369" t="s">
        <v>361</v>
      </c>
      <c r="L165" s="149" t="s">
        <v>362</v>
      </c>
      <c r="M165" s="67">
        <v>2</v>
      </c>
      <c r="N165" s="67" t="s">
        <v>33</v>
      </c>
      <c r="O165" s="75" t="s">
        <v>34</v>
      </c>
      <c r="P165" s="176">
        <f t="shared" si="5"/>
        <v>0</v>
      </c>
      <c r="Q165" s="177"/>
      <c r="S165" s="45"/>
      <c r="V165" s="387"/>
      <c r="W165" s="175"/>
      <c r="X165" s="69"/>
      <c r="Y165" s="69"/>
      <c r="Z165" s="69"/>
      <c r="AA165" s="45"/>
    </row>
    <row r="166" spans="1:27">
      <c r="A166" s="396" t="s">
        <v>363</v>
      </c>
      <c r="B166" s="149" t="s">
        <v>364</v>
      </c>
      <c r="C166" s="67">
        <v>2</v>
      </c>
      <c r="D166" s="67" t="s">
        <v>33</v>
      </c>
      <c r="E166" s="75" t="s">
        <v>34</v>
      </c>
      <c r="F166" s="394">
        <f t="shared" si="4"/>
        <v>0</v>
      </c>
      <c r="H166" s="67">
        <v>0</v>
      </c>
      <c r="I166" s="172">
        <v>0</v>
      </c>
      <c r="K166" s="369" t="s">
        <v>363</v>
      </c>
      <c r="L166" s="149" t="s">
        <v>364</v>
      </c>
      <c r="M166" s="67">
        <v>2</v>
      </c>
      <c r="N166" s="67" t="s">
        <v>33</v>
      </c>
      <c r="O166" s="75" t="s">
        <v>34</v>
      </c>
      <c r="P166" s="176">
        <f t="shared" si="5"/>
        <v>0</v>
      </c>
      <c r="Q166" s="177"/>
      <c r="S166" s="45"/>
      <c r="V166" s="387"/>
      <c r="W166" s="175"/>
      <c r="X166" s="69"/>
      <c r="Y166" s="69"/>
      <c r="Z166" s="69"/>
      <c r="AA166" s="45"/>
    </row>
    <row r="167" spans="1:27">
      <c r="A167" s="396" t="s">
        <v>365</v>
      </c>
      <c r="B167" s="149" t="s">
        <v>366</v>
      </c>
      <c r="C167" s="67">
        <v>2</v>
      </c>
      <c r="D167" s="67" t="s">
        <v>39</v>
      </c>
      <c r="E167" s="75" t="s">
        <v>40</v>
      </c>
      <c r="F167" s="394">
        <f t="shared" si="4"/>
        <v>1</v>
      </c>
      <c r="H167" s="67">
        <v>0</v>
      </c>
      <c r="I167" s="172">
        <v>0</v>
      </c>
      <c r="K167" s="369" t="s">
        <v>365</v>
      </c>
      <c r="L167" s="149" t="s">
        <v>366</v>
      </c>
      <c r="M167" s="67">
        <v>2</v>
      </c>
      <c r="N167" s="67" t="s">
        <v>39</v>
      </c>
      <c r="O167" s="75" t="s">
        <v>40</v>
      </c>
      <c r="P167" s="176">
        <f t="shared" si="5"/>
        <v>1</v>
      </c>
      <c r="Q167" s="177"/>
      <c r="S167" s="45"/>
      <c r="V167" s="387"/>
      <c r="W167" s="175"/>
      <c r="X167" s="69"/>
      <c r="Y167" s="69"/>
      <c r="Z167" s="69"/>
      <c r="AA167" s="45"/>
    </row>
    <row r="168" spans="1:27">
      <c r="A168" s="396" t="s">
        <v>367</v>
      </c>
      <c r="B168" s="149" t="s">
        <v>368</v>
      </c>
      <c r="C168" s="67">
        <v>1</v>
      </c>
      <c r="D168" s="67" t="s">
        <v>33</v>
      </c>
      <c r="E168" s="75" t="s">
        <v>34</v>
      </c>
      <c r="F168" s="394">
        <f t="shared" si="4"/>
        <v>0</v>
      </c>
      <c r="H168" s="67">
        <v>0</v>
      </c>
      <c r="I168" s="172">
        <v>0</v>
      </c>
      <c r="K168" s="369" t="s">
        <v>367</v>
      </c>
      <c r="L168" s="149" t="s">
        <v>368</v>
      </c>
      <c r="M168" s="67">
        <v>1</v>
      </c>
      <c r="N168" s="67" t="s">
        <v>33</v>
      </c>
      <c r="O168" s="75" t="s">
        <v>34</v>
      </c>
      <c r="P168" s="176">
        <f t="shared" si="5"/>
        <v>0</v>
      </c>
      <c r="Q168" s="177"/>
      <c r="S168" s="45"/>
      <c r="V168" s="391"/>
      <c r="W168" s="45"/>
      <c r="X168" s="69"/>
      <c r="Y168" s="69"/>
      <c r="Z168" s="69"/>
      <c r="AA168" s="45"/>
    </row>
    <row r="169" spans="1:27">
      <c r="A169" s="404" t="s">
        <v>369</v>
      </c>
      <c r="B169" t="s">
        <v>370</v>
      </c>
      <c r="C169" s="67">
        <v>2</v>
      </c>
      <c r="D169" s="67" t="s">
        <v>33</v>
      </c>
      <c r="E169" s="75" t="s">
        <v>34</v>
      </c>
      <c r="F169" s="394">
        <f t="shared" si="4"/>
        <v>0</v>
      </c>
      <c r="H169" s="67">
        <v>0</v>
      </c>
      <c r="I169" s="172">
        <v>0</v>
      </c>
      <c r="K169" s="379" t="s">
        <v>369</v>
      </c>
      <c r="L169" t="s">
        <v>370</v>
      </c>
      <c r="M169" s="67">
        <v>2</v>
      </c>
      <c r="N169" s="67" t="s">
        <v>33</v>
      </c>
      <c r="O169" s="75" t="s">
        <v>34</v>
      </c>
      <c r="P169" s="176">
        <f t="shared" si="5"/>
        <v>0</v>
      </c>
      <c r="Q169" s="177"/>
      <c r="S169" s="45"/>
      <c r="V169" s="387"/>
      <c r="W169" s="175"/>
      <c r="X169" s="69"/>
      <c r="Y169" s="69"/>
      <c r="Z169" s="69"/>
      <c r="AA169" s="45"/>
    </row>
    <row r="170" spans="1:27">
      <c r="A170" s="396" t="s">
        <v>371</v>
      </c>
      <c r="B170" s="149" t="s">
        <v>372</v>
      </c>
      <c r="C170" s="67">
        <v>1</v>
      </c>
      <c r="D170" s="67" t="s">
        <v>33</v>
      </c>
      <c r="E170" s="75" t="s">
        <v>34</v>
      </c>
      <c r="F170" s="394">
        <f t="shared" si="4"/>
        <v>0</v>
      </c>
      <c r="H170" s="67">
        <v>0</v>
      </c>
      <c r="I170" s="172">
        <v>0</v>
      </c>
      <c r="K170" s="369" t="s">
        <v>371</v>
      </c>
      <c r="L170" s="149" t="s">
        <v>372</v>
      </c>
      <c r="M170" s="67">
        <v>1</v>
      </c>
      <c r="N170" s="67" t="s">
        <v>33</v>
      </c>
      <c r="O170" s="75" t="s">
        <v>34</v>
      </c>
      <c r="P170" s="176">
        <f t="shared" si="5"/>
        <v>0</v>
      </c>
      <c r="Q170" s="177"/>
      <c r="S170" s="45"/>
      <c r="V170" s="387"/>
      <c r="W170" s="175"/>
      <c r="X170" s="69"/>
      <c r="Y170" s="69"/>
      <c r="Z170" s="69"/>
      <c r="AA170" s="45"/>
    </row>
    <row r="171" spans="1:27">
      <c r="A171" s="396" t="s">
        <v>373</v>
      </c>
      <c r="B171" s="149" t="s">
        <v>374</v>
      </c>
      <c r="C171" s="67">
        <v>2</v>
      </c>
      <c r="D171" s="67" t="s">
        <v>33</v>
      </c>
      <c r="E171" s="75" t="s">
        <v>34</v>
      </c>
      <c r="F171" s="394">
        <f t="shared" si="4"/>
        <v>0</v>
      </c>
      <c r="H171" s="67">
        <v>0</v>
      </c>
      <c r="I171" s="172">
        <v>0</v>
      </c>
      <c r="K171" s="369" t="s">
        <v>373</v>
      </c>
      <c r="L171" s="149" t="s">
        <v>374</v>
      </c>
      <c r="M171" s="67">
        <v>2</v>
      </c>
      <c r="N171" s="67" t="s">
        <v>33</v>
      </c>
      <c r="O171" s="75" t="s">
        <v>34</v>
      </c>
      <c r="P171" s="176">
        <f t="shared" si="5"/>
        <v>0</v>
      </c>
      <c r="Q171" s="177"/>
      <c r="S171" s="45"/>
      <c r="V171" s="387"/>
      <c r="W171" s="175"/>
      <c r="X171" s="69"/>
      <c r="Y171" s="69"/>
      <c r="Z171" s="69"/>
      <c r="AA171" s="45"/>
    </row>
    <row r="172" spans="1:27">
      <c r="A172" s="396" t="s">
        <v>375</v>
      </c>
      <c r="B172" s="149" t="s">
        <v>376</v>
      </c>
      <c r="C172" s="67">
        <v>2</v>
      </c>
      <c r="D172" s="67" t="s">
        <v>33</v>
      </c>
      <c r="E172" s="75" t="s">
        <v>34</v>
      </c>
      <c r="F172" s="394">
        <f t="shared" si="4"/>
        <v>0</v>
      </c>
      <c r="H172" s="67">
        <v>0</v>
      </c>
      <c r="I172" s="172">
        <v>0</v>
      </c>
      <c r="K172" s="369" t="s">
        <v>375</v>
      </c>
      <c r="L172" s="149" t="s">
        <v>376</v>
      </c>
      <c r="M172" s="67">
        <v>2</v>
      </c>
      <c r="N172" s="67" t="s">
        <v>33</v>
      </c>
      <c r="O172" s="75" t="s">
        <v>34</v>
      </c>
      <c r="P172" s="176">
        <f t="shared" si="5"/>
        <v>0</v>
      </c>
      <c r="Q172" s="177"/>
      <c r="S172" s="45"/>
      <c r="V172" s="387"/>
      <c r="W172" s="175"/>
      <c r="X172" s="69"/>
      <c r="Y172" s="69"/>
      <c r="Z172" s="69"/>
      <c r="AA172" s="45"/>
    </row>
    <row r="173" spans="1:27">
      <c r="A173" s="396" t="s">
        <v>377</v>
      </c>
      <c r="B173" s="149" t="s">
        <v>378</v>
      </c>
      <c r="C173" s="67">
        <v>2</v>
      </c>
      <c r="D173" s="67" t="s">
        <v>39</v>
      </c>
      <c r="E173" s="75" t="s">
        <v>34</v>
      </c>
      <c r="F173" s="394">
        <f t="shared" si="4"/>
        <v>1</v>
      </c>
      <c r="H173" s="67">
        <v>0</v>
      </c>
      <c r="I173" s="172">
        <v>0</v>
      </c>
      <c r="K173" s="369" t="s">
        <v>377</v>
      </c>
      <c r="L173" s="149" t="s">
        <v>378</v>
      </c>
      <c r="M173" s="67">
        <v>2</v>
      </c>
      <c r="N173" s="67" t="s">
        <v>39</v>
      </c>
      <c r="O173" s="75" t="s">
        <v>34</v>
      </c>
      <c r="P173" s="176">
        <f t="shared" si="5"/>
        <v>1</v>
      </c>
      <c r="Q173" s="177"/>
      <c r="S173" s="45"/>
      <c r="V173" s="387"/>
      <c r="W173" s="175"/>
      <c r="X173" s="69"/>
      <c r="Y173" s="69"/>
      <c r="Z173" s="69"/>
      <c r="AA173" s="45"/>
    </row>
    <row r="174" spans="1:27">
      <c r="A174" s="396" t="s">
        <v>379</v>
      </c>
      <c r="B174" s="149" t="s">
        <v>380</v>
      </c>
      <c r="C174" s="67">
        <v>2</v>
      </c>
      <c r="D174" s="67" t="s">
        <v>33</v>
      </c>
      <c r="E174" s="75" t="s">
        <v>40</v>
      </c>
      <c r="F174" s="394">
        <f t="shared" si="4"/>
        <v>0</v>
      </c>
      <c r="H174" s="67">
        <v>0</v>
      </c>
      <c r="I174" s="172">
        <v>0</v>
      </c>
      <c r="K174" s="369" t="s">
        <v>379</v>
      </c>
      <c r="L174" s="149" t="s">
        <v>380</v>
      </c>
      <c r="M174" s="67">
        <v>2</v>
      </c>
      <c r="N174" s="67" t="s">
        <v>33</v>
      </c>
      <c r="O174" s="75" t="s">
        <v>40</v>
      </c>
      <c r="P174" s="176">
        <f t="shared" si="5"/>
        <v>0</v>
      </c>
      <c r="Q174" s="177"/>
      <c r="S174" s="45"/>
      <c r="V174" s="387"/>
      <c r="W174" s="175"/>
      <c r="X174" s="69"/>
      <c r="Y174" s="69"/>
      <c r="Z174" s="69"/>
      <c r="AA174" s="45"/>
    </row>
    <row r="175" spans="1:27">
      <c r="A175" s="396" t="s">
        <v>381</v>
      </c>
      <c r="B175" s="149" t="s">
        <v>382</v>
      </c>
      <c r="C175" s="67">
        <v>2</v>
      </c>
      <c r="D175" s="67" t="s">
        <v>33</v>
      </c>
      <c r="E175" s="75" t="s">
        <v>34</v>
      </c>
      <c r="F175" s="394">
        <f t="shared" si="4"/>
        <v>0</v>
      </c>
      <c r="H175" s="67">
        <v>0</v>
      </c>
      <c r="I175" s="172">
        <v>0</v>
      </c>
      <c r="K175" s="369" t="s">
        <v>381</v>
      </c>
      <c r="L175" s="149" t="s">
        <v>382</v>
      </c>
      <c r="M175" s="67">
        <v>2</v>
      </c>
      <c r="N175" s="67" t="s">
        <v>33</v>
      </c>
      <c r="O175" s="75" t="s">
        <v>34</v>
      </c>
      <c r="P175" s="176">
        <f t="shared" si="5"/>
        <v>0</v>
      </c>
      <c r="Q175" s="177"/>
      <c r="S175" s="45"/>
      <c r="V175" s="387"/>
      <c r="W175" s="175"/>
      <c r="X175" s="69"/>
      <c r="Y175" s="69"/>
      <c r="Z175" s="69"/>
      <c r="AA175" s="45"/>
    </row>
    <row r="176" spans="1:27">
      <c r="A176" s="396" t="s">
        <v>383</v>
      </c>
      <c r="B176" s="149" t="s">
        <v>384</v>
      </c>
      <c r="C176" s="67">
        <v>2</v>
      </c>
      <c r="D176" s="67" t="s">
        <v>33</v>
      </c>
      <c r="E176" s="75" t="s">
        <v>34</v>
      </c>
      <c r="F176" s="394">
        <f t="shared" si="4"/>
        <v>0</v>
      </c>
      <c r="H176" s="67">
        <v>0</v>
      </c>
      <c r="I176" s="172">
        <v>0</v>
      </c>
      <c r="K176" s="369" t="s">
        <v>383</v>
      </c>
      <c r="L176" s="149" t="s">
        <v>384</v>
      </c>
      <c r="M176" s="67">
        <v>2</v>
      </c>
      <c r="N176" s="67" t="s">
        <v>33</v>
      </c>
      <c r="O176" s="75" t="s">
        <v>34</v>
      </c>
      <c r="P176" s="176">
        <f t="shared" si="5"/>
        <v>0</v>
      </c>
      <c r="Q176" s="177"/>
      <c r="S176" s="45"/>
      <c r="V176" s="387"/>
      <c r="W176" s="175"/>
      <c r="X176" s="69"/>
      <c r="Y176" s="69"/>
      <c r="Z176" s="69"/>
      <c r="AA176" s="45"/>
    </row>
    <row r="177" spans="1:27">
      <c r="A177" s="396" t="s">
        <v>385</v>
      </c>
      <c r="B177" s="149" t="s">
        <v>386</v>
      </c>
      <c r="C177" s="67">
        <v>2</v>
      </c>
      <c r="D177" s="67" t="s">
        <v>33</v>
      </c>
      <c r="E177" s="75" t="s">
        <v>34</v>
      </c>
      <c r="F177" s="394">
        <f t="shared" si="4"/>
        <v>0</v>
      </c>
      <c r="H177" s="67">
        <v>0</v>
      </c>
      <c r="I177" s="172">
        <v>0</v>
      </c>
      <c r="K177" s="369" t="s">
        <v>385</v>
      </c>
      <c r="L177" s="149" t="s">
        <v>386</v>
      </c>
      <c r="M177" s="67">
        <v>2</v>
      </c>
      <c r="N177" s="67" t="s">
        <v>33</v>
      </c>
      <c r="O177" s="75" t="s">
        <v>34</v>
      </c>
      <c r="P177" s="176">
        <f t="shared" si="5"/>
        <v>0</v>
      </c>
      <c r="Q177" s="177"/>
      <c r="S177" s="45"/>
      <c r="V177" s="387"/>
      <c r="W177" s="175"/>
      <c r="X177" s="69"/>
      <c r="Y177" s="69"/>
      <c r="Z177" s="69"/>
      <c r="AA177" s="45"/>
    </row>
    <row r="178" spans="1:27">
      <c r="A178" s="396" t="s">
        <v>387</v>
      </c>
      <c r="B178" s="149" t="s">
        <v>388</v>
      </c>
      <c r="C178" s="67">
        <v>2</v>
      </c>
      <c r="D178" s="67" t="s">
        <v>39</v>
      </c>
      <c r="E178" s="75" t="s">
        <v>34</v>
      </c>
      <c r="F178" s="394">
        <f t="shared" si="4"/>
        <v>1</v>
      </c>
      <c r="H178" s="67">
        <v>0</v>
      </c>
      <c r="I178" s="172">
        <v>0</v>
      </c>
      <c r="K178" s="369" t="s">
        <v>387</v>
      </c>
      <c r="L178" s="149" t="s">
        <v>388</v>
      </c>
      <c r="M178" s="67">
        <v>2</v>
      </c>
      <c r="N178" s="67" t="s">
        <v>39</v>
      </c>
      <c r="O178" s="75" t="s">
        <v>34</v>
      </c>
      <c r="P178" s="176">
        <f t="shared" si="5"/>
        <v>1</v>
      </c>
      <c r="Q178" s="177"/>
      <c r="S178" s="45"/>
      <c r="V178" s="387"/>
      <c r="W178" s="175"/>
      <c r="X178" s="69"/>
      <c r="Y178" s="69"/>
      <c r="Z178" s="69"/>
      <c r="AA178" s="45"/>
    </row>
    <row r="179" spans="1:27">
      <c r="A179" s="396" t="s">
        <v>389</v>
      </c>
      <c r="B179" s="149" t="s">
        <v>390</v>
      </c>
      <c r="C179" s="67">
        <v>1</v>
      </c>
      <c r="D179" s="67" t="s">
        <v>33</v>
      </c>
      <c r="E179" s="75" t="s">
        <v>34</v>
      </c>
      <c r="F179" s="394">
        <f t="shared" si="4"/>
        <v>0</v>
      </c>
      <c r="H179" s="67">
        <v>0</v>
      </c>
      <c r="I179" s="172">
        <v>0</v>
      </c>
      <c r="K179" s="369" t="s">
        <v>389</v>
      </c>
      <c r="L179" s="149" t="s">
        <v>390</v>
      </c>
      <c r="M179" s="67">
        <v>1</v>
      </c>
      <c r="N179" s="67" t="s">
        <v>33</v>
      </c>
      <c r="O179" s="75" t="s">
        <v>34</v>
      </c>
      <c r="P179" s="176">
        <f t="shared" si="5"/>
        <v>0</v>
      </c>
      <c r="Q179" s="177"/>
      <c r="S179" s="45"/>
      <c r="V179" s="387"/>
      <c r="W179" s="175"/>
      <c r="X179" s="69"/>
      <c r="Y179" s="69"/>
      <c r="Z179" s="69"/>
      <c r="AA179" s="45"/>
    </row>
    <row r="180" spans="1:27">
      <c r="A180" s="396" t="s">
        <v>391</v>
      </c>
      <c r="B180" s="149" t="s">
        <v>392</v>
      </c>
      <c r="C180" s="67">
        <v>1</v>
      </c>
      <c r="D180" s="67" t="s">
        <v>33</v>
      </c>
      <c r="E180" s="75" t="s">
        <v>34</v>
      </c>
      <c r="F180" s="394">
        <f t="shared" si="4"/>
        <v>0</v>
      </c>
      <c r="H180" s="67">
        <v>0</v>
      </c>
      <c r="I180" s="172">
        <v>0</v>
      </c>
      <c r="K180" s="369" t="s">
        <v>391</v>
      </c>
      <c r="L180" s="149" t="s">
        <v>392</v>
      </c>
      <c r="M180" s="67">
        <v>1</v>
      </c>
      <c r="N180" s="67" t="s">
        <v>33</v>
      </c>
      <c r="O180" s="75" t="s">
        <v>34</v>
      </c>
      <c r="P180" s="176">
        <f t="shared" si="5"/>
        <v>0</v>
      </c>
      <c r="Q180" s="177"/>
      <c r="S180" s="45"/>
      <c r="V180" s="387"/>
      <c r="W180" s="175"/>
      <c r="X180" s="69"/>
      <c r="Y180" s="69"/>
      <c r="Z180" s="69"/>
      <c r="AA180" s="45"/>
    </row>
    <row r="181" spans="1:27">
      <c r="A181" s="396" t="s">
        <v>393</v>
      </c>
      <c r="B181" s="149" t="s">
        <v>394</v>
      </c>
      <c r="C181" s="67">
        <v>1</v>
      </c>
      <c r="D181" s="67" t="s">
        <v>33</v>
      </c>
      <c r="E181" s="75" t="s">
        <v>34</v>
      </c>
      <c r="F181" s="394">
        <f t="shared" si="4"/>
        <v>0</v>
      </c>
      <c r="H181" s="67">
        <v>0</v>
      </c>
      <c r="I181" s="172">
        <v>0</v>
      </c>
      <c r="K181" s="369" t="s">
        <v>393</v>
      </c>
      <c r="L181" s="149" t="s">
        <v>394</v>
      </c>
      <c r="M181" s="67">
        <v>1</v>
      </c>
      <c r="N181" s="67" t="s">
        <v>33</v>
      </c>
      <c r="O181" s="75" t="s">
        <v>34</v>
      </c>
      <c r="P181" s="176">
        <f t="shared" si="5"/>
        <v>0</v>
      </c>
      <c r="Q181" s="177"/>
      <c r="S181" s="45"/>
      <c r="V181" s="387"/>
      <c r="W181" s="175"/>
      <c r="X181" s="69"/>
      <c r="Y181" s="69"/>
      <c r="Z181" s="69"/>
      <c r="AA181" s="45"/>
    </row>
    <row r="182" spans="1:27">
      <c r="A182" s="396" t="s">
        <v>395</v>
      </c>
      <c r="B182" s="149" t="s">
        <v>396</v>
      </c>
      <c r="C182" s="67">
        <v>2</v>
      </c>
      <c r="D182" s="67" t="s">
        <v>39</v>
      </c>
      <c r="E182" s="75" t="s">
        <v>34</v>
      </c>
      <c r="F182" s="394">
        <f t="shared" si="4"/>
        <v>1</v>
      </c>
      <c r="H182" s="67">
        <v>0</v>
      </c>
      <c r="I182" s="172">
        <v>0</v>
      </c>
      <c r="K182" s="369" t="s">
        <v>395</v>
      </c>
      <c r="L182" s="149" t="s">
        <v>396</v>
      </c>
      <c r="M182" s="67">
        <v>2</v>
      </c>
      <c r="N182" s="67" t="s">
        <v>39</v>
      </c>
      <c r="O182" s="75" t="s">
        <v>34</v>
      </c>
      <c r="P182" s="176">
        <f t="shared" si="5"/>
        <v>1</v>
      </c>
      <c r="Q182" s="177"/>
      <c r="S182" s="45"/>
      <c r="V182" s="387"/>
      <c r="W182" s="175"/>
      <c r="X182" s="69"/>
      <c r="Y182" s="69"/>
      <c r="Z182" s="69"/>
      <c r="AA182" s="45"/>
    </row>
    <row r="183" spans="1:27">
      <c r="A183" s="396" t="s">
        <v>397</v>
      </c>
      <c r="B183" s="149" t="s">
        <v>398</v>
      </c>
      <c r="C183" s="67">
        <v>1</v>
      </c>
      <c r="D183" s="67" t="s">
        <v>33</v>
      </c>
      <c r="E183" s="75" t="s">
        <v>34</v>
      </c>
      <c r="F183" s="394">
        <f t="shared" si="4"/>
        <v>0</v>
      </c>
      <c r="H183" s="67">
        <v>0</v>
      </c>
      <c r="I183" s="172">
        <v>0</v>
      </c>
      <c r="K183" s="369" t="s">
        <v>397</v>
      </c>
      <c r="L183" s="149" t="s">
        <v>398</v>
      </c>
      <c r="M183" s="67">
        <v>1</v>
      </c>
      <c r="N183" s="67" t="s">
        <v>33</v>
      </c>
      <c r="O183" s="75" t="s">
        <v>34</v>
      </c>
      <c r="P183" s="176">
        <f t="shared" si="5"/>
        <v>0</v>
      </c>
      <c r="Q183" s="177"/>
      <c r="S183" s="45"/>
      <c r="V183" s="387"/>
      <c r="W183" s="175"/>
      <c r="X183" s="69"/>
      <c r="Y183" s="69"/>
      <c r="Z183" s="69"/>
      <c r="AA183" s="45"/>
    </row>
    <row r="184" spans="1:27">
      <c r="A184" s="396" t="s">
        <v>399</v>
      </c>
      <c r="B184" s="149" t="s">
        <v>400</v>
      </c>
      <c r="C184" s="67">
        <v>2</v>
      </c>
      <c r="D184" s="67" t="s">
        <v>39</v>
      </c>
      <c r="E184" s="75" t="s">
        <v>34</v>
      </c>
      <c r="F184" s="394">
        <f t="shared" si="4"/>
        <v>1</v>
      </c>
      <c r="H184" s="67">
        <v>0</v>
      </c>
      <c r="I184" s="172">
        <v>0</v>
      </c>
      <c r="K184" s="369" t="s">
        <v>399</v>
      </c>
      <c r="L184" s="149" t="s">
        <v>400</v>
      </c>
      <c r="M184" s="67">
        <v>2</v>
      </c>
      <c r="N184" s="67" t="s">
        <v>39</v>
      </c>
      <c r="O184" s="75" t="s">
        <v>34</v>
      </c>
      <c r="P184" s="176">
        <f t="shared" si="5"/>
        <v>1</v>
      </c>
      <c r="Q184" s="177"/>
      <c r="S184" s="45"/>
      <c r="V184" s="387"/>
      <c r="W184" s="175"/>
      <c r="X184" s="69"/>
      <c r="Y184" s="69"/>
      <c r="Z184" s="69"/>
      <c r="AA184" s="45"/>
    </row>
    <row r="185" spans="1:27">
      <c r="A185" s="396" t="s">
        <v>401</v>
      </c>
      <c r="B185" s="149" t="s">
        <v>402</v>
      </c>
      <c r="C185" s="67">
        <v>1</v>
      </c>
      <c r="D185" s="67" t="s">
        <v>33</v>
      </c>
      <c r="E185" s="75" t="s">
        <v>34</v>
      </c>
      <c r="F185" s="394">
        <f t="shared" si="4"/>
        <v>0</v>
      </c>
      <c r="H185" s="67">
        <v>0</v>
      </c>
      <c r="I185" s="172">
        <v>0</v>
      </c>
      <c r="K185" s="369" t="s">
        <v>401</v>
      </c>
      <c r="L185" s="149" t="s">
        <v>402</v>
      </c>
      <c r="M185" s="67">
        <v>1</v>
      </c>
      <c r="N185" s="67" t="s">
        <v>33</v>
      </c>
      <c r="O185" s="75" t="s">
        <v>34</v>
      </c>
      <c r="P185" s="176">
        <f t="shared" si="5"/>
        <v>0</v>
      </c>
      <c r="Q185" s="177"/>
      <c r="S185" s="45"/>
      <c r="V185" s="387"/>
      <c r="W185" s="175"/>
      <c r="X185" s="69"/>
      <c r="Y185" s="69"/>
      <c r="Z185" s="69"/>
      <c r="AA185" s="45"/>
    </row>
    <row r="186" spans="1:27">
      <c r="A186" s="396" t="s">
        <v>403</v>
      </c>
      <c r="B186" s="149" t="s">
        <v>404</v>
      </c>
      <c r="C186" s="67">
        <v>1</v>
      </c>
      <c r="D186" s="67" t="s">
        <v>33</v>
      </c>
      <c r="E186" s="75" t="s">
        <v>34</v>
      </c>
      <c r="F186" s="394">
        <f t="shared" si="4"/>
        <v>0</v>
      </c>
      <c r="H186" s="67">
        <v>0</v>
      </c>
      <c r="I186" s="172">
        <v>0</v>
      </c>
      <c r="K186" s="369" t="s">
        <v>403</v>
      </c>
      <c r="L186" s="149" t="s">
        <v>404</v>
      </c>
      <c r="M186" s="67">
        <v>1</v>
      </c>
      <c r="N186" s="67" t="s">
        <v>33</v>
      </c>
      <c r="O186" s="75" t="s">
        <v>34</v>
      </c>
      <c r="P186" s="176">
        <f t="shared" si="5"/>
        <v>0</v>
      </c>
      <c r="Q186" s="177"/>
      <c r="S186" s="45"/>
      <c r="V186" s="387"/>
      <c r="W186" s="175"/>
      <c r="X186" s="69"/>
      <c r="Y186" s="69"/>
      <c r="Z186" s="69"/>
      <c r="AA186" s="45"/>
    </row>
    <row r="187" spans="1:27">
      <c r="A187" s="396" t="s">
        <v>405</v>
      </c>
      <c r="B187" s="149" t="s">
        <v>406</v>
      </c>
      <c r="C187" s="67">
        <v>2</v>
      </c>
      <c r="D187" s="67" t="s">
        <v>39</v>
      </c>
      <c r="E187" s="75" t="s">
        <v>34</v>
      </c>
      <c r="F187" s="394">
        <f t="shared" si="4"/>
        <v>1</v>
      </c>
      <c r="H187" s="67">
        <v>0</v>
      </c>
      <c r="I187" s="172">
        <v>0</v>
      </c>
      <c r="K187" s="369" t="s">
        <v>405</v>
      </c>
      <c r="L187" s="149" t="s">
        <v>406</v>
      </c>
      <c r="M187" s="67">
        <v>2</v>
      </c>
      <c r="N187" s="67" t="s">
        <v>39</v>
      </c>
      <c r="O187" s="75" t="s">
        <v>34</v>
      </c>
      <c r="P187" s="176">
        <f t="shared" si="5"/>
        <v>1</v>
      </c>
      <c r="Q187" s="177"/>
      <c r="S187" s="45"/>
      <c r="V187" s="387"/>
      <c r="W187" s="175"/>
      <c r="X187" s="69"/>
      <c r="Y187" s="69"/>
      <c r="Z187" s="69"/>
      <c r="AA187" s="45"/>
    </row>
    <row r="188" spans="1:27">
      <c r="A188" s="396" t="s">
        <v>407</v>
      </c>
      <c r="B188" s="149" t="s">
        <v>408</v>
      </c>
      <c r="C188" s="67">
        <v>2</v>
      </c>
      <c r="D188" s="67" t="s">
        <v>33</v>
      </c>
      <c r="E188" s="75" t="s">
        <v>34</v>
      </c>
      <c r="F188" s="394">
        <f t="shared" si="4"/>
        <v>0</v>
      </c>
      <c r="H188" s="67">
        <v>0</v>
      </c>
      <c r="I188" s="172">
        <v>0</v>
      </c>
      <c r="K188" s="369" t="s">
        <v>407</v>
      </c>
      <c r="L188" s="149" t="s">
        <v>408</v>
      </c>
      <c r="M188" s="67">
        <v>2</v>
      </c>
      <c r="N188" s="67" t="s">
        <v>33</v>
      </c>
      <c r="O188" s="75" t="s">
        <v>34</v>
      </c>
      <c r="P188" s="176">
        <f t="shared" si="5"/>
        <v>0</v>
      </c>
      <c r="Q188" s="177"/>
      <c r="S188" s="45"/>
      <c r="V188" s="387"/>
      <c r="W188" s="175"/>
      <c r="X188" s="69"/>
      <c r="Y188" s="69"/>
      <c r="Z188" s="69"/>
      <c r="AA188" s="45"/>
    </row>
    <row r="189" spans="1:27">
      <c r="A189" s="396" t="s">
        <v>409</v>
      </c>
      <c r="B189" s="149" t="s">
        <v>410</v>
      </c>
      <c r="C189" s="67">
        <v>2</v>
      </c>
      <c r="D189" s="67" t="s">
        <v>33</v>
      </c>
      <c r="E189" s="75" t="s">
        <v>34</v>
      </c>
      <c r="F189" s="394">
        <f t="shared" si="4"/>
        <v>0</v>
      </c>
      <c r="H189" s="67">
        <v>0</v>
      </c>
      <c r="I189" s="172">
        <v>0</v>
      </c>
      <c r="K189" s="369" t="s">
        <v>409</v>
      </c>
      <c r="L189" s="149" t="s">
        <v>410</v>
      </c>
      <c r="M189" s="67">
        <v>2</v>
      </c>
      <c r="N189" s="67" t="s">
        <v>33</v>
      </c>
      <c r="O189" s="75" t="s">
        <v>34</v>
      </c>
      <c r="P189" s="176">
        <f t="shared" si="5"/>
        <v>0</v>
      </c>
      <c r="Q189" s="177"/>
      <c r="S189" s="45"/>
      <c r="V189" s="387"/>
      <c r="W189" s="175"/>
      <c r="X189" s="69"/>
      <c r="Y189" s="69"/>
      <c r="Z189" s="69"/>
      <c r="AA189" s="45"/>
    </row>
    <row r="190" spans="1:27">
      <c r="A190" s="396" t="s">
        <v>411</v>
      </c>
      <c r="B190" s="149" t="s">
        <v>412</v>
      </c>
      <c r="C190" s="67">
        <v>2</v>
      </c>
      <c r="D190" s="67" t="s">
        <v>39</v>
      </c>
      <c r="E190" s="75" t="s">
        <v>34</v>
      </c>
      <c r="F190" s="394">
        <f t="shared" si="4"/>
        <v>1</v>
      </c>
      <c r="H190" s="67">
        <v>0</v>
      </c>
      <c r="I190" s="172">
        <v>0</v>
      </c>
      <c r="K190" s="369" t="s">
        <v>411</v>
      </c>
      <c r="L190" s="149" t="s">
        <v>412</v>
      </c>
      <c r="M190" s="67">
        <v>2</v>
      </c>
      <c r="N190" s="67" t="s">
        <v>39</v>
      </c>
      <c r="O190" s="75" t="s">
        <v>34</v>
      </c>
      <c r="P190" s="176">
        <f t="shared" si="5"/>
        <v>1</v>
      </c>
      <c r="Q190" s="177"/>
      <c r="S190" s="45"/>
      <c r="V190" s="387"/>
      <c r="W190" s="175"/>
      <c r="X190" s="69"/>
      <c r="Y190" s="69"/>
      <c r="Z190" s="69"/>
      <c r="AA190" s="45"/>
    </row>
    <row r="191" spans="1:27">
      <c r="A191" s="396" t="s">
        <v>413</v>
      </c>
      <c r="B191" s="149" t="s">
        <v>414</v>
      </c>
      <c r="C191" s="67">
        <v>2</v>
      </c>
      <c r="D191" s="67" t="s">
        <v>39</v>
      </c>
      <c r="E191" s="75" t="s">
        <v>34</v>
      </c>
      <c r="F191" s="394">
        <f t="shared" si="4"/>
        <v>1</v>
      </c>
      <c r="H191" s="67">
        <v>0</v>
      </c>
      <c r="I191" s="172">
        <v>0</v>
      </c>
      <c r="K191" s="369" t="s">
        <v>413</v>
      </c>
      <c r="L191" s="149" t="s">
        <v>414</v>
      </c>
      <c r="M191" s="67">
        <v>2</v>
      </c>
      <c r="N191" s="67" t="s">
        <v>39</v>
      </c>
      <c r="O191" s="75" t="s">
        <v>34</v>
      </c>
      <c r="P191" s="176">
        <f t="shared" si="5"/>
        <v>1</v>
      </c>
      <c r="Q191" s="177"/>
      <c r="S191" s="45"/>
      <c r="V191" s="387"/>
      <c r="W191" s="175"/>
      <c r="X191" s="69"/>
      <c r="Y191" s="69"/>
      <c r="Z191" s="69"/>
      <c r="AA191" s="45"/>
    </row>
    <row r="192" spans="1:27">
      <c r="A192" s="396" t="s">
        <v>415</v>
      </c>
      <c r="B192" s="149" t="s">
        <v>416</v>
      </c>
      <c r="C192" s="67">
        <v>2</v>
      </c>
      <c r="D192" s="67" t="s">
        <v>33</v>
      </c>
      <c r="E192" s="75" t="s">
        <v>34</v>
      </c>
      <c r="F192" s="394">
        <f t="shared" si="4"/>
        <v>0</v>
      </c>
      <c r="H192" s="67">
        <v>0</v>
      </c>
      <c r="I192" s="172">
        <v>0</v>
      </c>
      <c r="K192" s="369" t="s">
        <v>415</v>
      </c>
      <c r="L192" s="149" t="s">
        <v>416</v>
      </c>
      <c r="M192" s="67">
        <v>2</v>
      </c>
      <c r="N192" s="67" t="s">
        <v>33</v>
      </c>
      <c r="O192" s="75" t="s">
        <v>34</v>
      </c>
      <c r="P192" s="176">
        <f t="shared" si="5"/>
        <v>0</v>
      </c>
      <c r="Q192" s="177"/>
      <c r="S192" s="45"/>
      <c r="V192" s="387"/>
      <c r="W192" s="175"/>
      <c r="X192" s="69"/>
      <c r="Y192" s="69"/>
      <c r="Z192" s="69"/>
      <c r="AA192" s="45"/>
    </row>
    <row r="193" spans="1:27">
      <c r="A193" s="396" t="s">
        <v>417</v>
      </c>
      <c r="B193" s="149" t="s">
        <v>418</v>
      </c>
      <c r="C193" s="67">
        <v>1</v>
      </c>
      <c r="D193" s="67" t="s">
        <v>33</v>
      </c>
      <c r="E193" s="75" t="s">
        <v>34</v>
      </c>
      <c r="F193" s="394">
        <f t="shared" si="4"/>
        <v>0</v>
      </c>
      <c r="H193" s="67">
        <v>0</v>
      </c>
      <c r="I193" s="172">
        <v>0</v>
      </c>
      <c r="K193" s="369" t="s">
        <v>417</v>
      </c>
      <c r="L193" s="149" t="s">
        <v>418</v>
      </c>
      <c r="M193" s="67">
        <v>1</v>
      </c>
      <c r="N193" s="67" t="s">
        <v>33</v>
      </c>
      <c r="O193" s="75" t="s">
        <v>34</v>
      </c>
      <c r="P193" s="176">
        <f t="shared" si="5"/>
        <v>0</v>
      </c>
      <c r="Q193" s="177"/>
      <c r="S193" s="45"/>
      <c r="V193" s="387"/>
      <c r="W193" s="175"/>
      <c r="X193" s="69"/>
      <c r="Y193" s="69"/>
      <c r="Z193" s="69"/>
      <c r="AA193" s="45"/>
    </row>
    <row r="194" spans="1:27">
      <c r="A194" s="396" t="s">
        <v>419</v>
      </c>
      <c r="B194" s="149" t="s">
        <v>420</v>
      </c>
      <c r="C194" s="67">
        <v>2</v>
      </c>
      <c r="D194" s="67" t="s">
        <v>33</v>
      </c>
      <c r="E194" s="75" t="s">
        <v>34</v>
      </c>
      <c r="F194" s="394">
        <f t="shared" ref="F194:F257" si="6">IF(+D194="cash",1,0)</f>
        <v>0</v>
      </c>
      <c r="H194" s="67">
        <v>0</v>
      </c>
      <c r="I194" s="172">
        <v>0</v>
      </c>
      <c r="K194" s="369" t="s">
        <v>419</v>
      </c>
      <c r="L194" s="149" t="s">
        <v>420</v>
      </c>
      <c r="M194" s="67">
        <v>2</v>
      </c>
      <c r="N194" s="67" t="s">
        <v>33</v>
      </c>
      <c r="O194" s="75" t="s">
        <v>34</v>
      </c>
      <c r="P194" s="176">
        <f t="shared" ref="P194:P257" si="7">IF(+N194="cash",1,0)</f>
        <v>0</v>
      </c>
      <c r="Q194" s="177"/>
      <c r="S194" s="45"/>
      <c r="V194" s="387"/>
      <c r="W194" s="175"/>
      <c r="X194" s="69"/>
      <c r="Y194" s="69"/>
      <c r="Z194" s="69"/>
      <c r="AA194" s="45"/>
    </row>
    <row r="195" spans="1:27">
      <c r="A195" s="396" t="s">
        <v>421</v>
      </c>
      <c r="B195" s="149" t="s">
        <v>422</v>
      </c>
      <c r="C195" s="67">
        <v>2</v>
      </c>
      <c r="D195" s="67" t="s">
        <v>33</v>
      </c>
      <c r="E195" s="75" t="s">
        <v>34</v>
      </c>
      <c r="F195" s="394">
        <f t="shared" si="6"/>
        <v>0</v>
      </c>
      <c r="H195" s="67">
        <v>0</v>
      </c>
      <c r="I195" s="172">
        <v>0</v>
      </c>
      <c r="K195" s="369" t="s">
        <v>421</v>
      </c>
      <c r="L195" s="149" t="s">
        <v>422</v>
      </c>
      <c r="M195" s="67">
        <v>2</v>
      </c>
      <c r="N195" s="67" t="s">
        <v>33</v>
      </c>
      <c r="O195" s="75" t="s">
        <v>34</v>
      </c>
      <c r="P195" s="176">
        <f t="shared" si="7"/>
        <v>0</v>
      </c>
      <c r="Q195" s="177"/>
      <c r="S195" s="45"/>
      <c r="V195" s="387"/>
      <c r="W195" s="175"/>
      <c r="X195" s="69"/>
      <c r="Y195" s="69"/>
      <c r="Z195" s="69"/>
      <c r="AA195" s="45"/>
    </row>
    <row r="196" spans="1:27">
      <c r="A196" s="396" t="s">
        <v>423</v>
      </c>
      <c r="B196" s="149" t="s">
        <v>424</v>
      </c>
      <c r="C196" s="67">
        <v>2</v>
      </c>
      <c r="D196" s="67" t="s">
        <v>39</v>
      </c>
      <c r="E196" s="75" t="s">
        <v>40</v>
      </c>
      <c r="F196" s="394">
        <f t="shared" si="6"/>
        <v>1</v>
      </c>
      <c r="H196" s="67">
        <v>0</v>
      </c>
      <c r="I196" s="172">
        <v>0</v>
      </c>
      <c r="K196" s="369" t="s">
        <v>423</v>
      </c>
      <c r="L196" s="149" t="s">
        <v>424</v>
      </c>
      <c r="M196" s="67">
        <v>2</v>
      </c>
      <c r="N196" s="67" t="s">
        <v>39</v>
      </c>
      <c r="O196" s="75" t="s">
        <v>40</v>
      </c>
      <c r="P196" s="176">
        <f t="shared" si="7"/>
        <v>1</v>
      </c>
      <c r="Q196" s="177"/>
      <c r="S196" s="45"/>
      <c r="V196" s="387"/>
      <c r="W196" s="175"/>
      <c r="X196" s="69"/>
      <c r="Y196" s="69"/>
      <c r="Z196" s="69"/>
      <c r="AA196" s="45"/>
    </row>
    <row r="197" spans="1:27">
      <c r="A197" s="396" t="s">
        <v>425</v>
      </c>
      <c r="B197" s="149" t="s">
        <v>426</v>
      </c>
      <c r="C197" s="67">
        <v>2</v>
      </c>
      <c r="D197" s="67" t="s">
        <v>33</v>
      </c>
      <c r="E197" s="75" t="s">
        <v>34</v>
      </c>
      <c r="F197" s="394">
        <f t="shared" si="6"/>
        <v>0</v>
      </c>
      <c r="H197" s="67">
        <v>0</v>
      </c>
      <c r="I197" s="172">
        <v>0</v>
      </c>
      <c r="K197" s="369" t="s">
        <v>425</v>
      </c>
      <c r="L197" s="149" t="s">
        <v>426</v>
      </c>
      <c r="M197" s="67">
        <v>2</v>
      </c>
      <c r="N197" s="67" t="s">
        <v>33</v>
      </c>
      <c r="O197" s="75" t="s">
        <v>34</v>
      </c>
      <c r="P197" s="176">
        <f t="shared" si="7"/>
        <v>0</v>
      </c>
      <c r="Q197" s="177"/>
      <c r="S197" s="45"/>
      <c r="V197" s="387"/>
      <c r="W197" s="175"/>
      <c r="X197" s="69"/>
      <c r="Y197" s="69"/>
      <c r="Z197" s="69"/>
      <c r="AA197" s="45"/>
    </row>
    <row r="198" spans="1:27">
      <c r="A198" s="396" t="s">
        <v>427</v>
      </c>
      <c r="B198" s="149" t="s">
        <v>428</v>
      </c>
      <c r="C198" s="67">
        <v>2</v>
      </c>
      <c r="D198" s="67" t="s">
        <v>39</v>
      </c>
      <c r="E198" s="75" t="s">
        <v>40</v>
      </c>
      <c r="F198" s="394">
        <f t="shared" si="6"/>
        <v>1</v>
      </c>
      <c r="H198" s="67">
        <v>0</v>
      </c>
      <c r="I198" s="172">
        <v>0</v>
      </c>
      <c r="K198" s="369" t="s">
        <v>427</v>
      </c>
      <c r="L198" s="149" t="s">
        <v>428</v>
      </c>
      <c r="M198" s="67">
        <v>2</v>
      </c>
      <c r="N198" s="67" t="s">
        <v>39</v>
      </c>
      <c r="O198" s="75" t="s">
        <v>40</v>
      </c>
      <c r="P198" s="176">
        <f t="shared" si="7"/>
        <v>1</v>
      </c>
      <c r="Q198" s="177"/>
      <c r="S198" s="45"/>
      <c r="V198" s="387"/>
      <c r="W198" s="175"/>
      <c r="X198" s="69"/>
      <c r="Y198" s="69"/>
      <c r="Z198" s="69"/>
      <c r="AA198" s="45"/>
    </row>
    <row r="199" spans="1:27">
      <c r="A199" s="396" t="s">
        <v>429</v>
      </c>
      <c r="B199" s="149" t="s">
        <v>430</v>
      </c>
      <c r="C199" s="67">
        <v>2</v>
      </c>
      <c r="D199" s="67" t="s">
        <v>39</v>
      </c>
      <c r="E199" s="75" t="s">
        <v>40</v>
      </c>
      <c r="F199" s="394">
        <f t="shared" si="6"/>
        <v>1</v>
      </c>
      <c r="H199" s="67">
        <v>0</v>
      </c>
      <c r="I199" s="172">
        <v>0</v>
      </c>
      <c r="K199" s="369" t="s">
        <v>429</v>
      </c>
      <c r="L199" s="149" t="s">
        <v>430</v>
      </c>
      <c r="M199" s="67">
        <v>2</v>
      </c>
      <c r="N199" s="67" t="s">
        <v>39</v>
      </c>
      <c r="O199" s="75" t="s">
        <v>40</v>
      </c>
      <c r="P199" s="176">
        <f t="shared" si="7"/>
        <v>1</v>
      </c>
      <c r="Q199" s="177"/>
      <c r="S199" s="45"/>
      <c r="V199" s="387"/>
      <c r="W199" s="175"/>
      <c r="X199" s="69"/>
      <c r="Y199" s="69"/>
      <c r="Z199" s="69"/>
      <c r="AA199" s="45"/>
    </row>
    <row r="200" spans="1:27">
      <c r="A200" s="396" t="s">
        <v>431</v>
      </c>
      <c r="B200" s="149" t="s">
        <v>432</v>
      </c>
      <c r="C200" s="67">
        <v>2</v>
      </c>
      <c r="D200" s="67" t="s">
        <v>33</v>
      </c>
      <c r="E200" s="75" t="s">
        <v>40</v>
      </c>
      <c r="F200" s="394">
        <f t="shared" si="6"/>
        <v>0</v>
      </c>
      <c r="H200" s="67">
        <v>0</v>
      </c>
      <c r="I200" s="172">
        <v>0</v>
      </c>
      <c r="K200" s="369" t="s">
        <v>431</v>
      </c>
      <c r="L200" s="149" t="s">
        <v>432</v>
      </c>
      <c r="M200" s="67">
        <v>2</v>
      </c>
      <c r="N200" s="67" t="s">
        <v>33</v>
      </c>
      <c r="O200" s="75" t="s">
        <v>40</v>
      </c>
      <c r="P200" s="176">
        <f t="shared" si="7"/>
        <v>0</v>
      </c>
      <c r="Q200" s="177"/>
      <c r="S200" s="45"/>
      <c r="V200" s="387"/>
      <c r="W200" s="175"/>
      <c r="X200" s="69"/>
      <c r="Y200" s="69"/>
      <c r="Z200" s="69"/>
      <c r="AA200" s="45"/>
    </row>
    <row r="201" spans="1:27">
      <c r="A201" s="396" t="s">
        <v>433</v>
      </c>
      <c r="B201" s="149" t="s">
        <v>434</v>
      </c>
      <c r="C201" s="67">
        <v>2</v>
      </c>
      <c r="D201" s="67" t="s">
        <v>33</v>
      </c>
      <c r="E201" s="75" t="s">
        <v>34</v>
      </c>
      <c r="F201" s="394">
        <f t="shared" si="6"/>
        <v>0</v>
      </c>
      <c r="H201" s="67">
        <v>0</v>
      </c>
      <c r="I201" s="172">
        <v>0</v>
      </c>
      <c r="K201" s="369" t="s">
        <v>433</v>
      </c>
      <c r="L201" s="149" t="s">
        <v>434</v>
      </c>
      <c r="M201" s="67">
        <v>2</v>
      </c>
      <c r="N201" s="67" t="s">
        <v>33</v>
      </c>
      <c r="O201" s="75" t="s">
        <v>34</v>
      </c>
      <c r="P201" s="176">
        <f t="shared" si="7"/>
        <v>0</v>
      </c>
      <c r="Q201" s="177"/>
      <c r="S201" s="45"/>
      <c r="V201" s="387"/>
      <c r="W201" s="175"/>
      <c r="X201" s="69"/>
      <c r="Y201" s="69"/>
      <c r="Z201" s="69"/>
      <c r="AA201" s="45"/>
    </row>
    <row r="202" spans="1:27">
      <c r="A202" s="396" t="s">
        <v>435</v>
      </c>
      <c r="B202" s="149" t="s">
        <v>436</v>
      </c>
      <c r="C202" s="67">
        <v>1</v>
      </c>
      <c r="D202" s="67" t="s">
        <v>33</v>
      </c>
      <c r="E202" s="75" t="s">
        <v>34</v>
      </c>
      <c r="F202" s="394">
        <f t="shared" si="6"/>
        <v>0</v>
      </c>
      <c r="H202" s="67">
        <v>0</v>
      </c>
      <c r="I202" s="172">
        <v>0</v>
      </c>
      <c r="K202" s="369" t="s">
        <v>435</v>
      </c>
      <c r="L202" s="149" t="s">
        <v>436</v>
      </c>
      <c r="M202" s="67">
        <v>1</v>
      </c>
      <c r="N202" s="67" t="s">
        <v>33</v>
      </c>
      <c r="O202" s="75" t="s">
        <v>34</v>
      </c>
      <c r="P202" s="176">
        <f t="shared" si="7"/>
        <v>0</v>
      </c>
      <c r="Q202" s="177"/>
      <c r="S202" s="45"/>
      <c r="V202" s="387"/>
      <c r="W202" s="175"/>
      <c r="X202" s="69"/>
      <c r="Y202" s="69"/>
      <c r="Z202" s="69"/>
      <c r="AA202" s="45"/>
    </row>
    <row r="203" spans="1:27">
      <c r="A203" s="396" t="s">
        <v>437</v>
      </c>
      <c r="B203" s="149" t="s">
        <v>438</v>
      </c>
      <c r="C203" s="67">
        <v>1</v>
      </c>
      <c r="D203" s="67" t="s">
        <v>33</v>
      </c>
      <c r="E203" s="75" t="s">
        <v>34</v>
      </c>
      <c r="F203" s="394">
        <f t="shared" si="6"/>
        <v>0</v>
      </c>
      <c r="H203" s="67">
        <v>0</v>
      </c>
      <c r="I203" s="172">
        <v>0</v>
      </c>
      <c r="K203" s="369" t="s">
        <v>437</v>
      </c>
      <c r="L203" s="149" t="s">
        <v>438</v>
      </c>
      <c r="M203" s="67">
        <v>1</v>
      </c>
      <c r="N203" s="67" t="s">
        <v>33</v>
      </c>
      <c r="O203" s="75" t="s">
        <v>34</v>
      </c>
      <c r="P203" s="176">
        <f t="shared" si="7"/>
        <v>0</v>
      </c>
      <c r="Q203" s="177"/>
      <c r="S203" s="45"/>
      <c r="V203" s="387"/>
      <c r="W203" s="175"/>
      <c r="X203" s="69"/>
      <c r="Y203" s="69"/>
      <c r="Z203" s="69"/>
      <c r="AA203" s="45"/>
    </row>
    <row r="204" spans="1:27">
      <c r="A204" s="396" t="s">
        <v>439</v>
      </c>
      <c r="B204" s="149" t="s">
        <v>440</v>
      </c>
      <c r="C204" s="67">
        <v>2</v>
      </c>
      <c r="D204" s="67" t="s">
        <v>33</v>
      </c>
      <c r="E204" s="75" t="s">
        <v>40</v>
      </c>
      <c r="F204" s="394">
        <f t="shared" si="6"/>
        <v>0</v>
      </c>
      <c r="H204" s="67">
        <v>0</v>
      </c>
      <c r="I204" s="172">
        <v>0</v>
      </c>
      <c r="K204" s="369" t="s">
        <v>439</v>
      </c>
      <c r="L204" s="149" t="s">
        <v>440</v>
      </c>
      <c r="M204" s="67">
        <v>2</v>
      </c>
      <c r="N204" s="67" t="s">
        <v>33</v>
      </c>
      <c r="O204" s="75" t="s">
        <v>40</v>
      </c>
      <c r="P204" s="176">
        <f t="shared" si="7"/>
        <v>0</v>
      </c>
      <c r="Q204" s="177"/>
      <c r="S204" s="45"/>
      <c r="V204" s="387"/>
      <c r="W204" s="175"/>
      <c r="X204" s="69"/>
      <c r="Y204" s="69"/>
      <c r="Z204" s="69"/>
      <c r="AA204" s="45"/>
    </row>
    <row r="205" spans="1:27">
      <c r="A205" s="396" t="s">
        <v>441</v>
      </c>
      <c r="B205" s="149" t="s">
        <v>442</v>
      </c>
      <c r="C205" s="67">
        <v>2</v>
      </c>
      <c r="D205" s="67" t="s">
        <v>39</v>
      </c>
      <c r="E205" s="75" t="s">
        <v>34</v>
      </c>
      <c r="F205" s="394">
        <f t="shared" si="6"/>
        <v>1</v>
      </c>
      <c r="H205" s="67">
        <v>0</v>
      </c>
      <c r="I205" s="172">
        <v>0</v>
      </c>
      <c r="K205" s="369" t="s">
        <v>441</v>
      </c>
      <c r="L205" s="149" t="s">
        <v>442</v>
      </c>
      <c r="M205" s="67">
        <v>2</v>
      </c>
      <c r="N205" s="67" t="s">
        <v>39</v>
      </c>
      <c r="O205" s="75" t="s">
        <v>34</v>
      </c>
      <c r="P205" s="176">
        <f t="shared" si="7"/>
        <v>1</v>
      </c>
      <c r="Q205" s="177"/>
      <c r="S205" s="45"/>
      <c r="V205" s="387"/>
      <c r="W205" s="175"/>
      <c r="X205" s="69"/>
      <c r="Y205" s="69"/>
      <c r="Z205" s="69"/>
      <c r="AA205" s="45"/>
    </row>
    <row r="206" spans="1:27">
      <c r="A206" s="401" t="s">
        <v>443</v>
      </c>
      <c r="B206" s="380" t="s">
        <v>444</v>
      </c>
      <c r="C206" s="67">
        <v>2</v>
      </c>
      <c r="D206" s="67" t="s">
        <v>33</v>
      </c>
      <c r="E206" s="75" t="s">
        <v>34</v>
      </c>
      <c r="F206" s="394">
        <f t="shared" si="6"/>
        <v>0</v>
      </c>
      <c r="H206" s="67">
        <v>0</v>
      </c>
      <c r="I206" s="172">
        <v>0</v>
      </c>
      <c r="K206" s="375" t="s">
        <v>443</v>
      </c>
      <c r="L206" s="380" t="s">
        <v>444</v>
      </c>
      <c r="M206" s="67">
        <v>2</v>
      </c>
      <c r="N206" s="67" t="s">
        <v>33</v>
      </c>
      <c r="O206" s="75" t="s">
        <v>34</v>
      </c>
      <c r="P206" s="176">
        <f t="shared" si="7"/>
        <v>0</v>
      </c>
      <c r="Q206" s="177"/>
      <c r="S206" s="45"/>
      <c r="V206" s="387"/>
      <c r="W206" s="175"/>
      <c r="X206" s="69"/>
      <c r="Y206" s="69"/>
      <c r="Z206" s="69"/>
      <c r="AA206" s="45"/>
    </row>
    <row r="207" spans="1:27">
      <c r="A207" s="396" t="s">
        <v>445</v>
      </c>
      <c r="B207" s="149" t="s">
        <v>446</v>
      </c>
      <c r="C207" s="67">
        <v>1</v>
      </c>
      <c r="D207" s="67" t="s">
        <v>33</v>
      </c>
      <c r="E207" s="75" t="s">
        <v>34</v>
      </c>
      <c r="F207" s="394">
        <f t="shared" si="6"/>
        <v>0</v>
      </c>
      <c r="H207" s="67">
        <v>0</v>
      </c>
      <c r="I207" s="172">
        <v>0</v>
      </c>
      <c r="K207" s="369" t="s">
        <v>445</v>
      </c>
      <c r="L207" s="149" t="s">
        <v>446</v>
      </c>
      <c r="M207" s="67">
        <v>1</v>
      </c>
      <c r="N207" s="67" t="s">
        <v>33</v>
      </c>
      <c r="O207" s="75" t="s">
        <v>34</v>
      </c>
      <c r="P207" s="176">
        <f t="shared" si="7"/>
        <v>0</v>
      </c>
      <c r="Q207" s="177"/>
      <c r="S207" s="45"/>
      <c r="V207" s="387"/>
      <c r="W207" s="175"/>
      <c r="X207" s="69"/>
      <c r="Y207" s="69"/>
      <c r="Z207" s="69"/>
      <c r="AA207" s="45"/>
    </row>
    <row r="208" spans="1:27">
      <c r="A208" s="396" t="s">
        <v>447</v>
      </c>
      <c r="B208" s="149" t="s">
        <v>448</v>
      </c>
      <c r="C208" s="67">
        <v>2</v>
      </c>
      <c r="D208" s="67" t="s">
        <v>33</v>
      </c>
      <c r="E208" s="75" t="s">
        <v>34</v>
      </c>
      <c r="F208" s="394">
        <f t="shared" si="6"/>
        <v>0</v>
      </c>
      <c r="H208" s="67">
        <v>0</v>
      </c>
      <c r="I208" s="172">
        <v>0</v>
      </c>
      <c r="K208" s="369" t="s">
        <v>447</v>
      </c>
      <c r="L208" s="149" t="s">
        <v>448</v>
      </c>
      <c r="M208" s="67">
        <v>2</v>
      </c>
      <c r="N208" s="67" t="s">
        <v>33</v>
      </c>
      <c r="O208" s="75" t="s">
        <v>34</v>
      </c>
      <c r="P208" s="176">
        <f t="shared" si="7"/>
        <v>0</v>
      </c>
      <c r="Q208" s="177"/>
      <c r="S208" s="45"/>
      <c r="V208" s="387"/>
      <c r="W208" s="175"/>
      <c r="X208" s="69"/>
      <c r="Y208" s="69"/>
      <c r="Z208" s="69"/>
      <c r="AA208" s="45"/>
    </row>
    <row r="209" spans="1:27">
      <c r="A209" s="396" t="s">
        <v>449</v>
      </c>
      <c r="B209" s="149" t="s">
        <v>450</v>
      </c>
      <c r="C209" s="67">
        <v>2</v>
      </c>
      <c r="D209" s="67" t="s">
        <v>39</v>
      </c>
      <c r="E209" s="75" t="s">
        <v>40</v>
      </c>
      <c r="F209" s="394">
        <f t="shared" si="6"/>
        <v>1</v>
      </c>
      <c r="H209" s="67">
        <v>0</v>
      </c>
      <c r="I209" s="172">
        <v>0</v>
      </c>
      <c r="K209" s="369" t="s">
        <v>449</v>
      </c>
      <c r="L209" s="149" t="s">
        <v>450</v>
      </c>
      <c r="M209" s="67">
        <v>2</v>
      </c>
      <c r="N209" s="67" t="s">
        <v>39</v>
      </c>
      <c r="O209" s="75" t="s">
        <v>40</v>
      </c>
      <c r="P209" s="176">
        <f t="shared" si="7"/>
        <v>1</v>
      </c>
      <c r="Q209" s="177"/>
      <c r="S209" s="45"/>
      <c r="V209" s="387"/>
      <c r="W209" s="175"/>
      <c r="X209" s="69"/>
      <c r="Y209" s="69"/>
      <c r="Z209" s="69"/>
      <c r="AA209" s="45"/>
    </row>
    <row r="210" spans="1:27">
      <c r="A210" s="396" t="s">
        <v>451</v>
      </c>
      <c r="B210" s="149" t="s">
        <v>452</v>
      </c>
      <c r="C210" s="67">
        <v>2</v>
      </c>
      <c r="D210" s="67" t="s">
        <v>39</v>
      </c>
      <c r="E210" s="75" t="s">
        <v>34</v>
      </c>
      <c r="F210" s="394">
        <f t="shared" si="6"/>
        <v>1</v>
      </c>
      <c r="H210" s="67">
        <v>0</v>
      </c>
      <c r="I210" s="172">
        <v>0</v>
      </c>
      <c r="K210" s="369" t="s">
        <v>451</v>
      </c>
      <c r="L210" s="149" t="s">
        <v>452</v>
      </c>
      <c r="M210" s="67">
        <v>2</v>
      </c>
      <c r="N210" s="67" t="s">
        <v>39</v>
      </c>
      <c r="O210" s="75" t="s">
        <v>34</v>
      </c>
      <c r="P210" s="176">
        <f t="shared" si="7"/>
        <v>1</v>
      </c>
      <c r="Q210" s="177"/>
      <c r="S210" s="45"/>
      <c r="V210" s="281"/>
      <c r="W210" s="127"/>
      <c r="X210" s="69"/>
      <c r="Y210" s="69"/>
      <c r="Z210" s="69"/>
      <c r="AA210" s="45"/>
    </row>
    <row r="211" spans="1:27">
      <c r="A211" s="396" t="s">
        <v>453</v>
      </c>
      <c r="B211" s="149" t="s">
        <v>454</v>
      </c>
      <c r="C211" s="67">
        <v>1</v>
      </c>
      <c r="D211" s="67" t="s">
        <v>33</v>
      </c>
      <c r="E211" s="75" t="s">
        <v>34</v>
      </c>
      <c r="F211" s="394">
        <f t="shared" si="6"/>
        <v>0</v>
      </c>
      <c r="H211" s="67">
        <v>0</v>
      </c>
      <c r="I211" s="172">
        <v>0</v>
      </c>
      <c r="K211" s="369" t="s">
        <v>453</v>
      </c>
      <c r="L211" s="149" t="s">
        <v>454</v>
      </c>
      <c r="M211" s="67">
        <v>1</v>
      </c>
      <c r="N211" s="67" t="s">
        <v>33</v>
      </c>
      <c r="O211" s="75" t="s">
        <v>34</v>
      </c>
      <c r="P211" s="176">
        <f t="shared" si="7"/>
        <v>0</v>
      </c>
      <c r="Q211" s="177"/>
      <c r="S211" s="45"/>
      <c r="V211" s="387"/>
      <c r="W211" s="175"/>
      <c r="X211" s="69"/>
      <c r="Y211" s="69"/>
      <c r="Z211" s="69"/>
      <c r="AA211" s="45"/>
    </row>
    <row r="212" spans="1:27">
      <c r="A212" s="405" t="s">
        <v>455</v>
      </c>
      <c r="B212" s="74" t="s">
        <v>456</v>
      </c>
      <c r="C212" s="67">
        <v>2</v>
      </c>
      <c r="D212" s="67" t="s">
        <v>33</v>
      </c>
      <c r="E212" s="75" t="s">
        <v>34</v>
      </c>
      <c r="F212" s="394">
        <f t="shared" si="6"/>
        <v>0</v>
      </c>
      <c r="H212" s="67">
        <v>0</v>
      </c>
      <c r="I212" s="172">
        <v>0</v>
      </c>
      <c r="K212" s="353" t="s">
        <v>455</v>
      </c>
      <c r="L212" s="74" t="s">
        <v>456</v>
      </c>
      <c r="M212" s="67">
        <v>2</v>
      </c>
      <c r="N212" s="67" t="s">
        <v>33</v>
      </c>
      <c r="O212" s="75" t="s">
        <v>34</v>
      </c>
      <c r="P212" s="176">
        <f t="shared" si="7"/>
        <v>0</v>
      </c>
      <c r="Q212" s="177"/>
      <c r="S212" s="45"/>
      <c r="V212" s="387"/>
      <c r="W212" s="175"/>
      <c r="X212" s="69"/>
      <c r="Y212" s="69"/>
      <c r="Z212" s="69"/>
      <c r="AA212" s="45"/>
    </row>
    <row r="213" spans="1:27">
      <c r="A213" s="396" t="s">
        <v>457</v>
      </c>
      <c r="B213" s="149" t="s">
        <v>458</v>
      </c>
      <c r="C213" s="67">
        <v>2</v>
      </c>
      <c r="D213" s="67" t="s">
        <v>39</v>
      </c>
      <c r="E213" s="75" t="s">
        <v>40</v>
      </c>
      <c r="F213" s="394">
        <f t="shared" si="6"/>
        <v>1</v>
      </c>
      <c r="H213" s="67">
        <v>0</v>
      </c>
      <c r="I213" s="172">
        <v>0</v>
      </c>
      <c r="K213" s="369" t="s">
        <v>457</v>
      </c>
      <c r="L213" s="149" t="s">
        <v>458</v>
      </c>
      <c r="M213" s="67">
        <v>2</v>
      </c>
      <c r="N213" s="67" t="s">
        <v>39</v>
      </c>
      <c r="O213" s="75" t="s">
        <v>40</v>
      </c>
      <c r="P213" s="176">
        <f t="shared" si="7"/>
        <v>1</v>
      </c>
      <c r="Q213" s="177"/>
      <c r="S213" s="45"/>
      <c r="V213" s="387"/>
      <c r="W213" s="175"/>
      <c r="X213" s="69"/>
      <c r="Y213" s="69"/>
      <c r="Z213" s="69"/>
      <c r="AA213" s="45"/>
    </row>
    <row r="214" spans="1:27">
      <c r="A214" s="396" t="s">
        <v>459</v>
      </c>
      <c r="B214" s="149" t="s">
        <v>460</v>
      </c>
      <c r="C214" s="67">
        <v>2</v>
      </c>
      <c r="D214" s="67" t="s">
        <v>33</v>
      </c>
      <c r="E214" s="75" t="s">
        <v>34</v>
      </c>
      <c r="F214" s="394">
        <f t="shared" si="6"/>
        <v>0</v>
      </c>
      <c r="H214" s="67">
        <v>0</v>
      </c>
      <c r="I214" s="172">
        <v>0</v>
      </c>
      <c r="K214" s="369" t="s">
        <v>459</v>
      </c>
      <c r="L214" s="149" t="s">
        <v>460</v>
      </c>
      <c r="M214" s="67">
        <v>2</v>
      </c>
      <c r="N214" s="67" t="s">
        <v>33</v>
      </c>
      <c r="O214" s="75" t="s">
        <v>34</v>
      </c>
      <c r="P214" s="176">
        <f t="shared" si="7"/>
        <v>0</v>
      </c>
      <c r="Q214" s="177"/>
      <c r="S214" s="45"/>
      <c r="V214" s="387"/>
      <c r="W214" s="175"/>
      <c r="X214" s="69"/>
      <c r="Y214" s="69"/>
      <c r="Z214" s="69"/>
      <c r="AA214" s="45"/>
    </row>
    <row r="215" spans="1:27">
      <c r="A215" s="396" t="s">
        <v>461</v>
      </c>
      <c r="B215" s="149" t="s">
        <v>462</v>
      </c>
      <c r="C215" s="67">
        <v>1</v>
      </c>
      <c r="D215" s="67" t="s">
        <v>33</v>
      </c>
      <c r="E215" s="75" t="s">
        <v>34</v>
      </c>
      <c r="F215" s="394">
        <f t="shared" si="6"/>
        <v>0</v>
      </c>
      <c r="H215" s="67">
        <v>0</v>
      </c>
      <c r="I215" s="172">
        <v>0</v>
      </c>
      <c r="K215" s="369" t="s">
        <v>461</v>
      </c>
      <c r="L215" s="149" t="s">
        <v>462</v>
      </c>
      <c r="M215" s="67">
        <v>1</v>
      </c>
      <c r="N215" s="67" t="s">
        <v>33</v>
      </c>
      <c r="O215" s="75" t="s">
        <v>34</v>
      </c>
      <c r="P215" s="176">
        <f t="shared" si="7"/>
        <v>0</v>
      </c>
      <c r="Q215" s="177"/>
      <c r="S215" s="45"/>
      <c r="V215" s="387"/>
      <c r="W215" s="175"/>
      <c r="X215" s="69"/>
      <c r="Y215" s="69"/>
      <c r="Z215" s="69"/>
      <c r="AA215" s="45"/>
    </row>
    <row r="216" spans="1:27">
      <c r="A216" s="396" t="s">
        <v>463</v>
      </c>
      <c r="B216" s="149" t="s">
        <v>464</v>
      </c>
      <c r="C216" s="67">
        <v>2</v>
      </c>
      <c r="D216" s="67" t="s">
        <v>33</v>
      </c>
      <c r="E216" s="75" t="s">
        <v>34</v>
      </c>
      <c r="F216" s="394">
        <f t="shared" si="6"/>
        <v>0</v>
      </c>
      <c r="H216" s="67">
        <v>0</v>
      </c>
      <c r="I216" s="172">
        <v>0</v>
      </c>
      <c r="K216" s="369" t="s">
        <v>463</v>
      </c>
      <c r="L216" s="149" t="s">
        <v>464</v>
      </c>
      <c r="M216" s="67">
        <v>2</v>
      </c>
      <c r="N216" s="67" t="s">
        <v>33</v>
      </c>
      <c r="O216" s="75" t="s">
        <v>34</v>
      </c>
      <c r="P216" s="176">
        <f t="shared" si="7"/>
        <v>0</v>
      </c>
      <c r="Q216" s="177"/>
      <c r="S216" s="45"/>
      <c r="V216" s="392"/>
      <c r="W216" s="178"/>
      <c r="X216" s="69"/>
      <c r="Y216" s="69"/>
      <c r="Z216" s="69"/>
      <c r="AA216" s="45"/>
    </row>
    <row r="217" spans="1:27">
      <c r="A217" s="396" t="s">
        <v>465</v>
      </c>
      <c r="B217" s="149" t="s">
        <v>466</v>
      </c>
      <c r="C217" s="67">
        <v>2</v>
      </c>
      <c r="D217" s="67" t="s">
        <v>39</v>
      </c>
      <c r="E217" s="75" t="s">
        <v>34</v>
      </c>
      <c r="F217" s="394">
        <f t="shared" si="6"/>
        <v>1</v>
      </c>
      <c r="H217" s="67">
        <v>0</v>
      </c>
      <c r="I217" s="172">
        <v>0</v>
      </c>
      <c r="K217" s="369" t="s">
        <v>465</v>
      </c>
      <c r="L217" s="149" t="s">
        <v>466</v>
      </c>
      <c r="M217" s="67">
        <v>2</v>
      </c>
      <c r="N217" s="67" t="s">
        <v>39</v>
      </c>
      <c r="O217" s="75" t="s">
        <v>34</v>
      </c>
      <c r="P217" s="176">
        <f t="shared" si="7"/>
        <v>1</v>
      </c>
      <c r="Q217" s="177"/>
      <c r="S217" s="45"/>
      <c r="V217" s="387"/>
      <c r="W217" s="175"/>
      <c r="X217" s="69"/>
      <c r="Y217" s="69"/>
      <c r="Z217" s="69"/>
      <c r="AA217" s="45"/>
    </row>
    <row r="218" spans="1:27">
      <c r="A218" s="406" t="s">
        <v>467</v>
      </c>
      <c r="B218" s="123" t="s">
        <v>468</v>
      </c>
      <c r="C218" s="67">
        <v>2</v>
      </c>
      <c r="D218" s="67" t="s">
        <v>33</v>
      </c>
      <c r="E218" s="75" t="s">
        <v>34</v>
      </c>
      <c r="F218" s="394">
        <f t="shared" si="6"/>
        <v>0</v>
      </c>
      <c r="H218" s="67">
        <v>0</v>
      </c>
      <c r="I218" s="172">
        <v>0</v>
      </c>
      <c r="K218" s="381" t="s">
        <v>467</v>
      </c>
      <c r="L218" s="123" t="s">
        <v>468</v>
      </c>
      <c r="M218" s="67">
        <v>2</v>
      </c>
      <c r="N218" s="67" t="s">
        <v>33</v>
      </c>
      <c r="O218" s="75" t="s">
        <v>34</v>
      </c>
      <c r="P218" s="176">
        <f t="shared" si="7"/>
        <v>0</v>
      </c>
      <c r="Q218" s="177"/>
      <c r="S218" s="45"/>
      <c r="V218" s="387"/>
      <c r="W218" s="175"/>
      <c r="X218" s="69"/>
      <c r="Y218" s="69"/>
      <c r="Z218" s="69"/>
      <c r="AA218" s="45"/>
    </row>
    <row r="219" spans="1:27">
      <c r="A219" s="396" t="s">
        <v>469</v>
      </c>
      <c r="B219" s="149" t="s">
        <v>470</v>
      </c>
      <c r="C219" s="67">
        <v>1</v>
      </c>
      <c r="D219" s="67" t="s">
        <v>33</v>
      </c>
      <c r="E219" s="75" t="s">
        <v>34</v>
      </c>
      <c r="F219" s="394">
        <f t="shared" si="6"/>
        <v>0</v>
      </c>
      <c r="H219" s="67">
        <v>0</v>
      </c>
      <c r="I219" s="172">
        <v>0</v>
      </c>
      <c r="K219" s="369" t="s">
        <v>469</v>
      </c>
      <c r="L219" s="149" t="s">
        <v>470</v>
      </c>
      <c r="M219" s="67">
        <v>1</v>
      </c>
      <c r="N219" s="67" t="s">
        <v>33</v>
      </c>
      <c r="O219" s="75" t="s">
        <v>34</v>
      </c>
      <c r="P219" s="176">
        <f t="shared" si="7"/>
        <v>0</v>
      </c>
      <c r="Q219" s="177"/>
      <c r="S219" s="45"/>
      <c r="V219" s="389"/>
      <c r="W219" s="127"/>
      <c r="X219" s="69"/>
      <c r="Y219" s="69"/>
      <c r="Z219" s="69"/>
      <c r="AA219" s="45"/>
    </row>
    <row r="220" spans="1:27">
      <c r="A220" s="396" t="s">
        <v>471</v>
      </c>
      <c r="B220" s="149" t="s">
        <v>472</v>
      </c>
      <c r="C220" s="67">
        <v>1</v>
      </c>
      <c r="D220" s="67" t="s">
        <v>33</v>
      </c>
      <c r="E220" s="75" t="s">
        <v>34</v>
      </c>
      <c r="F220" s="394">
        <f t="shared" si="6"/>
        <v>0</v>
      </c>
      <c r="H220" s="67">
        <v>0</v>
      </c>
      <c r="I220" s="172">
        <v>0</v>
      </c>
      <c r="K220" s="369" t="s">
        <v>471</v>
      </c>
      <c r="L220" s="149" t="s">
        <v>472</v>
      </c>
      <c r="M220" s="67">
        <v>1</v>
      </c>
      <c r="N220" s="67" t="s">
        <v>33</v>
      </c>
      <c r="O220" s="75" t="s">
        <v>34</v>
      </c>
      <c r="P220" s="176">
        <f t="shared" si="7"/>
        <v>0</v>
      </c>
      <c r="Q220" s="177"/>
      <c r="S220" s="45"/>
      <c r="V220" s="387"/>
      <c r="W220" s="175"/>
      <c r="X220" s="69"/>
      <c r="Y220" s="69"/>
      <c r="Z220" s="69"/>
      <c r="AA220" s="45"/>
    </row>
    <row r="221" spans="1:27">
      <c r="A221" s="276" t="s">
        <v>473</v>
      </c>
      <c r="B221" s="74" t="s">
        <v>474</v>
      </c>
      <c r="C221" s="67">
        <v>2</v>
      </c>
      <c r="D221" s="67" t="s">
        <v>33</v>
      </c>
      <c r="E221" s="75" t="s">
        <v>34</v>
      </c>
      <c r="F221" s="394">
        <f t="shared" si="6"/>
        <v>0</v>
      </c>
      <c r="H221" s="67">
        <v>0</v>
      </c>
      <c r="I221" s="172">
        <v>0</v>
      </c>
      <c r="K221" s="297" t="s">
        <v>473</v>
      </c>
      <c r="L221" s="74" t="s">
        <v>474</v>
      </c>
      <c r="M221" s="67">
        <v>2</v>
      </c>
      <c r="N221" s="67" t="s">
        <v>33</v>
      </c>
      <c r="O221" s="75" t="s">
        <v>34</v>
      </c>
      <c r="P221" s="176">
        <f t="shared" si="7"/>
        <v>0</v>
      </c>
      <c r="Q221" s="177"/>
      <c r="S221" s="45"/>
      <c r="V221" s="387"/>
      <c r="W221" s="175"/>
      <c r="X221" s="69"/>
      <c r="Y221" s="69"/>
      <c r="Z221" s="69"/>
      <c r="AA221" s="45"/>
    </row>
    <row r="222" spans="1:27">
      <c r="A222" s="396" t="s">
        <v>475</v>
      </c>
      <c r="B222" s="149" t="s">
        <v>476</v>
      </c>
      <c r="C222" s="67">
        <v>1</v>
      </c>
      <c r="D222" s="67" t="s">
        <v>33</v>
      </c>
      <c r="E222" s="75" t="s">
        <v>34</v>
      </c>
      <c r="F222" s="394">
        <f t="shared" si="6"/>
        <v>0</v>
      </c>
      <c r="H222" s="67">
        <v>0</v>
      </c>
      <c r="I222" s="172">
        <v>0</v>
      </c>
      <c r="K222" s="369" t="s">
        <v>475</v>
      </c>
      <c r="L222" s="149" t="s">
        <v>476</v>
      </c>
      <c r="M222" s="67">
        <v>1</v>
      </c>
      <c r="N222" s="67" t="s">
        <v>33</v>
      </c>
      <c r="O222" s="75" t="s">
        <v>34</v>
      </c>
      <c r="P222" s="176">
        <f t="shared" si="7"/>
        <v>0</v>
      </c>
      <c r="Q222" s="177"/>
      <c r="S222" s="45"/>
      <c r="V222" s="387"/>
      <c r="W222" s="175"/>
      <c r="X222" s="69"/>
      <c r="Y222" s="69"/>
      <c r="Z222" s="69"/>
      <c r="AA222" s="45"/>
    </row>
    <row r="223" spans="1:27">
      <c r="A223" s="396" t="s">
        <v>477</v>
      </c>
      <c r="B223" s="149" t="s">
        <v>478</v>
      </c>
      <c r="C223" s="67">
        <v>2</v>
      </c>
      <c r="D223" s="67" t="s">
        <v>39</v>
      </c>
      <c r="E223" s="75" t="s">
        <v>40</v>
      </c>
      <c r="F223" s="394">
        <f t="shared" si="6"/>
        <v>1</v>
      </c>
      <c r="H223" s="67">
        <v>0</v>
      </c>
      <c r="I223" s="172">
        <v>0</v>
      </c>
      <c r="K223" s="369" t="s">
        <v>477</v>
      </c>
      <c r="L223" s="149" t="s">
        <v>478</v>
      </c>
      <c r="M223" s="67">
        <v>2</v>
      </c>
      <c r="N223" s="67" t="s">
        <v>39</v>
      </c>
      <c r="O223" s="75" t="s">
        <v>40</v>
      </c>
      <c r="P223" s="176">
        <f t="shared" si="7"/>
        <v>1</v>
      </c>
      <c r="Q223" s="177"/>
      <c r="S223" s="45"/>
      <c r="V223" s="393"/>
      <c r="W223" s="45"/>
      <c r="X223" s="69"/>
      <c r="Y223" s="69"/>
      <c r="Z223" s="69"/>
      <c r="AA223" s="45"/>
    </row>
    <row r="224" spans="1:27">
      <c r="A224" s="396" t="s">
        <v>479</v>
      </c>
      <c r="B224" s="149" t="s">
        <v>480</v>
      </c>
      <c r="C224" s="67">
        <v>2</v>
      </c>
      <c r="D224" s="67" t="s">
        <v>33</v>
      </c>
      <c r="E224" s="75" t="s">
        <v>34</v>
      </c>
      <c r="F224" s="394">
        <f t="shared" si="6"/>
        <v>0</v>
      </c>
      <c r="H224" s="67">
        <v>0</v>
      </c>
      <c r="I224" s="172">
        <v>0</v>
      </c>
      <c r="K224" s="369" t="s">
        <v>479</v>
      </c>
      <c r="L224" s="149" t="s">
        <v>480</v>
      </c>
      <c r="M224" s="67">
        <v>2</v>
      </c>
      <c r="N224" s="67" t="s">
        <v>33</v>
      </c>
      <c r="O224" s="75" t="s">
        <v>34</v>
      </c>
      <c r="P224" s="176">
        <f t="shared" si="7"/>
        <v>0</v>
      </c>
      <c r="Q224" s="177"/>
      <c r="S224" s="45"/>
      <c r="V224" s="387"/>
      <c r="W224" s="175"/>
      <c r="X224" s="69"/>
      <c r="Y224" s="69"/>
      <c r="Z224" s="69"/>
      <c r="AA224" s="45"/>
    </row>
    <row r="225" spans="1:27">
      <c r="A225" s="407" t="s">
        <v>481</v>
      </c>
      <c r="B225" t="s">
        <v>482</v>
      </c>
      <c r="C225" s="67">
        <v>2</v>
      </c>
      <c r="D225" s="67" t="s">
        <v>33</v>
      </c>
      <c r="E225" s="75" t="s">
        <v>34</v>
      </c>
      <c r="F225" s="394">
        <f t="shared" si="6"/>
        <v>0</v>
      </c>
      <c r="H225" s="67">
        <v>0</v>
      </c>
      <c r="I225" s="172">
        <v>0</v>
      </c>
      <c r="K225" s="382" t="s">
        <v>481</v>
      </c>
      <c r="L225" t="s">
        <v>482</v>
      </c>
      <c r="M225" s="67">
        <v>2</v>
      </c>
      <c r="N225" s="67" t="s">
        <v>33</v>
      </c>
      <c r="O225" s="75" t="s">
        <v>34</v>
      </c>
      <c r="P225" s="176">
        <f t="shared" si="7"/>
        <v>0</v>
      </c>
      <c r="Q225" s="177"/>
      <c r="S225" s="45"/>
      <c r="V225" s="387"/>
      <c r="W225" s="175"/>
      <c r="X225" s="69"/>
      <c r="Y225" s="69"/>
      <c r="Z225" s="69"/>
      <c r="AA225" s="45"/>
    </row>
    <row r="226" spans="1:27">
      <c r="A226" s="396" t="s">
        <v>483</v>
      </c>
      <c r="B226" s="149" t="s">
        <v>484</v>
      </c>
      <c r="C226" s="67">
        <v>1</v>
      </c>
      <c r="D226" s="67" t="s">
        <v>33</v>
      </c>
      <c r="E226" s="75" t="s">
        <v>34</v>
      </c>
      <c r="F226" s="394">
        <f t="shared" si="6"/>
        <v>0</v>
      </c>
      <c r="H226" s="67">
        <v>0</v>
      </c>
      <c r="I226" s="172">
        <v>0</v>
      </c>
      <c r="K226" s="369" t="s">
        <v>483</v>
      </c>
      <c r="L226" s="149" t="s">
        <v>484</v>
      </c>
      <c r="M226" s="67">
        <v>1</v>
      </c>
      <c r="N226" s="67" t="s">
        <v>33</v>
      </c>
      <c r="O226" s="75" t="s">
        <v>34</v>
      </c>
      <c r="P226" s="176">
        <f t="shared" si="7"/>
        <v>0</v>
      </c>
      <c r="Q226" s="177"/>
      <c r="S226" s="45"/>
      <c r="V226" s="387"/>
      <c r="W226" s="175"/>
      <c r="X226" s="69"/>
      <c r="Y226" s="69"/>
      <c r="Z226" s="69"/>
      <c r="AA226" s="45"/>
    </row>
    <row r="227" spans="1:27">
      <c r="A227" s="396" t="s">
        <v>485</v>
      </c>
      <c r="B227" s="149" t="s">
        <v>486</v>
      </c>
      <c r="C227" s="67">
        <v>2</v>
      </c>
      <c r="D227" s="67" t="s">
        <v>33</v>
      </c>
      <c r="E227" s="75" t="s">
        <v>34</v>
      </c>
      <c r="F227" s="394">
        <f t="shared" si="6"/>
        <v>0</v>
      </c>
      <c r="H227" s="67">
        <v>0</v>
      </c>
      <c r="I227" s="172">
        <v>0</v>
      </c>
      <c r="K227" s="369" t="s">
        <v>485</v>
      </c>
      <c r="L227" s="149" t="s">
        <v>486</v>
      </c>
      <c r="M227" s="67">
        <v>2</v>
      </c>
      <c r="N227" s="67" t="s">
        <v>33</v>
      </c>
      <c r="O227" s="75" t="s">
        <v>34</v>
      </c>
      <c r="P227" s="176">
        <f t="shared" si="7"/>
        <v>0</v>
      </c>
      <c r="Q227" s="177"/>
      <c r="S227" s="45"/>
      <c r="V227" s="387"/>
      <c r="W227" s="175"/>
      <c r="X227" s="69"/>
      <c r="Y227" s="69"/>
      <c r="Z227" s="69"/>
      <c r="AA227" s="45"/>
    </row>
    <row r="228" spans="1:27">
      <c r="A228" s="396" t="s">
        <v>487</v>
      </c>
      <c r="B228" s="149" t="s">
        <v>488</v>
      </c>
      <c r="C228" s="67">
        <v>1</v>
      </c>
      <c r="D228" s="67" t="s">
        <v>33</v>
      </c>
      <c r="E228" s="75" t="s">
        <v>34</v>
      </c>
      <c r="F228" s="394">
        <f t="shared" si="6"/>
        <v>0</v>
      </c>
      <c r="H228" s="67">
        <v>0</v>
      </c>
      <c r="I228" s="172">
        <v>0</v>
      </c>
      <c r="K228" s="369" t="s">
        <v>487</v>
      </c>
      <c r="L228" s="149" t="s">
        <v>488</v>
      </c>
      <c r="M228" s="67">
        <v>1</v>
      </c>
      <c r="N228" s="67" t="s">
        <v>33</v>
      </c>
      <c r="O228" s="75" t="s">
        <v>34</v>
      </c>
      <c r="P228" s="176">
        <f t="shared" si="7"/>
        <v>0</v>
      </c>
      <c r="Q228" s="177"/>
      <c r="S228" s="45"/>
      <c r="V228" s="392"/>
      <c r="W228" s="178"/>
      <c r="X228" s="69"/>
      <c r="Y228" s="69"/>
      <c r="Z228" s="69"/>
      <c r="AA228" s="45"/>
    </row>
    <row r="229" spans="1:27">
      <c r="A229" s="396" t="s">
        <v>489</v>
      </c>
      <c r="B229" s="149" t="s">
        <v>490</v>
      </c>
      <c r="C229" s="67">
        <v>2</v>
      </c>
      <c r="D229" s="67" t="s">
        <v>33</v>
      </c>
      <c r="E229" s="75" t="s">
        <v>34</v>
      </c>
      <c r="F229" s="394">
        <f t="shared" si="6"/>
        <v>0</v>
      </c>
      <c r="H229" s="67">
        <v>0</v>
      </c>
      <c r="I229" s="172">
        <v>0</v>
      </c>
      <c r="K229" s="369" t="s">
        <v>489</v>
      </c>
      <c r="L229" s="149" t="s">
        <v>490</v>
      </c>
      <c r="M229" s="67">
        <v>2</v>
      </c>
      <c r="N229" s="67" t="s">
        <v>33</v>
      </c>
      <c r="O229" s="75" t="s">
        <v>34</v>
      </c>
      <c r="P229" s="176">
        <f t="shared" si="7"/>
        <v>0</v>
      </c>
      <c r="Q229" s="177"/>
      <c r="S229" s="45"/>
      <c r="V229" s="392"/>
      <c r="W229" s="127"/>
      <c r="X229" s="69"/>
      <c r="Y229" s="69"/>
      <c r="Z229" s="69"/>
      <c r="AA229" s="45"/>
    </row>
    <row r="230" spans="1:27">
      <c r="A230" s="406" t="s">
        <v>491</v>
      </c>
      <c r="B230" s="123" t="s">
        <v>492</v>
      </c>
      <c r="C230" s="67">
        <v>2</v>
      </c>
      <c r="D230" s="67" t="s">
        <v>33</v>
      </c>
      <c r="E230" s="75" t="s">
        <v>34</v>
      </c>
      <c r="F230" s="394">
        <f t="shared" si="6"/>
        <v>0</v>
      </c>
      <c r="H230" s="67">
        <v>0</v>
      </c>
      <c r="I230" s="172">
        <v>0</v>
      </c>
      <c r="K230" s="381" t="s">
        <v>491</v>
      </c>
      <c r="L230" s="123" t="s">
        <v>492</v>
      </c>
      <c r="M230" s="67">
        <v>2</v>
      </c>
      <c r="N230" s="67" t="s">
        <v>33</v>
      </c>
      <c r="O230" s="75" t="s">
        <v>34</v>
      </c>
      <c r="P230" s="176">
        <f t="shared" si="7"/>
        <v>0</v>
      </c>
      <c r="Q230" s="177"/>
      <c r="S230" s="45"/>
      <c r="V230" s="387"/>
      <c r="W230" s="175"/>
      <c r="X230" s="69"/>
      <c r="Y230" s="69"/>
      <c r="Z230" s="69"/>
      <c r="AA230" s="45"/>
    </row>
    <row r="231" spans="1:27">
      <c r="A231" s="406" t="s">
        <v>493</v>
      </c>
      <c r="B231" s="74" t="s">
        <v>494</v>
      </c>
      <c r="C231" s="67">
        <v>2</v>
      </c>
      <c r="D231" s="67" t="s">
        <v>33</v>
      </c>
      <c r="E231" s="75" t="s">
        <v>34</v>
      </c>
      <c r="F231" s="394">
        <f t="shared" si="6"/>
        <v>0</v>
      </c>
      <c r="H231" s="67">
        <v>0</v>
      </c>
      <c r="I231" s="172">
        <v>0</v>
      </c>
      <c r="K231" s="381" t="s">
        <v>493</v>
      </c>
      <c r="L231" s="74" t="s">
        <v>494</v>
      </c>
      <c r="M231" s="67">
        <v>2</v>
      </c>
      <c r="N231" s="67" t="s">
        <v>33</v>
      </c>
      <c r="O231" s="75" t="s">
        <v>34</v>
      </c>
      <c r="P231" s="176">
        <f t="shared" si="7"/>
        <v>0</v>
      </c>
      <c r="Q231" s="177"/>
      <c r="S231" s="45"/>
      <c r="V231" s="387"/>
      <c r="W231" s="175"/>
      <c r="X231" s="69"/>
      <c r="Y231" s="69"/>
      <c r="Z231" s="69"/>
      <c r="AA231" s="45"/>
    </row>
    <row r="232" spans="1:27">
      <c r="A232" s="396" t="s">
        <v>495</v>
      </c>
      <c r="B232" s="149" t="s">
        <v>496</v>
      </c>
      <c r="C232" s="67">
        <v>2</v>
      </c>
      <c r="D232" s="67" t="s">
        <v>33</v>
      </c>
      <c r="E232" s="75" t="s">
        <v>34</v>
      </c>
      <c r="F232" s="394">
        <f t="shared" si="6"/>
        <v>0</v>
      </c>
      <c r="H232" s="67">
        <v>0</v>
      </c>
      <c r="I232" s="172">
        <v>0</v>
      </c>
      <c r="K232" s="369" t="s">
        <v>495</v>
      </c>
      <c r="L232" s="149" t="s">
        <v>496</v>
      </c>
      <c r="M232" s="67">
        <v>2</v>
      </c>
      <c r="N232" s="67" t="s">
        <v>33</v>
      </c>
      <c r="O232" s="75" t="s">
        <v>34</v>
      </c>
      <c r="P232" s="176">
        <f t="shared" si="7"/>
        <v>0</v>
      </c>
      <c r="Q232" s="177"/>
      <c r="S232" s="45"/>
      <c r="V232" s="387"/>
      <c r="W232" s="175"/>
      <c r="X232" s="69"/>
      <c r="Y232" s="69"/>
      <c r="Z232" s="69"/>
      <c r="AA232" s="45"/>
    </row>
    <row r="233" spans="1:27">
      <c r="A233" s="396" t="s">
        <v>497</v>
      </c>
      <c r="B233" s="149" t="s">
        <v>498</v>
      </c>
      <c r="C233" s="67">
        <v>2</v>
      </c>
      <c r="D233" s="67" t="s">
        <v>39</v>
      </c>
      <c r="E233" s="75" t="s">
        <v>34</v>
      </c>
      <c r="F233" s="394">
        <f t="shared" si="6"/>
        <v>1</v>
      </c>
      <c r="H233" s="67">
        <v>0</v>
      </c>
      <c r="I233" s="172">
        <v>0</v>
      </c>
      <c r="K233" s="369" t="s">
        <v>497</v>
      </c>
      <c r="L233" s="149" t="s">
        <v>498</v>
      </c>
      <c r="M233" s="67">
        <v>2</v>
      </c>
      <c r="N233" s="67" t="s">
        <v>39</v>
      </c>
      <c r="O233" s="75" t="s">
        <v>34</v>
      </c>
      <c r="P233" s="176">
        <f t="shared" si="7"/>
        <v>1</v>
      </c>
      <c r="Q233" s="177"/>
      <c r="S233" s="45"/>
      <c r="V233" s="387"/>
      <c r="W233" s="175"/>
      <c r="X233" s="69"/>
      <c r="Y233" s="69"/>
      <c r="Z233" s="69"/>
      <c r="AA233" s="45"/>
    </row>
    <row r="234" spans="1:27">
      <c r="A234" s="396" t="s">
        <v>499</v>
      </c>
      <c r="B234" s="149" t="s">
        <v>500</v>
      </c>
      <c r="C234" s="67">
        <v>1</v>
      </c>
      <c r="D234" s="67" t="s">
        <v>33</v>
      </c>
      <c r="E234" s="75" t="s">
        <v>34</v>
      </c>
      <c r="F234" s="394">
        <f t="shared" si="6"/>
        <v>0</v>
      </c>
      <c r="H234" s="67">
        <v>0</v>
      </c>
      <c r="I234" s="172">
        <v>0</v>
      </c>
      <c r="K234" s="369" t="s">
        <v>499</v>
      </c>
      <c r="L234" s="149" t="s">
        <v>500</v>
      </c>
      <c r="M234" s="67">
        <v>1</v>
      </c>
      <c r="N234" s="67" t="s">
        <v>33</v>
      </c>
      <c r="O234" s="75" t="s">
        <v>34</v>
      </c>
      <c r="P234" s="176">
        <f t="shared" si="7"/>
        <v>0</v>
      </c>
      <c r="Q234" s="177"/>
      <c r="S234" s="45"/>
      <c r="V234" s="387"/>
      <c r="W234" s="175"/>
      <c r="X234" s="69"/>
      <c r="Y234" s="69"/>
      <c r="Z234" s="69"/>
      <c r="AA234" s="45"/>
    </row>
    <row r="235" spans="1:27">
      <c r="A235" s="396" t="s">
        <v>501</v>
      </c>
      <c r="B235" s="149" t="s">
        <v>502</v>
      </c>
      <c r="C235" s="67">
        <v>2</v>
      </c>
      <c r="D235" s="67" t="s">
        <v>39</v>
      </c>
      <c r="E235" s="75" t="s">
        <v>34</v>
      </c>
      <c r="F235" s="394">
        <f t="shared" si="6"/>
        <v>1</v>
      </c>
      <c r="H235" s="67">
        <v>0</v>
      </c>
      <c r="I235" s="172">
        <v>0</v>
      </c>
      <c r="K235" s="369" t="s">
        <v>501</v>
      </c>
      <c r="L235" s="149" t="s">
        <v>502</v>
      </c>
      <c r="M235" s="67">
        <v>2</v>
      </c>
      <c r="N235" s="67" t="s">
        <v>39</v>
      </c>
      <c r="O235" s="75" t="s">
        <v>34</v>
      </c>
      <c r="P235" s="176">
        <f t="shared" si="7"/>
        <v>1</v>
      </c>
      <c r="Q235" s="177"/>
      <c r="S235" s="45"/>
      <c r="V235" s="387"/>
      <c r="W235" s="175"/>
      <c r="X235" s="69"/>
      <c r="Y235" s="69"/>
      <c r="Z235" s="69"/>
      <c r="AA235" s="45"/>
    </row>
    <row r="236" spans="1:27">
      <c r="A236" s="396" t="s">
        <v>503</v>
      </c>
      <c r="B236" s="149" t="s">
        <v>504</v>
      </c>
      <c r="C236" s="67">
        <v>1</v>
      </c>
      <c r="D236" s="67" t="s">
        <v>33</v>
      </c>
      <c r="E236" s="75" t="s">
        <v>34</v>
      </c>
      <c r="F236" s="394">
        <f t="shared" si="6"/>
        <v>0</v>
      </c>
      <c r="H236" s="67">
        <v>0</v>
      </c>
      <c r="I236" s="172">
        <v>0</v>
      </c>
      <c r="K236" s="369" t="s">
        <v>503</v>
      </c>
      <c r="L236" s="149" t="s">
        <v>504</v>
      </c>
      <c r="M236" s="67">
        <v>1</v>
      </c>
      <c r="N236" s="67" t="s">
        <v>33</v>
      </c>
      <c r="O236" s="75" t="s">
        <v>34</v>
      </c>
      <c r="P236" s="176">
        <f t="shared" si="7"/>
        <v>0</v>
      </c>
      <c r="Q236" s="177"/>
      <c r="S236" s="45"/>
      <c r="V236" s="387"/>
      <c r="W236" s="175"/>
      <c r="X236" s="69"/>
      <c r="Y236" s="69"/>
      <c r="Z236" s="69"/>
      <c r="AA236" s="45"/>
    </row>
    <row r="237" spans="1:27">
      <c r="A237" s="396" t="s">
        <v>505</v>
      </c>
      <c r="B237" s="149" t="s">
        <v>506</v>
      </c>
      <c r="C237" s="67">
        <v>1</v>
      </c>
      <c r="D237" s="67" t="s">
        <v>33</v>
      </c>
      <c r="E237" s="75" t="s">
        <v>34</v>
      </c>
      <c r="F237" s="394">
        <f t="shared" si="6"/>
        <v>0</v>
      </c>
      <c r="H237" s="67">
        <v>0</v>
      </c>
      <c r="I237" s="172">
        <v>0</v>
      </c>
      <c r="K237" s="369" t="s">
        <v>505</v>
      </c>
      <c r="L237" s="149" t="s">
        <v>506</v>
      </c>
      <c r="M237" s="67">
        <v>1</v>
      </c>
      <c r="N237" s="67" t="s">
        <v>33</v>
      </c>
      <c r="O237" s="75" t="s">
        <v>34</v>
      </c>
      <c r="P237" s="176">
        <f t="shared" si="7"/>
        <v>0</v>
      </c>
      <c r="Q237" s="177"/>
      <c r="S237" s="45"/>
      <c r="V237" s="387"/>
      <c r="W237" s="175"/>
      <c r="X237" s="69"/>
      <c r="Y237" s="69"/>
      <c r="Z237" s="69"/>
      <c r="AA237" s="45"/>
    </row>
    <row r="238" spans="1:27">
      <c r="A238" s="396" t="s">
        <v>507</v>
      </c>
      <c r="B238" s="149" t="s">
        <v>508</v>
      </c>
      <c r="C238" s="67">
        <v>2</v>
      </c>
      <c r="D238" s="67" t="s">
        <v>39</v>
      </c>
      <c r="E238" s="75" t="s">
        <v>34</v>
      </c>
      <c r="F238" s="394">
        <f t="shared" si="6"/>
        <v>1</v>
      </c>
      <c r="H238" s="67">
        <v>0</v>
      </c>
      <c r="I238" s="172">
        <v>0</v>
      </c>
      <c r="K238" s="369" t="s">
        <v>507</v>
      </c>
      <c r="L238" s="149" t="s">
        <v>508</v>
      </c>
      <c r="M238" s="67">
        <v>2</v>
      </c>
      <c r="N238" s="67" t="s">
        <v>39</v>
      </c>
      <c r="O238" s="75" t="s">
        <v>34</v>
      </c>
      <c r="P238" s="176">
        <f t="shared" si="7"/>
        <v>1</v>
      </c>
      <c r="Q238" s="177"/>
      <c r="S238" s="45"/>
      <c r="V238" s="387"/>
      <c r="W238" s="175"/>
      <c r="X238" s="69"/>
      <c r="Y238" s="69"/>
      <c r="Z238" s="69"/>
      <c r="AA238" s="45"/>
    </row>
    <row r="239" spans="1:27">
      <c r="A239" s="396" t="s">
        <v>509</v>
      </c>
      <c r="B239" s="149" t="s">
        <v>510</v>
      </c>
      <c r="C239" s="67">
        <v>2</v>
      </c>
      <c r="D239" s="67" t="s">
        <v>33</v>
      </c>
      <c r="E239" s="75" t="s">
        <v>34</v>
      </c>
      <c r="F239" s="394">
        <f t="shared" si="6"/>
        <v>0</v>
      </c>
      <c r="H239" s="67">
        <v>0</v>
      </c>
      <c r="I239" s="172">
        <v>0</v>
      </c>
      <c r="K239" s="369" t="s">
        <v>509</v>
      </c>
      <c r="L239" s="149" t="s">
        <v>510</v>
      </c>
      <c r="M239" s="67">
        <v>2</v>
      </c>
      <c r="N239" s="67" t="s">
        <v>33</v>
      </c>
      <c r="O239" s="75" t="s">
        <v>34</v>
      </c>
      <c r="P239" s="176">
        <f t="shared" si="7"/>
        <v>0</v>
      </c>
      <c r="Q239" s="177"/>
      <c r="S239" s="45"/>
      <c r="V239" s="387"/>
      <c r="W239" s="175"/>
      <c r="X239" s="69"/>
      <c r="Y239" s="69"/>
      <c r="Z239" s="69"/>
      <c r="AA239" s="45"/>
    </row>
    <row r="240" spans="1:27">
      <c r="A240" s="396" t="s">
        <v>511</v>
      </c>
      <c r="B240" s="149" t="s">
        <v>512</v>
      </c>
      <c r="C240" s="67">
        <v>1</v>
      </c>
      <c r="D240" s="67" t="s">
        <v>33</v>
      </c>
      <c r="E240" s="75" t="s">
        <v>34</v>
      </c>
      <c r="F240" s="394">
        <f t="shared" si="6"/>
        <v>0</v>
      </c>
      <c r="H240" s="67">
        <v>0</v>
      </c>
      <c r="I240" s="172">
        <v>0</v>
      </c>
      <c r="K240" s="369" t="s">
        <v>511</v>
      </c>
      <c r="L240" s="149" t="s">
        <v>512</v>
      </c>
      <c r="M240" s="67">
        <v>1</v>
      </c>
      <c r="N240" s="67" t="s">
        <v>33</v>
      </c>
      <c r="O240" s="75" t="s">
        <v>34</v>
      </c>
      <c r="P240" s="176">
        <f t="shared" si="7"/>
        <v>0</v>
      </c>
      <c r="Q240" s="177"/>
      <c r="S240" s="45"/>
      <c r="V240" s="387"/>
      <c r="W240" s="175"/>
      <c r="X240" s="69"/>
      <c r="Y240" s="69"/>
      <c r="Z240" s="69"/>
      <c r="AA240" s="45"/>
    </row>
    <row r="241" spans="1:27">
      <c r="A241" s="396" t="s">
        <v>513</v>
      </c>
      <c r="B241" s="149" t="s">
        <v>514</v>
      </c>
      <c r="C241" s="67">
        <v>1</v>
      </c>
      <c r="D241" s="67" t="s">
        <v>33</v>
      </c>
      <c r="E241" s="75" t="s">
        <v>34</v>
      </c>
      <c r="F241" s="394">
        <f t="shared" si="6"/>
        <v>0</v>
      </c>
      <c r="H241" s="67">
        <v>0</v>
      </c>
      <c r="I241" s="172">
        <v>0</v>
      </c>
      <c r="K241" s="369" t="s">
        <v>513</v>
      </c>
      <c r="L241" s="149" t="s">
        <v>514</v>
      </c>
      <c r="M241" s="67">
        <v>1</v>
      </c>
      <c r="N241" s="67" t="s">
        <v>33</v>
      </c>
      <c r="O241" s="75" t="s">
        <v>34</v>
      </c>
      <c r="P241" s="176">
        <f t="shared" si="7"/>
        <v>0</v>
      </c>
      <c r="Q241" s="177"/>
      <c r="S241" s="45"/>
      <c r="V241" s="387"/>
      <c r="W241" s="175"/>
      <c r="X241" s="69"/>
      <c r="Y241" s="69"/>
      <c r="Z241" s="69"/>
      <c r="AA241" s="45"/>
    </row>
    <row r="242" spans="1:27">
      <c r="A242" s="401" t="s">
        <v>515</v>
      </c>
      <c r="B242" s="380" t="s">
        <v>516</v>
      </c>
      <c r="C242" s="67">
        <v>2</v>
      </c>
      <c r="D242" s="67" t="s">
        <v>33</v>
      </c>
      <c r="E242" s="75" t="s">
        <v>34</v>
      </c>
      <c r="F242" s="394">
        <f t="shared" si="6"/>
        <v>0</v>
      </c>
      <c r="H242" s="67">
        <v>0</v>
      </c>
      <c r="I242" s="172">
        <v>0</v>
      </c>
      <c r="K242" s="375" t="s">
        <v>515</v>
      </c>
      <c r="L242" s="380" t="s">
        <v>516</v>
      </c>
      <c r="M242" s="67">
        <v>2</v>
      </c>
      <c r="N242" s="67" t="s">
        <v>33</v>
      </c>
      <c r="O242" s="75" t="s">
        <v>34</v>
      </c>
      <c r="P242" s="176">
        <f t="shared" si="7"/>
        <v>0</v>
      </c>
      <c r="Q242" s="177"/>
      <c r="S242" s="45"/>
      <c r="V242" s="387"/>
      <c r="W242" s="175"/>
      <c r="X242" s="69"/>
      <c r="Y242" s="69"/>
      <c r="Z242" s="69"/>
      <c r="AA242" s="45"/>
    </row>
    <row r="243" spans="1:27">
      <c r="A243" s="396" t="s">
        <v>517</v>
      </c>
      <c r="B243" s="149" t="s">
        <v>518</v>
      </c>
      <c r="C243" s="67">
        <v>2</v>
      </c>
      <c r="D243" s="67" t="s">
        <v>39</v>
      </c>
      <c r="E243" s="75" t="s">
        <v>40</v>
      </c>
      <c r="F243" s="394">
        <f t="shared" si="6"/>
        <v>1</v>
      </c>
      <c r="H243" s="67">
        <v>0</v>
      </c>
      <c r="I243" s="172">
        <v>0</v>
      </c>
      <c r="K243" s="369" t="s">
        <v>517</v>
      </c>
      <c r="L243" s="149" t="s">
        <v>518</v>
      </c>
      <c r="M243" s="67">
        <v>2</v>
      </c>
      <c r="N243" s="67" t="s">
        <v>39</v>
      </c>
      <c r="O243" s="75" t="s">
        <v>40</v>
      </c>
      <c r="P243" s="176">
        <f t="shared" si="7"/>
        <v>1</v>
      </c>
      <c r="Q243" s="177"/>
      <c r="S243" s="45"/>
      <c r="V243" s="387"/>
      <c r="W243" s="175"/>
      <c r="X243" s="69"/>
      <c r="Y243" s="69"/>
      <c r="Z243" s="69"/>
      <c r="AA243" s="45"/>
    </row>
    <row r="244" spans="1:27">
      <c r="A244" s="396" t="s">
        <v>519</v>
      </c>
      <c r="B244" s="149" t="s">
        <v>520</v>
      </c>
      <c r="C244" s="67">
        <v>2</v>
      </c>
      <c r="D244" s="67" t="s">
        <v>39</v>
      </c>
      <c r="E244" s="75" t="s">
        <v>34</v>
      </c>
      <c r="F244" s="394">
        <f t="shared" si="6"/>
        <v>1</v>
      </c>
      <c r="H244" s="67">
        <v>0</v>
      </c>
      <c r="I244" s="172">
        <v>0</v>
      </c>
      <c r="K244" s="369" t="s">
        <v>519</v>
      </c>
      <c r="L244" s="149" t="s">
        <v>520</v>
      </c>
      <c r="M244" s="67">
        <v>2</v>
      </c>
      <c r="N244" s="67" t="s">
        <v>39</v>
      </c>
      <c r="O244" s="75" t="s">
        <v>34</v>
      </c>
      <c r="P244" s="176">
        <f t="shared" si="7"/>
        <v>1</v>
      </c>
      <c r="Q244" s="177"/>
      <c r="S244" s="45"/>
      <c r="V244" s="387"/>
      <c r="W244" s="175"/>
      <c r="X244" s="69"/>
      <c r="Y244" s="69"/>
      <c r="Z244" s="69"/>
      <c r="AA244" s="45"/>
    </row>
    <row r="245" spans="1:27">
      <c r="A245" s="396" t="s">
        <v>521</v>
      </c>
      <c r="B245" s="149" t="s">
        <v>522</v>
      </c>
      <c r="C245" s="67">
        <v>2</v>
      </c>
      <c r="D245" s="67" t="s">
        <v>33</v>
      </c>
      <c r="E245" s="75" t="s">
        <v>34</v>
      </c>
      <c r="F245" s="394">
        <f t="shared" si="6"/>
        <v>0</v>
      </c>
      <c r="H245" s="67">
        <v>0</v>
      </c>
      <c r="I245" s="172">
        <v>0</v>
      </c>
      <c r="K245" s="369" t="s">
        <v>521</v>
      </c>
      <c r="L245" s="149" t="s">
        <v>522</v>
      </c>
      <c r="M245" s="67">
        <v>2</v>
      </c>
      <c r="N245" s="67" t="s">
        <v>33</v>
      </c>
      <c r="O245" s="75" t="s">
        <v>34</v>
      </c>
      <c r="P245" s="176">
        <f t="shared" si="7"/>
        <v>0</v>
      </c>
      <c r="Q245" s="177"/>
      <c r="S245" s="45"/>
      <c r="V245" s="387"/>
      <c r="W245" s="175"/>
      <c r="X245" s="69"/>
      <c r="Y245" s="69"/>
      <c r="Z245" s="69"/>
      <c r="AA245" s="45"/>
    </row>
    <row r="246" spans="1:27">
      <c r="A246" s="396" t="s">
        <v>523</v>
      </c>
      <c r="B246" s="149" t="s">
        <v>524</v>
      </c>
      <c r="C246" s="67">
        <v>2</v>
      </c>
      <c r="D246" s="67" t="s">
        <v>33</v>
      </c>
      <c r="E246" s="75" t="s">
        <v>34</v>
      </c>
      <c r="F246" s="394">
        <f t="shared" si="6"/>
        <v>0</v>
      </c>
      <c r="H246" s="67">
        <v>0</v>
      </c>
      <c r="I246" s="172">
        <v>0</v>
      </c>
      <c r="K246" s="369" t="s">
        <v>523</v>
      </c>
      <c r="L246" s="149" t="s">
        <v>524</v>
      </c>
      <c r="M246" s="67">
        <v>2</v>
      </c>
      <c r="N246" s="67" t="s">
        <v>33</v>
      </c>
      <c r="O246" s="75" t="s">
        <v>34</v>
      </c>
      <c r="P246" s="176">
        <f t="shared" si="7"/>
        <v>0</v>
      </c>
      <c r="Q246" s="177"/>
      <c r="S246" s="45"/>
      <c r="V246" s="387"/>
      <c r="W246" s="175"/>
      <c r="X246" s="69"/>
      <c r="Y246" s="69"/>
      <c r="Z246" s="69"/>
      <c r="AA246" s="45"/>
    </row>
    <row r="247" spans="1:27">
      <c r="A247" s="396" t="s">
        <v>525</v>
      </c>
      <c r="B247" s="149" t="s">
        <v>526</v>
      </c>
      <c r="C247" s="67">
        <v>2</v>
      </c>
      <c r="D247" s="67" t="s">
        <v>39</v>
      </c>
      <c r="E247" s="75" t="s">
        <v>40</v>
      </c>
      <c r="F247" s="394">
        <f t="shared" si="6"/>
        <v>1</v>
      </c>
      <c r="H247" s="67">
        <v>0</v>
      </c>
      <c r="I247" s="172">
        <v>0</v>
      </c>
      <c r="K247" s="369" t="s">
        <v>525</v>
      </c>
      <c r="L247" s="149" t="s">
        <v>526</v>
      </c>
      <c r="M247" s="67">
        <v>2</v>
      </c>
      <c r="N247" s="67" t="s">
        <v>39</v>
      </c>
      <c r="O247" s="75" t="s">
        <v>40</v>
      </c>
      <c r="P247" s="176">
        <f t="shared" si="7"/>
        <v>1</v>
      </c>
      <c r="Q247" s="177"/>
      <c r="S247" s="45"/>
      <c r="V247" s="387"/>
      <c r="W247" s="175"/>
      <c r="X247" s="69"/>
      <c r="Y247" s="69"/>
      <c r="Z247" s="69"/>
      <c r="AA247" s="45"/>
    </row>
    <row r="248" spans="1:27">
      <c r="A248" s="396" t="s">
        <v>527</v>
      </c>
      <c r="B248" s="149" t="s">
        <v>528</v>
      </c>
      <c r="C248" s="67">
        <v>1</v>
      </c>
      <c r="D248" s="67" t="s">
        <v>33</v>
      </c>
      <c r="E248" s="75" t="s">
        <v>34</v>
      </c>
      <c r="F248" s="394">
        <f t="shared" si="6"/>
        <v>0</v>
      </c>
      <c r="H248" s="67">
        <v>0</v>
      </c>
      <c r="I248" s="172">
        <v>0</v>
      </c>
      <c r="K248" s="369" t="s">
        <v>527</v>
      </c>
      <c r="L248" s="149" t="s">
        <v>528</v>
      </c>
      <c r="M248" s="67">
        <v>1</v>
      </c>
      <c r="N248" s="67" t="s">
        <v>33</v>
      </c>
      <c r="O248" s="75" t="s">
        <v>34</v>
      </c>
      <c r="P248" s="176">
        <f t="shared" si="7"/>
        <v>0</v>
      </c>
      <c r="Q248" s="177"/>
      <c r="S248" s="45"/>
      <c r="V248" s="387"/>
      <c r="W248" s="175"/>
      <c r="X248" s="69"/>
      <c r="Y248" s="69"/>
      <c r="Z248" s="69"/>
      <c r="AA248" s="45"/>
    </row>
    <row r="249" spans="1:27">
      <c r="A249" s="396" t="s">
        <v>529</v>
      </c>
      <c r="B249" s="149" t="s">
        <v>530</v>
      </c>
      <c r="C249" s="67">
        <v>1</v>
      </c>
      <c r="D249" s="67" t="s">
        <v>33</v>
      </c>
      <c r="E249" s="75" t="s">
        <v>34</v>
      </c>
      <c r="F249" s="394">
        <f t="shared" si="6"/>
        <v>0</v>
      </c>
      <c r="H249" s="67">
        <v>0</v>
      </c>
      <c r="I249" s="172">
        <v>0</v>
      </c>
      <c r="K249" s="369" t="s">
        <v>529</v>
      </c>
      <c r="L249" s="149" t="s">
        <v>530</v>
      </c>
      <c r="M249" s="67">
        <v>1</v>
      </c>
      <c r="N249" s="67" t="s">
        <v>33</v>
      </c>
      <c r="O249" s="75" t="s">
        <v>34</v>
      </c>
      <c r="P249" s="176">
        <f t="shared" si="7"/>
        <v>0</v>
      </c>
      <c r="Q249" s="177"/>
      <c r="S249" s="45"/>
      <c r="V249" s="387"/>
      <c r="W249" s="175"/>
      <c r="X249" s="69"/>
      <c r="Y249" s="69"/>
      <c r="Z249" s="69"/>
      <c r="AA249" s="45"/>
    </row>
    <row r="250" spans="1:27">
      <c r="A250" s="396" t="s">
        <v>531</v>
      </c>
      <c r="B250" s="149" t="s">
        <v>532</v>
      </c>
      <c r="C250" s="67">
        <v>1</v>
      </c>
      <c r="D250" s="67" t="s">
        <v>33</v>
      </c>
      <c r="E250" s="75" t="s">
        <v>34</v>
      </c>
      <c r="F250" s="394">
        <f t="shared" si="6"/>
        <v>0</v>
      </c>
      <c r="H250" s="67">
        <v>0</v>
      </c>
      <c r="I250" s="172">
        <v>0</v>
      </c>
      <c r="K250" s="369" t="s">
        <v>531</v>
      </c>
      <c r="L250" s="149" t="s">
        <v>532</v>
      </c>
      <c r="M250" s="67">
        <v>1</v>
      </c>
      <c r="N250" s="67" t="s">
        <v>33</v>
      </c>
      <c r="O250" s="75" t="s">
        <v>34</v>
      </c>
      <c r="P250" s="176">
        <f t="shared" si="7"/>
        <v>0</v>
      </c>
      <c r="Q250" s="177"/>
      <c r="S250" s="45"/>
      <c r="V250" s="387"/>
      <c r="W250" s="175"/>
      <c r="X250" s="69"/>
      <c r="Y250" s="69"/>
      <c r="Z250" s="69"/>
      <c r="AA250" s="45"/>
    </row>
    <row r="251" spans="1:27">
      <c r="A251" s="396" t="s">
        <v>533</v>
      </c>
      <c r="B251" s="149" t="s">
        <v>534</v>
      </c>
      <c r="C251" s="67">
        <v>2</v>
      </c>
      <c r="D251" s="67" t="s">
        <v>39</v>
      </c>
      <c r="E251" s="75" t="s">
        <v>34</v>
      </c>
      <c r="F251" s="394">
        <f t="shared" si="6"/>
        <v>1</v>
      </c>
      <c r="H251" s="67">
        <v>0</v>
      </c>
      <c r="I251" s="172">
        <v>0</v>
      </c>
      <c r="K251" s="369" t="s">
        <v>533</v>
      </c>
      <c r="L251" s="149" t="s">
        <v>534</v>
      </c>
      <c r="M251" s="67">
        <v>2</v>
      </c>
      <c r="N251" s="67" t="s">
        <v>39</v>
      </c>
      <c r="O251" s="75" t="s">
        <v>34</v>
      </c>
      <c r="P251" s="176">
        <f t="shared" si="7"/>
        <v>1</v>
      </c>
      <c r="Q251" s="177"/>
      <c r="S251" s="45"/>
      <c r="V251" s="387"/>
      <c r="W251" s="175"/>
      <c r="X251" s="69"/>
      <c r="Y251" s="69"/>
      <c r="Z251" s="69"/>
      <c r="AA251" s="45"/>
    </row>
    <row r="252" spans="1:27">
      <c r="A252" s="396" t="s">
        <v>535</v>
      </c>
      <c r="B252" s="149" t="s">
        <v>536</v>
      </c>
      <c r="C252" s="67">
        <v>1</v>
      </c>
      <c r="D252" s="67" t="s">
        <v>33</v>
      </c>
      <c r="E252" s="75" t="s">
        <v>34</v>
      </c>
      <c r="F252" s="394">
        <f t="shared" si="6"/>
        <v>0</v>
      </c>
      <c r="H252" s="67">
        <v>0</v>
      </c>
      <c r="I252" s="172">
        <v>0</v>
      </c>
      <c r="K252" s="369" t="s">
        <v>535</v>
      </c>
      <c r="L252" s="149" t="s">
        <v>536</v>
      </c>
      <c r="M252" s="67">
        <v>1</v>
      </c>
      <c r="N252" s="67" t="s">
        <v>33</v>
      </c>
      <c r="O252" s="75" t="s">
        <v>34</v>
      </c>
      <c r="P252" s="176">
        <f t="shared" si="7"/>
        <v>0</v>
      </c>
      <c r="Q252" s="177"/>
      <c r="S252" s="45"/>
      <c r="V252" s="387"/>
      <c r="W252" s="175"/>
      <c r="X252" s="69"/>
      <c r="Y252" s="69"/>
      <c r="Z252" s="69"/>
      <c r="AA252" s="45"/>
    </row>
    <row r="253" spans="1:27">
      <c r="A253" s="396" t="s">
        <v>537</v>
      </c>
      <c r="B253" s="149" t="s">
        <v>538</v>
      </c>
      <c r="C253" s="67">
        <v>2</v>
      </c>
      <c r="D253" s="67" t="s">
        <v>39</v>
      </c>
      <c r="E253" s="75" t="s">
        <v>40</v>
      </c>
      <c r="F253" s="394">
        <f t="shared" si="6"/>
        <v>1</v>
      </c>
      <c r="H253" s="67">
        <v>0</v>
      </c>
      <c r="I253" s="172">
        <v>0</v>
      </c>
      <c r="K253" s="369" t="s">
        <v>537</v>
      </c>
      <c r="L253" s="149" t="s">
        <v>538</v>
      </c>
      <c r="M253" s="67">
        <v>2</v>
      </c>
      <c r="N253" s="67" t="s">
        <v>39</v>
      </c>
      <c r="O253" s="75" t="s">
        <v>40</v>
      </c>
      <c r="P253" s="176">
        <f t="shared" si="7"/>
        <v>1</v>
      </c>
      <c r="Q253" s="177"/>
      <c r="S253" s="45"/>
      <c r="V253" s="387"/>
      <c r="W253" s="175"/>
      <c r="X253" s="69"/>
      <c r="Y253" s="69"/>
      <c r="Z253" s="69"/>
      <c r="AA253" s="45"/>
    </row>
    <row r="254" spans="1:27">
      <c r="A254" s="396" t="s">
        <v>539</v>
      </c>
      <c r="B254" s="149" t="s">
        <v>540</v>
      </c>
      <c r="C254" s="67">
        <v>1</v>
      </c>
      <c r="D254" s="67" t="s">
        <v>33</v>
      </c>
      <c r="E254" s="75" t="s">
        <v>34</v>
      </c>
      <c r="F254" s="394">
        <f t="shared" si="6"/>
        <v>0</v>
      </c>
      <c r="H254" s="67">
        <v>0</v>
      </c>
      <c r="I254" s="172">
        <v>0</v>
      </c>
      <c r="K254" s="369" t="s">
        <v>539</v>
      </c>
      <c r="L254" s="149" t="s">
        <v>540</v>
      </c>
      <c r="M254" s="67">
        <v>1</v>
      </c>
      <c r="N254" s="67" t="s">
        <v>33</v>
      </c>
      <c r="O254" s="75" t="s">
        <v>34</v>
      </c>
      <c r="P254" s="176">
        <f t="shared" si="7"/>
        <v>0</v>
      </c>
      <c r="Q254" s="177"/>
      <c r="S254" s="45"/>
      <c r="V254" s="387"/>
      <c r="W254" s="175"/>
      <c r="X254" s="69"/>
      <c r="Y254" s="69"/>
      <c r="Z254" s="69"/>
      <c r="AA254" s="45"/>
    </row>
    <row r="255" spans="1:27">
      <c r="A255" s="396" t="s">
        <v>541</v>
      </c>
      <c r="B255" s="149" t="s">
        <v>542</v>
      </c>
      <c r="C255" s="67">
        <v>1</v>
      </c>
      <c r="D255" s="67" t="s">
        <v>33</v>
      </c>
      <c r="E255" s="75" t="s">
        <v>34</v>
      </c>
      <c r="F255" s="394">
        <f t="shared" si="6"/>
        <v>0</v>
      </c>
      <c r="H255" s="67">
        <v>0</v>
      </c>
      <c r="I255" s="172">
        <v>0</v>
      </c>
      <c r="K255" s="369" t="s">
        <v>541</v>
      </c>
      <c r="L255" s="149" t="s">
        <v>542</v>
      </c>
      <c r="M255" s="67">
        <v>1</v>
      </c>
      <c r="N255" s="67" t="s">
        <v>33</v>
      </c>
      <c r="O255" s="75" t="s">
        <v>34</v>
      </c>
      <c r="P255" s="176">
        <f t="shared" si="7"/>
        <v>0</v>
      </c>
      <c r="Q255" s="177"/>
      <c r="S255" s="45"/>
      <c r="V255" s="387"/>
      <c r="W255" s="175"/>
      <c r="X255" s="69"/>
      <c r="Y255" s="69"/>
      <c r="Z255" s="69"/>
      <c r="AA255" s="45"/>
    </row>
    <row r="256" spans="1:27">
      <c r="A256" s="396" t="s">
        <v>543</v>
      </c>
      <c r="B256" s="149" t="s">
        <v>544</v>
      </c>
      <c r="C256" s="67">
        <v>2</v>
      </c>
      <c r="D256" s="67" t="s">
        <v>39</v>
      </c>
      <c r="E256" s="75" t="s">
        <v>40</v>
      </c>
      <c r="F256" s="394">
        <f t="shared" si="6"/>
        <v>1</v>
      </c>
      <c r="H256" s="67">
        <v>0</v>
      </c>
      <c r="I256" s="172">
        <v>0</v>
      </c>
      <c r="K256" s="369" t="s">
        <v>543</v>
      </c>
      <c r="L256" s="149" t="s">
        <v>544</v>
      </c>
      <c r="M256" s="67">
        <v>2</v>
      </c>
      <c r="N256" s="67" t="s">
        <v>39</v>
      </c>
      <c r="O256" s="75" t="s">
        <v>40</v>
      </c>
      <c r="P256" s="176">
        <f t="shared" si="7"/>
        <v>1</v>
      </c>
      <c r="Q256" s="177"/>
      <c r="S256" s="45"/>
      <c r="V256" s="387"/>
      <c r="W256" s="175"/>
      <c r="X256" s="69"/>
      <c r="Y256" s="69"/>
      <c r="Z256" s="69"/>
      <c r="AA256" s="45"/>
    </row>
    <row r="257" spans="1:27">
      <c r="A257" s="396" t="s">
        <v>545</v>
      </c>
      <c r="B257" s="149" t="s">
        <v>546</v>
      </c>
      <c r="C257" s="67">
        <v>2</v>
      </c>
      <c r="D257" s="67" t="s">
        <v>39</v>
      </c>
      <c r="E257" s="75" t="s">
        <v>34</v>
      </c>
      <c r="F257" s="394">
        <f t="shared" si="6"/>
        <v>1</v>
      </c>
      <c r="H257" s="67">
        <v>0</v>
      </c>
      <c r="I257" s="172">
        <v>0</v>
      </c>
      <c r="K257" s="369" t="s">
        <v>545</v>
      </c>
      <c r="L257" s="149" t="s">
        <v>546</v>
      </c>
      <c r="M257" s="67">
        <v>2</v>
      </c>
      <c r="N257" s="67" t="s">
        <v>39</v>
      </c>
      <c r="O257" s="75" t="s">
        <v>34</v>
      </c>
      <c r="P257" s="176">
        <f t="shared" si="7"/>
        <v>1</v>
      </c>
      <c r="Q257" s="177"/>
      <c r="S257" s="45"/>
      <c r="V257" s="387"/>
      <c r="W257" s="175"/>
      <c r="X257" s="69"/>
      <c r="Y257" s="69"/>
      <c r="Z257" s="69"/>
      <c r="AA257" s="45"/>
    </row>
    <row r="258" spans="1:27">
      <c r="A258" s="396" t="s">
        <v>547</v>
      </c>
      <c r="B258" s="149" t="s">
        <v>548</v>
      </c>
      <c r="C258" s="67">
        <v>1</v>
      </c>
      <c r="D258" s="67" t="s">
        <v>33</v>
      </c>
      <c r="E258" s="75" t="s">
        <v>34</v>
      </c>
      <c r="F258" s="394">
        <f t="shared" ref="F258:F321" si="8">IF(+D258="cash",1,0)</f>
        <v>0</v>
      </c>
      <c r="H258" s="67">
        <v>0</v>
      </c>
      <c r="I258" s="290">
        <v>-1</v>
      </c>
      <c r="K258" s="369" t="s">
        <v>547</v>
      </c>
      <c r="L258" s="149" t="s">
        <v>548</v>
      </c>
      <c r="M258" s="67">
        <v>1</v>
      </c>
      <c r="N258" s="67" t="s">
        <v>33</v>
      </c>
      <c r="O258" s="75" t="s">
        <v>34</v>
      </c>
      <c r="P258" s="176">
        <f t="shared" ref="P258:P321" si="9">IF(+N258="cash",1,0)</f>
        <v>0</v>
      </c>
      <c r="Q258" s="177"/>
      <c r="S258" s="45"/>
      <c r="V258" s="387"/>
      <c r="W258" s="178"/>
      <c r="X258" s="69"/>
      <c r="Y258" s="69"/>
      <c r="Z258" s="69"/>
      <c r="AA258" s="45"/>
    </row>
    <row r="259" spans="1:27">
      <c r="A259" s="396" t="s">
        <v>549</v>
      </c>
      <c r="B259" s="149" t="s">
        <v>550</v>
      </c>
      <c r="C259" s="67">
        <v>1</v>
      </c>
      <c r="D259" s="67" t="s">
        <v>33</v>
      </c>
      <c r="E259" s="75" t="s">
        <v>34</v>
      </c>
      <c r="F259" s="394">
        <f t="shared" si="8"/>
        <v>0</v>
      </c>
      <c r="H259" s="67">
        <v>0</v>
      </c>
      <c r="I259" s="172">
        <v>0</v>
      </c>
      <c r="K259" s="369" t="s">
        <v>549</v>
      </c>
      <c r="L259" s="149" t="s">
        <v>550</v>
      </c>
      <c r="M259" s="67">
        <v>1</v>
      </c>
      <c r="N259" s="67" t="s">
        <v>33</v>
      </c>
      <c r="O259" s="75" t="s">
        <v>34</v>
      </c>
      <c r="P259" s="176">
        <f t="shared" si="9"/>
        <v>0</v>
      </c>
      <c r="Q259" s="177"/>
      <c r="S259" s="45"/>
      <c r="V259" s="387"/>
      <c r="W259" s="178"/>
      <c r="X259" s="69"/>
      <c r="Y259" s="69"/>
      <c r="Z259" s="69"/>
      <c r="AA259" s="45"/>
    </row>
    <row r="260" spans="1:27">
      <c r="A260" s="396" t="s">
        <v>551</v>
      </c>
      <c r="B260" s="149" t="s">
        <v>552</v>
      </c>
      <c r="C260" s="67">
        <v>2</v>
      </c>
      <c r="D260" s="67" t="s">
        <v>33</v>
      </c>
      <c r="E260" s="75" t="s">
        <v>34</v>
      </c>
      <c r="F260" s="394">
        <f t="shared" si="8"/>
        <v>0</v>
      </c>
      <c r="H260" s="67">
        <v>0</v>
      </c>
      <c r="I260" s="172">
        <v>0</v>
      </c>
      <c r="K260" s="369" t="s">
        <v>551</v>
      </c>
      <c r="L260" s="149" t="s">
        <v>552</v>
      </c>
      <c r="M260" s="67">
        <v>2</v>
      </c>
      <c r="N260" s="67" t="s">
        <v>33</v>
      </c>
      <c r="O260" s="75" t="s">
        <v>34</v>
      </c>
      <c r="P260" s="176">
        <f t="shared" si="9"/>
        <v>0</v>
      </c>
      <c r="Q260" s="177"/>
      <c r="S260" s="45"/>
      <c r="V260" s="387"/>
      <c r="W260" s="178"/>
      <c r="X260" s="69"/>
      <c r="Y260" s="69"/>
      <c r="Z260" s="69"/>
      <c r="AA260" s="45"/>
    </row>
    <row r="261" spans="1:27">
      <c r="A261" s="396" t="s">
        <v>553</v>
      </c>
      <c r="B261" s="123" t="s">
        <v>554</v>
      </c>
      <c r="C261" s="67">
        <v>2</v>
      </c>
      <c r="D261" s="374" t="s">
        <v>39</v>
      </c>
      <c r="E261" s="75" t="s">
        <v>34</v>
      </c>
      <c r="F261" s="394">
        <f t="shared" si="8"/>
        <v>1</v>
      </c>
      <c r="H261" s="67">
        <v>0</v>
      </c>
      <c r="I261" s="172">
        <v>0</v>
      </c>
      <c r="K261" s="369" t="s">
        <v>553</v>
      </c>
      <c r="L261" s="123" t="s">
        <v>554</v>
      </c>
      <c r="M261" s="67">
        <v>2</v>
      </c>
      <c r="N261" s="374" t="s">
        <v>39</v>
      </c>
      <c r="O261" s="75" t="s">
        <v>34</v>
      </c>
      <c r="P261" s="176">
        <f t="shared" si="9"/>
        <v>1</v>
      </c>
      <c r="Q261" s="177"/>
      <c r="S261" s="45"/>
      <c r="V261" s="387"/>
      <c r="W261" s="178"/>
      <c r="X261" s="69"/>
      <c r="Y261" s="69"/>
      <c r="Z261" s="69"/>
      <c r="AA261" s="45"/>
    </row>
    <row r="262" spans="1:27">
      <c r="A262" s="396" t="s">
        <v>555</v>
      </c>
      <c r="B262" s="123" t="s">
        <v>556</v>
      </c>
      <c r="C262" s="67">
        <v>1</v>
      </c>
      <c r="D262" s="67" t="s">
        <v>33</v>
      </c>
      <c r="E262" s="75" t="s">
        <v>34</v>
      </c>
      <c r="F262" s="394">
        <f t="shared" si="8"/>
        <v>0</v>
      </c>
      <c r="H262" s="67">
        <v>0</v>
      </c>
      <c r="I262" s="172">
        <v>0</v>
      </c>
      <c r="K262" s="369" t="s">
        <v>555</v>
      </c>
      <c r="L262" s="123" t="s">
        <v>556</v>
      </c>
      <c r="M262" s="67">
        <v>1</v>
      </c>
      <c r="N262" s="67" t="s">
        <v>33</v>
      </c>
      <c r="O262" s="75" t="s">
        <v>34</v>
      </c>
      <c r="P262" s="176">
        <f t="shared" si="9"/>
        <v>0</v>
      </c>
      <c r="Q262" s="177"/>
      <c r="S262" s="45"/>
      <c r="V262" s="387"/>
      <c r="W262" s="178"/>
      <c r="X262" s="69"/>
      <c r="Y262" s="69"/>
      <c r="Z262" s="69"/>
      <c r="AA262" s="45"/>
    </row>
    <row r="263" spans="1:27">
      <c r="A263" s="396" t="s">
        <v>557</v>
      </c>
      <c r="B263" s="123" t="s">
        <v>558</v>
      </c>
      <c r="C263" s="67">
        <v>2</v>
      </c>
      <c r="D263" s="67" t="s">
        <v>33</v>
      </c>
      <c r="E263" s="75" t="s">
        <v>34</v>
      </c>
      <c r="F263" s="394">
        <f t="shared" si="8"/>
        <v>0</v>
      </c>
      <c r="H263" s="67">
        <v>0</v>
      </c>
      <c r="I263" s="172">
        <v>0</v>
      </c>
      <c r="K263" s="369" t="s">
        <v>557</v>
      </c>
      <c r="L263" s="123" t="s">
        <v>558</v>
      </c>
      <c r="M263" s="67">
        <v>2</v>
      </c>
      <c r="N263" s="67" t="s">
        <v>33</v>
      </c>
      <c r="O263" s="75" t="s">
        <v>34</v>
      </c>
      <c r="P263" s="176">
        <f t="shared" si="9"/>
        <v>0</v>
      </c>
      <c r="Q263" s="177"/>
      <c r="S263" s="45"/>
      <c r="V263" s="392"/>
      <c r="W263" s="178"/>
      <c r="X263" s="69"/>
      <c r="Y263" s="69"/>
      <c r="Z263" s="69"/>
      <c r="AA263" s="45"/>
    </row>
    <row r="264" spans="1:27">
      <c r="A264" s="396" t="s">
        <v>559</v>
      </c>
      <c r="B264" s="123" t="s">
        <v>560</v>
      </c>
      <c r="C264" s="67">
        <v>2</v>
      </c>
      <c r="D264" s="67" t="s">
        <v>33</v>
      </c>
      <c r="E264" s="75" t="s">
        <v>40</v>
      </c>
      <c r="F264" s="394">
        <f t="shared" si="8"/>
        <v>0</v>
      </c>
      <c r="H264" s="67">
        <v>0</v>
      </c>
      <c r="I264" s="172">
        <v>0</v>
      </c>
      <c r="K264" s="369" t="s">
        <v>559</v>
      </c>
      <c r="L264" s="123" t="s">
        <v>560</v>
      </c>
      <c r="M264" s="67">
        <v>2</v>
      </c>
      <c r="N264" s="67" t="s">
        <v>33</v>
      </c>
      <c r="O264" s="75" t="s">
        <v>40</v>
      </c>
      <c r="P264" s="176">
        <f t="shared" si="9"/>
        <v>0</v>
      </c>
      <c r="Q264" s="177"/>
      <c r="S264" s="45"/>
      <c r="V264" s="387"/>
      <c r="W264" s="175"/>
      <c r="X264" s="69"/>
      <c r="Y264" s="69"/>
      <c r="Z264" s="69"/>
      <c r="AA264" s="45"/>
    </row>
    <row r="265" spans="1:27">
      <c r="A265" s="396" t="s">
        <v>561</v>
      </c>
      <c r="B265" s="123" t="s">
        <v>562</v>
      </c>
      <c r="C265" s="67">
        <v>1</v>
      </c>
      <c r="D265" s="67" t="s">
        <v>33</v>
      </c>
      <c r="E265" s="75" t="s">
        <v>34</v>
      </c>
      <c r="F265" s="394">
        <f t="shared" si="8"/>
        <v>0</v>
      </c>
      <c r="H265" s="67">
        <v>0</v>
      </c>
      <c r="I265" s="172">
        <v>0</v>
      </c>
      <c r="K265" s="369" t="s">
        <v>561</v>
      </c>
      <c r="L265" s="123" t="s">
        <v>562</v>
      </c>
      <c r="M265" s="67">
        <v>1</v>
      </c>
      <c r="N265" s="67" t="s">
        <v>33</v>
      </c>
      <c r="O265" s="75" t="s">
        <v>34</v>
      </c>
      <c r="P265" s="176">
        <f t="shared" si="9"/>
        <v>0</v>
      </c>
      <c r="Q265" s="177"/>
      <c r="S265" s="45"/>
      <c r="V265" s="387"/>
      <c r="W265" s="175"/>
      <c r="X265" s="69"/>
      <c r="Y265" s="69"/>
      <c r="Z265" s="69"/>
      <c r="AA265" s="45"/>
    </row>
    <row r="266" spans="1:27">
      <c r="A266" s="406" t="s">
        <v>563</v>
      </c>
      <c r="B266" s="123" t="s">
        <v>564</v>
      </c>
      <c r="C266" s="67">
        <v>2</v>
      </c>
      <c r="D266" s="67" t="s">
        <v>33</v>
      </c>
      <c r="E266" s="75" t="s">
        <v>34</v>
      </c>
      <c r="F266" s="394">
        <f t="shared" si="8"/>
        <v>0</v>
      </c>
      <c r="H266" s="67">
        <v>0</v>
      </c>
      <c r="I266" s="172">
        <v>0</v>
      </c>
      <c r="K266" s="381" t="s">
        <v>563</v>
      </c>
      <c r="L266" s="123" t="s">
        <v>564</v>
      </c>
      <c r="M266" s="67">
        <v>2</v>
      </c>
      <c r="N266" s="67" t="s">
        <v>33</v>
      </c>
      <c r="O266" s="75" t="s">
        <v>34</v>
      </c>
      <c r="P266" s="176">
        <f t="shared" si="9"/>
        <v>0</v>
      </c>
      <c r="Q266" s="177"/>
      <c r="S266" s="45"/>
      <c r="V266" s="387"/>
      <c r="W266" s="175"/>
      <c r="X266" s="69"/>
      <c r="Y266" s="69"/>
      <c r="Z266" s="69"/>
      <c r="AA266" s="45"/>
    </row>
    <row r="267" spans="1:27">
      <c r="A267" s="396" t="s">
        <v>565</v>
      </c>
      <c r="B267" s="149" t="s">
        <v>566</v>
      </c>
      <c r="C267" s="67">
        <v>2</v>
      </c>
      <c r="D267" s="67" t="s">
        <v>39</v>
      </c>
      <c r="E267" s="75" t="s">
        <v>34</v>
      </c>
      <c r="F267" s="394">
        <f t="shared" si="8"/>
        <v>1</v>
      </c>
      <c r="H267" s="67">
        <v>0</v>
      </c>
      <c r="I267" s="172">
        <v>0</v>
      </c>
      <c r="K267" s="369" t="s">
        <v>565</v>
      </c>
      <c r="L267" s="149" t="s">
        <v>566</v>
      </c>
      <c r="M267" s="67">
        <v>2</v>
      </c>
      <c r="N267" s="67" t="s">
        <v>39</v>
      </c>
      <c r="O267" s="75" t="s">
        <v>34</v>
      </c>
      <c r="P267" s="176">
        <f t="shared" si="9"/>
        <v>1</v>
      </c>
      <c r="Q267" s="177"/>
      <c r="S267" s="45"/>
      <c r="V267" s="387"/>
      <c r="W267" s="175"/>
      <c r="X267" s="69"/>
      <c r="Y267" s="69"/>
      <c r="Z267" s="69"/>
      <c r="AA267" s="45"/>
    </row>
    <row r="268" spans="1:27">
      <c r="A268" s="396" t="s">
        <v>567</v>
      </c>
      <c r="B268" s="149" t="s">
        <v>568</v>
      </c>
      <c r="C268" s="67">
        <v>2</v>
      </c>
      <c r="D268" s="67" t="s">
        <v>39</v>
      </c>
      <c r="E268" s="75" t="s">
        <v>34</v>
      </c>
      <c r="F268" s="394">
        <f t="shared" si="8"/>
        <v>1</v>
      </c>
      <c r="H268" s="67">
        <v>0</v>
      </c>
      <c r="I268" s="172">
        <v>0</v>
      </c>
      <c r="K268" s="369" t="s">
        <v>567</v>
      </c>
      <c r="L268" s="149" t="s">
        <v>568</v>
      </c>
      <c r="M268" s="67">
        <v>2</v>
      </c>
      <c r="N268" s="67" t="s">
        <v>39</v>
      </c>
      <c r="O268" s="75" t="s">
        <v>34</v>
      </c>
      <c r="P268" s="176">
        <f t="shared" si="9"/>
        <v>1</v>
      </c>
      <c r="Q268" s="177"/>
      <c r="S268" s="45"/>
      <c r="V268" s="387"/>
      <c r="W268" s="175"/>
      <c r="X268" s="69"/>
      <c r="Y268" s="69"/>
      <c r="Z268" s="69"/>
      <c r="AA268" s="45"/>
    </row>
    <row r="269" spans="1:27">
      <c r="A269" s="396" t="s">
        <v>569</v>
      </c>
      <c r="B269" s="149" t="s">
        <v>570</v>
      </c>
      <c r="C269" s="67">
        <v>1</v>
      </c>
      <c r="D269" s="67" t="s">
        <v>33</v>
      </c>
      <c r="E269" s="75" t="s">
        <v>34</v>
      </c>
      <c r="F269" s="394">
        <f t="shared" si="8"/>
        <v>0</v>
      </c>
      <c r="H269" s="67">
        <v>0</v>
      </c>
      <c r="I269" s="172">
        <v>0</v>
      </c>
      <c r="K269" s="369" t="s">
        <v>569</v>
      </c>
      <c r="L269" s="149" t="s">
        <v>570</v>
      </c>
      <c r="M269" s="67">
        <v>1</v>
      </c>
      <c r="N269" s="67" t="s">
        <v>33</v>
      </c>
      <c r="O269" s="75" t="s">
        <v>34</v>
      </c>
      <c r="P269" s="176">
        <f t="shared" si="9"/>
        <v>0</v>
      </c>
      <c r="Q269" s="177"/>
      <c r="S269" s="45"/>
      <c r="V269" s="387"/>
      <c r="W269" s="175"/>
      <c r="X269" s="69"/>
      <c r="Y269" s="69"/>
      <c r="Z269" s="69"/>
      <c r="AA269" s="45"/>
    </row>
    <row r="270" spans="1:27">
      <c r="A270" s="396" t="s">
        <v>571</v>
      </c>
      <c r="B270" s="149" t="s">
        <v>572</v>
      </c>
      <c r="C270" s="67">
        <v>2</v>
      </c>
      <c r="D270" s="67" t="s">
        <v>39</v>
      </c>
      <c r="E270" s="75" t="s">
        <v>40</v>
      </c>
      <c r="F270" s="394">
        <f t="shared" si="8"/>
        <v>1</v>
      </c>
      <c r="H270" s="67">
        <v>0</v>
      </c>
      <c r="I270" s="172">
        <v>0</v>
      </c>
      <c r="K270" s="369" t="s">
        <v>571</v>
      </c>
      <c r="L270" s="149" t="s">
        <v>572</v>
      </c>
      <c r="M270" s="67">
        <v>2</v>
      </c>
      <c r="N270" s="67" t="s">
        <v>39</v>
      </c>
      <c r="O270" s="75" t="s">
        <v>40</v>
      </c>
      <c r="P270" s="176">
        <f t="shared" si="9"/>
        <v>1</v>
      </c>
      <c r="Q270" s="177"/>
      <c r="S270" s="45"/>
      <c r="V270" s="387"/>
      <c r="W270" s="175"/>
      <c r="X270" s="69"/>
      <c r="Y270" s="69"/>
      <c r="Z270" s="69"/>
      <c r="AA270" s="45"/>
    </row>
    <row r="271" spans="1:27" ht="15.75" customHeight="1">
      <c r="A271" s="396" t="s">
        <v>573</v>
      </c>
      <c r="B271" s="149" t="s">
        <v>574</v>
      </c>
      <c r="C271" s="67">
        <v>2</v>
      </c>
      <c r="D271" s="67" t="s">
        <v>39</v>
      </c>
      <c r="E271" s="75" t="s">
        <v>40</v>
      </c>
      <c r="F271" s="394">
        <f t="shared" si="8"/>
        <v>1</v>
      </c>
      <c r="H271" s="67">
        <v>0</v>
      </c>
      <c r="I271" s="172">
        <v>0</v>
      </c>
      <c r="K271" s="369" t="s">
        <v>573</v>
      </c>
      <c r="L271" s="149" t="s">
        <v>574</v>
      </c>
      <c r="M271" s="67">
        <v>2</v>
      </c>
      <c r="N271" s="67" t="s">
        <v>39</v>
      </c>
      <c r="O271" s="75" t="s">
        <v>40</v>
      </c>
      <c r="P271" s="176">
        <f t="shared" si="9"/>
        <v>1</v>
      </c>
      <c r="Q271" s="177"/>
      <c r="S271" s="45"/>
      <c r="V271" s="387"/>
      <c r="W271" s="175"/>
      <c r="X271" s="69"/>
      <c r="Y271" s="69"/>
      <c r="Z271" s="69"/>
      <c r="AA271" s="45"/>
    </row>
    <row r="272" spans="1:27">
      <c r="A272" s="396" t="s">
        <v>575</v>
      </c>
      <c r="B272" s="149" t="s">
        <v>576</v>
      </c>
      <c r="C272" s="67">
        <v>2</v>
      </c>
      <c r="D272" s="67" t="s">
        <v>33</v>
      </c>
      <c r="E272" s="75" t="s">
        <v>40</v>
      </c>
      <c r="F272" s="394">
        <f t="shared" si="8"/>
        <v>0</v>
      </c>
      <c r="H272" s="67">
        <v>0</v>
      </c>
      <c r="I272" s="172">
        <v>0</v>
      </c>
      <c r="K272" s="369" t="s">
        <v>575</v>
      </c>
      <c r="L272" s="149" t="s">
        <v>576</v>
      </c>
      <c r="M272" s="67">
        <v>2</v>
      </c>
      <c r="N272" s="67" t="s">
        <v>33</v>
      </c>
      <c r="O272" s="75" t="s">
        <v>40</v>
      </c>
      <c r="P272" s="176">
        <f t="shared" si="9"/>
        <v>0</v>
      </c>
      <c r="Q272" s="177"/>
      <c r="S272" s="45"/>
      <c r="V272" s="387"/>
      <c r="W272" s="175"/>
      <c r="X272" s="69"/>
      <c r="Y272" s="69"/>
      <c r="Z272" s="69"/>
      <c r="AA272" s="45"/>
    </row>
    <row r="273" spans="1:27">
      <c r="A273" s="396" t="s">
        <v>577</v>
      </c>
      <c r="B273" s="149" t="s">
        <v>578</v>
      </c>
      <c r="C273" s="67">
        <v>1</v>
      </c>
      <c r="D273" s="67" t="s">
        <v>33</v>
      </c>
      <c r="E273" s="75" t="s">
        <v>34</v>
      </c>
      <c r="F273" s="394">
        <f t="shared" si="8"/>
        <v>0</v>
      </c>
      <c r="H273" s="67">
        <v>0</v>
      </c>
      <c r="I273" s="172">
        <v>0</v>
      </c>
      <c r="K273" s="369" t="s">
        <v>577</v>
      </c>
      <c r="L273" s="149" t="s">
        <v>578</v>
      </c>
      <c r="M273" s="67">
        <v>1</v>
      </c>
      <c r="N273" s="67" t="s">
        <v>33</v>
      </c>
      <c r="O273" s="75" t="s">
        <v>34</v>
      </c>
      <c r="P273" s="176">
        <f t="shared" si="9"/>
        <v>0</v>
      </c>
      <c r="Q273" s="177"/>
      <c r="S273" s="45"/>
      <c r="V273" s="387"/>
      <c r="W273" s="175"/>
      <c r="X273" s="69"/>
      <c r="Y273" s="69"/>
      <c r="Z273" s="69"/>
      <c r="AA273" s="45"/>
    </row>
    <row r="274" spans="1:27">
      <c r="A274" s="396" t="s">
        <v>579</v>
      </c>
      <c r="B274" s="149" t="s">
        <v>580</v>
      </c>
      <c r="C274" s="67">
        <v>2</v>
      </c>
      <c r="D274" s="67" t="s">
        <v>39</v>
      </c>
      <c r="E274" s="75" t="s">
        <v>40</v>
      </c>
      <c r="F274" s="394">
        <f t="shared" si="8"/>
        <v>1</v>
      </c>
      <c r="H274" s="67">
        <v>0</v>
      </c>
      <c r="I274" s="172">
        <v>0</v>
      </c>
      <c r="K274" s="369" t="s">
        <v>579</v>
      </c>
      <c r="L274" s="149" t="s">
        <v>580</v>
      </c>
      <c r="M274" s="67">
        <v>2</v>
      </c>
      <c r="N274" s="67" t="s">
        <v>39</v>
      </c>
      <c r="O274" s="75" t="s">
        <v>40</v>
      </c>
      <c r="P274" s="176">
        <f t="shared" si="9"/>
        <v>1</v>
      </c>
      <c r="Q274" s="177"/>
      <c r="S274" s="45"/>
      <c r="V274" s="387"/>
      <c r="W274" s="175"/>
      <c r="X274" s="69"/>
      <c r="Y274" s="69"/>
      <c r="Z274" s="69"/>
      <c r="AA274" s="45"/>
    </row>
    <row r="275" spans="1:27">
      <c r="A275" s="396" t="s">
        <v>581</v>
      </c>
      <c r="B275" s="149" t="s">
        <v>582</v>
      </c>
      <c r="C275" s="67">
        <v>2</v>
      </c>
      <c r="D275" s="67" t="s">
        <v>33</v>
      </c>
      <c r="E275" s="75" t="s">
        <v>34</v>
      </c>
      <c r="F275" s="394">
        <f t="shared" si="8"/>
        <v>0</v>
      </c>
      <c r="H275" s="67">
        <v>0</v>
      </c>
      <c r="I275" s="172">
        <v>0</v>
      </c>
      <c r="K275" s="369" t="s">
        <v>581</v>
      </c>
      <c r="L275" s="149" t="s">
        <v>582</v>
      </c>
      <c r="M275" s="67">
        <v>2</v>
      </c>
      <c r="N275" s="67" t="s">
        <v>33</v>
      </c>
      <c r="O275" s="75" t="s">
        <v>34</v>
      </c>
      <c r="P275" s="176">
        <f t="shared" si="9"/>
        <v>0</v>
      </c>
      <c r="Q275" s="177"/>
      <c r="S275" s="45"/>
      <c r="V275" s="391"/>
      <c r="W275" s="45"/>
      <c r="X275" s="69"/>
      <c r="Y275" s="69"/>
      <c r="Z275" s="69"/>
      <c r="AA275" s="45"/>
    </row>
    <row r="276" spans="1:27">
      <c r="A276" s="396" t="s">
        <v>583</v>
      </c>
      <c r="B276" s="149" t="s">
        <v>584</v>
      </c>
      <c r="C276" s="67">
        <v>1</v>
      </c>
      <c r="D276" s="67" t="s">
        <v>33</v>
      </c>
      <c r="E276" s="75" t="s">
        <v>34</v>
      </c>
      <c r="F276" s="394">
        <f t="shared" si="8"/>
        <v>0</v>
      </c>
      <c r="H276" s="67">
        <v>0</v>
      </c>
      <c r="I276" s="172">
        <v>0</v>
      </c>
      <c r="K276" s="369" t="s">
        <v>583</v>
      </c>
      <c r="L276" s="149" t="s">
        <v>584</v>
      </c>
      <c r="M276" s="67">
        <v>1</v>
      </c>
      <c r="N276" s="67" t="s">
        <v>33</v>
      </c>
      <c r="O276" s="75" t="s">
        <v>34</v>
      </c>
      <c r="P276" s="176">
        <f t="shared" si="9"/>
        <v>0</v>
      </c>
      <c r="Q276" s="177"/>
      <c r="S276" s="45"/>
      <c r="V276" s="392"/>
      <c r="W276" s="45"/>
      <c r="X276" s="69"/>
      <c r="Y276" s="69"/>
      <c r="Z276" s="69"/>
      <c r="AA276" s="45"/>
    </row>
    <row r="277" spans="1:27">
      <c r="A277" s="396" t="s">
        <v>585</v>
      </c>
      <c r="B277" s="149" t="s">
        <v>586</v>
      </c>
      <c r="C277" s="67">
        <v>2</v>
      </c>
      <c r="D277" s="67" t="s">
        <v>39</v>
      </c>
      <c r="E277" s="75" t="s">
        <v>40</v>
      </c>
      <c r="F277" s="394">
        <f t="shared" si="8"/>
        <v>1</v>
      </c>
      <c r="H277" s="67">
        <v>0</v>
      </c>
      <c r="I277" s="172">
        <v>0</v>
      </c>
      <c r="K277" s="369" t="s">
        <v>585</v>
      </c>
      <c r="L277" s="149" t="s">
        <v>586</v>
      </c>
      <c r="M277" s="67">
        <v>2</v>
      </c>
      <c r="N277" s="67" t="s">
        <v>39</v>
      </c>
      <c r="O277" s="75" t="s">
        <v>40</v>
      </c>
      <c r="P277" s="176">
        <f t="shared" si="9"/>
        <v>1</v>
      </c>
      <c r="Q277" s="177"/>
      <c r="S277" s="45"/>
      <c r="V277" s="392"/>
      <c r="W277" s="45"/>
      <c r="X277" s="69"/>
      <c r="Y277" s="69"/>
      <c r="Z277" s="69"/>
      <c r="AA277" s="45"/>
    </row>
    <row r="278" spans="1:27">
      <c r="A278" s="404" t="s">
        <v>587</v>
      </c>
      <c r="B278" t="s">
        <v>588</v>
      </c>
      <c r="C278" s="67">
        <v>2</v>
      </c>
      <c r="D278" s="67" t="s">
        <v>33</v>
      </c>
      <c r="E278" s="75" t="s">
        <v>34</v>
      </c>
      <c r="F278" s="394">
        <f t="shared" si="8"/>
        <v>0</v>
      </c>
      <c r="H278" s="67">
        <v>0</v>
      </c>
      <c r="I278" s="172">
        <v>0</v>
      </c>
      <c r="K278" s="379" t="s">
        <v>587</v>
      </c>
      <c r="L278" t="s">
        <v>588</v>
      </c>
      <c r="M278" s="67">
        <v>2</v>
      </c>
      <c r="N278" s="67" t="s">
        <v>33</v>
      </c>
      <c r="O278" s="75" t="s">
        <v>34</v>
      </c>
      <c r="P278" s="176">
        <f t="shared" si="9"/>
        <v>0</v>
      </c>
      <c r="Q278" s="177"/>
      <c r="S278" s="45"/>
      <c r="V278" s="387"/>
      <c r="W278" s="175"/>
      <c r="X278" s="69"/>
      <c r="Y278" s="69"/>
      <c r="Z278" s="69"/>
      <c r="AA278" s="45"/>
    </row>
    <row r="279" spans="1:27">
      <c r="A279" s="406" t="s">
        <v>589</v>
      </c>
      <c r="B279" t="s">
        <v>590</v>
      </c>
      <c r="C279" s="67">
        <v>2</v>
      </c>
      <c r="D279" s="67" t="s">
        <v>33</v>
      </c>
      <c r="E279" s="75" t="s">
        <v>34</v>
      </c>
      <c r="F279" s="394">
        <f t="shared" si="8"/>
        <v>0</v>
      </c>
      <c r="H279" s="67">
        <v>0</v>
      </c>
      <c r="I279" s="172">
        <v>0</v>
      </c>
      <c r="K279" s="381" t="s">
        <v>589</v>
      </c>
      <c r="L279" t="s">
        <v>590</v>
      </c>
      <c r="M279" s="67">
        <v>2</v>
      </c>
      <c r="N279" s="67" t="s">
        <v>33</v>
      </c>
      <c r="O279" s="75" t="s">
        <v>34</v>
      </c>
      <c r="P279" s="176">
        <f t="shared" si="9"/>
        <v>0</v>
      </c>
      <c r="Q279" s="177"/>
      <c r="S279" s="45"/>
      <c r="V279" s="387"/>
      <c r="W279" s="175"/>
      <c r="X279" s="69"/>
      <c r="Y279" s="69"/>
      <c r="Z279" s="69"/>
      <c r="AA279" s="45"/>
    </row>
    <row r="280" spans="1:27">
      <c r="A280" s="406" t="s">
        <v>591</v>
      </c>
      <c r="B280" t="s">
        <v>592</v>
      </c>
      <c r="C280" s="67">
        <v>2</v>
      </c>
      <c r="D280" s="67" t="s">
        <v>33</v>
      </c>
      <c r="E280" s="75" t="s">
        <v>34</v>
      </c>
      <c r="F280" s="394">
        <f t="shared" si="8"/>
        <v>0</v>
      </c>
      <c r="H280" s="67">
        <v>0</v>
      </c>
      <c r="I280" s="172">
        <v>0</v>
      </c>
      <c r="K280" s="381" t="s">
        <v>591</v>
      </c>
      <c r="L280" t="s">
        <v>592</v>
      </c>
      <c r="M280" s="67">
        <v>2</v>
      </c>
      <c r="N280" s="67" t="s">
        <v>33</v>
      </c>
      <c r="O280" s="75" t="s">
        <v>34</v>
      </c>
      <c r="P280" s="176">
        <f t="shared" si="9"/>
        <v>0</v>
      </c>
      <c r="Q280" s="177"/>
      <c r="S280" s="45"/>
      <c r="V280" s="391"/>
      <c r="W280" s="45"/>
      <c r="X280" s="69"/>
      <c r="Y280" s="69"/>
      <c r="Z280" s="69"/>
      <c r="AA280" s="45"/>
    </row>
    <row r="281" spans="1:27">
      <c r="A281" s="396" t="s">
        <v>593</v>
      </c>
      <c r="B281" s="149" t="s">
        <v>594</v>
      </c>
      <c r="C281" s="67">
        <v>1</v>
      </c>
      <c r="D281" s="67" t="s">
        <v>33</v>
      </c>
      <c r="E281" s="75" t="s">
        <v>34</v>
      </c>
      <c r="F281" s="394">
        <f t="shared" si="8"/>
        <v>0</v>
      </c>
      <c r="H281" s="67">
        <v>0</v>
      </c>
      <c r="I281" s="172">
        <v>0</v>
      </c>
      <c r="K281" s="369" t="s">
        <v>593</v>
      </c>
      <c r="L281" s="149" t="s">
        <v>594</v>
      </c>
      <c r="M281" s="67">
        <v>1</v>
      </c>
      <c r="N281" s="67" t="s">
        <v>33</v>
      </c>
      <c r="O281" s="75" t="s">
        <v>34</v>
      </c>
      <c r="P281" s="176">
        <f t="shared" si="9"/>
        <v>0</v>
      </c>
      <c r="Q281" s="177"/>
      <c r="S281" s="45"/>
      <c r="V281" s="387"/>
      <c r="W281" s="175"/>
      <c r="X281" s="69"/>
      <c r="Y281" s="69"/>
      <c r="Z281" s="69"/>
      <c r="AA281" s="45"/>
    </row>
    <row r="282" spans="1:27">
      <c r="A282" s="396" t="s">
        <v>595</v>
      </c>
      <c r="B282" s="149" t="s">
        <v>596</v>
      </c>
      <c r="C282" s="67">
        <v>1</v>
      </c>
      <c r="D282" s="67" t="s">
        <v>33</v>
      </c>
      <c r="E282" s="75" t="s">
        <v>34</v>
      </c>
      <c r="F282" s="394">
        <f t="shared" si="8"/>
        <v>0</v>
      </c>
      <c r="H282" s="67">
        <v>0</v>
      </c>
      <c r="I282" s="172">
        <v>0</v>
      </c>
      <c r="K282" s="369" t="s">
        <v>595</v>
      </c>
      <c r="L282" s="149" t="s">
        <v>596</v>
      </c>
      <c r="M282" s="67">
        <v>1</v>
      </c>
      <c r="N282" s="67" t="s">
        <v>33</v>
      </c>
      <c r="O282" s="75" t="s">
        <v>34</v>
      </c>
      <c r="P282" s="176">
        <f t="shared" si="9"/>
        <v>0</v>
      </c>
      <c r="Q282" s="177"/>
      <c r="S282" s="45"/>
      <c r="V282" s="387"/>
      <c r="W282" s="175"/>
      <c r="X282" s="69"/>
      <c r="Y282" s="69"/>
      <c r="Z282" s="69"/>
      <c r="AA282" s="45"/>
    </row>
    <row r="283" spans="1:27">
      <c r="A283" s="404" t="s">
        <v>597</v>
      </c>
      <c r="B283" t="s">
        <v>598</v>
      </c>
      <c r="C283" s="67">
        <v>2</v>
      </c>
      <c r="D283" s="67" t="s">
        <v>33</v>
      </c>
      <c r="E283" s="75" t="s">
        <v>34</v>
      </c>
      <c r="F283" s="394">
        <f t="shared" si="8"/>
        <v>0</v>
      </c>
      <c r="H283" s="67">
        <v>0</v>
      </c>
      <c r="I283" s="172">
        <v>0</v>
      </c>
      <c r="K283" s="379" t="s">
        <v>597</v>
      </c>
      <c r="L283" t="s">
        <v>598</v>
      </c>
      <c r="M283" s="67">
        <v>2</v>
      </c>
      <c r="N283" s="67" t="s">
        <v>33</v>
      </c>
      <c r="O283" s="75" t="s">
        <v>34</v>
      </c>
      <c r="P283" s="176">
        <f t="shared" si="9"/>
        <v>0</v>
      </c>
      <c r="Q283" s="177"/>
      <c r="S283" s="45"/>
      <c r="V283" s="387"/>
      <c r="W283" s="175"/>
      <c r="X283" s="69"/>
      <c r="Y283" s="69"/>
      <c r="Z283" s="69"/>
      <c r="AA283" s="45"/>
    </row>
    <row r="284" spans="1:27">
      <c r="A284" s="396" t="s">
        <v>599</v>
      </c>
      <c r="B284" s="149" t="s">
        <v>600</v>
      </c>
      <c r="C284" s="67">
        <v>1</v>
      </c>
      <c r="D284" s="67" t="s">
        <v>33</v>
      </c>
      <c r="E284" s="75" t="s">
        <v>34</v>
      </c>
      <c r="F284" s="394">
        <f t="shared" si="8"/>
        <v>0</v>
      </c>
      <c r="H284" s="67">
        <v>0</v>
      </c>
      <c r="I284" s="172">
        <v>0</v>
      </c>
      <c r="K284" s="369" t="s">
        <v>599</v>
      </c>
      <c r="L284" s="149" t="s">
        <v>600</v>
      </c>
      <c r="M284" s="67">
        <v>1</v>
      </c>
      <c r="N284" s="67" t="s">
        <v>33</v>
      </c>
      <c r="O284" s="75" t="s">
        <v>34</v>
      </c>
      <c r="P284" s="176">
        <f t="shared" si="9"/>
        <v>0</v>
      </c>
      <c r="Q284" s="177"/>
      <c r="S284" s="45"/>
      <c r="V284" s="387"/>
      <c r="W284" s="175"/>
      <c r="X284" s="69"/>
      <c r="Y284" s="69"/>
      <c r="Z284" s="69"/>
      <c r="AA284" s="45"/>
    </row>
    <row r="285" spans="1:27">
      <c r="A285" s="396" t="s">
        <v>601</v>
      </c>
      <c r="B285" s="149" t="s">
        <v>602</v>
      </c>
      <c r="C285" s="67">
        <v>2</v>
      </c>
      <c r="D285" s="67" t="s">
        <v>39</v>
      </c>
      <c r="E285" s="75" t="s">
        <v>34</v>
      </c>
      <c r="F285" s="394">
        <f t="shared" si="8"/>
        <v>1</v>
      </c>
      <c r="H285" s="67">
        <v>0</v>
      </c>
      <c r="I285" s="172">
        <v>0</v>
      </c>
      <c r="K285" s="369" t="s">
        <v>601</v>
      </c>
      <c r="L285" s="149" t="s">
        <v>602</v>
      </c>
      <c r="M285" s="67">
        <v>2</v>
      </c>
      <c r="N285" s="67" t="s">
        <v>39</v>
      </c>
      <c r="O285" s="75" t="s">
        <v>34</v>
      </c>
      <c r="P285" s="176">
        <f t="shared" si="9"/>
        <v>1</v>
      </c>
      <c r="Q285" s="177"/>
      <c r="S285" s="45"/>
      <c r="V285" s="387"/>
      <c r="W285" s="175"/>
      <c r="X285" s="69"/>
      <c r="Y285" s="69"/>
      <c r="Z285" s="69"/>
      <c r="AA285" s="45"/>
    </row>
    <row r="286" spans="1:27">
      <c r="A286" s="396" t="s">
        <v>603</v>
      </c>
      <c r="B286" s="149" t="s">
        <v>604</v>
      </c>
      <c r="C286" s="67">
        <v>1</v>
      </c>
      <c r="D286" s="67" t="s">
        <v>33</v>
      </c>
      <c r="E286" s="75" t="s">
        <v>34</v>
      </c>
      <c r="F286" s="394">
        <f t="shared" si="8"/>
        <v>0</v>
      </c>
      <c r="H286" s="67">
        <v>0</v>
      </c>
      <c r="I286" s="290">
        <v>1</v>
      </c>
      <c r="K286" s="369" t="s">
        <v>603</v>
      </c>
      <c r="L286" s="149" t="s">
        <v>604</v>
      </c>
      <c r="M286" s="67">
        <v>1</v>
      </c>
      <c r="N286" s="67" t="s">
        <v>33</v>
      </c>
      <c r="O286" s="75" t="s">
        <v>34</v>
      </c>
      <c r="P286" s="176">
        <f t="shared" si="9"/>
        <v>0</v>
      </c>
      <c r="Q286" s="177"/>
      <c r="S286" s="45"/>
      <c r="V286" s="387"/>
      <c r="W286" s="175"/>
      <c r="X286" s="69"/>
      <c r="Y286" s="69"/>
      <c r="Z286" s="69"/>
      <c r="AA286" s="45"/>
    </row>
    <row r="287" spans="1:27">
      <c r="A287" s="396" t="s">
        <v>605</v>
      </c>
      <c r="B287" s="149" t="s">
        <v>606</v>
      </c>
      <c r="C287" s="67">
        <v>2</v>
      </c>
      <c r="D287" s="67" t="s">
        <v>39</v>
      </c>
      <c r="E287" s="75" t="s">
        <v>34</v>
      </c>
      <c r="F287" s="394">
        <f t="shared" si="8"/>
        <v>1</v>
      </c>
      <c r="H287" s="67">
        <v>0</v>
      </c>
      <c r="I287" s="172">
        <v>0</v>
      </c>
      <c r="K287" s="369" t="s">
        <v>605</v>
      </c>
      <c r="L287" s="149" t="s">
        <v>606</v>
      </c>
      <c r="M287" s="67">
        <v>2</v>
      </c>
      <c r="N287" s="67" t="s">
        <v>39</v>
      </c>
      <c r="O287" s="75" t="s">
        <v>34</v>
      </c>
      <c r="P287" s="176">
        <f t="shared" si="9"/>
        <v>1</v>
      </c>
      <c r="Q287" s="177"/>
      <c r="S287" s="45"/>
      <c r="V287" s="387"/>
      <c r="W287" s="175"/>
      <c r="X287" s="69"/>
      <c r="Y287" s="69"/>
      <c r="Z287" s="69"/>
      <c r="AA287" s="45"/>
    </row>
    <row r="288" spans="1:27">
      <c r="A288" s="396" t="s">
        <v>607</v>
      </c>
      <c r="B288" s="149" t="s">
        <v>608</v>
      </c>
      <c r="C288" s="67">
        <v>2</v>
      </c>
      <c r="D288" s="67" t="s">
        <v>33</v>
      </c>
      <c r="E288" s="75" t="s">
        <v>34</v>
      </c>
      <c r="F288" s="394">
        <f t="shared" si="8"/>
        <v>0</v>
      </c>
      <c r="H288" s="67">
        <v>0</v>
      </c>
      <c r="I288" s="172">
        <v>0</v>
      </c>
      <c r="K288" s="369" t="s">
        <v>607</v>
      </c>
      <c r="L288" s="149" t="s">
        <v>608</v>
      </c>
      <c r="M288" s="67">
        <v>2</v>
      </c>
      <c r="N288" s="67" t="s">
        <v>33</v>
      </c>
      <c r="O288" s="75" t="s">
        <v>34</v>
      </c>
      <c r="P288" s="176">
        <f t="shared" si="9"/>
        <v>0</v>
      </c>
      <c r="Q288" s="177"/>
      <c r="S288" s="45"/>
      <c r="V288" s="387"/>
      <c r="W288" s="175"/>
      <c r="X288" s="69"/>
      <c r="Y288" s="69"/>
      <c r="Z288" s="69"/>
      <c r="AA288" s="45"/>
    </row>
    <row r="289" spans="1:27">
      <c r="A289" s="396" t="s">
        <v>609</v>
      </c>
      <c r="B289" s="149" t="s">
        <v>610</v>
      </c>
      <c r="C289" s="67">
        <v>2</v>
      </c>
      <c r="D289" s="374" t="s">
        <v>33</v>
      </c>
      <c r="E289" s="75" t="s">
        <v>34</v>
      </c>
      <c r="F289" s="394">
        <f t="shared" si="8"/>
        <v>0</v>
      </c>
      <c r="H289" s="67">
        <v>0</v>
      </c>
      <c r="I289" s="172">
        <v>0</v>
      </c>
      <c r="K289" s="369" t="s">
        <v>609</v>
      </c>
      <c r="L289" s="149" t="s">
        <v>610</v>
      </c>
      <c r="M289" s="67">
        <v>2</v>
      </c>
      <c r="N289" s="374" t="s">
        <v>33</v>
      </c>
      <c r="O289" s="75" t="s">
        <v>34</v>
      </c>
      <c r="P289" s="176">
        <f t="shared" si="9"/>
        <v>0</v>
      </c>
      <c r="Q289" s="177"/>
      <c r="S289" s="45"/>
      <c r="V289" s="387"/>
      <c r="W289" s="175"/>
      <c r="X289" s="69"/>
      <c r="Y289" s="69"/>
      <c r="Z289" s="69"/>
      <c r="AA289" s="45"/>
    </row>
    <row r="290" spans="1:27">
      <c r="A290" s="396" t="s">
        <v>611</v>
      </c>
      <c r="B290" s="149" t="s">
        <v>612</v>
      </c>
      <c r="C290" s="67">
        <v>2</v>
      </c>
      <c r="D290" s="67" t="s">
        <v>33</v>
      </c>
      <c r="E290" s="75" t="s">
        <v>34</v>
      </c>
      <c r="F290" s="394">
        <f t="shared" si="8"/>
        <v>0</v>
      </c>
      <c r="H290" s="67">
        <v>0</v>
      </c>
      <c r="I290" s="172">
        <v>0</v>
      </c>
      <c r="K290" s="369" t="s">
        <v>611</v>
      </c>
      <c r="L290" s="149" t="s">
        <v>612</v>
      </c>
      <c r="M290" s="67">
        <v>2</v>
      </c>
      <c r="N290" s="67" t="s">
        <v>33</v>
      </c>
      <c r="O290" s="75" t="s">
        <v>34</v>
      </c>
      <c r="P290" s="176">
        <f t="shared" si="9"/>
        <v>0</v>
      </c>
      <c r="Q290" s="177"/>
      <c r="S290" s="45"/>
      <c r="V290" s="387"/>
      <c r="W290" s="175"/>
      <c r="X290" s="69"/>
      <c r="Y290" s="69"/>
      <c r="Z290" s="69"/>
      <c r="AA290" s="45"/>
    </row>
    <row r="291" spans="1:27">
      <c r="A291" s="396" t="s">
        <v>613</v>
      </c>
      <c r="B291" s="149" t="s">
        <v>614</v>
      </c>
      <c r="C291" s="67">
        <v>2</v>
      </c>
      <c r="D291" s="67" t="s">
        <v>33</v>
      </c>
      <c r="E291" s="75" t="s">
        <v>34</v>
      </c>
      <c r="F291" s="394">
        <f t="shared" si="8"/>
        <v>0</v>
      </c>
      <c r="H291" s="67">
        <v>0</v>
      </c>
      <c r="I291" s="172">
        <v>0</v>
      </c>
      <c r="K291" s="369" t="s">
        <v>613</v>
      </c>
      <c r="L291" s="149" t="s">
        <v>614</v>
      </c>
      <c r="M291" s="67">
        <v>2</v>
      </c>
      <c r="N291" s="67" t="s">
        <v>33</v>
      </c>
      <c r="O291" s="75" t="s">
        <v>34</v>
      </c>
      <c r="P291" s="176">
        <f t="shared" si="9"/>
        <v>0</v>
      </c>
      <c r="Q291" s="177"/>
      <c r="S291" s="45"/>
      <c r="V291" s="387"/>
      <c r="W291" s="175"/>
      <c r="X291" s="69"/>
      <c r="Y291" s="69"/>
      <c r="Z291" s="69"/>
      <c r="AA291" s="45"/>
    </row>
    <row r="292" spans="1:27">
      <c r="A292" s="396" t="s">
        <v>615</v>
      </c>
      <c r="B292" s="149" t="s">
        <v>616</v>
      </c>
      <c r="C292" s="67">
        <v>1</v>
      </c>
      <c r="D292" s="67" t="s">
        <v>33</v>
      </c>
      <c r="E292" s="75" t="s">
        <v>34</v>
      </c>
      <c r="F292" s="394">
        <f t="shared" si="8"/>
        <v>0</v>
      </c>
      <c r="H292" s="67">
        <v>0</v>
      </c>
      <c r="I292" s="172">
        <v>0</v>
      </c>
      <c r="K292" s="369" t="s">
        <v>615</v>
      </c>
      <c r="L292" s="149" t="s">
        <v>616</v>
      </c>
      <c r="M292" s="67">
        <v>1</v>
      </c>
      <c r="N292" s="67" t="s">
        <v>33</v>
      </c>
      <c r="O292" s="75" t="s">
        <v>34</v>
      </c>
      <c r="P292" s="176">
        <f t="shared" si="9"/>
        <v>0</v>
      </c>
      <c r="Q292" s="177"/>
      <c r="S292" s="45"/>
      <c r="V292" s="387"/>
      <c r="W292" s="175"/>
      <c r="X292" s="69"/>
      <c r="Y292" s="69"/>
      <c r="Z292" s="69"/>
      <c r="AA292" s="45"/>
    </row>
    <row r="293" spans="1:27">
      <c r="A293" s="396" t="s">
        <v>617</v>
      </c>
      <c r="B293" s="149" t="s">
        <v>618</v>
      </c>
      <c r="C293" s="67">
        <v>2</v>
      </c>
      <c r="D293" s="67" t="s">
        <v>39</v>
      </c>
      <c r="E293" s="75" t="s">
        <v>34</v>
      </c>
      <c r="F293" s="394">
        <f t="shared" si="8"/>
        <v>1</v>
      </c>
      <c r="H293" s="67">
        <v>0</v>
      </c>
      <c r="I293" s="172">
        <v>0</v>
      </c>
      <c r="K293" s="369" t="s">
        <v>617</v>
      </c>
      <c r="L293" s="149" t="s">
        <v>618</v>
      </c>
      <c r="M293" s="67">
        <v>2</v>
      </c>
      <c r="N293" s="67" t="s">
        <v>39</v>
      </c>
      <c r="O293" s="75" t="s">
        <v>34</v>
      </c>
      <c r="P293" s="176">
        <f t="shared" si="9"/>
        <v>1</v>
      </c>
      <c r="Q293" s="177"/>
      <c r="S293" s="45"/>
      <c r="V293" s="387"/>
      <c r="W293" s="175"/>
      <c r="X293" s="69"/>
      <c r="Y293" s="69"/>
      <c r="Z293" s="69"/>
      <c r="AA293" s="45"/>
    </row>
    <row r="294" spans="1:27">
      <c r="A294" s="396" t="s">
        <v>619</v>
      </c>
      <c r="B294" s="383" t="s">
        <v>620</v>
      </c>
      <c r="C294" s="67">
        <v>2</v>
      </c>
      <c r="D294" s="67" t="s">
        <v>39</v>
      </c>
      <c r="E294" s="75" t="s">
        <v>34</v>
      </c>
      <c r="F294" s="394">
        <f t="shared" si="8"/>
        <v>1</v>
      </c>
      <c r="H294" s="67">
        <v>0</v>
      </c>
      <c r="I294" s="172">
        <v>0</v>
      </c>
      <c r="K294" s="369" t="s">
        <v>619</v>
      </c>
      <c r="L294" s="383" t="s">
        <v>620</v>
      </c>
      <c r="M294" s="67">
        <v>2</v>
      </c>
      <c r="N294" s="67" t="s">
        <v>39</v>
      </c>
      <c r="O294" s="75" t="s">
        <v>34</v>
      </c>
      <c r="P294" s="176">
        <f t="shared" si="9"/>
        <v>1</v>
      </c>
      <c r="Q294" s="177"/>
      <c r="S294" s="45"/>
      <c r="V294" s="387"/>
      <c r="W294" s="175"/>
      <c r="X294" s="69"/>
      <c r="Y294" s="69"/>
      <c r="Z294" s="69"/>
      <c r="AA294" s="45"/>
    </row>
    <row r="295" spans="1:27">
      <c r="A295" s="396" t="s">
        <v>621</v>
      </c>
      <c r="B295" s="149" t="s">
        <v>622</v>
      </c>
      <c r="C295" s="67">
        <v>2</v>
      </c>
      <c r="D295" s="67" t="s">
        <v>39</v>
      </c>
      <c r="E295" s="75" t="s">
        <v>34</v>
      </c>
      <c r="F295" s="394">
        <f t="shared" si="8"/>
        <v>1</v>
      </c>
      <c r="H295" s="67">
        <v>0</v>
      </c>
      <c r="I295" s="172">
        <v>0</v>
      </c>
      <c r="K295" s="369" t="s">
        <v>621</v>
      </c>
      <c r="L295" s="149" t="s">
        <v>622</v>
      </c>
      <c r="M295" s="67">
        <v>2</v>
      </c>
      <c r="N295" s="67" t="s">
        <v>39</v>
      </c>
      <c r="O295" s="75" t="s">
        <v>34</v>
      </c>
      <c r="P295" s="176">
        <f t="shared" si="9"/>
        <v>1</v>
      </c>
      <c r="Q295" s="177"/>
      <c r="S295" s="45"/>
      <c r="V295" s="387"/>
      <c r="W295" s="175"/>
      <c r="X295" s="69"/>
      <c r="Y295" s="69"/>
      <c r="Z295" s="69"/>
      <c r="AA295" s="45"/>
    </row>
    <row r="296" spans="1:27">
      <c r="A296" s="396" t="s">
        <v>623</v>
      </c>
      <c r="B296" s="149" t="s">
        <v>624</v>
      </c>
      <c r="C296" s="67">
        <v>1</v>
      </c>
      <c r="D296" s="67" t="s">
        <v>33</v>
      </c>
      <c r="E296" s="75" t="s">
        <v>34</v>
      </c>
      <c r="F296" s="394">
        <f t="shared" si="8"/>
        <v>0</v>
      </c>
      <c r="H296" s="67">
        <v>0</v>
      </c>
      <c r="I296" s="172">
        <v>0</v>
      </c>
      <c r="K296" s="369" t="s">
        <v>623</v>
      </c>
      <c r="L296" s="149" t="s">
        <v>624</v>
      </c>
      <c r="M296" s="67">
        <v>1</v>
      </c>
      <c r="N296" s="67" t="s">
        <v>33</v>
      </c>
      <c r="O296" s="75" t="s">
        <v>34</v>
      </c>
      <c r="P296" s="176">
        <f t="shared" si="9"/>
        <v>0</v>
      </c>
      <c r="Q296" s="177"/>
      <c r="S296" s="45"/>
      <c r="V296" s="387"/>
      <c r="W296" s="175"/>
      <c r="X296" s="69"/>
      <c r="Y296" s="69"/>
      <c r="Z296" s="69"/>
      <c r="AA296" s="45"/>
    </row>
    <row r="297" spans="1:27">
      <c r="A297" s="396" t="s">
        <v>625</v>
      </c>
      <c r="B297" s="149" t="s">
        <v>626</v>
      </c>
      <c r="C297" s="67">
        <v>1</v>
      </c>
      <c r="D297" s="67" t="s">
        <v>33</v>
      </c>
      <c r="E297" s="75" t="s">
        <v>34</v>
      </c>
      <c r="F297" s="394">
        <f t="shared" si="8"/>
        <v>0</v>
      </c>
      <c r="H297" s="67">
        <v>0</v>
      </c>
      <c r="I297" s="172">
        <v>0</v>
      </c>
      <c r="K297" s="369" t="s">
        <v>625</v>
      </c>
      <c r="L297" s="149" t="s">
        <v>626</v>
      </c>
      <c r="M297" s="67">
        <v>1</v>
      </c>
      <c r="N297" s="67" t="s">
        <v>33</v>
      </c>
      <c r="O297" s="75" t="s">
        <v>34</v>
      </c>
      <c r="P297" s="176">
        <f t="shared" si="9"/>
        <v>0</v>
      </c>
      <c r="Q297" s="177"/>
      <c r="S297" s="45"/>
      <c r="V297" s="387"/>
      <c r="W297" s="175"/>
      <c r="X297" s="69"/>
      <c r="Y297" s="69"/>
      <c r="Z297" s="69"/>
      <c r="AA297" s="45"/>
    </row>
    <row r="298" spans="1:27">
      <c r="A298" s="396" t="s">
        <v>627</v>
      </c>
      <c r="B298" s="149" t="s">
        <v>628</v>
      </c>
      <c r="C298" s="67">
        <v>2</v>
      </c>
      <c r="D298" s="67" t="s">
        <v>39</v>
      </c>
      <c r="E298" s="75" t="s">
        <v>40</v>
      </c>
      <c r="F298" s="394">
        <f t="shared" si="8"/>
        <v>1</v>
      </c>
      <c r="H298" s="67">
        <v>0</v>
      </c>
      <c r="I298" s="172">
        <v>0</v>
      </c>
      <c r="K298" s="369" t="s">
        <v>627</v>
      </c>
      <c r="L298" s="149" t="s">
        <v>628</v>
      </c>
      <c r="M298" s="67">
        <v>2</v>
      </c>
      <c r="N298" s="67" t="s">
        <v>39</v>
      </c>
      <c r="O298" s="75" t="s">
        <v>40</v>
      </c>
      <c r="P298" s="176">
        <f t="shared" si="9"/>
        <v>1</v>
      </c>
      <c r="Q298" s="177"/>
      <c r="S298" s="45"/>
      <c r="V298" s="387"/>
      <c r="W298" s="175"/>
      <c r="X298" s="69"/>
      <c r="Y298" s="69"/>
      <c r="Z298" s="69"/>
      <c r="AA298" s="45"/>
    </row>
    <row r="299" spans="1:27">
      <c r="A299" s="396" t="s">
        <v>629</v>
      </c>
      <c r="B299" s="149" t="s">
        <v>630</v>
      </c>
      <c r="C299" s="67">
        <v>1</v>
      </c>
      <c r="D299" s="67" t="s">
        <v>33</v>
      </c>
      <c r="E299" s="75" t="s">
        <v>34</v>
      </c>
      <c r="F299" s="394">
        <f t="shared" si="8"/>
        <v>0</v>
      </c>
      <c r="H299" s="67">
        <v>0</v>
      </c>
      <c r="I299" s="172">
        <v>0</v>
      </c>
      <c r="K299" s="369" t="s">
        <v>629</v>
      </c>
      <c r="L299" s="149" t="s">
        <v>630</v>
      </c>
      <c r="M299" s="67">
        <v>1</v>
      </c>
      <c r="N299" s="67" t="s">
        <v>33</v>
      </c>
      <c r="O299" s="75" t="s">
        <v>34</v>
      </c>
      <c r="P299" s="176">
        <f t="shared" si="9"/>
        <v>0</v>
      </c>
      <c r="Q299" s="177"/>
      <c r="S299" s="45"/>
      <c r="V299" s="387"/>
      <c r="W299" s="175"/>
      <c r="X299" s="69"/>
      <c r="Y299" s="69"/>
      <c r="Z299" s="69"/>
      <c r="AA299" s="45"/>
    </row>
    <row r="300" spans="1:27">
      <c r="A300" s="396" t="s">
        <v>631</v>
      </c>
      <c r="B300" s="149" t="s">
        <v>632</v>
      </c>
      <c r="C300" s="67">
        <v>2</v>
      </c>
      <c r="D300" s="67" t="s">
        <v>33</v>
      </c>
      <c r="E300" s="75" t="s">
        <v>40</v>
      </c>
      <c r="F300" s="394">
        <f t="shared" si="8"/>
        <v>0</v>
      </c>
      <c r="H300" s="67">
        <v>0</v>
      </c>
      <c r="I300" s="172">
        <v>0</v>
      </c>
      <c r="K300" s="369" t="s">
        <v>631</v>
      </c>
      <c r="L300" s="149" t="s">
        <v>632</v>
      </c>
      <c r="M300" s="67">
        <v>2</v>
      </c>
      <c r="N300" s="67" t="s">
        <v>33</v>
      </c>
      <c r="O300" s="75" t="s">
        <v>40</v>
      </c>
      <c r="P300" s="176">
        <f t="shared" si="9"/>
        <v>0</v>
      </c>
      <c r="Q300" s="177"/>
      <c r="S300" s="45"/>
      <c r="V300" s="393"/>
      <c r="W300" s="45"/>
      <c r="X300" s="69"/>
      <c r="Y300" s="69"/>
      <c r="Z300" s="69"/>
      <c r="AA300" s="45"/>
    </row>
    <row r="301" spans="1:27">
      <c r="A301" s="396" t="s">
        <v>633</v>
      </c>
      <c r="B301" s="149" t="s">
        <v>634</v>
      </c>
      <c r="C301" s="67">
        <v>1</v>
      </c>
      <c r="D301" s="67" t="s">
        <v>33</v>
      </c>
      <c r="E301" s="75" t="s">
        <v>34</v>
      </c>
      <c r="F301" s="394">
        <f t="shared" si="8"/>
        <v>0</v>
      </c>
      <c r="H301" s="67">
        <v>0</v>
      </c>
      <c r="I301" s="172">
        <v>0</v>
      </c>
      <c r="K301" s="369" t="s">
        <v>633</v>
      </c>
      <c r="L301" s="149" t="s">
        <v>634</v>
      </c>
      <c r="M301" s="67">
        <v>1</v>
      </c>
      <c r="N301" s="67" t="s">
        <v>33</v>
      </c>
      <c r="O301" s="75" t="s">
        <v>34</v>
      </c>
      <c r="P301" s="176">
        <f t="shared" si="9"/>
        <v>0</v>
      </c>
      <c r="Q301" s="177"/>
      <c r="S301" s="45"/>
      <c r="V301" s="387"/>
      <c r="W301" s="175"/>
      <c r="X301" s="69"/>
      <c r="Y301" s="69"/>
      <c r="Z301" s="69"/>
      <c r="AA301" s="45"/>
    </row>
    <row r="302" spans="1:27">
      <c r="A302" s="396" t="s">
        <v>635</v>
      </c>
      <c r="B302" s="149" t="s">
        <v>636</v>
      </c>
      <c r="C302" s="67">
        <v>2</v>
      </c>
      <c r="D302" s="67" t="s">
        <v>33</v>
      </c>
      <c r="E302" s="75" t="s">
        <v>34</v>
      </c>
      <c r="F302" s="394">
        <f t="shared" si="8"/>
        <v>0</v>
      </c>
      <c r="H302" s="374">
        <v>1</v>
      </c>
      <c r="I302" s="172">
        <v>0</v>
      </c>
      <c r="K302" s="369" t="s">
        <v>635</v>
      </c>
      <c r="L302" s="149" t="s">
        <v>636</v>
      </c>
      <c r="M302" s="67">
        <v>2</v>
      </c>
      <c r="N302" s="67" t="s">
        <v>33</v>
      </c>
      <c r="O302" s="75" t="s">
        <v>34</v>
      </c>
      <c r="P302" s="176">
        <f t="shared" si="9"/>
        <v>0</v>
      </c>
      <c r="Q302" s="177"/>
      <c r="S302" s="45"/>
      <c r="V302" s="387"/>
      <c r="W302" s="175"/>
      <c r="X302" s="69"/>
      <c r="Y302" s="69"/>
      <c r="Z302" s="69"/>
      <c r="AA302" s="45"/>
    </row>
    <row r="303" spans="1:27">
      <c r="A303" s="407" t="s">
        <v>637</v>
      </c>
      <c r="B303" t="s">
        <v>638</v>
      </c>
      <c r="C303" s="67">
        <v>2</v>
      </c>
      <c r="D303" s="67" t="s">
        <v>33</v>
      </c>
      <c r="E303" s="75" t="s">
        <v>34</v>
      </c>
      <c r="F303" s="394">
        <f t="shared" si="8"/>
        <v>0</v>
      </c>
      <c r="H303" s="67">
        <v>0</v>
      </c>
      <c r="I303" s="172">
        <v>0</v>
      </c>
      <c r="K303" s="382" t="s">
        <v>637</v>
      </c>
      <c r="L303" t="s">
        <v>638</v>
      </c>
      <c r="M303" s="67">
        <v>2</v>
      </c>
      <c r="N303" s="67" t="s">
        <v>33</v>
      </c>
      <c r="O303" s="75" t="s">
        <v>34</v>
      </c>
      <c r="P303" s="176">
        <f t="shared" si="9"/>
        <v>0</v>
      </c>
      <c r="Q303" s="177"/>
      <c r="S303" s="45"/>
      <c r="V303" s="387"/>
      <c r="W303" s="175"/>
      <c r="X303" s="69"/>
      <c r="Y303" s="69"/>
      <c r="Z303" s="69"/>
      <c r="AA303" s="45"/>
    </row>
    <row r="304" spans="1:27">
      <c r="A304" s="396" t="s">
        <v>639</v>
      </c>
      <c r="B304" s="149" t="s">
        <v>640</v>
      </c>
      <c r="C304" s="67">
        <v>2</v>
      </c>
      <c r="D304" s="67" t="s">
        <v>39</v>
      </c>
      <c r="E304" s="75" t="s">
        <v>34</v>
      </c>
      <c r="F304" s="394">
        <f t="shared" si="8"/>
        <v>1</v>
      </c>
      <c r="H304" s="67">
        <v>0</v>
      </c>
      <c r="I304" s="172">
        <v>0</v>
      </c>
      <c r="K304" s="369" t="s">
        <v>639</v>
      </c>
      <c r="L304" s="149" t="s">
        <v>640</v>
      </c>
      <c r="M304" s="67">
        <v>2</v>
      </c>
      <c r="N304" s="67" t="s">
        <v>39</v>
      </c>
      <c r="O304" s="75" t="s">
        <v>34</v>
      </c>
      <c r="P304" s="176">
        <f t="shared" si="9"/>
        <v>1</v>
      </c>
      <c r="Q304" s="177"/>
      <c r="S304" s="45"/>
      <c r="V304" s="387"/>
      <c r="W304" s="175"/>
      <c r="X304" s="69"/>
      <c r="Y304" s="69"/>
      <c r="Z304" s="69"/>
      <c r="AA304" s="45"/>
    </row>
    <row r="305" spans="1:27">
      <c r="A305" s="396" t="s">
        <v>641</v>
      </c>
      <c r="B305" s="149" t="s">
        <v>642</v>
      </c>
      <c r="C305" s="374">
        <v>1</v>
      </c>
      <c r="D305" s="67" t="s">
        <v>33</v>
      </c>
      <c r="E305" s="75" t="s">
        <v>34</v>
      </c>
      <c r="F305" s="394">
        <f t="shared" si="8"/>
        <v>0</v>
      </c>
      <c r="H305" s="67">
        <v>0</v>
      </c>
      <c r="I305" s="172">
        <v>0</v>
      </c>
      <c r="K305" s="369" t="s">
        <v>641</v>
      </c>
      <c r="L305" s="149" t="s">
        <v>642</v>
      </c>
      <c r="M305" s="374">
        <v>1</v>
      </c>
      <c r="N305" s="67" t="s">
        <v>33</v>
      </c>
      <c r="O305" s="75" t="s">
        <v>34</v>
      </c>
      <c r="P305" s="176">
        <f t="shared" si="9"/>
        <v>0</v>
      </c>
      <c r="Q305" s="177"/>
      <c r="S305" s="45"/>
      <c r="V305" s="387"/>
      <c r="W305" s="175"/>
      <c r="X305" s="69"/>
      <c r="Y305" s="69"/>
      <c r="Z305" s="69"/>
      <c r="AA305" s="45"/>
    </row>
    <row r="306" spans="1:27">
      <c r="A306" s="396" t="s">
        <v>643</v>
      </c>
      <c r="B306" s="149" t="s">
        <v>644</v>
      </c>
      <c r="C306" s="67">
        <v>2</v>
      </c>
      <c r="D306" s="67" t="s">
        <v>39</v>
      </c>
      <c r="E306" s="75" t="s">
        <v>34</v>
      </c>
      <c r="F306" s="394">
        <f t="shared" si="8"/>
        <v>1</v>
      </c>
      <c r="H306" s="67">
        <v>0</v>
      </c>
      <c r="I306" s="172">
        <v>0</v>
      </c>
      <c r="K306" s="369" t="s">
        <v>643</v>
      </c>
      <c r="L306" s="149" t="s">
        <v>644</v>
      </c>
      <c r="M306" s="67">
        <v>2</v>
      </c>
      <c r="N306" s="67" t="s">
        <v>39</v>
      </c>
      <c r="O306" s="75" t="s">
        <v>34</v>
      </c>
      <c r="P306" s="176">
        <f t="shared" si="9"/>
        <v>1</v>
      </c>
      <c r="Q306" s="177"/>
      <c r="S306" s="45"/>
      <c r="V306" s="387"/>
      <c r="W306" s="175"/>
      <c r="X306" s="69"/>
      <c r="Y306" s="69"/>
      <c r="Z306" s="69"/>
      <c r="AA306" s="45"/>
    </row>
    <row r="307" spans="1:27">
      <c r="A307" s="396" t="s">
        <v>645</v>
      </c>
      <c r="B307" s="149" t="s">
        <v>646</v>
      </c>
      <c r="C307" s="67">
        <v>1</v>
      </c>
      <c r="D307" s="67" t="s">
        <v>33</v>
      </c>
      <c r="E307" s="75" t="s">
        <v>34</v>
      </c>
      <c r="F307" s="394">
        <f t="shared" si="8"/>
        <v>0</v>
      </c>
      <c r="H307" s="67">
        <v>0</v>
      </c>
      <c r="I307" s="172">
        <v>0</v>
      </c>
      <c r="K307" s="369" t="s">
        <v>645</v>
      </c>
      <c r="L307" s="149" t="s">
        <v>646</v>
      </c>
      <c r="M307" s="67">
        <v>1</v>
      </c>
      <c r="N307" s="67" t="s">
        <v>33</v>
      </c>
      <c r="O307" s="75" t="s">
        <v>34</v>
      </c>
      <c r="P307" s="176">
        <f t="shared" si="9"/>
        <v>0</v>
      </c>
      <c r="Q307" s="177"/>
      <c r="S307" s="45"/>
      <c r="V307" s="387"/>
      <c r="W307" s="175"/>
      <c r="X307" s="69"/>
      <c r="Y307" s="69"/>
      <c r="Z307" s="69"/>
      <c r="AA307" s="45"/>
    </row>
    <row r="308" spans="1:27">
      <c r="A308" s="396" t="s">
        <v>647</v>
      </c>
      <c r="B308" s="149" t="s">
        <v>648</v>
      </c>
      <c r="C308" s="67">
        <v>1</v>
      </c>
      <c r="D308" s="67" t="s">
        <v>33</v>
      </c>
      <c r="E308" s="75" t="s">
        <v>34</v>
      </c>
      <c r="F308" s="394">
        <f t="shared" si="8"/>
        <v>0</v>
      </c>
      <c r="H308" s="67">
        <v>0</v>
      </c>
      <c r="I308" s="172">
        <v>0</v>
      </c>
      <c r="K308" s="369" t="s">
        <v>647</v>
      </c>
      <c r="L308" s="149" t="s">
        <v>648</v>
      </c>
      <c r="M308" s="67">
        <v>1</v>
      </c>
      <c r="N308" s="67" t="s">
        <v>33</v>
      </c>
      <c r="O308" s="75" t="s">
        <v>34</v>
      </c>
      <c r="P308" s="176">
        <f t="shared" si="9"/>
        <v>0</v>
      </c>
      <c r="Q308" s="177"/>
      <c r="S308" s="45"/>
      <c r="V308" s="387"/>
      <c r="W308" s="175"/>
      <c r="X308" s="69"/>
      <c r="Y308" s="69"/>
      <c r="Z308" s="69"/>
      <c r="AA308" s="45"/>
    </row>
    <row r="309" spans="1:27">
      <c r="A309" s="396" t="s">
        <v>649</v>
      </c>
      <c r="B309" s="149" t="s">
        <v>650</v>
      </c>
      <c r="C309" s="67">
        <v>2</v>
      </c>
      <c r="D309" s="67" t="s">
        <v>33</v>
      </c>
      <c r="E309" s="75" t="s">
        <v>34</v>
      </c>
      <c r="F309" s="394">
        <f t="shared" si="8"/>
        <v>0</v>
      </c>
      <c r="H309" s="67">
        <v>0</v>
      </c>
      <c r="I309" s="172">
        <v>0</v>
      </c>
      <c r="K309" s="369" t="s">
        <v>649</v>
      </c>
      <c r="L309" s="149" t="s">
        <v>650</v>
      </c>
      <c r="M309" s="67">
        <v>2</v>
      </c>
      <c r="N309" s="67" t="s">
        <v>33</v>
      </c>
      <c r="O309" s="75" t="s">
        <v>34</v>
      </c>
      <c r="P309" s="176">
        <f t="shared" si="9"/>
        <v>0</v>
      </c>
      <c r="Q309" s="177"/>
      <c r="S309" s="45"/>
      <c r="V309" s="387"/>
      <c r="W309" s="175"/>
      <c r="X309" s="69"/>
      <c r="Y309" s="69"/>
      <c r="Z309" s="69"/>
      <c r="AA309" s="45"/>
    </row>
    <row r="310" spans="1:27">
      <c r="A310" s="396" t="s">
        <v>651</v>
      </c>
      <c r="B310" s="149" t="s">
        <v>652</v>
      </c>
      <c r="C310" s="67">
        <v>1</v>
      </c>
      <c r="D310" s="67" t="s">
        <v>33</v>
      </c>
      <c r="E310" s="75" t="s">
        <v>34</v>
      </c>
      <c r="F310" s="394">
        <f t="shared" si="8"/>
        <v>0</v>
      </c>
      <c r="H310" s="67">
        <v>0</v>
      </c>
      <c r="I310" s="172">
        <v>0</v>
      </c>
      <c r="K310" s="369" t="s">
        <v>651</v>
      </c>
      <c r="L310" s="149" t="s">
        <v>652</v>
      </c>
      <c r="M310" s="67">
        <v>1</v>
      </c>
      <c r="N310" s="67" t="s">
        <v>33</v>
      </c>
      <c r="O310" s="75" t="s">
        <v>34</v>
      </c>
      <c r="P310" s="176">
        <f t="shared" si="9"/>
        <v>0</v>
      </c>
      <c r="Q310" s="177"/>
      <c r="S310" s="45"/>
      <c r="V310" s="387"/>
      <c r="W310" s="175"/>
      <c r="X310" s="69"/>
      <c r="Y310" s="69"/>
      <c r="Z310" s="69"/>
      <c r="AA310" s="45"/>
    </row>
    <row r="311" spans="1:27">
      <c r="A311" s="396" t="s">
        <v>653</v>
      </c>
      <c r="B311" s="149" t="s">
        <v>654</v>
      </c>
      <c r="C311" s="67">
        <v>2</v>
      </c>
      <c r="D311" s="67" t="s">
        <v>39</v>
      </c>
      <c r="E311" s="75" t="s">
        <v>34</v>
      </c>
      <c r="F311" s="394">
        <f t="shared" si="8"/>
        <v>1</v>
      </c>
      <c r="H311" s="67">
        <v>0</v>
      </c>
      <c r="I311" s="172">
        <v>0</v>
      </c>
      <c r="K311" s="369" t="s">
        <v>653</v>
      </c>
      <c r="L311" s="149" t="s">
        <v>654</v>
      </c>
      <c r="M311" s="67">
        <v>2</v>
      </c>
      <c r="N311" s="67" t="s">
        <v>39</v>
      </c>
      <c r="O311" s="75" t="s">
        <v>34</v>
      </c>
      <c r="P311" s="176">
        <f t="shared" si="9"/>
        <v>1</v>
      </c>
      <c r="Q311" s="177"/>
      <c r="S311" s="45"/>
      <c r="V311" s="387"/>
      <c r="W311" s="175"/>
      <c r="X311" s="69"/>
      <c r="Y311" s="69"/>
      <c r="Z311" s="69"/>
      <c r="AA311" s="45"/>
    </row>
    <row r="312" spans="1:27">
      <c r="A312" s="396" t="s">
        <v>655</v>
      </c>
      <c r="B312" s="149" t="s">
        <v>656</v>
      </c>
      <c r="C312" s="67">
        <v>2</v>
      </c>
      <c r="D312" s="67" t="s">
        <v>33</v>
      </c>
      <c r="E312" s="75" t="s">
        <v>34</v>
      </c>
      <c r="F312" s="394">
        <f t="shared" si="8"/>
        <v>0</v>
      </c>
      <c r="H312" s="67">
        <v>0</v>
      </c>
      <c r="I312" s="172">
        <v>0</v>
      </c>
      <c r="K312" s="369" t="s">
        <v>655</v>
      </c>
      <c r="L312" s="149" t="s">
        <v>656</v>
      </c>
      <c r="M312" s="67">
        <v>2</v>
      </c>
      <c r="N312" s="67" t="s">
        <v>33</v>
      </c>
      <c r="O312" s="75" t="s">
        <v>34</v>
      </c>
      <c r="P312" s="176">
        <f t="shared" si="9"/>
        <v>0</v>
      </c>
      <c r="Q312" s="177"/>
      <c r="S312" s="45"/>
      <c r="V312" s="387"/>
      <c r="W312" s="175"/>
      <c r="X312" s="69"/>
      <c r="Y312" s="69"/>
      <c r="Z312" s="69"/>
      <c r="AA312" s="45"/>
    </row>
    <row r="313" spans="1:27">
      <c r="A313" s="396" t="s">
        <v>657</v>
      </c>
      <c r="B313" s="149" t="s">
        <v>658</v>
      </c>
      <c r="C313" s="67">
        <v>2</v>
      </c>
      <c r="D313" s="67" t="s">
        <v>39</v>
      </c>
      <c r="E313" s="75" t="s">
        <v>34</v>
      </c>
      <c r="F313" s="394">
        <f t="shared" si="8"/>
        <v>1</v>
      </c>
      <c r="H313" s="67">
        <v>0</v>
      </c>
      <c r="I313" s="172">
        <v>0</v>
      </c>
      <c r="K313" s="369" t="s">
        <v>657</v>
      </c>
      <c r="L313" s="149" t="s">
        <v>658</v>
      </c>
      <c r="M313" s="67">
        <v>2</v>
      </c>
      <c r="N313" s="67" t="s">
        <v>39</v>
      </c>
      <c r="O313" s="75" t="s">
        <v>34</v>
      </c>
      <c r="P313" s="176">
        <f t="shared" si="9"/>
        <v>1</v>
      </c>
      <c r="Q313" s="177"/>
      <c r="S313" s="45"/>
      <c r="V313" s="387"/>
      <c r="W313" s="175"/>
      <c r="X313" s="69"/>
      <c r="Y313" s="69"/>
      <c r="Z313" s="69"/>
      <c r="AA313" s="45"/>
    </row>
    <row r="314" spans="1:27">
      <c r="A314" s="396" t="s">
        <v>659</v>
      </c>
      <c r="B314" s="149" t="s">
        <v>660</v>
      </c>
      <c r="C314" s="67">
        <v>1</v>
      </c>
      <c r="D314" s="67" t="s">
        <v>33</v>
      </c>
      <c r="E314" s="75" t="s">
        <v>34</v>
      </c>
      <c r="F314" s="394">
        <f t="shared" si="8"/>
        <v>0</v>
      </c>
      <c r="H314" s="67">
        <v>0</v>
      </c>
      <c r="I314" s="172">
        <v>0</v>
      </c>
      <c r="K314" s="369" t="s">
        <v>659</v>
      </c>
      <c r="L314" s="149" t="s">
        <v>660</v>
      </c>
      <c r="M314" s="67">
        <v>1</v>
      </c>
      <c r="N314" s="67" t="s">
        <v>33</v>
      </c>
      <c r="O314" s="75" t="s">
        <v>34</v>
      </c>
      <c r="P314" s="176">
        <f t="shared" si="9"/>
        <v>0</v>
      </c>
      <c r="Q314" s="177"/>
      <c r="S314" s="45"/>
      <c r="V314" s="282"/>
      <c r="W314" s="127"/>
      <c r="X314" s="69"/>
      <c r="Y314" s="69"/>
      <c r="Z314" s="69"/>
      <c r="AA314" s="45"/>
    </row>
    <row r="315" spans="1:27">
      <c r="A315" s="396" t="s">
        <v>661</v>
      </c>
      <c r="B315" s="149" t="s">
        <v>662</v>
      </c>
      <c r="C315" s="67">
        <v>1</v>
      </c>
      <c r="D315" s="67" t="s">
        <v>33</v>
      </c>
      <c r="E315" s="75" t="s">
        <v>34</v>
      </c>
      <c r="F315" s="394">
        <f t="shared" si="8"/>
        <v>0</v>
      </c>
      <c r="H315" s="67">
        <v>0</v>
      </c>
      <c r="I315" s="172">
        <v>0</v>
      </c>
      <c r="K315" s="369" t="s">
        <v>661</v>
      </c>
      <c r="L315" s="149" t="s">
        <v>662</v>
      </c>
      <c r="M315" s="67">
        <v>1</v>
      </c>
      <c r="N315" s="67" t="s">
        <v>33</v>
      </c>
      <c r="O315" s="75" t="s">
        <v>34</v>
      </c>
      <c r="P315" s="176">
        <f t="shared" si="9"/>
        <v>0</v>
      </c>
      <c r="Q315" s="177"/>
      <c r="S315" s="45"/>
      <c r="V315" s="387"/>
      <c r="W315" s="175"/>
      <c r="X315" s="69"/>
      <c r="Y315" s="69"/>
      <c r="Z315" s="69"/>
      <c r="AA315" s="45"/>
    </row>
    <row r="316" spans="1:27">
      <c r="A316" s="396" t="s">
        <v>663</v>
      </c>
      <c r="B316" s="149" t="s">
        <v>664</v>
      </c>
      <c r="C316" s="67">
        <v>1</v>
      </c>
      <c r="D316" s="67" t="s">
        <v>33</v>
      </c>
      <c r="E316" s="75" t="s">
        <v>34</v>
      </c>
      <c r="F316" s="394">
        <f t="shared" si="8"/>
        <v>0</v>
      </c>
      <c r="H316" s="67">
        <v>0</v>
      </c>
      <c r="I316" s="172">
        <v>0</v>
      </c>
      <c r="K316" s="369" t="s">
        <v>663</v>
      </c>
      <c r="L316" s="149" t="s">
        <v>664</v>
      </c>
      <c r="M316" s="67">
        <v>1</v>
      </c>
      <c r="N316" s="67" t="s">
        <v>33</v>
      </c>
      <c r="O316" s="75" t="s">
        <v>34</v>
      </c>
      <c r="P316" s="176">
        <f t="shared" si="9"/>
        <v>0</v>
      </c>
      <c r="Q316" s="177"/>
      <c r="S316" s="45"/>
      <c r="V316" s="387"/>
      <c r="W316" s="175"/>
      <c r="X316" s="69"/>
      <c r="Y316" s="69"/>
      <c r="Z316" s="69"/>
      <c r="AA316" s="45"/>
    </row>
    <row r="317" spans="1:27">
      <c r="A317" s="408" t="s">
        <v>665</v>
      </c>
      <c r="B317" s="74" t="s">
        <v>666</v>
      </c>
      <c r="C317" s="67">
        <v>2</v>
      </c>
      <c r="D317" s="67" t="s">
        <v>33</v>
      </c>
      <c r="E317" s="75" t="s">
        <v>34</v>
      </c>
      <c r="F317" s="394">
        <f t="shared" si="8"/>
        <v>0</v>
      </c>
      <c r="H317" s="67">
        <v>0</v>
      </c>
      <c r="I317" s="172">
        <v>0</v>
      </c>
      <c r="K317" s="354" t="s">
        <v>665</v>
      </c>
      <c r="L317" s="74" t="s">
        <v>666</v>
      </c>
      <c r="M317" s="67">
        <v>2</v>
      </c>
      <c r="N317" s="67" t="s">
        <v>33</v>
      </c>
      <c r="O317" s="75" t="s">
        <v>34</v>
      </c>
      <c r="P317" s="176">
        <f t="shared" si="9"/>
        <v>0</v>
      </c>
      <c r="Q317" s="177"/>
      <c r="S317" s="45"/>
      <c r="V317" s="387"/>
      <c r="W317" s="175"/>
      <c r="X317" s="69"/>
      <c r="Y317" s="69"/>
      <c r="Z317" s="69"/>
      <c r="AA317" s="45"/>
    </row>
    <row r="318" spans="1:27">
      <c r="A318" s="396" t="s">
        <v>667</v>
      </c>
      <c r="B318" s="149" t="s">
        <v>668</v>
      </c>
      <c r="C318" s="67">
        <v>2</v>
      </c>
      <c r="D318" s="67" t="s">
        <v>39</v>
      </c>
      <c r="E318" s="75" t="s">
        <v>34</v>
      </c>
      <c r="F318" s="394">
        <f t="shared" si="8"/>
        <v>1</v>
      </c>
      <c r="H318" s="67">
        <v>0</v>
      </c>
      <c r="I318" s="172">
        <v>0</v>
      </c>
      <c r="K318" s="369" t="s">
        <v>667</v>
      </c>
      <c r="L318" s="149" t="s">
        <v>668</v>
      </c>
      <c r="M318" s="67">
        <v>2</v>
      </c>
      <c r="N318" s="67" t="s">
        <v>39</v>
      </c>
      <c r="O318" s="75" t="s">
        <v>34</v>
      </c>
      <c r="P318" s="176">
        <f t="shared" si="9"/>
        <v>1</v>
      </c>
      <c r="Q318" s="177"/>
      <c r="S318" s="45"/>
      <c r="V318" s="127"/>
      <c r="W318" s="127"/>
      <c r="X318" s="69"/>
      <c r="Y318" s="69"/>
      <c r="Z318" s="69"/>
      <c r="AA318" s="45"/>
    </row>
    <row r="319" spans="1:27">
      <c r="A319" s="396" t="s">
        <v>669</v>
      </c>
      <c r="B319" s="149" t="s">
        <v>670</v>
      </c>
      <c r="C319" s="67">
        <v>1</v>
      </c>
      <c r="D319" s="67" t="s">
        <v>33</v>
      </c>
      <c r="E319" s="75" t="s">
        <v>34</v>
      </c>
      <c r="F319" s="394">
        <f t="shared" si="8"/>
        <v>0</v>
      </c>
      <c r="H319" s="67">
        <v>0</v>
      </c>
      <c r="I319" s="172">
        <v>0</v>
      </c>
      <c r="K319" s="369" t="s">
        <v>669</v>
      </c>
      <c r="L319" s="149" t="s">
        <v>670</v>
      </c>
      <c r="M319" s="67">
        <v>1</v>
      </c>
      <c r="N319" s="67" t="s">
        <v>33</v>
      </c>
      <c r="O319" s="75" t="s">
        <v>34</v>
      </c>
      <c r="P319" s="176">
        <f t="shared" si="9"/>
        <v>0</v>
      </c>
      <c r="Q319" s="177"/>
      <c r="S319" s="45"/>
      <c r="V319" s="387"/>
      <c r="W319" s="175"/>
      <c r="X319" s="69"/>
      <c r="Y319" s="69"/>
      <c r="Z319" s="69"/>
      <c r="AA319" s="45"/>
    </row>
    <row r="320" spans="1:27">
      <c r="A320" s="396" t="s">
        <v>671</v>
      </c>
      <c r="B320" s="149" t="s">
        <v>672</v>
      </c>
      <c r="C320" s="67">
        <v>2</v>
      </c>
      <c r="D320" s="67" t="s">
        <v>33</v>
      </c>
      <c r="E320" s="75" t="s">
        <v>34</v>
      </c>
      <c r="F320" s="394">
        <f t="shared" si="8"/>
        <v>0</v>
      </c>
      <c r="H320" s="67">
        <v>0</v>
      </c>
      <c r="I320" s="172">
        <v>0</v>
      </c>
      <c r="K320" s="369" t="s">
        <v>671</v>
      </c>
      <c r="L320" s="149" t="s">
        <v>672</v>
      </c>
      <c r="M320" s="67">
        <v>2</v>
      </c>
      <c r="N320" s="67" t="s">
        <v>33</v>
      </c>
      <c r="O320" s="75" t="s">
        <v>34</v>
      </c>
      <c r="P320" s="176">
        <f t="shared" si="9"/>
        <v>0</v>
      </c>
      <c r="Q320" s="177"/>
      <c r="S320" s="45"/>
      <c r="V320" s="387"/>
      <c r="W320" s="175"/>
      <c r="X320" s="69"/>
      <c r="Y320" s="69"/>
      <c r="Z320" s="69"/>
      <c r="AA320" s="45"/>
    </row>
    <row r="321" spans="1:27">
      <c r="A321" s="397" t="s">
        <v>673</v>
      </c>
      <c r="B321" s="74" t="s">
        <v>674</v>
      </c>
      <c r="C321" s="67">
        <v>2</v>
      </c>
      <c r="D321" s="67" t="s">
        <v>33</v>
      </c>
      <c r="E321" s="75" t="s">
        <v>34</v>
      </c>
      <c r="F321" s="394">
        <f t="shared" si="8"/>
        <v>0</v>
      </c>
      <c r="H321" s="67">
        <v>0</v>
      </c>
      <c r="I321" s="172">
        <v>0</v>
      </c>
      <c r="K321" s="190" t="s">
        <v>673</v>
      </c>
      <c r="L321" s="74" t="s">
        <v>674</v>
      </c>
      <c r="M321" s="67">
        <v>2</v>
      </c>
      <c r="N321" s="67" t="s">
        <v>33</v>
      </c>
      <c r="O321" s="75" t="s">
        <v>34</v>
      </c>
      <c r="P321" s="176">
        <f t="shared" si="9"/>
        <v>0</v>
      </c>
      <c r="Q321" s="177"/>
      <c r="S321" s="45"/>
      <c r="V321" s="387"/>
      <c r="W321" s="175"/>
      <c r="X321" s="69"/>
      <c r="Y321" s="69"/>
      <c r="Z321" s="69"/>
      <c r="AA321" s="45"/>
    </row>
    <row r="322" spans="1:27">
      <c r="A322" s="396" t="s">
        <v>675</v>
      </c>
      <c r="B322" s="149" t="s">
        <v>676</v>
      </c>
      <c r="C322" s="67">
        <v>2</v>
      </c>
      <c r="D322" s="67" t="s">
        <v>39</v>
      </c>
      <c r="E322" s="75" t="s">
        <v>34</v>
      </c>
      <c r="F322" s="394">
        <f t="shared" ref="F322:F332" si="10">IF(+D322="cash",1,0)</f>
        <v>1</v>
      </c>
      <c r="H322" s="67">
        <v>0</v>
      </c>
      <c r="I322" s="172">
        <v>0</v>
      </c>
      <c r="K322" s="369" t="s">
        <v>675</v>
      </c>
      <c r="L322" s="149" t="s">
        <v>676</v>
      </c>
      <c r="M322" s="67">
        <v>2</v>
      </c>
      <c r="N322" s="67" t="s">
        <v>39</v>
      </c>
      <c r="O322" s="75" t="s">
        <v>34</v>
      </c>
      <c r="P322" s="176">
        <f t="shared" ref="P322:P329" si="11">IF(+N322="cash",1,0)</f>
        <v>1</v>
      </c>
      <c r="Q322" s="177"/>
      <c r="S322" s="45"/>
      <c r="V322" s="387"/>
      <c r="W322" s="175"/>
      <c r="X322" s="69"/>
      <c r="Y322" s="69"/>
      <c r="Z322" s="69"/>
      <c r="AA322" s="45"/>
    </row>
    <row r="323" spans="1:27">
      <c r="A323" s="396" t="s">
        <v>677</v>
      </c>
      <c r="B323" s="149" t="s">
        <v>678</v>
      </c>
      <c r="C323" s="67">
        <v>2</v>
      </c>
      <c r="D323" s="67" t="s">
        <v>39</v>
      </c>
      <c r="E323" s="75" t="s">
        <v>34</v>
      </c>
      <c r="F323" s="394">
        <f t="shared" si="10"/>
        <v>1</v>
      </c>
      <c r="H323" s="67">
        <v>0</v>
      </c>
      <c r="I323" s="172">
        <v>0</v>
      </c>
      <c r="K323" s="369" t="s">
        <v>677</v>
      </c>
      <c r="L323" s="149" t="s">
        <v>678</v>
      </c>
      <c r="M323" s="67">
        <v>2</v>
      </c>
      <c r="N323" s="67" t="s">
        <v>39</v>
      </c>
      <c r="O323" s="75" t="s">
        <v>34</v>
      </c>
      <c r="P323" s="176">
        <f t="shared" si="11"/>
        <v>1</v>
      </c>
      <c r="Q323" s="177"/>
      <c r="S323" s="45"/>
      <c r="V323" s="387"/>
      <c r="W323" s="175"/>
      <c r="X323" s="69"/>
      <c r="Y323" s="69"/>
      <c r="Z323" s="69"/>
      <c r="AA323" s="45"/>
    </row>
    <row r="324" spans="1:27">
      <c r="A324" s="396" t="s">
        <v>679</v>
      </c>
      <c r="B324" s="149" t="s">
        <v>680</v>
      </c>
      <c r="C324" s="67">
        <v>2</v>
      </c>
      <c r="D324" s="67" t="s">
        <v>39</v>
      </c>
      <c r="E324" s="75" t="s">
        <v>34</v>
      </c>
      <c r="F324" s="394">
        <f t="shared" si="10"/>
        <v>1</v>
      </c>
      <c r="H324" s="67">
        <v>0</v>
      </c>
      <c r="I324" s="172">
        <v>0</v>
      </c>
      <c r="K324" s="369" t="s">
        <v>679</v>
      </c>
      <c r="L324" s="149" t="s">
        <v>680</v>
      </c>
      <c r="M324" s="67">
        <v>2</v>
      </c>
      <c r="N324" s="67" t="s">
        <v>39</v>
      </c>
      <c r="O324" s="75" t="s">
        <v>34</v>
      </c>
      <c r="P324" s="176">
        <f t="shared" si="11"/>
        <v>1</v>
      </c>
      <c r="Q324" s="177"/>
      <c r="S324" s="45"/>
      <c r="V324" s="387"/>
      <c r="W324" s="175"/>
      <c r="X324" s="69"/>
      <c r="Y324" s="69"/>
      <c r="Z324" s="69"/>
      <c r="AA324" s="45"/>
    </row>
    <row r="325" spans="1:27">
      <c r="A325" s="396" t="s">
        <v>681</v>
      </c>
      <c r="B325" s="149" t="s">
        <v>682</v>
      </c>
      <c r="C325" s="67">
        <v>2</v>
      </c>
      <c r="D325" s="67" t="s">
        <v>39</v>
      </c>
      <c r="E325" s="75" t="s">
        <v>34</v>
      </c>
      <c r="F325" s="394">
        <f t="shared" si="10"/>
        <v>1</v>
      </c>
      <c r="H325" s="67">
        <v>0</v>
      </c>
      <c r="I325" s="172">
        <v>0</v>
      </c>
      <c r="K325" s="369" t="s">
        <v>681</v>
      </c>
      <c r="L325" s="149" t="s">
        <v>682</v>
      </c>
      <c r="M325" s="67">
        <v>2</v>
      </c>
      <c r="N325" s="67" t="s">
        <v>39</v>
      </c>
      <c r="O325" s="75" t="s">
        <v>34</v>
      </c>
      <c r="P325" s="176">
        <f t="shared" si="11"/>
        <v>1</v>
      </c>
      <c r="Q325" s="177"/>
      <c r="S325" s="45"/>
      <c r="V325" s="387"/>
      <c r="W325" s="175"/>
      <c r="X325" s="69"/>
      <c r="Y325" s="69"/>
      <c r="Z325" s="69"/>
      <c r="AA325" s="45"/>
    </row>
    <row r="326" spans="1:27">
      <c r="A326" s="396" t="s">
        <v>683</v>
      </c>
      <c r="B326" s="149" t="s">
        <v>684</v>
      </c>
      <c r="C326" s="67">
        <v>2</v>
      </c>
      <c r="D326" s="67" t="s">
        <v>39</v>
      </c>
      <c r="E326" s="75" t="s">
        <v>34</v>
      </c>
      <c r="F326" s="394">
        <f t="shared" si="10"/>
        <v>1</v>
      </c>
      <c r="H326" s="67">
        <v>0</v>
      </c>
      <c r="I326" s="172">
        <v>0</v>
      </c>
      <c r="K326" s="369" t="s">
        <v>683</v>
      </c>
      <c r="L326" s="149" t="s">
        <v>684</v>
      </c>
      <c r="M326" s="67">
        <v>2</v>
      </c>
      <c r="N326" s="67" t="s">
        <v>39</v>
      </c>
      <c r="O326" s="75" t="s">
        <v>34</v>
      </c>
      <c r="P326" s="176">
        <f t="shared" si="11"/>
        <v>1</v>
      </c>
      <c r="Q326" s="177"/>
      <c r="S326" s="45"/>
      <c r="V326" s="388"/>
      <c r="W326" s="181"/>
      <c r="X326" s="69"/>
      <c r="Y326" s="69"/>
      <c r="Z326" s="69"/>
      <c r="AA326" s="45"/>
    </row>
    <row r="327" spans="1:27">
      <c r="A327" s="396" t="s">
        <v>685</v>
      </c>
      <c r="B327" s="149" t="s">
        <v>686</v>
      </c>
      <c r="C327" s="67">
        <v>2</v>
      </c>
      <c r="D327" s="67" t="s">
        <v>39</v>
      </c>
      <c r="E327" s="75" t="s">
        <v>34</v>
      </c>
      <c r="F327" s="394">
        <f t="shared" si="10"/>
        <v>1</v>
      </c>
      <c r="H327" s="67">
        <v>0</v>
      </c>
      <c r="I327" s="172">
        <v>0</v>
      </c>
      <c r="K327" s="369" t="s">
        <v>685</v>
      </c>
      <c r="L327" s="149" t="s">
        <v>686</v>
      </c>
      <c r="M327" s="67">
        <v>2</v>
      </c>
      <c r="N327" s="67" t="s">
        <v>39</v>
      </c>
      <c r="O327" s="75" t="s">
        <v>34</v>
      </c>
      <c r="P327" s="176">
        <f t="shared" si="11"/>
        <v>1</v>
      </c>
      <c r="Q327" s="45"/>
      <c r="S327" s="45"/>
      <c r="V327" s="387"/>
      <c r="W327" s="175"/>
      <c r="X327" s="69"/>
      <c r="Y327" s="69"/>
      <c r="Z327" s="69"/>
      <c r="AA327" s="45"/>
    </row>
    <row r="328" spans="1:27">
      <c r="A328" s="396" t="s">
        <v>687</v>
      </c>
      <c r="B328" s="149" t="s">
        <v>688</v>
      </c>
      <c r="C328" s="67">
        <v>1</v>
      </c>
      <c r="D328" s="67" t="s">
        <v>33</v>
      </c>
      <c r="E328" s="75" t="s">
        <v>34</v>
      </c>
      <c r="F328" s="394">
        <f t="shared" si="10"/>
        <v>0</v>
      </c>
      <c r="H328" s="67">
        <v>0</v>
      </c>
      <c r="I328" s="172">
        <v>0</v>
      </c>
      <c r="K328" s="369" t="s">
        <v>687</v>
      </c>
      <c r="L328" s="149" t="s">
        <v>688</v>
      </c>
      <c r="M328" s="67">
        <v>1</v>
      </c>
      <c r="N328" s="67" t="s">
        <v>33</v>
      </c>
      <c r="O328" s="75" t="s">
        <v>34</v>
      </c>
      <c r="P328" s="176">
        <f t="shared" si="11"/>
        <v>0</v>
      </c>
      <c r="Q328" s="45"/>
      <c r="S328" s="45"/>
      <c r="V328" s="387"/>
      <c r="W328" s="175"/>
      <c r="X328" s="69"/>
      <c r="Y328" s="69"/>
      <c r="Z328" s="69"/>
      <c r="AA328" s="45"/>
    </row>
    <row r="329" spans="1:27">
      <c r="A329" s="402" t="s">
        <v>689</v>
      </c>
      <c r="B329" s="384" t="s">
        <v>690</v>
      </c>
      <c r="C329" s="67">
        <v>2</v>
      </c>
      <c r="D329" s="67" t="s">
        <v>33</v>
      </c>
      <c r="E329" s="75" t="s">
        <v>34</v>
      </c>
      <c r="F329" s="394">
        <f t="shared" si="10"/>
        <v>0</v>
      </c>
      <c r="H329" s="67">
        <v>0</v>
      </c>
      <c r="I329" s="172">
        <v>0</v>
      </c>
      <c r="K329" s="377" t="s">
        <v>689</v>
      </c>
      <c r="L329" s="384" t="s">
        <v>690</v>
      </c>
      <c r="M329" s="67">
        <v>2</v>
      </c>
      <c r="N329" s="67" t="s">
        <v>33</v>
      </c>
      <c r="O329" s="75" t="s">
        <v>34</v>
      </c>
      <c r="P329" s="176">
        <f t="shared" si="11"/>
        <v>0</v>
      </c>
      <c r="Q329" s="45"/>
      <c r="S329" s="45"/>
      <c r="V329" s="387"/>
      <c r="W329" s="175"/>
      <c r="X329" s="69"/>
      <c r="Y329" s="69"/>
      <c r="Z329" s="69"/>
      <c r="AA329" s="45"/>
    </row>
    <row r="330" spans="1:27" ht="17.25" customHeight="1">
      <c r="A330" s="396" t="s">
        <v>691</v>
      </c>
      <c r="B330" s="149" t="s">
        <v>692</v>
      </c>
      <c r="C330" s="67">
        <v>1</v>
      </c>
      <c r="D330" s="67" t="s">
        <v>33</v>
      </c>
      <c r="E330" s="75" t="s">
        <v>34</v>
      </c>
      <c r="F330" s="394">
        <f t="shared" si="10"/>
        <v>0</v>
      </c>
      <c r="H330" s="67">
        <v>0</v>
      </c>
      <c r="I330" s="172">
        <v>0</v>
      </c>
      <c r="K330" s="369" t="s">
        <v>691</v>
      </c>
      <c r="L330" s="149" t="s">
        <v>692</v>
      </c>
      <c r="M330" s="67">
        <v>1</v>
      </c>
      <c r="N330" s="67" t="s">
        <v>33</v>
      </c>
      <c r="O330" s="75" t="s">
        <v>34</v>
      </c>
      <c r="P330" s="176">
        <f t="shared" ref="P330:P332" si="12">IF(+N330="cash",1,0)</f>
        <v>0</v>
      </c>
      <c r="Q330" s="45"/>
      <c r="S330" s="45"/>
    </row>
    <row r="331" spans="1:27">
      <c r="A331" s="396" t="s">
        <v>693</v>
      </c>
      <c r="B331" s="149" t="s">
        <v>694</v>
      </c>
      <c r="C331" s="67">
        <v>1</v>
      </c>
      <c r="D331" s="67" t="s">
        <v>33</v>
      </c>
      <c r="E331" s="75" t="s">
        <v>34</v>
      </c>
      <c r="F331" s="394">
        <f t="shared" si="10"/>
        <v>0</v>
      </c>
      <c r="H331" s="67">
        <v>0</v>
      </c>
      <c r="I331" s="172">
        <v>0</v>
      </c>
      <c r="K331" s="369" t="s">
        <v>693</v>
      </c>
      <c r="L331" s="149" t="s">
        <v>694</v>
      </c>
      <c r="M331" s="67">
        <v>1</v>
      </c>
      <c r="N331" s="67" t="s">
        <v>33</v>
      </c>
      <c r="O331" s="75" t="s">
        <v>34</v>
      </c>
      <c r="P331" s="176">
        <f t="shared" si="12"/>
        <v>0</v>
      </c>
      <c r="Q331" s="45"/>
      <c r="S331" s="45"/>
    </row>
    <row r="332" spans="1:27">
      <c r="A332" s="396" t="s">
        <v>695</v>
      </c>
      <c r="B332" s="383" t="s">
        <v>696</v>
      </c>
      <c r="C332" s="67">
        <v>2</v>
      </c>
      <c r="D332" s="67" t="s">
        <v>33</v>
      </c>
      <c r="E332" s="75" t="s">
        <v>34</v>
      </c>
      <c r="F332" s="394">
        <f t="shared" si="10"/>
        <v>0</v>
      </c>
      <c r="H332" s="67">
        <v>0</v>
      </c>
      <c r="I332" s="172">
        <v>0</v>
      </c>
      <c r="K332" s="369" t="s">
        <v>695</v>
      </c>
      <c r="L332" s="383" t="s">
        <v>696</v>
      </c>
      <c r="M332" s="67">
        <v>2</v>
      </c>
      <c r="N332" s="67" t="s">
        <v>33</v>
      </c>
      <c r="O332" s="75" t="s">
        <v>34</v>
      </c>
      <c r="P332" s="176">
        <f t="shared" si="12"/>
        <v>0</v>
      </c>
      <c r="Q332" s="45"/>
      <c r="S332" s="45"/>
    </row>
    <row r="333" spans="1:27">
      <c r="K333" s="45"/>
      <c r="L333" s="45"/>
      <c r="M333" s="69"/>
      <c r="N333" s="127"/>
      <c r="O333" s="127"/>
      <c r="P333" s="45"/>
      <c r="Q333" s="45"/>
    </row>
    <row r="334" spans="1:27">
      <c r="M334"/>
      <c r="N334"/>
      <c r="O334"/>
    </row>
    <row r="335" spans="1:27">
      <c r="M335"/>
      <c r="N335"/>
      <c r="O335"/>
    </row>
    <row r="336" spans="1:27">
      <c r="M336"/>
      <c r="N336"/>
      <c r="O336"/>
    </row>
    <row r="337" spans="13:15">
      <c r="M337"/>
      <c r="N337"/>
      <c r="O337"/>
    </row>
    <row r="339" spans="13:15">
      <c r="M339"/>
      <c r="N339"/>
      <c r="O339"/>
    </row>
    <row r="340" spans="13:15">
      <c r="M340"/>
      <c r="N340"/>
      <c r="O340"/>
    </row>
    <row r="341" spans="13:15">
      <c r="M341"/>
      <c r="N341"/>
      <c r="O341"/>
    </row>
    <row r="342" spans="13:15">
      <c r="M342"/>
      <c r="N342"/>
      <c r="O342"/>
    </row>
    <row r="361" spans="17:17">
      <c r="Q361" s="124"/>
    </row>
    <row r="362" spans="17:17">
      <c r="Q362" s="124"/>
    </row>
    <row r="363" spans="17:17">
      <c r="Q363" s="124"/>
    </row>
    <row r="364" spans="17:17">
      <c r="Q364" s="124"/>
    </row>
    <row r="365" spans="17:17">
      <c r="Q365" s="124"/>
    </row>
    <row r="366" spans="17:17">
      <c r="Q366" s="124"/>
    </row>
    <row r="367" spans="17:17">
      <c r="Q367" s="124"/>
    </row>
    <row r="368" spans="17:17">
      <c r="Q368" s="124"/>
    </row>
    <row r="369" spans="17:17">
      <c r="Q369" s="124"/>
    </row>
    <row r="370" spans="17:17">
      <c r="Q370" s="12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S59"/>
  <sheetViews>
    <sheetView tabSelected="1" zoomScale="80" zoomScaleNormal="80" workbookViewId="0">
      <pane ySplit="4" topLeftCell="A5" activePane="bottomLeft" state="frozen"/>
      <selection pane="bottomLeft" activeCell="D2" sqref="D2"/>
    </sheetView>
  </sheetViews>
  <sheetFormatPr defaultRowHeight="14.45"/>
  <cols>
    <col min="1" max="1" width="47.5703125" bestFit="1" customWidth="1"/>
    <col min="2" max="2" width="18.140625" bestFit="1" customWidth="1"/>
    <col min="3" max="3" width="15.85546875" customWidth="1"/>
    <col min="4" max="4" width="15.42578125" bestFit="1" customWidth="1"/>
    <col min="5" max="5" width="16.42578125" bestFit="1" customWidth="1"/>
    <col min="6" max="6" width="15.42578125" bestFit="1" customWidth="1"/>
    <col min="7" max="7" width="11.7109375" bestFit="1" customWidth="1"/>
    <col min="8" max="11" width="2.28515625" customWidth="1"/>
    <col min="12" max="15" width="15.28515625" customWidth="1"/>
    <col min="16" max="16" width="2" customWidth="1"/>
    <col min="17" max="17" width="0.42578125" customWidth="1"/>
    <col min="18" max="18" width="24.42578125" customWidth="1"/>
    <col min="19" max="19" width="46.85546875" customWidth="1"/>
    <col min="20" max="20" width="5.42578125" customWidth="1"/>
    <col min="21" max="21" width="7" customWidth="1"/>
    <col min="22" max="22" width="4.5703125" customWidth="1"/>
    <col min="23" max="25" width="3.85546875" customWidth="1"/>
  </cols>
  <sheetData>
    <row r="1" spans="1:19" ht="19.149999999999999">
      <c r="A1" s="166" t="s">
        <v>25</v>
      </c>
      <c r="B1" s="165" t="str">
        <f>INDEX(CCDDD!$K$2:$L$332,MATCH(A2,CCDDD!$L$2:$L$332,0),1)</f>
        <v>14005</v>
      </c>
      <c r="C1" s="88"/>
      <c r="D1" s="88"/>
      <c r="E1" s="88"/>
      <c r="F1" s="88"/>
      <c r="G1" s="88"/>
      <c r="L1" s="589" t="s">
        <v>697</v>
      </c>
      <c r="M1" s="590"/>
      <c r="N1" s="590"/>
      <c r="O1" s="591"/>
    </row>
    <row r="2" spans="1:19" ht="26.25" customHeight="1" thickBot="1">
      <c r="A2" s="586" t="s">
        <v>32</v>
      </c>
      <c r="B2" s="586"/>
      <c r="L2" s="592" t="s">
        <v>698</v>
      </c>
      <c r="M2" s="593"/>
      <c r="N2" s="593"/>
      <c r="O2" s="594"/>
    </row>
    <row r="3" spans="1:19" ht="18.600000000000001" thickBot="1">
      <c r="A3" s="88"/>
      <c r="B3" s="88"/>
      <c r="C3" s="88"/>
      <c r="D3" s="88"/>
      <c r="E3" s="88"/>
      <c r="F3" s="88"/>
      <c r="G3" s="88"/>
      <c r="L3" s="587" t="s">
        <v>699</v>
      </c>
      <c r="M3" s="588"/>
      <c r="N3" s="128" t="s">
        <v>700</v>
      </c>
      <c r="O3" s="595" t="s">
        <v>701</v>
      </c>
    </row>
    <row r="4" spans="1:19" ht="30.75" customHeight="1" thickBot="1">
      <c r="A4" s="171" t="s">
        <v>698</v>
      </c>
      <c r="B4" s="170" t="s">
        <v>702</v>
      </c>
      <c r="C4" s="170" t="s">
        <v>703</v>
      </c>
      <c r="D4" s="170" t="s">
        <v>704</v>
      </c>
      <c r="E4" s="170" t="s">
        <v>705</v>
      </c>
      <c r="F4" s="170" t="s">
        <v>706</v>
      </c>
      <c r="G4" s="170" t="s">
        <v>707</v>
      </c>
      <c r="L4" s="168">
        <v>10</v>
      </c>
      <c r="M4" s="169">
        <v>11</v>
      </c>
      <c r="N4" s="129" t="s">
        <v>702</v>
      </c>
      <c r="O4" s="596"/>
    </row>
    <row r="5" spans="1:19" ht="15.6">
      <c r="A5" s="304" t="s">
        <v>708</v>
      </c>
      <c r="B5" s="89">
        <v>0</v>
      </c>
      <c r="C5" s="89">
        <v>0</v>
      </c>
      <c r="D5" s="89">
        <v>0</v>
      </c>
      <c r="E5" s="89">
        <v>0</v>
      </c>
      <c r="F5" s="89">
        <v>0</v>
      </c>
      <c r="G5" s="89">
        <v>0</v>
      </c>
      <c r="L5" s="130"/>
      <c r="M5" s="131"/>
      <c r="N5" s="131"/>
      <c r="O5" s="132"/>
    </row>
    <row r="6" spans="1:19" ht="15.75" customHeight="1">
      <c r="A6" s="304" t="s">
        <v>709</v>
      </c>
      <c r="B6" s="89">
        <v>0</v>
      </c>
      <c r="C6" s="89">
        <v>0</v>
      </c>
      <c r="D6" s="89">
        <v>0</v>
      </c>
      <c r="E6" s="89">
        <v>0</v>
      </c>
      <c r="F6" s="89">
        <v>0</v>
      </c>
      <c r="G6" s="89">
        <v>0</v>
      </c>
      <c r="L6" s="133"/>
      <c r="M6" s="134"/>
      <c r="N6" s="134"/>
      <c r="O6" s="135"/>
      <c r="R6" s="580" t="s">
        <v>710</v>
      </c>
      <c r="S6" s="581"/>
    </row>
    <row r="7" spans="1:19" ht="15.75" customHeight="1">
      <c r="A7" s="304" t="s">
        <v>711</v>
      </c>
      <c r="B7" s="90">
        <f>B5-B6</f>
        <v>0</v>
      </c>
      <c r="C7" s="90">
        <f>C5-C6</f>
        <v>0</v>
      </c>
      <c r="D7" s="90">
        <f>D5-D6</f>
        <v>0</v>
      </c>
      <c r="E7" s="90">
        <f t="shared" ref="E7:G7" si="0">E5-E6</f>
        <v>0</v>
      </c>
      <c r="F7" s="90">
        <f t="shared" si="0"/>
        <v>0</v>
      </c>
      <c r="G7" s="90">
        <f t="shared" si="0"/>
        <v>0</v>
      </c>
      <c r="L7" s="136"/>
      <c r="M7" s="137"/>
      <c r="N7" s="134"/>
      <c r="O7" s="135"/>
      <c r="R7" s="582"/>
      <c r="S7" s="583"/>
    </row>
    <row r="8" spans="1:19" ht="15.75" customHeight="1">
      <c r="A8" s="88"/>
      <c r="B8" s="91"/>
      <c r="C8" s="88"/>
      <c r="D8" s="88"/>
      <c r="E8" s="88"/>
      <c r="F8" s="88"/>
      <c r="G8" s="88"/>
      <c r="L8" s="133"/>
      <c r="M8" s="134"/>
      <c r="N8" s="134"/>
      <c r="O8" s="135"/>
      <c r="R8" s="582"/>
      <c r="S8" s="583"/>
    </row>
    <row r="9" spans="1:19" ht="15.75" customHeight="1">
      <c r="A9" s="88" t="s">
        <v>712</v>
      </c>
      <c r="B9" s="92">
        <f>B10+B11</f>
        <v>0</v>
      </c>
      <c r="C9" s="92">
        <f>C10+C11</f>
        <v>0</v>
      </c>
      <c r="D9" s="92">
        <f>D10+D11</f>
        <v>0</v>
      </c>
      <c r="E9" s="92">
        <f t="shared" ref="E9:G9" si="1">E10+E11</f>
        <v>0</v>
      </c>
      <c r="F9" s="92">
        <f t="shared" si="1"/>
        <v>0</v>
      </c>
      <c r="G9" s="92">
        <f t="shared" si="1"/>
        <v>0</v>
      </c>
      <c r="L9" s="138">
        <f t="shared" ref="L9:N9" si="2">L10+L11</f>
        <v>0</v>
      </c>
      <c r="M9" s="139">
        <f t="shared" si="2"/>
        <v>0</v>
      </c>
      <c r="N9" s="140">
        <f t="shared" si="2"/>
        <v>0</v>
      </c>
      <c r="O9" s="152">
        <f>+B9-N9</f>
        <v>0</v>
      </c>
      <c r="R9" s="582"/>
      <c r="S9" s="583"/>
    </row>
    <row r="10" spans="1:19" ht="15.75" customHeight="1">
      <c r="A10" s="93" t="s">
        <v>713</v>
      </c>
      <c r="B10" s="92">
        <f>'GL 840 Nonspendable'!B9</f>
        <v>0</v>
      </c>
      <c r="C10" s="92">
        <f>'GL 840 Nonspendable'!B16</f>
        <v>0</v>
      </c>
      <c r="D10" s="91"/>
      <c r="E10" s="92">
        <f>'GL 840 Nonspendable'!B24</f>
        <v>0</v>
      </c>
      <c r="F10" s="91"/>
      <c r="G10" s="91"/>
      <c r="L10" s="141">
        <v>0</v>
      </c>
      <c r="M10" s="142">
        <v>0</v>
      </c>
      <c r="N10" s="140">
        <f>+L10+M10</f>
        <v>0</v>
      </c>
      <c r="O10" s="152">
        <f>+B10-N10</f>
        <v>0</v>
      </c>
      <c r="R10" s="582"/>
      <c r="S10" s="583"/>
    </row>
    <row r="11" spans="1:19" ht="15.75" customHeight="1">
      <c r="A11" s="93" t="s">
        <v>714</v>
      </c>
      <c r="B11" s="94"/>
      <c r="C11" s="94"/>
      <c r="D11" s="94"/>
      <c r="E11" s="94"/>
      <c r="F11" s="94"/>
      <c r="G11" s="95">
        <f>'GL 855 Nonspendable'!B7</f>
        <v>0</v>
      </c>
      <c r="L11" s="133"/>
      <c r="M11" s="134"/>
      <c r="N11" s="134"/>
      <c r="O11" s="135"/>
      <c r="R11" s="582"/>
      <c r="S11" s="583"/>
    </row>
    <row r="12" spans="1:19" ht="15.75" customHeight="1">
      <c r="A12" s="88"/>
      <c r="B12" s="91"/>
      <c r="C12" s="91"/>
      <c r="D12" s="91"/>
      <c r="E12" s="91"/>
      <c r="F12" s="91"/>
      <c r="G12" s="91"/>
      <c r="L12" s="133"/>
      <c r="M12" s="134"/>
      <c r="N12" s="134"/>
      <c r="O12" s="135"/>
      <c r="R12" s="582"/>
      <c r="S12" s="583"/>
    </row>
    <row r="13" spans="1:19" ht="15.75" customHeight="1">
      <c r="A13" s="88" t="s">
        <v>715</v>
      </c>
      <c r="B13" s="92">
        <f>SUM(B14:B31)</f>
        <v>1703321.1779999998</v>
      </c>
      <c r="C13" s="92">
        <f>SUM(C14:C31)</f>
        <v>0</v>
      </c>
      <c r="D13" s="92">
        <f>SUM(D15:D31)</f>
        <v>0</v>
      </c>
      <c r="E13" s="92">
        <f>SUM(E14:E31)</f>
        <v>0</v>
      </c>
      <c r="F13" s="92">
        <f>SUM(F16,F21:F22,F24)</f>
        <v>0</v>
      </c>
      <c r="G13" s="92">
        <f>SUM(G14:G31)</f>
        <v>0</v>
      </c>
      <c r="L13" s="138">
        <f t="shared" ref="L13:N13" si="3">SUM(L14:L31)</f>
        <v>0</v>
      </c>
      <c r="M13" s="139">
        <f t="shared" si="3"/>
        <v>0</v>
      </c>
      <c r="N13" s="140">
        <f t="shared" si="3"/>
        <v>0</v>
      </c>
      <c r="O13" s="152">
        <f>+B13-N13</f>
        <v>1703321.1779999998</v>
      </c>
      <c r="R13" s="582"/>
      <c r="S13" s="583"/>
    </row>
    <row r="14" spans="1:19" ht="15.75" customHeight="1">
      <c r="A14" s="93" t="s">
        <v>716</v>
      </c>
      <c r="B14" s="92">
        <f>'GL 810 Restricted'!B5</f>
        <v>0</v>
      </c>
      <c r="C14" s="92">
        <f>'GL 810 Restricted'!E5</f>
        <v>0</v>
      </c>
      <c r="D14" s="88"/>
      <c r="E14" s="92">
        <f>'GL 810 Restricted'!C5</f>
        <v>0</v>
      </c>
      <c r="F14" s="88"/>
      <c r="G14" s="92">
        <f>'GL 810 Restricted'!G5</f>
        <v>0</v>
      </c>
      <c r="L14" s="141">
        <v>0</v>
      </c>
      <c r="M14" s="142">
        <v>0</v>
      </c>
      <c r="N14" s="140">
        <f t="shared" ref="N14:N15" si="4">+L14+M14</f>
        <v>0</v>
      </c>
      <c r="O14" s="152">
        <f t="shared" ref="O14:O15" si="5">+B14-N14</f>
        <v>0</v>
      </c>
      <c r="R14" s="582"/>
      <c r="S14" s="583"/>
    </row>
    <row r="15" spans="1:19" ht="15.75" customHeight="1">
      <c r="A15" s="93" t="s">
        <v>717</v>
      </c>
      <c r="B15" s="92">
        <f>IF(VLOOKUP(B1,CCDDD!$K$2:$N$332,4,FALSE)="Cash",'GL 815 Restricted'!$C$14,0)</f>
        <v>0</v>
      </c>
      <c r="C15" s="91"/>
      <c r="D15" s="91"/>
      <c r="E15" s="91"/>
      <c r="F15" s="91"/>
      <c r="G15" s="91"/>
      <c r="L15" s="141">
        <v>0</v>
      </c>
      <c r="M15" s="142">
        <v>0</v>
      </c>
      <c r="N15" s="140">
        <f t="shared" si="4"/>
        <v>0</v>
      </c>
      <c r="O15" s="152">
        <f t="shared" si="5"/>
        <v>0</v>
      </c>
      <c r="R15" s="582"/>
      <c r="S15" s="583"/>
    </row>
    <row r="16" spans="1:19" ht="15.75" customHeight="1">
      <c r="A16" s="96" t="s">
        <v>718</v>
      </c>
      <c r="B16" s="97"/>
      <c r="C16" s="98">
        <f>C7-C9-C14-C24</f>
        <v>0</v>
      </c>
      <c r="D16" s="91"/>
      <c r="E16" s="91"/>
      <c r="F16" s="99">
        <f>IF(F7-F9-F33-SUM(F21:F24)&gt;=0,F7-F9-F33-SUM(F21:F24),0)</f>
        <v>0</v>
      </c>
      <c r="G16" s="91"/>
      <c r="L16" s="133"/>
      <c r="M16" s="134"/>
      <c r="N16" s="134"/>
      <c r="O16" s="135"/>
      <c r="R16" s="582"/>
      <c r="S16" s="583"/>
    </row>
    <row r="17" spans="1:19" ht="15.6">
      <c r="A17" s="93" t="s">
        <v>719</v>
      </c>
      <c r="B17" s="92">
        <f>'GL 821 Restricted'!C171</f>
        <v>1599151.0879999998</v>
      </c>
      <c r="C17" s="91"/>
      <c r="D17" s="91"/>
      <c r="E17" s="91"/>
      <c r="F17" s="91"/>
      <c r="G17" s="91"/>
      <c r="L17" s="141">
        <v>0</v>
      </c>
      <c r="M17" s="142">
        <v>0</v>
      </c>
      <c r="N17" s="140">
        <f t="shared" ref="N17:N24" si="6">+L17+M17</f>
        <v>0</v>
      </c>
      <c r="O17" s="152">
        <f t="shared" ref="O17:O24" si="7">+B17-N17</f>
        <v>1599151.0879999998</v>
      </c>
      <c r="R17" s="582"/>
      <c r="S17" s="583"/>
    </row>
    <row r="18" spans="1:19" ht="15.6">
      <c r="A18" s="319" t="s">
        <v>720</v>
      </c>
      <c r="B18" s="92">
        <f>'GL 823 Restricted'!F23</f>
        <v>0</v>
      </c>
      <c r="C18" s="91"/>
      <c r="D18" s="91"/>
      <c r="E18" s="91"/>
      <c r="F18" s="91"/>
      <c r="G18" s="91"/>
      <c r="L18" s="141">
        <v>0</v>
      </c>
      <c r="M18" s="142">
        <v>0</v>
      </c>
      <c r="N18" s="140">
        <f t="shared" ref="N18" si="8">+L18+M18</f>
        <v>0</v>
      </c>
      <c r="O18" s="152">
        <f t="shared" ref="O18" si="9">+B18-N18</f>
        <v>0</v>
      </c>
      <c r="R18" s="582"/>
      <c r="S18" s="583"/>
    </row>
    <row r="19" spans="1:19" ht="15.6">
      <c r="A19" s="93" t="s">
        <v>721</v>
      </c>
      <c r="B19" s="92">
        <f>'GL 825 Restricted'!C39</f>
        <v>0</v>
      </c>
      <c r="C19" s="91"/>
      <c r="D19" s="91"/>
      <c r="E19" s="92">
        <f>'GL 825 Restricted'!C45</f>
        <v>0</v>
      </c>
      <c r="F19" s="91"/>
      <c r="G19" s="91"/>
      <c r="L19" s="141">
        <v>0</v>
      </c>
      <c r="M19" s="142">
        <v>0</v>
      </c>
      <c r="N19" s="140">
        <f t="shared" si="6"/>
        <v>0</v>
      </c>
      <c r="O19" s="152">
        <f t="shared" si="7"/>
        <v>0</v>
      </c>
      <c r="R19" s="582"/>
      <c r="S19" s="583"/>
    </row>
    <row r="20" spans="1:19" ht="15.6" customHeight="1">
      <c r="A20" s="93" t="s">
        <v>722</v>
      </c>
      <c r="B20" s="92">
        <f>IF('GL 828 Restricted'!B39&gt;0,'GL 828 Restricted'!B39,0)+IF('GL 828 Restricted'!F44&gt;0,'GL 828 Restricted'!F44,0)</f>
        <v>104170.09000000001</v>
      </c>
      <c r="C20" s="91"/>
      <c r="D20" s="91"/>
      <c r="E20" s="91"/>
      <c r="F20" s="91"/>
      <c r="G20" s="91"/>
      <c r="L20" s="141">
        <v>0</v>
      </c>
      <c r="M20" s="142">
        <v>0</v>
      </c>
      <c r="N20" s="140">
        <f t="shared" si="6"/>
        <v>0</v>
      </c>
      <c r="O20" s="152">
        <f t="shared" si="7"/>
        <v>104170.09000000001</v>
      </c>
      <c r="R20" s="582"/>
      <c r="S20" s="583"/>
    </row>
    <row r="21" spans="1:19" ht="15.6" customHeight="1">
      <c r="A21" s="93" t="s">
        <v>723</v>
      </c>
      <c r="B21" s="92">
        <f>'GL 830 Restricted'!B6</f>
        <v>0</v>
      </c>
      <c r="C21" s="91"/>
      <c r="D21" s="98">
        <f>D7-D22-D44</f>
        <v>0</v>
      </c>
      <c r="E21" s="92">
        <f>'GL 830 Restricted'!C6</f>
        <v>0</v>
      </c>
      <c r="F21" s="92">
        <f>'GL 830 Restricted'!D6</f>
        <v>0</v>
      </c>
      <c r="G21" s="91"/>
      <c r="L21" s="141">
        <v>0</v>
      </c>
      <c r="M21" s="142">
        <v>0</v>
      </c>
      <c r="N21" s="140">
        <f t="shared" si="6"/>
        <v>0</v>
      </c>
      <c r="O21" s="152">
        <f t="shared" si="7"/>
        <v>0</v>
      </c>
      <c r="R21" s="582"/>
      <c r="S21" s="583"/>
    </row>
    <row r="22" spans="1:19" ht="15.6" customHeight="1">
      <c r="A22" s="93" t="s">
        <v>724</v>
      </c>
      <c r="B22" s="92">
        <f>'GL 835 Restricted'!B6</f>
        <v>0</v>
      </c>
      <c r="C22" s="91"/>
      <c r="D22" s="92">
        <f>'GL 835 Restricted'!C6</f>
        <v>0</v>
      </c>
      <c r="E22" s="92">
        <f>'GL 835 Restricted'!D6</f>
        <v>0</v>
      </c>
      <c r="F22" s="92">
        <f>'GL 835 Restricted'!E6</f>
        <v>0</v>
      </c>
      <c r="G22" s="91"/>
      <c r="L22" s="141">
        <v>0</v>
      </c>
      <c r="M22" s="142">
        <v>0</v>
      </c>
      <c r="N22" s="140">
        <f t="shared" si="6"/>
        <v>0</v>
      </c>
      <c r="O22" s="152">
        <f t="shared" si="7"/>
        <v>0</v>
      </c>
      <c r="R22" s="582"/>
      <c r="S22" s="583"/>
    </row>
    <row r="23" spans="1:19" ht="15.6" customHeight="1">
      <c r="A23" s="100" t="s">
        <v>725</v>
      </c>
      <c r="B23" s="92">
        <f>'GL 845 Restricted'!B7</f>
        <v>0</v>
      </c>
      <c r="C23" s="91"/>
      <c r="D23" s="91"/>
      <c r="E23" s="91"/>
      <c r="F23" s="91"/>
      <c r="G23" s="91"/>
      <c r="L23" s="141">
        <v>0</v>
      </c>
      <c r="M23" s="142">
        <v>0</v>
      </c>
      <c r="N23" s="140">
        <f t="shared" si="6"/>
        <v>0</v>
      </c>
      <c r="O23" s="152">
        <f t="shared" si="7"/>
        <v>0</v>
      </c>
      <c r="R23" s="584"/>
      <c r="S23" s="585"/>
    </row>
    <row r="24" spans="1:19" ht="15.6">
      <c r="A24" s="93" t="s">
        <v>726</v>
      </c>
      <c r="B24" s="92">
        <f>'GL 850 Restricted'!B8</f>
        <v>0</v>
      </c>
      <c r="C24" s="92">
        <f>'GL 850 Restricted'!C8</f>
        <v>0</v>
      </c>
      <c r="D24" s="91"/>
      <c r="E24" s="92">
        <f>'GL 850 Restricted'!D8</f>
        <v>0</v>
      </c>
      <c r="F24" s="92">
        <f>'GL 850 Restricted'!E8</f>
        <v>0</v>
      </c>
      <c r="G24" s="91"/>
      <c r="L24" s="141">
        <v>0</v>
      </c>
      <c r="M24" s="142">
        <v>0</v>
      </c>
      <c r="N24" s="140">
        <f t="shared" si="6"/>
        <v>0</v>
      </c>
      <c r="O24" s="152">
        <f t="shared" si="7"/>
        <v>0</v>
      </c>
    </row>
    <row r="25" spans="1:19" ht="15.6">
      <c r="A25" s="100" t="s">
        <v>727</v>
      </c>
      <c r="B25" s="94"/>
      <c r="C25" s="94"/>
      <c r="D25" s="94"/>
      <c r="E25" s="95">
        <f>'GL 861 CPF Restricted'!C11</f>
        <v>0</v>
      </c>
      <c r="F25" s="94"/>
      <c r="G25" s="94"/>
      <c r="L25" s="133"/>
      <c r="M25" s="134"/>
      <c r="N25" s="134"/>
      <c r="O25" s="135"/>
    </row>
    <row r="26" spans="1:19" ht="15.6">
      <c r="A26" s="93" t="s">
        <v>728</v>
      </c>
      <c r="B26" s="94"/>
      <c r="C26" s="94"/>
      <c r="D26" s="94"/>
      <c r="E26" s="95">
        <f>'GL 863 CPF Restricted'!C11</f>
        <v>0</v>
      </c>
      <c r="F26" s="94"/>
      <c r="G26" s="94"/>
      <c r="L26" s="133"/>
      <c r="M26" s="134"/>
      <c r="N26" s="134"/>
      <c r="O26" s="135"/>
    </row>
    <row r="27" spans="1:19" ht="15.6">
      <c r="A27" s="93" t="s">
        <v>729</v>
      </c>
      <c r="B27" s="94"/>
      <c r="C27" s="94"/>
      <c r="D27" s="94"/>
      <c r="E27" s="95">
        <f>'GL 864 CPF Restricted'!C11</f>
        <v>0</v>
      </c>
      <c r="F27" s="94"/>
      <c r="G27" s="94"/>
      <c r="L27" s="133"/>
      <c r="M27" s="134"/>
      <c r="N27" s="134"/>
      <c r="O27" s="135"/>
    </row>
    <row r="28" spans="1:19" ht="15.6">
      <c r="A28" s="100" t="s">
        <v>730</v>
      </c>
      <c r="B28" s="94"/>
      <c r="C28" s="94"/>
      <c r="D28" s="94"/>
      <c r="E28" s="95">
        <f>'GL 865 CPF Restricted'!C11</f>
        <v>0</v>
      </c>
      <c r="F28" s="94"/>
      <c r="G28" s="94"/>
      <c r="L28" s="133"/>
      <c r="M28" s="134"/>
      <c r="N28" s="134"/>
      <c r="O28" s="135"/>
    </row>
    <row r="29" spans="1:19" ht="15.6">
      <c r="A29" s="100" t="s">
        <v>731</v>
      </c>
      <c r="B29" s="94"/>
      <c r="C29" s="94"/>
      <c r="D29" s="94"/>
      <c r="E29" s="95">
        <f>'GL 866 CPF Restricted'!C11</f>
        <v>0</v>
      </c>
      <c r="F29" s="94"/>
      <c r="G29" s="94"/>
      <c r="L29" s="133"/>
      <c r="M29" s="134"/>
      <c r="N29" s="134"/>
      <c r="O29" s="135"/>
    </row>
    <row r="30" spans="1:19" ht="15.6">
      <c r="A30" s="93" t="s">
        <v>732</v>
      </c>
      <c r="B30" s="94"/>
      <c r="C30" s="94"/>
      <c r="D30" s="94"/>
      <c r="E30" s="95">
        <f>'GL 867 CPF Restricted'!C11</f>
        <v>0</v>
      </c>
      <c r="F30" s="94"/>
      <c r="G30" s="94"/>
      <c r="L30" s="133"/>
      <c r="M30" s="134"/>
      <c r="N30" s="134"/>
      <c r="O30" s="135"/>
    </row>
    <row r="31" spans="1:19" ht="15.6">
      <c r="A31" s="93" t="s">
        <v>733</v>
      </c>
      <c r="B31" s="94"/>
      <c r="C31" s="94"/>
      <c r="D31" s="94"/>
      <c r="E31" s="95">
        <f>'GL 869 CPF Restricted'!C11</f>
        <v>0</v>
      </c>
      <c r="F31" s="94"/>
      <c r="G31" s="94"/>
      <c r="L31" s="133"/>
      <c r="M31" s="134"/>
      <c r="N31" s="134"/>
      <c r="O31" s="135"/>
    </row>
    <row r="32" spans="1:19" ht="15.6">
      <c r="A32" s="88"/>
      <c r="B32" s="91"/>
      <c r="C32" s="91"/>
      <c r="D32" s="91"/>
      <c r="E32" s="91"/>
      <c r="F32" s="91"/>
      <c r="G32" s="91"/>
      <c r="L32" s="133"/>
      <c r="M32" s="134"/>
      <c r="N32" s="134"/>
      <c r="O32" s="135"/>
    </row>
    <row r="33" spans="1:15" ht="15.6">
      <c r="A33" s="101" t="s">
        <v>734</v>
      </c>
      <c r="B33" s="92">
        <f>SUM(B34:B37)</f>
        <v>0</v>
      </c>
      <c r="C33" s="97"/>
      <c r="D33" s="97"/>
      <c r="E33" s="92">
        <f>SUM(E34:E37)</f>
        <v>0</v>
      </c>
      <c r="F33" s="92">
        <f>SUM(F34:F37)</f>
        <v>0</v>
      </c>
      <c r="G33" s="92">
        <f>SUM(G34:G37)</f>
        <v>0</v>
      </c>
      <c r="L33" s="138">
        <f t="shared" ref="L33:N33" si="10">SUM(L34:L37)</f>
        <v>0</v>
      </c>
      <c r="M33" s="139">
        <f t="shared" si="10"/>
        <v>0</v>
      </c>
      <c r="N33" s="140">
        <f t="shared" si="10"/>
        <v>0</v>
      </c>
      <c r="O33" s="152">
        <f>+B33-N33</f>
        <v>0</v>
      </c>
    </row>
    <row r="34" spans="1:15" ht="15.6">
      <c r="A34" s="93" t="s">
        <v>735</v>
      </c>
      <c r="B34" s="94"/>
      <c r="C34" s="94"/>
      <c r="D34" s="94"/>
      <c r="E34" s="95">
        <f>'GL 862 CPF Restricted'!C11</f>
        <v>0</v>
      </c>
      <c r="F34" s="94"/>
      <c r="G34" s="94"/>
      <c r="L34" s="133"/>
      <c r="M34" s="134"/>
      <c r="N34" s="134"/>
      <c r="O34" s="135"/>
    </row>
    <row r="35" spans="1:15" ht="15.6">
      <c r="A35" s="100" t="s">
        <v>736</v>
      </c>
      <c r="B35" s="92">
        <f>'GL 870 Committed'!B6</f>
        <v>0</v>
      </c>
      <c r="C35" s="97"/>
      <c r="D35" s="97"/>
      <c r="E35" s="92">
        <f>'GL 870 Committed'!C6</f>
        <v>0</v>
      </c>
      <c r="F35" s="92">
        <f>'GL 870 Committed'!G6</f>
        <v>0</v>
      </c>
      <c r="G35" s="92">
        <f>'GL 870 Committed'!F6</f>
        <v>0</v>
      </c>
      <c r="L35" s="141">
        <v>0</v>
      </c>
      <c r="M35" s="142">
        <v>0</v>
      </c>
      <c r="N35" s="140">
        <f>+L35+M35</f>
        <v>0</v>
      </c>
      <c r="O35" s="152">
        <f>+B35-N35</f>
        <v>0</v>
      </c>
    </row>
    <row r="36" spans="1:15" ht="15.6">
      <c r="A36" s="102" t="s">
        <v>737</v>
      </c>
      <c r="B36" s="92">
        <f>'GL 872 Committed'!B5</f>
        <v>0</v>
      </c>
      <c r="C36" s="97"/>
      <c r="D36" s="97"/>
      <c r="E36" s="97"/>
      <c r="F36" s="97"/>
      <c r="G36" s="97"/>
      <c r="L36" s="141">
        <v>0</v>
      </c>
      <c r="M36" s="142">
        <v>0</v>
      </c>
      <c r="N36" s="140">
        <f>+L36+M36</f>
        <v>0</v>
      </c>
      <c r="O36" s="152">
        <f>+B36-N36</f>
        <v>0</v>
      </c>
    </row>
    <row r="37" spans="1:15" ht="15.6">
      <c r="A37" s="270" t="s">
        <v>738</v>
      </c>
      <c r="B37" s="92">
        <f>'GL 873 Committed'!B5</f>
        <v>0</v>
      </c>
      <c r="C37" s="91"/>
      <c r="D37" s="97"/>
      <c r="E37" s="91"/>
      <c r="F37" s="91"/>
      <c r="G37" s="91"/>
      <c r="L37" s="141">
        <v>0</v>
      </c>
      <c r="M37" s="142">
        <v>0</v>
      </c>
      <c r="N37" s="140">
        <f>+L37+M37</f>
        <v>0</v>
      </c>
      <c r="O37" s="152">
        <f>+B37-N37</f>
        <v>0</v>
      </c>
    </row>
    <row r="38" spans="1:15" ht="15.6">
      <c r="A38" s="103"/>
      <c r="B38" s="94"/>
      <c r="C38" s="94"/>
      <c r="D38" s="94"/>
      <c r="E38" s="88"/>
      <c r="F38" s="94"/>
      <c r="G38" s="94"/>
      <c r="L38" s="133"/>
      <c r="M38" s="134"/>
      <c r="N38" s="134"/>
      <c r="O38" s="135"/>
    </row>
    <row r="39" spans="1:15" ht="15.6">
      <c r="A39" s="88"/>
      <c r="B39" s="91"/>
      <c r="C39" s="91"/>
      <c r="D39" s="97"/>
      <c r="E39" s="91"/>
      <c r="F39" s="91"/>
      <c r="G39" s="91"/>
      <c r="L39" s="133"/>
      <c r="M39" s="134"/>
      <c r="N39" s="134"/>
      <c r="O39" s="135"/>
    </row>
    <row r="40" spans="1:15" ht="15.6">
      <c r="A40" s="88" t="s">
        <v>739</v>
      </c>
      <c r="B40" s="92">
        <f>MAX(MIN(SUM(B41:B44),B7-B9-B13-B33),0)</f>
        <v>0</v>
      </c>
      <c r="C40" s="97"/>
      <c r="D40" s="97"/>
      <c r="E40" s="92">
        <f>E44</f>
        <v>0</v>
      </c>
      <c r="F40" s="97"/>
      <c r="G40" s="92">
        <f>G44</f>
        <v>0</v>
      </c>
      <c r="L40" s="138">
        <f>SUM(L41:L44)</f>
        <v>0</v>
      </c>
      <c r="M40" s="139">
        <f>SUM(M41:M44)</f>
        <v>0</v>
      </c>
      <c r="N40" s="140">
        <f>SUM(N41:N44)</f>
        <v>0</v>
      </c>
      <c r="O40" s="152">
        <f t="shared" ref="O40:O44" si="11">+B40-N40</f>
        <v>0</v>
      </c>
    </row>
    <row r="41" spans="1:15" ht="15.6">
      <c r="A41" s="100" t="s">
        <v>740</v>
      </c>
      <c r="B41" s="92">
        <f>'GL 875 Assigned'!B6</f>
        <v>0</v>
      </c>
      <c r="C41" s="91"/>
      <c r="D41" s="97"/>
      <c r="E41" s="91"/>
      <c r="F41" s="91"/>
      <c r="G41" s="91"/>
      <c r="L41" s="141">
        <v>0</v>
      </c>
      <c r="M41" s="142">
        <v>0</v>
      </c>
      <c r="N41" s="140">
        <f t="shared" ref="N41:N44" si="12">+L41+M41</f>
        <v>0</v>
      </c>
      <c r="O41" s="152">
        <f t="shared" si="11"/>
        <v>0</v>
      </c>
    </row>
    <row r="42" spans="1:15" ht="15.6">
      <c r="A42" s="93" t="s">
        <v>741</v>
      </c>
      <c r="B42" s="92">
        <f>'GL 884 Assigned'!B5</f>
        <v>0</v>
      </c>
      <c r="C42" s="91"/>
      <c r="D42" s="97"/>
      <c r="E42" s="91"/>
      <c r="F42" s="91"/>
      <c r="G42" s="91"/>
      <c r="L42" s="141">
        <v>0</v>
      </c>
      <c r="M42" s="142">
        <v>0</v>
      </c>
      <c r="N42" s="140">
        <f t="shared" si="12"/>
        <v>0</v>
      </c>
      <c r="O42" s="152">
        <f t="shared" si="11"/>
        <v>0</v>
      </c>
    </row>
    <row r="43" spans="1:15" ht="15.6">
      <c r="A43" s="93" t="s">
        <v>742</v>
      </c>
      <c r="B43" s="92">
        <f>'GL 888 Assigned'!B5</f>
        <v>0</v>
      </c>
      <c r="C43" s="91"/>
      <c r="D43" s="97"/>
      <c r="E43" s="91"/>
      <c r="F43" s="91"/>
      <c r="G43" s="91"/>
      <c r="L43" s="141">
        <v>0</v>
      </c>
      <c r="M43" s="142">
        <v>0</v>
      </c>
      <c r="N43" s="140">
        <f t="shared" si="12"/>
        <v>0</v>
      </c>
      <c r="O43" s="152">
        <f t="shared" si="11"/>
        <v>0</v>
      </c>
    </row>
    <row r="44" spans="1:15" ht="15.6">
      <c r="A44" s="104" t="s">
        <v>743</v>
      </c>
      <c r="B44" s="94"/>
      <c r="C44" s="105"/>
      <c r="D44" s="106">
        <v>0</v>
      </c>
      <c r="E44" s="99">
        <f>IF(E7-E9-E13-E33&gt;=0,E7-E9-E13-E33,0)</f>
        <v>0</v>
      </c>
      <c r="F44" s="88"/>
      <c r="G44" s="95">
        <f>IF(G7-G9-G13-G33&gt;=0,G7-G9-G13-G33,0)</f>
        <v>0</v>
      </c>
      <c r="L44" s="141">
        <v>0</v>
      </c>
      <c r="M44" s="142">
        <v>0</v>
      </c>
      <c r="N44" s="140">
        <f t="shared" si="12"/>
        <v>0</v>
      </c>
      <c r="O44" s="152">
        <f t="shared" si="11"/>
        <v>0</v>
      </c>
    </row>
    <row r="45" spans="1:15" ht="15.6">
      <c r="A45" s="88"/>
      <c r="B45" s="91"/>
      <c r="C45" s="91"/>
      <c r="D45" s="91"/>
      <c r="E45" s="91"/>
      <c r="F45" s="91"/>
      <c r="G45" s="91"/>
      <c r="L45" s="133"/>
      <c r="M45" s="134"/>
      <c r="N45" s="134"/>
      <c r="O45" s="135"/>
    </row>
    <row r="46" spans="1:15" ht="15.6">
      <c r="A46" s="88" t="s">
        <v>744</v>
      </c>
      <c r="B46" s="107">
        <f>+B47+B48</f>
        <v>-1703321.1779999998</v>
      </c>
      <c r="L46" s="138">
        <f t="shared" ref="L46:N46" si="13">+L47+L48</f>
        <v>0</v>
      </c>
      <c r="M46" s="139">
        <f t="shared" si="13"/>
        <v>0</v>
      </c>
      <c r="N46" s="140">
        <f t="shared" si="13"/>
        <v>0</v>
      </c>
      <c r="O46" s="152">
        <f t="shared" ref="O46:O48" si="14">+B46-N46</f>
        <v>-1703321.1779999998</v>
      </c>
    </row>
    <row r="47" spans="1:15" ht="15.6">
      <c r="A47" s="96" t="s">
        <v>745</v>
      </c>
      <c r="B47" s="108">
        <f>B7-B9-B13-B33-B40-B48</f>
        <v>-1703321.1779999998</v>
      </c>
      <c r="C47" s="107">
        <f>IF(C7-C9-C13-C33&gt;=0,0,C7-C9-C13-C33)</f>
        <v>0</v>
      </c>
      <c r="D47" s="107">
        <f>IF(D7-D9-D13-D33&gt;=0,0,D7-D9-D13-D33)</f>
        <v>0</v>
      </c>
      <c r="E47" s="107">
        <f>IF(E7-E9-E13-E33&gt;=0,0,E7-E9-E13-E33)</f>
        <v>0</v>
      </c>
      <c r="F47" s="107">
        <f>IF(F7-F9-F13-F33&gt;=0,0,F7-F9-F13-F33)</f>
        <v>0</v>
      </c>
      <c r="G47" s="107">
        <f>IF(G7-G9-G13-G33&gt;=0,0,G7-G9-G13-G33)</f>
        <v>0</v>
      </c>
      <c r="L47" s="141">
        <v>0</v>
      </c>
      <c r="M47" s="142">
        <v>0</v>
      </c>
      <c r="N47" s="140">
        <f t="shared" ref="N47:N48" si="15">+L47+M47</f>
        <v>0</v>
      </c>
      <c r="O47" s="152">
        <f t="shared" si="14"/>
        <v>-1703321.1779999998</v>
      </c>
    </row>
    <row r="48" spans="1:15" ht="15.6">
      <c r="A48" s="100" t="s">
        <v>746</v>
      </c>
      <c r="B48" s="109">
        <f>'GL 891 Unassigned MFBP'!B28</f>
        <v>0</v>
      </c>
      <c r="C48" s="88"/>
      <c r="D48" s="88"/>
      <c r="E48" s="88"/>
      <c r="F48" s="88"/>
      <c r="G48" s="88"/>
      <c r="L48" s="141">
        <v>0</v>
      </c>
      <c r="M48" s="142">
        <v>0</v>
      </c>
      <c r="N48" s="140">
        <f t="shared" si="15"/>
        <v>0</v>
      </c>
      <c r="O48" s="152">
        <f t="shared" si="14"/>
        <v>0</v>
      </c>
    </row>
    <row r="49" spans="1:15" ht="15.6">
      <c r="A49" s="88"/>
      <c r="B49" s="88"/>
      <c r="C49" s="88"/>
      <c r="D49" s="88"/>
      <c r="E49" s="88"/>
      <c r="F49" s="88"/>
      <c r="G49" s="88"/>
      <c r="L49" s="133"/>
      <c r="M49" s="134"/>
      <c r="N49" s="134"/>
      <c r="O49" s="135"/>
    </row>
    <row r="50" spans="1:15" ht="15.6">
      <c r="A50" s="88" t="s">
        <v>747</v>
      </c>
      <c r="B50" s="88"/>
      <c r="C50" s="88"/>
      <c r="D50" s="88"/>
      <c r="E50" s="88"/>
      <c r="F50" s="88"/>
      <c r="G50" s="88"/>
      <c r="L50" s="133"/>
      <c r="M50" s="134"/>
      <c r="N50" s="134"/>
      <c r="O50" s="135"/>
    </row>
    <row r="51" spans="1:15" ht="15.6">
      <c r="A51" s="88" t="s">
        <v>712</v>
      </c>
      <c r="B51" s="110">
        <f t="shared" ref="B51:G51" si="16">B9</f>
        <v>0</v>
      </c>
      <c r="C51" s="110">
        <f t="shared" si="16"/>
        <v>0</v>
      </c>
      <c r="D51" s="110">
        <f t="shared" si="16"/>
        <v>0</v>
      </c>
      <c r="E51" s="110">
        <f t="shared" si="16"/>
        <v>0</v>
      </c>
      <c r="F51" s="110">
        <f t="shared" si="16"/>
        <v>0</v>
      </c>
      <c r="G51" s="110">
        <f t="shared" si="16"/>
        <v>0</v>
      </c>
      <c r="L51" s="138">
        <f t="shared" ref="L51:N51" si="17">L9</f>
        <v>0</v>
      </c>
      <c r="M51" s="139">
        <f t="shared" si="17"/>
        <v>0</v>
      </c>
      <c r="N51" s="140">
        <f t="shared" si="17"/>
        <v>0</v>
      </c>
      <c r="O51" s="152">
        <f t="shared" ref="O51:O56" si="18">+B51-N51</f>
        <v>0</v>
      </c>
    </row>
    <row r="52" spans="1:15" ht="15.6">
      <c r="A52" s="88" t="s">
        <v>715</v>
      </c>
      <c r="B52" s="110">
        <f t="shared" ref="B52:G52" si="19">B13</f>
        <v>1703321.1779999998</v>
      </c>
      <c r="C52" s="110">
        <f t="shared" si="19"/>
        <v>0</v>
      </c>
      <c r="D52" s="110">
        <f t="shared" si="19"/>
        <v>0</v>
      </c>
      <c r="E52" s="110">
        <f t="shared" si="19"/>
        <v>0</v>
      </c>
      <c r="F52" s="110">
        <f t="shared" si="19"/>
        <v>0</v>
      </c>
      <c r="G52" s="110">
        <f t="shared" si="19"/>
        <v>0</v>
      </c>
      <c r="L52" s="138">
        <f t="shared" ref="L52:N52" si="20">L13</f>
        <v>0</v>
      </c>
      <c r="M52" s="139">
        <f t="shared" si="20"/>
        <v>0</v>
      </c>
      <c r="N52" s="140">
        <f t="shared" si="20"/>
        <v>0</v>
      </c>
      <c r="O52" s="152">
        <f t="shared" si="18"/>
        <v>1703321.1779999998</v>
      </c>
    </row>
    <row r="53" spans="1:15" ht="15.6">
      <c r="A53" s="88" t="s">
        <v>734</v>
      </c>
      <c r="B53" s="110">
        <f>B33</f>
        <v>0</v>
      </c>
      <c r="C53" s="110">
        <f>C33</f>
        <v>0</v>
      </c>
      <c r="D53" s="110">
        <f>D33</f>
        <v>0</v>
      </c>
      <c r="E53" s="110">
        <f t="shared" ref="E53:G53" si="21">E33</f>
        <v>0</v>
      </c>
      <c r="F53" s="110">
        <f t="shared" si="21"/>
        <v>0</v>
      </c>
      <c r="G53" s="110">
        <f t="shared" si="21"/>
        <v>0</v>
      </c>
      <c r="L53" s="138">
        <f t="shared" ref="L53:N53" si="22">L33</f>
        <v>0</v>
      </c>
      <c r="M53" s="139">
        <f t="shared" si="22"/>
        <v>0</v>
      </c>
      <c r="N53" s="140">
        <f t="shared" si="22"/>
        <v>0</v>
      </c>
      <c r="O53" s="152">
        <f t="shared" si="18"/>
        <v>0</v>
      </c>
    </row>
    <row r="54" spans="1:15" ht="15.6">
      <c r="A54" s="88" t="s">
        <v>739</v>
      </c>
      <c r="B54" s="107">
        <f>IF(SUM(B51:B53)&gt;B7,0,MIN(B7-SUM(B51:B53),B40))</f>
        <v>0</v>
      </c>
      <c r="C54" s="107">
        <f>IF(SUM(C51:C53)&gt;C7,0,C7-SUM(C51:C53))</f>
        <v>0</v>
      </c>
      <c r="D54" s="107">
        <f>IF(SUM(D51:D53)&gt;D7,0,D7-SUM(D51:D53))</f>
        <v>0</v>
      </c>
      <c r="E54" s="107">
        <f>IF(SUM(E51:E53)&gt;E7,0,E7-SUM(E51:E53))</f>
        <v>0</v>
      </c>
      <c r="F54" s="107">
        <f>IF(SUM(F51:F53)&gt;F7,0,F7-SUM(F51:F53))</f>
        <v>0</v>
      </c>
      <c r="G54" s="107">
        <f>IF(SUM(G51:G53)&gt;G7,0,G7-SUM(G51:G53))</f>
        <v>0</v>
      </c>
      <c r="L54" s="138">
        <f>L40</f>
        <v>0</v>
      </c>
      <c r="M54" s="139">
        <f>M40</f>
        <v>0</v>
      </c>
      <c r="N54" s="140">
        <f>N40</f>
        <v>0</v>
      </c>
      <c r="O54" s="152">
        <f t="shared" si="18"/>
        <v>0</v>
      </c>
    </row>
    <row r="55" spans="1:15" ht="15.6">
      <c r="A55" s="88" t="s">
        <v>744</v>
      </c>
      <c r="B55" s="107">
        <f>B7-SUM(B51:B54)</f>
        <v>-1703321.1779999998</v>
      </c>
      <c r="C55" s="107">
        <f>IF(SUM(C51:C53)&gt;C7,C7-SUM(C51:C53),0)</f>
        <v>0</v>
      </c>
      <c r="D55" s="107">
        <f>IF(SUM(D51:D53)&gt;D7,D7-SUM(D51:D53),0)</f>
        <v>0</v>
      </c>
      <c r="E55" s="107">
        <f>IF(SUM(E51:E53)&gt;E7,E7-SUM(E51:E53),0)</f>
        <v>0</v>
      </c>
      <c r="F55" s="107">
        <f>IF(SUM(F51:F53)&gt;F7,F7-SUM(F51:F53),0)</f>
        <v>0</v>
      </c>
      <c r="G55" s="107">
        <f>IF(SUM(G51:G53)&gt;G7,G7-SUM(G51:G53),0)</f>
        <v>0</v>
      </c>
      <c r="L55" s="138">
        <f>L46</f>
        <v>0</v>
      </c>
      <c r="M55" s="139">
        <f>M46</f>
        <v>0</v>
      </c>
      <c r="N55" s="140">
        <f>N46</f>
        <v>0</v>
      </c>
      <c r="O55" s="152">
        <f t="shared" si="18"/>
        <v>-1703321.1779999998</v>
      </c>
    </row>
    <row r="56" spans="1:15" ht="16.149999999999999" thickBot="1">
      <c r="A56" s="88" t="s">
        <v>711</v>
      </c>
      <c r="B56" s="109">
        <f>SUM(B51:B55)</f>
        <v>0</v>
      </c>
      <c r="C56" s="109">
        <f>SUM(C51:C55)</f>
        <v>0</v>
      </c>
      <c r="D56" s="109">
        <f>SUM(D51:D55)</f>
        <v>0</v>
      </c>
      <c r="E56" s="109">
        <f t="shared" ref="E56:G56" si="23">SUM(E51:E55)</f>
        <v>0</v>
      </c>
      <c r="F56" s="109">
        <f t="shared" si="23"/>
        <v>0</v>
      </c>
      <c r="G56" s="109">
        <f t="shared" si="23"/>
        <v>0</v>
      </c>
      <c r="L56" s="143">
        <f t="shared" ref="L56:N56" si="24">SUM(L51:L55)</f>
        <v>0</v>
      </c>
      <c r="M56" s="144">
        <f t="shared" si="24"/>
        <v>0</v>
      </c>
      <c r="N56" s="145">
        <f t="shared" si="24"/>
        <v>0</v>
      </c>
      <c r="O56" s="153">
        <f t="shared" si="18"/>
        <v>0</v>
      </c>
    </row>
    <row r="57" spans="1:15" ht="15.6">
      <c r="A57" s="88"/>
      <c r="B57" s="88"/>
      <c r="C57" s="88"/>
      <c r="D57" s="88"/>
      <c r="E57" s="88"/>
      <c r="F57" s="88"/>
      <c r="G57" s="88"/>
    </row>
    <row r="58" spans="1:15" ht="15.6">
      <c r="A58" s="88"/>
      <c r="B58" s="88"/>
      <c r="C58" s="88"/>
      <c r="D58" s="88"/>
      <c r="E58" s="88"/>
      <c r="F58" s="88"/>
      <c r="G58" s="88"/>
    </row>
    <row r="59" spans="1:15">
      <c r="A59" s="126" t="s">
        <v>748</v>
      </c>
    </row>
  </sheetData>
  <mergeCells count="6">
    <mergeCell ref="R6:S23"/>
    <mergeCell ref="A2:B2"/>
    <mergeCell ref="L3:M3"/>
    <mergeCell ref="L1:O1"/>
    <mergeCell ref="L2:O2"/>
    <mergeCell ref="O3:O4"/>
  </mergeCells>
  <hyperlinks>
    <hyperlink ref="A14" location="'GL 810 Restricted'!A1" display="GL 810 Other Items" xr:uid="{00000000-0004-0000-0200-000000000000}"/>
    <hyperlink ref="A15" location="'GL 815 Restricted'!A1" display="GL 815 Unequalized Deductible Revenues" xr:uid="{00000000-0004-0000-0200-000001000000}"/>
    <hyperlink ref="A17" location="'GL 821 Restricted'!A1" display="GL 821 Carryover of Restricted Revenues" xr:uid="{00000000-0004-0000-0200-000002000000}"/>
    <hyperlink ref="A10" location="'GL 840 Nonspendable'!A1" display="GL 840 Inventory &amp; Prepaid Items" xr:uid="{00000000-0004-0000-0200-000004000000}"/>
    <hyperlink ref="A21" location="'GL 830 Restricted'!A1" display="GL 830 Debt Service" xr:uid="{00000000-0004-0000-0200-000005000000}"/>
    <hyperlink ref="A22" location="'GL 835 Restricted'!A1" display="GL 835 Arbitrage Rebate" xr:uid="{00000000-0004-0000-0200-000006000000}"/>
    <hyperlink ref="A25" location="'GL 861 CPF Restricted'!A1" display="GL 861 Bond Proceeds" xr:uid="{00000000-0004-0000-0200-000007000000}"/>
    <hyperlink ref="A34" location="'GL 862 CPF Restricted'!A1" display="GL 862 Levy Proceeds" xr:uid="{00000000-0004-0000-0200-000008000000}"/>
    <hyperlink ref="A26" location="'GL 863 CPF Restricted'!A1" display="GL 863 State Proceeds" xr:uid="{00000000-0004-0000-0200-000009000000}"/>
    <hyperlink ref="A27" location="'GL 864 CPF Restricted'!A1" display="GL 864 Federal Proceeds" xr:uid="{00000000-0004-0000-0200-00000A000000}"/>
    <hyperlink ref="A28" location="'GL 865 CPF Restricted'!A1" display="GL 865 Other Proceeds" xr:uid="{00000000-0004-0000-0200-00000B000000}"/>
    <hyperlink ref="A29" location="'GL 866 CPF Restricted'!A1" display="GL 866 Impact Fee Proceeds" xr:uid="{00000000-0004-0000-0200-00000C000000}"/>
    <hyperlink ref="A30" location="'GL 867 CPF Restricted'!A1" display="GL 867 Mitigation Fee Proceeds" xr:uid="{00000000-0004-0000-0200-00000D000000}"/>
    <hyperlink ref="A31" location="'GL 869 CPF Restricted'!A1" display="GL 869 Undistributed Proceeds" xr:uid="{00000000-0004-0000-0200-00000E000000}"/>
    <hyperlink ref="A35" location="'GL 870 Committed'!A1" display="GL 870 Other Purposes" xr:uid="{00000000-0004-0000-0200-00000F000000}"/>
    <hyperlink ref="A11" location="'GL 855 Nonspendable'!A1" display="GL 855 Trust Principal" xr:uid="{00000000-0004-0000-0200-000010000000}"/>
    <hyperlink ref="A41" location="'GL 875 Assigned'!A1" display="GL 875 Contingencies" xr:uid="{00000000-0004-0000-0200-000011000000}"/>
    <hyperlink ref="A42" location="'GL 884 Assigned'!A1" display="GL 884 Other Capital Projects" xr:uid="{00000000-0004-0000-0200-000012000000}"/>
    <hyperlink ref="A43" location="'GL 888 Assigned'!A1" display="GL 888 Other Purposes" xr:uid="{00000000-0004-0000-0200-000013000000}"/>
    <hyperlink ref="A23" location="'GL 845 Restricted'!A1" display="GL 845 Self-Insurance" xr:uid="{00000000-0004-0000-0200-000014000000}"/>
    <hyperlink ref="A24" location="'GL 850 Restricted'!A1" display="GL 850 Uninsured Risks" xr:uid="{00000000-0004-0000-0200-000015000000}"/>
    <hyperlink ref="A20" location="'GL 828 Restricted'!A1" display="GL 828 Food Service Program Revenue Carryover" xr:uid="{00000000-0004-0000-0200-000016000000}"/>
    <hyperlink ref="A19" location="'GL 825 Restricted'!A1" display="GL 825 Restricted for Skills Centers" xr:uid="{00000000-0004-0000-0200-000017000000}"/>
    <hyperlink ref="A48" location="'GL 891 Unassigned MFBP'!A1" display="GL 891 Unassigned MFBP" xr:uid="{00000000-0004-0000-0200-000018000000}"/>
    <hyperlink ref="A37" location="'GL 873 Committed'!A1" display="GL 873 Depreciation Sub-Fund Facility Maintenance " xr:uid="{00000000-0004-0000-0200-000003000000}"/>
    <hyperlink ref="A36" location="'GL 872 Committed'!A1" display="GL 872 Minimum Fund Balance Policy" xr:uid="{DE56D57F-5AEC-45BA-AA5C-990E0DF11629}"/>
    <hyperlink ref="A18" location="'GL 823 Restricted'!A1" display="GL 823 Restricted for Transition to Kindergarten" xr:uid="{07844FC3-2247-44FF-9333-88C2FCB4EB60}"/>
  </hyperlinks>
  <pageMargins left="0.45" right="0.2" top="0.75" bottom="0.75" header="0.3" footer="0.3"/>
  <pageSetup scale="60"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CCDDD!$L$2:$L$332</xm:f>
          </x14:formula1>
          <xm:sqref>A2:B2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33"/>
  </sheetPr>
  <dimension ref="A1:CF339"/>
  <sheetViews>
    <sheetView zoomScale="86" zoomScaleNormal="86" workbookViewId="0">
      <pane xSplit="3" ySplit="6" topLeftCell="W247" activePane="bottomRight" state="frozen"/>
      <selection pane="bottomRight" activeCell="X266" sqref="X266"/>
      <selection pane="bottomLeft" activeCell="A8" sqref="A8"/>
      <selection pane="topRight" activeCell="C1" sqref="C1"/>
    </sheetView>
  </sheetViews>
  <sheetFormatPr defaultColWidth="9.140625" defaultRowHeight="14.45"/>
  <cols>
    <col min="1" max="1" width="16.85546875" style="183" customWidth="1"/>
    <col min="2" max="2" width="6.85546875" style="183" bestFit="1" customWidth="1"/>
    <col min="3" max="3" width="10.5703125" style="183" customWidth="1"/>
    <col min="4" max="4" width="13.42578125" style="183" bestFit="1" customWidth="1"/>
    <col min="5" max="5" width="14.42578125" style="183" bestFit="1" customWidth="1"/>
    <col min="6" max="6" width="12" style="183" bestFit="1" customWidth="1"/>
    <col min="7" max="7" width="15.7109375" style="183" bestFit="1" customWidth="1"/>
    <col min="8" max="9" width="14" style="183" bestFit="1" customWidth="1"/>
    <col min="10" max="10" width="17.140625" style="183" bestFit="1" customWidth="1"/>
    <col min="11" max="11" width="15.5703125" style="183" bestFit="1" customWidth="1"/>
    <col min="12" max="12" width="12.7109375" style="183" bestFit="1" customWidth="1"/>
    <col min="13" max="13" width="24.85546875" style="183" bestFit="1" customWidth="1"/>
    <col min="14" max="14" width="10.140625" style="183" bestFit="1" customWidth="1"/>
    <col min="15" max="15" width="8.7109375" style="183" bestFit="1" customWidth="1"/>
    <col min="16" max="16" width="10" style="183" bestFit="1" customWidth="1"/>
    <col min="17" max="17" width="14.140625" style="183" bestFit="1" customWidth="1"/>
    <col min="18" max="18" width="12.140625" style="183" bestFit="1" customWidth="1"/>
    <col min="19" max="19" width="13" style="183" bestFit="1" customWidth="1"/>
    <col min="20" max="20" width="14.140625" style="183" bestFit="1" customWidth="1"/>
    <col min="21" max="21" width="15.7109375" style="183" bestFit="1" customWidth="1"/>
    <col min="22" max="22" width="14" style="183" bestFit="1" customWidth="1"/>
    <col min="23" max="24" width="13.5703125" style="183" customWidth="1"/>
    <col min="25" max="25" width="13.7109375" style="183" bestFit="1" customWidth="1"/>
    <col min="26" max="26" width="13.28515625" style="183" customWidth="1"/>
    <col min="27" max="27" width="14.7109375" style="183" bestFit="1" customWidth="1"/>
    <col min="28" max="28" width="15.7109375" style="183" bestFit="1" customWidth="1"/>
    <col min="29" max="29" width="12.7109375" style="183" bestFit="1" customWidth="1"/>
    <col min="30" max="30" width="10.7109375" style="183" bestFit="1" customWidth="1"/>
    <col min="31" max="31" width="15.42578125" style="183" bestFit="1" customWidth="1"/>
    <col min="32" max="33" width="13.42578125" style="183" bestFit="1" customWidth="1"/>
    <col min="34" max="34" width="11.7109375" style="183" bestFit="1" customWidth="1"/>
    <col min="35" max="35" width="10.7109375" style="183" bestFit="1" customWidth="1"/>
    <col min="36" max="36" width="15.42578125" style="183" bestFit="1" customWidth="1"/>
    <col min="37" max="37" width="13.28515625" style="183" bestFit="1" customWidth="1"/>
    <col min="38" max="38" width="13.42578125" style="183" bestFit="1" customWidth="1"/>
    <col min="39" max="39" width="11.5703125" style="183" bestFit="1" customWidth="1"/>
    <col min="40" max="40" width="11.7109375" style="183" bestFit="1" customWidth="1"/>
    <col min="41" max="41" width="11.5703125" style="183" bestFit="1" customWidth="1"/>
    <col min="42" max="42" width="12.42578125" style="183" bestFit="1" customWidth="1"/>
    <col min="43" max="43" width="11.5703125" style="183" bestFit="1" customWidth="1"/>
    <col min="44" max="44" width="12.5703125" style="183" bestFit="1" customWidth="1"/>
    <col min="45" max="45" width="11.7109375" style="183" bestFit="1" customWidth="1"/>
    <col min="46" max="46" width="10.7109375" style="183" customWidth="1"/>
    <col min="47" max="47" width="11.5703125" style="183" bestFit="1" customWidth="1"/>
    <col min="53" max="54" width="9.140625" style="183"/>
    <col min="55" max="55" width="29.140625" style="183" bestFit="1" customWidth="1"/>
    <col min="56" max="16384" width="9.140625" style="183"/>
  </cols>
  <sheetData>
    <row r="1" spans="1:84">
      <c r="A1" s="340"/>
      <c r="B1" s="340">
        <v>1</v>
      </c>
      <c r="C1" s="340">
        <f>1+B1</f>
        <v>2</v>
      </c>
      <c r="D1" s="340">
        <f t="shared" ref="D1" si="0">1+C1</f>
        <v>3</v>
      </c>
      <c r="E1" s="340">
        <f t="shared" ref="E1" si="1">1+D1</f>
        <v>4</v>
      </c>
      <c r="F1" s="340">
        <f t="shared" ref="F1" si="2">1+E1</f>
        <v>5</v>
      </c>
      <c r="G1" s="340">
        <f t="shared" ref="G1" si="3">1+F1</f>
        <v>6</v>
      </c>
      <c r="H1" s="340">
        <f t="shared" ref="H1" si="4">1+G1</f>
        <v>7</v>
      </c>
      <c r="I1" s="340">
        <f t="shared" ref="I1" si="5">1+H1</f>
        <v>8</v>
      </c>
      <c r="J1" s="340">
        <f t="shared" ref="J1" si="6">1+I1</f>
        <v>9</v>
      </c>
      <c r="K1" s="340">
        <f t="shared" ref="K1" si="7">1+J1</f>
        <v>10</v>
      </c>
      <c r="L1" s="340">
        <f t="shared" ref="L1" si="8">1+K1</f>
        <v>11</v>
      </c>
      <c r="M1" s="340">
        <f t="shared" ref="M1" si="9">1+L1</f>
        <v>12</v>
      </c>
      <c r="N1" s="340">
        <f t="shared" ref="N1" si="10">1+M1</f>
        <v>13</v>
      </c>
      <c r="O1" s="340">
        <f t="shared" ref="O1" si="11">1+N1</f>
        <v>14</v>
      </c>
      <c r="P1" s="340">
        <f t="shared" ref="P1" si="12">1+O1</f>
        <v>15</v>
      </c>
      <c r="Q1" s="340">
        <f t="shared" ref="Q1" si="13">1+P1</f>
        <v>16</v>
      </c>
      <c r="R1" s="340">
        <f t="shared" ref="R1" si="14">1+Q1</f>
        <v>17</v>
      </c>
      <c r="S1" s="340">
        <f t="shared" ref="S1" si="15">1+R1</f>
        <v>18</v>
      </c>
      <c r="T1" s="340">
        <f t="shared" ref="T1" si="16">1+S1</f>
        <v>19</v>
      </c>
      <c r="U1" s="340">
        <f t="shared" ref="U1" si="17">1+T1</f>
        <v>20</v>
      </c>
      <c r="V1" s="340">
        <f t="shared" ref="V1" si="18">1+U1</f>
        <v>21</v>
      </c>
      <c r="W1" s="340">
        <f t="shared" ref="W1" si="19">1+V1</f>
        <v>22</v>
      </c>
      <c r="X1" s="340">
        <f t="shared" ref="X1" si="20">1+W1</f>
        <v>23</v>
      </c>
      <c r="Y1" s="340">
        <f t="shared" ref="Y1" si="21">1+X1</f>
        <v>24</v>
      </c>
      <c r="Z1" s="340">
        <f t="shared" ref="Z1" si="22">1+Y1</f>
        <v>25</v>
      </c>
      <c r="AA1" s="340">
        <f t="shared" ref="AA1" si="23">1+Z1</f>
        <v>26</v>
      </c>
      <c r="AB1" s="340">
        <f t="shared" ref="AB1" si="24">1+AA1</f>
        <v>27</v>
      </c>
      <c r="AC1" s="340">
        <f t="shared" ref="AC1" si="25">1+AB1</f>
        <v>28</v>
      </c>
      <c r="AD1" s="340">
        <f t="shared" ref="AD1" si="26">1+AC1</f>
        <v>29</v>
      </c>
      <c r="AE1" s="340">
        <f t="shared" ref="AE1" si="27">1+AD1</f>
        <v>30</v>
      </c>
      <c r="AF1" s="340">
        <f t="shared" ref="AF1" si="28">1+AE1</f>
        <v>31</v>
      </c>
      <c r="AG1" s="340">
        <f t="shared" ref="AG1" si="29">1+AF1</f>
        <v>32</v>
      </c>
      <c r="AH1" s="340">
        <f t="shared" ref="AH1" si="30">1+AG1</f>
        <v>33</v>
      </c>
      <c r="AI1" s="340">
        <f t="shared" ref="AI1" si="31">1+AH1</f>
        <v>34</v>
      </c>
      <c r="AJ1" s="340">
        <f t="shared" ref="AJ1" si="32">1+AI1</f>
        <v>35</v>
      </c>
      <c r="AK1" s="340">
        <f t="shared" ref="AK1" si="33">1+AJ1</f>
        <v>36</v>
      </c>
      <c r="AL1" s="340">
        <f t="shared" ref="AL1" si="34">1+AK1</f>
        <v>37</v>
      </c>
      <c r="AM1" s="340">
        <f t="shared" ref="AM1" si="35">1+AL1</f>
        <v>38</v>
      </c>
      <c r="AN1" s="340">
        <f t="shared" ref="AN1" si="36">1+AM1</f>
        <v>39</v>
      </c>
      <c r="AO1" s="340">
        <f t="shared" ref="AO1" si="37">1+AN1</f>
        <v>40</v>
      </c>
      <c r="AP1" s="182">
        <v>41</v>
      </c>
      <c r="AQ1" s="194">
        <v>42</v>
      </c>
      <c r="AR1" s="194">
        <v>43</v>
      </c>
      <c r="AS1" s="194">
        <v>44</v>
      </c>
      <c r="AT1" s="498">
        <v>45</v>
      </c>
    </row>
    <row r="2" spans="1:84">
      <c r="A2" s="74"/>
      <c r="B2" s="341"/>
      <c r="C2" s="341"/>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184"/>
      <c r="AQ2" s="195" t="s">
        <v>749</v>
      </c>
      <c r="AR2" s="195" t="s">
        <v>749</v>
      </c>
      <c r="AS2" s="195" t="s">
        <v>749</v>
      </c>
      <c r="AT2" s="185" t="s">
        <v>749</v>
      </c>
      <c r="CB2" s="74"/>
      <c r="CC2" s="74"/>
      <c r="CD2" s="74"/>
      <c r="CE2" s="74"/>
      <c r="CF2" s="74"/>
    </row>
    <row r="3" spans="1:84">
      <c r="A3" s="74" t="s">
        <v>750</v>
      </c>
      <c r="B3" s="74"/>
      <c r="C3" s="74"/>
      <c r="D3" s="343" t="s">
        <v>751</v>
      </c>
      <c r="E3" s="344" t="s">
        <v>752</v>
      </c>
      <c r="F3" s="344" t="s">
        <v>753</v>
      </c>
      <c r="G3" s="75" t="s">
        <v>754</v>
      </c>
      <c r="H3" s="74"/>
      <c r="I3" s="75" t="s">
        <v>755</v>
      </c>
      <c r="J3" s="75" t="s">
        <v>756</v>
      </c>
      <c r="K3" s="75" t="s">
        <v>757</v>
      </c>
      <c r="L3" s="75" t="s">
        <v>758</v>
      </c>
      <c r="M3" s="75" t="s">
        <v>759</v>
      </c>
      <c r="N3" s="344" t="s">
        <v>760</v>
      </c>
      <c r="O3" s="344" t="s">
        <v>761</v>
      </c>
      <c r="P3" s="344">
        <v>4159</v>
      </c>
      <c r="Q3" s="74"/>
      <c r="R3" s="74"/>
      <c r="S3" s="345" t="s">
        <v>762</v>
      </c>
      <c r="T3" s="74"/>
      <c r="U3" s="74"/>
      <c r="V3" s="344">
        <v>4126</v>
      </c>
      <c r="W3" s="74"/>
      <c r="X3" s="74"/>
      <c r="Y3" s="344" t="s">
        <v>763</v>
      </c>
      <c r="Z3" s="344" t="s">
        <v>764</v>
      </c>
      <c r="AA3" s="344" t="s">
        <v>765</v>
      </c>
      <c r="AB3" s="344" t="s">
        <v>766</v>
      </c>
      <c r="AC3" s="344" t="s">
        <v>767</v>
      </c>
      <c r="AD3" s="344" t="s">
        <v>768</v>
      </c>
      <c r="AE3" s="344" t="s">
        <v>769</v>
      </c>
      <c r="AF3" s="346"/>
      <c r="AG3" s="346"/>
      <c r="AH3" s="75"/>
      <c r="AI3" s="344" t="s">
        <v>770</v>
      </c>
      <c r="AJ3" s="344" t="s">
        <v>771</v>
      </c>
      <c r="AK3" s="346"/>
      <c r="AL3" s="346"/>
      <c r="AM3" s="75"/>
      <c r="AN3" s="344" t="s">
        <v>772</v>
      </c>
      <c r="AO3" s="344" t="s">
        <v>773</v>
      </c>
      <c r="AP3" s="75"/>
      <c r="AQ3" s="195"/>
      <c r="AR3" s="195"/>
      <c r="AS3" s="347" t="s">
        <v>774</v>
      </c>
      <c r="AT3" s="497" t="s">
        <v>775</v>
      </c>
      <c r="BA3" s="499"/>
      <c r="BB3" s="500"/>
      <c r="BC3" s="500"/>
      <c r="BD3" s="514" t="s">
        <v>776</v>
      </c>
      <c r="BE3" s="511" t="s">
        <v>777</v>
      </c>
      <c r="CB3" s="74"/>
      <c r="CC3" s="74"/>
      <c r="CD3" s="74"/>
      <c r="CE3" s="74"/>
      <c r="CF3" s="74"/>
    </row>
    <row r="4" spans="1:84" ht="30" customHeight="1">
      <c r="A4" s="74">
        <f>COUNTA(DISNAME)</f>
        <v>331</v>
      </c>
      <c r="B4" s="74"/>
      <c r="C4" s="74"/>
      <c r="D4" s="524" t="s">
        <v>778</v>
      </c>
      <c r="E4" s="524" t="s">
        <v>779</v>
      </c>
      <c r="F4" s="524" t="s">
        <v>779</v>
      </c>
      <c r="G4" s="536" t="s">
        <v>780</v>
      </c>
      <c r="H4" s="536" t="s">
        <v>781</v>
      </c>
      <c r="I4" s="536" t="s">
        <v>782</v>
      </c>
      <c r="J4" s="536" t="s">
        <v>783</v>
      </c>
      <c r="K4" s="536" t="s">
        <v>784</v>
      </c>
      <c r="L4" s="536" t="s">
        <v>785</v>
      </c>
      <c r="M4" s="536" t="s">
        <v>786</v>
      </c>
      <c r="N4" s="524" t="s">
        <v>787</v>
      </c>
      <c r="O4" s="524" t="s">
        <v>788</v>
      </c>
      <c r="P4" s="524" t="s">
        <v>789</v>
      </c>
      <c r="Q4" s="524" t="s">
        <v>790</v>
      </c>
      <c r="R4" s="524" t="s">
        <v>791</v>
      </c>
      <c r="S4" s="524" t="s">
        <v>792</v>
      </c>
      <c r="T4" s="524" t="s">
        <v>790</v>
      </c>
      <c r="U4" s="524" t="s">
        <v>791</v>
      </c>
      <c r="V4" s="524" t="s">
        <v>793</v>
      </c>
      <c r="W4" s="524" t="s">
        <v>790</v>
      </c>
      <c r="X4" s="524" t="s">
        <v>791</v>
      </c>
      <c r="Y4" s="524" t="s">
        <v>794</v>
      </c>
      <c r="Z4" s="524" t="s">
        <v>795</v>
      </c>
      <c r="AA4" s="524" t="s">
        <v>796</v>
      </c>
      <c r="AB4" s="524" t="s">
        <v>797</v>
      </c>
      <c r="AC4" s="524" t="s">
        <v>798</v>
      </c>
      <c r="AD4" s="524" t="s">
        <v>799</v>
      </c>
      <c r="AE4" s="524" t="s">
        <v>800</v>
      </c>
      <c r="AF4" s="524" t="s">
        <v>801</v>
      </c>
      <c r="AG4" s="524" t="s">
        <v>802</v>
      </c>
      <c r="AH4" s="537" t="s">
        <v>803</v>
      </c>
      <c r="AI4" s="524" t="s">
        <v>795</v>
      </c>
      <c r="AJ4" s="524" t="s">
        <v>804</v>
      </c>
      <c r="AK4" s="524" t="s">
        <v>801</v>
      </c>
      <c r="AL4" s="524" t="s">
        <v>802</v>
      </c>
      <c r="AM4" s="537" t="s">
        <v>795</v>
      </c>
      <c r="AN4" s="524">
        <v>1400</v>
      </c>
      <c r="AO4" s="524">
        <v>5400</v>
      </c>
      <c r="AP4" s="524" t="s">
        <v>805</v>
      </c>
      <c r="AQ4" s="525" t="s">
        <v>806</v>
      </c>
      <c r="AR4" s="525" t="s">
        <v>807</v>
      </c>
      <c r="AS4" s="526" t="s">
        <v>808</v>
      </c>
      <c r="AT4" s="489" t="s">
        <v>809</v>
      </c>
      <c r="BA4" s="501" t="s">
        <v>810</v>
      </c>
      <c r="BB4" s="502" t="s">
        <v>25</v>
      </c>
      <c r="BC4" s="502" t="s">
        <v>811</v>
      </c>
      <c r="BD4" s="515" t="s">
        <v>715</v>
      </c>
      <c r="BE4" s="512" t="s">
        <v>812</v>
      </c>
      <c r="BG4" s="517" t="s">
        <v>813</v>
      </c>
      <c r="BH4" s="517" t="s">
        <v>814</v>
      </c>
      <c r="CB4" s="74"/>
      <c r="CC4" s="74"/>
      <c r="CD4" s="74"/>
      <c r="CE4" s="74"/>
      <c r="CF4" s="74"/>
    </row>
    <row r="5" spans="1:84" ht="27.6">
      <c r="A5" s="74"/>
      <c r="B5" s="74"/>
      <c r="C5" s="74"/>
      <c r="D5" s="538" t="s">
        <v>815</v>
      </c>
      <c r="E5" s="538" t="s">
        <v>816</v>
      </c>
      <c r="F5" s="538" t="s">
        <v>817</v>
      </c>
      <c r="G5" s="527" t="s">
        <v>818</v>
      </c>
      <c r="H5" s="524">
        <v>3121</v>
      </c>
      <c r="I5" s="527" t="s">
        <v>819</v>
      </c>
      <c r="J5" s="527" t="s">
        <v>819</v>
      </c>
      <c r="K5" s="527" t="s">
        <v>820</v>
      </c>
      <c r="L5" s="527" t="s">
        <v>821</v>
      </c>
      <c r="M5" s="527" t="s">
        <v>822</v>
      </c>
      <c r="N5" s="524" t="s">
        <v>823</v>
      </c>
      <c r="O5" s="524" t="s">
        <v>823</v>
      </c>
      <c r="P5" s="524"/>
      <c r="Q5" s="524" t="s">
        <v>824</v>
      </c>
      <c r="R5" s="524" t="s">
        <v>824</v>
      </c>
      <c r="S5" s="524" t="s">
        <v>825</v>
      </c>
      <c r="T5" s="524" t="s">
        <v>826</v>
      </c>
      <c r="U5" s="524" t="s">
        <v>826</v>
      </c>
      <c r="V5" s="524"/>
      <c r="W5" s="524" t="s">
        <v>827</v>
      </c>
      <c r="X5" s="524" t="s">
        <v>827</v>
      </c>
      <c r="Y5" s="524" t="s">
        <v>828</v>
      </c>
      <c r="Z5" s="524" t="s">
        <v>829</v>
      </c>
      <c r="AA5" s="524" t="s">
        <v>829</v>
      </c>
      <c r="AB5" s="524" t="s">
        <v>830</v>
      </c>
      <c r="AC5" s="524" t="s">
        <v>830</v>
      </c>
      <c r="AD5" s="527"/>
      <c r="AE5" s="527" t="s">
        <v>831</v>
      </c>
      <c r="AF5" s="527" t="s">
        <v>832</v>
      </c>
      <c r="AG5" s="527" t="s">
        <v>833</v>
      </c>
      <c r="AH5" s="527"/>
      <c r="AI5" s="524" t="s">
        <v>834</v>
      </c>
      <c r="AJ5" s="527" t="s">
        <v>831</v>
      </c>
      <c r="AK5" s="527" t="s">
        <v>832</v>
      </c>
      <c r="AL5" s="527" t="s">
        <v>833</v>
      </c>
      <c r="AM5" s="524" t="s">
        <v>835</v>
      </c>
      <c r="AN5" s="524"/>
      <c r="AO5" s="524"/>
      <c r="AP5" s="527" t="s">
        <v>836</v>
      </c>
      <c r="AQ5" s="489" t="s">
        <v>837</v>
      </c>
      <c r="AR5" s="489" t="s">
        <v>838</v>
      </c>
      <c r="AS5" s="489" t="s">
        <v>838</v>
      </c>
      <c r="AT5" s="489" t="s">
        <v>837</v>
      </c>
      <c r="BA5" s="503"/>
      <c r="BB5" s="504"/>
      <c r="BC5" s="504"/>
      <c r="BD5" s="516" t="s">
        <v>839</v>
      </c>
      <c r="BE5" s="513" t="s">
        <v>839</v>
      </c>
      <c r="BG5" s="517" t="s">
        <v>840</v>
      </c>
      <c r="BH5" s="517" t="s">
        <v>840</v>
      </c>
      <c r="CB5" s="74"/>
      <c r="CC5" s="74"/>
      <c r="CD5" s="74"/>
      <c r="CE5" s="74"/>
      <c r="CF5" s="74"/>
    </row>
    <row r="6" spans="1:84">
      <c r="A6" s="348" t="s">
        <v>841</v>
      </c>
      <c r="B6" s="348" t="s">
        <v>842</v>
      </c>
      <c r="C6" s="348" t="s">
        <v>843</v>
      </c>
      <c r="D6" s="528">
        <f t="shared" ref="D6:M6" si="38">SUM(D7:D337)</f>
        <v>1397738.03</v>
      </c>
      <c r="E6" s="528">
        <f t="shared" si="38"/>
        <v>18777503.429999996</v>
      </c>
      <c r="F6" s="528">
        <f t="shared" si="38"/>
        <v>6923277.1600000011</v>
      </c>
      <c r="G6" s="528">
        <f t="shared" si="38"/>
        <v>2005641912.5400023</v>
      </c>
      <c r="H6" s="528">
        <f t="shared" si="38"/>
        <v>341046634.13999999</v>
      </c>
      <c r="I6" s="528">
        <f t="shared" si="38"/>
        <v>144788450.21000004</v>
      </c>
      <c r="J6" s="528">
        <f t="shared" si="38"/>
        <v>361377102.48999995</v>
      </c>
      <c r="K6" s="528">
        <f t="shared" si="38"/>
        <v>262797944.31000006</v>
      </c>
      <c r="L6" s="528">
        <f t="shared" si="38"/>
        <v>34285776.320000023</v>
      </c>
      <c r="M6" s="528">
        <f t="shared" si="38"/>
        <v>730276978.82000029</v>
      </c>
      <c r="N6" s="529">
        <v>3.7100000000000001E-2</v>
      </c>
      <c r="O6" s="529">
        <v>0.14399999999999999</v>
      </c>
      <c r="P6" s="528">
        <f t="shared" ref="P6:AS6" si="39">SUM(P7:P337)</f>
        <v>365590.4</v>
      </c>
      <c r="Q6" s="528">
        <f t="shared" si="39"/>
        <v>50282.648000000001</v>
      </c>
      <c r="R6" s="528">
        <f t="shared" si="39"/>
        <v>14748.12</v>
      </c>
      <c r="S6" s="528">
        <f t="shared" si="39"/>
        <v>12818071.1</v>
      </c>
      <c r="T6" s="528">
        <f t="shared" si="39"/>
        <v>577312.12999999966</v>
      </c>
      <c r="U6" s="528">
        <f t="shared" si="39"/>
        <v>426746.04</v>
      </c>
      <c r="V6" s="528">
        <f t="shared" si="39"/>
        <v>3348479.3999999994</v>
      </c>
      <c r="W6" s="528">
        <f t="shared" si="39"/>
        <v>282443.40299999993</v>
      </c>
      <c r="X6" s="528">
        <f t="shared" si="39"/>
        <v>130795.72999999998</v>
      </c>
      <c r="Y6" s="528">
        <f t="shared" si="39"/>
        <v>649999.99999999977</v>
      </c>
      <c r="Z6" s="528">
        <f t="shared" si="39"/>
        <v>6259407.5899999989</v>
      </c>
      <c r="AA6" s="528">
        <f t="shared" si="39"/>
        <v>22872195.570000008</v>
      </c>
      <c r="AB6" s="528">
        <f t="shared" si="39"/>
        <v>126077385.96999994</v>
      </c>
      <c r="AC6" s="528">
        <f t="shared" si="39"/>
        <v>623452185.16000009</v>
      </c>
      <c r="AD6" s="528">
        <f t="shared" si="39"/>
        <v>61706.279999999984</v>
      </c>
      <c r="AE6" s="528">
        <f t="shared" si="39"/>
        <v>580435259.90999973</v>
      </c>
      <c r="AF6" s="528">
        <f t="shared" si="39"/>
        <v>2271841.4557964378</v>
      </c>
      <c r="AG6" s="528">
        <f t="shared" si="39"/>
        <v>2468863.920337155</v>
      </c>
      <c r="AH6" s="528">
        <f t="shared" si="39"/>
        <v>197022.46000000014</v>
      </c>
      <c r="AI6" s="528">
        <f t="shared" si="39"/>
        <v>12975.759999999995</v>
      </c>
      <c r="AJ6" s="528">
        <f t="shared" si="39"/>
        <v>118690633.43999997</v>
      </c>
      <c r="AK6" s="530">
        <f t="shared" si="39"/>
        <v>1812235.2788109607</v>
      </c>
      <c r="AL6" s="530">
        <f t="shared" si="39"/>
        <v>1924271.662586482</v>
      </c>
      <c r="AM6" s="531">
        <f t="shared" si="39"/>
        <v>112036.36999999998</v>
      </c>
      <c r="AN6" s="531">
        <f t="shared" si="39"/>
        <v>548296.13000000012</v>
      </c>
      <c r="AO6" s="531">
        <f t="shared" si="39"/>
        <v>768149.27</v>
      </c>
      <c r="AP6" s="532">
        <f t="shared" si="39"/>
        <v>0</v>
      </c>
      <c r="AQ6" s="533">
        <f t="shared" si="39"/>
        <v>21546774.860000007</v>
      </c>
      <c r="AR6" s="533">
        <f t="shared" si="39"/>
        <v>120134829.95000002</v>
      </c>
      <c r="AS6" s="534">
        <f t="shared" si="39"/>
        <v>30774986.669999998</v>
      </c>
      <c r="AT6" s="535"/>
      <c r="BA6" s="505"/>
      <c r="BB6" s="506"/>
      <c r="BC6" s="507" t="s">
        <v>844</v>
      </c>
      <c r="BD6" s="519">
        <v>3.7100000000000001E-2</v>
      </c>
      <c r="BE6" s="519">
        <v>0.14399999999999999</v>
      </c>
      <c r="CB6" s="348"/>
      <c r="CC6" s="348"/>
      <c r="CD6" s="348"/>
      <c r="CE6" s="348"/>
      <c r="CF6" s="348"/>
    </row>
    <row r="7" spans="1:84">
      <c r="A7" s="283" t="s">
        <v>32</v>
      </c>
      <c r="B7" s="283" t="s">
        <v>31</v>
      </c>
      <c r="C7" s="283" t="str">
        <f t="shared" ref="C7:C33" si="40">CONCATENATE(B7," ",A7," SCHOOL DISTRICT")</f>
        <v>14005 ABERDEEN SCHOOL DISTRICT</v>
      </c>
      <c r="D7" s="490">
        <v>0</v>
      </c>
      <c r="E7" s="490">
        <v>149010.38</v>
      </c>
      <c r="F7" s="490">
        <v>37377.14</v>
      </c>
      <c r="G7" s="490">
        <v>6498375.1600000001</v>
      </c>
      <c r="H7" s="490">
        <v>840044.64</v>
      </c>
      <c r="I7" s="490">
        <v>933793.79</v>
      </c>
      <c r="J7" s="490">
        <v>1432066.5</v>
      </c>
      <c r="K7" s="490">
        <v>747395.03</v>
      </c>
      <c r="L7" s="490">
        <v>94127.41</v>
      </c>
      <c r="M7" s="490">
        <v>1671449.48</v>
      </c>
      <c r="N7" s="300">
        <v>2.5899999999999999E-2</v>
      </c>
      <c r="O7" s="492">
        <v>0.1603</v>
      </c>
      <c r="P7" s="490">
        <v>0</v>
      </c>
      <c r="Q7" s="493">
        <v>0</v>
      </c>
      <c r="R7" s="493">
        <v>0</v>
      </c>
      <c r="S7" s="494">
        <v>324392.27</v>
      </c>
      <c r="T7" s="495">
        <v>0</v>
      </c>
      <c r="U7" s="495">
        <v>10378.56</v>
      </c>
      <c r="V7" s="490">
        <v>0</v>
      </c>
      <c r="W7" s="495">
        <v>0</v>
      </c>
      <c r="X7" s="495">
        <v>0</v>
      </c>
      <c r="Y7" s="490">
        <v>140.91999999999999</v>
      </c>
      <c r="Z7" s="490">
        <v>67817.789999999994</v>
      </c>
      <c r="AA7" s="490">
        <v>199757.83</v>
      </c>
      <c r="AB7" s="490">
        <v>886921.94</v>
      </c>
      <c r="AC7" s="490">
        <v>2508649.62</v>
      </c>
      <c r="AD7" s="490">
        <v>262.91000000000003</v>
      </c>
      <c r="AE7" s="490">
        <v>2326038.27</v>
      </c>
      <c r="AF7" s="339">
        <v>8847.279563348673</v>
      </c>
      <c r="AG7" s="339">
        <v>9541.8569852801338</v>
      </c>
      <c r="AH7" s="496">
        <v>694.58</v>
      </c>
      <c r="AI7" s="490">
        <v>96.74</v>
      </c>
      <c r="AJ7" s="490">
        <v>834908.76</v>
      </c>
      <c r="AK7" s="339">
        <v>8630.4399421128801</v>
      </c>
      <c r="AL7" s="339">
        <v>9168.0994418027694</v>
      </c>
      <c r="AM7" s="496">
        <v>537.66</v>
      </c>
      <c r="AN7" s="495">
        <v>2896.91</v>
      </c>
      <c r="AO7" s="495">
        <v>0</v>
      </c>
      <c r="AP7" s="74"/>
      <c r="AQ7" s="303">
        <v>0</v>
      </c>
      <c r="AR7" s="303">
        <v>340731.16</v>
      </c>
      <c r="AS7" s="552">
        <v>104170.09000000001</v>
      </c>
      <c r="AY7" s="67">
        <f>+BB7-B7</f>
        <v>0</v>
      </c>
      <c r="BA7" t="s">
        <v>845</v>
      </c>
      <c r="BB7" t="s">
        <v>31</v>
      </c>
      <c r="BC7" t="s">
        <v>846</v>
      </c>
      <c r="BD7" s="491">
        <v>2.5899999999999999E-2</v>
      </c>
      <c r="BE7" s="492">
        <v>0.1603</v>
      </c>
      <c r="BG7" s="510">
        <f t="shared" ref="BG7:BG70" si="41">+N7-BD7</f>
        <v>0</v>
      </c>
      <c r="BH7" s="510">
        <f t="shared" ref="BH7:BH70" si="42">+O7-BE7</f>
        <v>0</v>
      </c>
      <c r="BJ7" s="520">
        <f>+BG7-0</f>
        <v>0</v>
      </c>
      <c r="BK7" s="520">
        <f>+BH7-0</f>
        <v>0</v>
      </c>
      <c r="CB7" s="74"/>
      <c r="CC7" s="74"/>
      <c r="CD7" s="74"/>
      <c r="CE7" s="74"/>
      <c r="CF7" s="74"/>
    </row>
    <row r="8" spans="1:84">
      <c r="A8" s="283" t="s">
        <v>36</v>
      </c>
      <c r="B8" s="283" t="s">
        <v>35</v>
      </c>
      <c r="C8" s="283" t="str">
        <f t="shared" si="40"/>
        <v>21226 ADNA SCHOOL DISTRICT</v>
      </c>
      <c r="D8" s="490">
        <v>0</v>
      </c>
      <c r="E8" s="490">
        <v>0</v>
      </c>
      <c r="F8" s="490">
        <v>0</v>
      </c>
      <c r="G8" s="490">
        <v>871359.24</v>
      </c>
      <c r="H8" s="490">
        <v>120853.91</v>
      </c>
      <c r="I8" s="490">
        <v>0</v>
      </c>
      <c r="J8" s="490">
        <v>96742.75</v>
      </c>
      <c r="K8" s="490">
        <v>0</v>
      </c>
      <c r="L8" s="490">
        <v>19348.560000000001</v>
      </c>
      <c r="M8" s="490">
        <v>382356.71</v>
      </c>
      <c r="N8" s="300">
        <v>5.1799999999999999E-2</v>
      </c>
      <c r="O8" s="492">
        <v>0.19220000000000001</v>
      </c>
      <c r="P8" s="490">
        <v>0</v>
      </c>
      <c r="Q8" s="493">
        <v>0</v>
      </c>
      <c r="R8" s="493">
        <v>0</v>
      </c>
      <c r="S8" s="494">
        <v>0</v>
      </c>
      <c r="T8" s="495">
        <v>0</v>
      </c>
      <c r="U8" s="495">
        <v>0</v>
      </c>
      <c r="V8" s="490">
        <v>0</v>
      </c>
      <c r="W8" s="495">
        <v>0</v>
      </c>
      <c r="X8" s="495">
        <v>0</v>
      </c>
      <c r="Y8" s="490">
        <v>716.91</v>
      </c>
      <c r="Z8" s="490">
        <v>7747.56</v>
      </c>
      <c r="AA8" s="490">
        <v>0</v>
      </c>
      <c r="AB8" s="490">
        <v>70164.77</v>
      </c>
      <c r="AC8" s="490">
        <v>630628</v>
      </c>
      <c r="AD8" s="490">
        <v>62.93</v>
      </c>
      <c r="AE8" s="490">
        <v>567784.94999999995</v>
      </c>
      <c r="AF8" s="339">
        <v>9022.4845065946283</v>
      </c>
      <c r="AG8" s="339">
        <v>10021.102812648975</v>
      </c>
      <c r="AH8" s="496">
        <v>998.62</v>
      </c>
      <c r="AI8" s="490">
        <v>7.49</v>
      </c>
      <c r="AJ8" s="490">
        <v>65959.259999999995</v>
      </c>
      <c r="AK8" s="339">
        <v>8806.3097463284375</v>
      </c>
      <c r="AL8" s="339">
        <v>9367.7930574098809</v>
      </c>
      <c r="AM8" s="496">
        <v>561.48</v>
      </c>
      <c r="AN8" s="495">
        <v>0</v>
      </c>
      <c r="AO8" s="495">
        <v>0</v>
      </c>
      <c r="AP8" s="74"/>
      <c r="AQ8" s="303">
        <v>6021.5799999999945</v>
      </c>
      <c r="AR8" s="303">
        <v>63495.859999999993</v>
      </c>
      <c r="AS8" s="552">
        <v>28619.07</v>
      </c>
      <c r="AY8" s="67">
        <f t="shared" ref="AY8:AY71" si="43">+BB8-B8</f>
        <v>0</v>
      </c>
      <c r="BA8" t="s">
        <v>845</v>
      </c>
      <c r="BB8" t="s">
        <v>35</v>
      </c>
      <c r="BC8" t="s">
        <v>847</v>
      </c>
      <c r="BD8" s="491">
        <v>5.1799999999999999E-2</v>
      </c>
      <c r="BE8" s="492">
        <v>0.19220000000000001</v>
      </c>
      <c r="BG8" s="510">
        <f t="shared" si="41"/>
        <v>0</v>
      </c>
      <c r="BH8" s="510">
        <f t="shared" si="42"/>
        <v>0</v>
      </c>
      <c r="BJ8" s="520">
        <f t="shared" ref="BJ8:BJ71" si="44">+BG8-0</f>
        <v>0</v>
      </c>
      <c r="BK8" s="520">
        <f t="shared" ref="BK8:BK71" si="45">+BH8-0</f>
        <v>0</v>
      </c>
      <c r="CB8" s="74"/>
      <c r="CC8" s="74"/>
      <c r="CD8" s="74"/>
      <c r="CE8" s="74"/>
      <c r="CF8" s="74"/>
    </row>
    <row r="9" spans="1:84">
      <c r="A9" s="283" t="s">
        <v>38</v>
      </c>
      <c r="B9" s="283" t="s">
        <v>37</v>
      </c>
      <c r="C9" s="283" t="str">
        <f t="shared" si="40"/>
        <v>22017 ALMIRA SCHOOL DISTRICT</v>
      </c>
      <c r="D9" s="490">
        <v>0</v>
      </c>
      <c r="E9" s="490">
        <v>0</v>
      </c>
      <c r="F9" s="490">
        <v>0</v>
      </c>
      <c r="G9" s="490">
        <v>142511.03</v>
      </c>
      <c r="H9" s="490">
        <v>15171.8</v>
      </c>
      <c r="I9" s="490">
        <v>0</v>
      </c>
      <c r="J9" s="490">
        <v>30333.8</v>
      </c>
      <c r="K9" s="490">
        <v>0</v>
      </c>
      <c r="L9" s="490">
        <v>3065.08</v>
      </c>
      <c r="M9" s="490">
        <v>286262.46999999997</v>
      </c>
      <c r="N9" s="300">
        <v>0.26400000000000001</v>
      </c>
      <c r="O9" s="492">
        <v>0.3513</v>
      </c>
      <c r="P9" s="490">
        <v>0</v>
      </c>
      <c r="Q9" s="493">
        <v>0</v>
      </c>
      <c r="R9" s="493">
        <v>0</v>
      </c>
      <c r="S9" s="494">
        <v>0</v>
      </c>
      <c r="T9" s="495">
        <v>0</v>
      </c>
      <c r="U9" s="495">
        <v>0</v>
      </c>
      <c r="V9" s="490">
        <v>0</v>
      </c>
      <c r="W9" s="495">
        <v>0</v>
      </c>
      <c r="X9" s="495">
        <v>0</v>
      </c>
      <c r="Y9" s="490">
        <v>0</v>
      </c>
      <c r="Z9" s="490">
        <v>0</v>
      </c>
      <c r="AA9" s="490">
        <v>6025</v>
      </c>
      <c r="AB9" s="490">
        <v>0</v>
      </c>
      <c r="AC9" s="490">
        <v>50169.98</v>
      </c>
      <c r="AD9" s="490">
        <v>5.4</v>
      </c>
      <c r="AE9" s="490">
        <v>48294.93</v>
      </c>
      <c r="AF9" s="339">
        <v>8943.5055555555555</v>
      </c>
      <c r="AG9" s="339">
        <v>9290.7370370370372</v>
      </c>
      <c r="AH9" s="496">
        <v>347.23</v>
      </c>
      <c r="AI9" s="490">
        <v>0</v>
      </c>
      <c r="AJ9" s="490">
        <v>0</v>
      </c>
      <c r="AK9" s="339">
        <v>0</v>
      </c>
      <c r="AL9" s="339">
        <v>0</v>
      </c>
      <c r="AM9" s="496">
        <v>0</v>
      </c>
      <c r="AN9" s="495">
        <v>0</v>
      </c>
      <c r="AO9" s="495">
        <v>0</v>
      </c>
      <c r="AP9" s="74"/>
      <c r="AQ9" s="303">
        <v>56480.020000000004</v>
      </c>
      <c r="AR9" s="303">
        <v>22305.48</v>
      </c>
      <c r="AS9" s="552">
        <v>14124.67</v>
      </c>
      <c r="AY9" s="67">
        <f t="shared" si="43"/>
        <v>0</v>
      </c>
      <c r="BA9" t="s">
        <v>848</v>
      </c>
      <c r="BB9" t="s">
        <v>37</v>
      </c>
      <c r="BC9" t="s">
        <v>849</v>
      </c>
      <c r="BD9" s="491">
        <v>0.26400000000000001</v>
      </c>
      <c r="BE9" s="492">
        <v>0.3513</v>
      </c>
      <c r="BG9" s="510">
        <f t="shared" si="41"/>
        <v>0</v>
      </c>
      <c r="BH9" s="510">
        <f t="shared" si="42"/>
        <v>0</v>
      </c>
      <c r="BJ9" s="520">
        <f t="shared" si="44"/>
        <v>0</v>
      </c>
      <c r="BK9" s="520">
        <f t="shared" si="45"/>
        <v>0</v>
      </c>
      <c r="CB9" s="74"/>
      <c r="CC9" s="74"/>
      <c r="CD9" s="74"/>
      <c r="CE9" s="74"/>
      <c r="CF9" s="74"/>
    </row>
    <row r="10" spans="1:84">
      <c r="A10" s="283" t="s">
        <v>42</v>
      </c>
      <c r="B10" s="283" t="s">
        <v>41</v>
      </c>
      <c r="C10" s="283" t="str">
        <f t="shared" si="40"/>
        <v>29103 ANACORTES SCHOOL DISTRICT</v>
      </c>
      <c r="D10" s="490">
        <v>0</v>
      </c>
      <c r="E10" s="490">
        <v>0</v>
      </c>
      <c r="F10" s="490">
        <v>522.37</v>
      </c>
      <c r="G10" s="490">
        <v>4981625.9800000004</v>
      </c>
      <c r="H10" s="490">
        <v>778575.03</v>
      </c>
      <c r="I10" s="490">
        <v>23550.35</v>
      </c>
      <c r="J10" s="490">
        <v>608640.48</v>
      </c>
      <c r="K10" s="490">
        <v>116737.56</v>
      </c>
      <c r="L10" s="490">
        <v>86627.43</v>
      </c>
      <c r="M10" s="490">
        <v>1383204.55</v>
      </c>
      <c r="N10" s="300">
        <v>7.8899999999999998E-2</v>
      </c>
      <c r="O10" s="492">
        <v>0.19400000000000001</v>
      </c>
      <c r="P10" s="490">
        <v>0</v>
      </c>
      <c r="Q10" s="493">
        <v>0</v>
      </c>
      <c r="R10" s="493">
        <v>0</v>
      </c>
      <c r="S10" s="494">
        <v>0</v>
      </c>
      <c r="T10" s="495">
        <v>0</v>
      </c>
      <c r="U10" s="495">
        <v>0</v>
      </c>
      <c r="V10" s="490">
        <v>0</v>
      </c>
      <c r="W10" s="495">
        <v>0</v>
      </c>
      <c r="X10" s="495">
        <v>0</v>
      </c>
      <c r="Y10" s="490">
        <v>0</v>
      </c>
      <c r="Z10" s="490">
        <v>8306.3700000000008</v>
      </c>
      <c r="AA10" s="490">
        <v>67394.429999999993</v>
      </c>
      <c r="AB10" s="490">
        <v>264311.03000000003</v>
      </c>
      <c r="AC10" s="490">
        <v>970439.62</v>
      </c>
      <c r="AD10" s="490">
        <v>93.11</v>
      </c>
      <c r="AE10" s="490">
        <v>907997.03</v>
      </c>
      <c r="AF10" s="339">
        <v>9751.874449575771</v>
      </c>
      <c r="AG10" s="339">
        <v>10422.506927290302</v>
      </c>
      <c r="AH10" s="496">
        <v>670.63</v>
      </c>
      <c r="AI10" s="490">
        <v>26.1</v>
      </c>
      <c r="AJ10" s="490">
        <v>248786.37</v>
      </c>
      <c r="AK10" s="339">
        <v>9532.0448275862054</v>
      </c>
      <c r="AL10" s="339">
        <v>10126.859386973181</v>
      </c>
      <c r="AM10" s="496">
        <v>594.80999999999995</v>
      </c>
      <c r="AN10" s="495">
        <v>25000</v>
      </c>
      <c r="AO10" s="495">
        <v>0</v>
      </c>
      <c r="AP10" s="74"/>
      <c r="AQ10" s="303">
        <v>0</v>
      </c>
      <c r="AR10" s="303">
        <v>293624.25</v>
      </c>
      <c r="AS10" s="552">
        <v>84156.77</v>
      </c>
      <c r="AY10" s="67">
        <f t="shared" si="43"/>
        <v>0</v>
      </c>
      <c r="BA10" t="s">
        <v>850</v>
      </c>
      <c r="BB10" t="s">
        <v>41</v>
      </c>
      <c r="BC10" t="s">
        <v>851</v>
      </c>
      <c r="BD10" s="491">
        <v>7.8899999999999998E-2</v>
      </c>
      <c r="BE10" s="492">
        <v>0.19400000000000001</v>
      </c>
      <c r="BG10" s="510">
        <f t="shared" si="41"/>
        <v>0</v>
      </c>
      <c r="BH10" s="510">
        <f t="shared" si="42"/>
        <v>0</v>
      </c>
      <c r="BJ10" s="520">
        <f t="shared" si="44"/>
        <v>0</v>
      </c>
      <c r="BK10" s="520">
        <f t="shared" si="45"/>
        <v>0</v>
      </c>
      <c r="CB10" s="74"/>
      <c r="CC10" s="74"/>
      <c r="CD10" s="74"/>
      <c r="CE10" s="74"/>
      <c r="CF10" s="74"/>
    </row>
    <row r="11" spans="1:84">
      <c r="A11" s="283" t="s">
        <v>44</v>
      </c>
      <c r="B11" s="283" t="s">
        <v>43</v>
      </c>
      <c r="C11" s="283" t="str">
        <f t="shared" si="40"/>
        <v>31016 ARLINGTON SCHOOL DISTRICT</v>
      </c>
      <c r="D11" s="490">
        <v>0</v>
      </c>
      <c r="E11" s="490">
        <v>11974.26</v>
      </c>
      <c r="F11" s="490">
        <v>0</v>
      </c>
      <c r="G11" s="490">
        <v>11695516.35</v>
      </c>
      <c r="H11" s="490">
        <v>1979012.33</v>
      </c>
      <c r="I11" s="490">
        <v>16924.11</v>
      </c>
      <c r="J11" s="490">
        <v>1557965.42</v>
      </c>
      <c r="K11" s="490">
        <v>637559.53</v>
      </c>
      <c r="L11" s="490">
        <v>186401.97</v>
      </c>
      <c r="M11" s="490">
        <v>4167889.14</v>
      </c>
      <c r="N11" s="300">
        <v>2.0199999999999999E-2</v>
      </c>
      <c r="O11" s="492">
        <v>0.1087</v>
      </c>
      <c r="P11" s="490">
        <v>0</v>
      </c>
      <c r="Q11" s="493">
        <v>0</v>
      </c>
      <c r="R11" s="493">
        <v>0</v>
      </c>
      <c r="S11" s="494">
        <v>0</v>
      </c>
      <c r="T11" s="495">
        <v>0</v>
      </c>
      <c r="U11" s="495">
        <v>0</v>
      </c>
      <c r="V11" s="490">
        <v>0</v>
      </c>
      <c r="W11" s="495">
        <v>0</v>
      </c>
      <c r="X11" s="495">
        <v>0</v>
      </c>
      <c r="Y11" s="490">
        <v>0</v>
      </c>
      <c r="Z11" s="490">
        <v>15302.81</v>
      </c>
      <c r="AA11" s="490">
        <v>228461.62</v>
      </c>
      <c r="AB11" s="490">
        <v>395719.87</v>
      </c>
      <c r="AC11" s="490">
        <v>4031634.06</v>
      </c>
      <c r="AD11" s="490">
        <v>391.67</v>
      </c>
      <c r="AE11" s="490">
        <v>3829732.99</v>
      </c>
      <c r="AF11" s="339">
        <v>9777.9584599280006</v>
      </c>
      <c r="AG11" s="339">
        <v>10293.446166415604</v>
      </c>
      <c r="AH11" s="496">
        <v>515.49</v>
      </c>
      <c r="AI11" s="490">
        <v>38.99</v>
      </c>
      <c r="AJ11" s="490">
        <v>372613.15</v>
      </c>
      <c r="AK11" s="339">
        <v>9556.6337522441645</v>
      </c>
      <c r="AL11" s="339">
        <v>10149.265709156194</v>
      </c>
      <c r="AM11" s="496">
        <v>592.63</v>
      </c>
      <c r="AN11" s="495">
        <v>0</v>
      </c>
      <c r="AO11" s="495">
        <v>0</v>
      </c>
      <c r="AP11" s="74"/>
      <c r="AQ11" s="303">
        <v>0</v>
      </c>
      <c r="AR11" s="303">
        <v>628021.56999999995</v>
      </c>
      <c r="AS11" s="552">
        <v>174347.43</v>
      </c>
      <c r="AY11" s="67">
        <f t="shared" si="43"/>
        <v>0</v>
      </c>
      <c r="BA11" t="s">
        <v>850</v>
      </c>
      <c r="BB11" t="s">
        <v>43</v>
      </c>
      <c r="BC11" t="s">
        <v>852</v>
      </c>
      <c r="BD11" s="491">
        <v>2.0199999999999999E-2</v>
      </c>
      <c r="BE11" s="492">
        <v>0.1087</v>
      </c>
      <c r="BG11" s="510">
        <f t="shared" si="41"/>
        <v>0</v>
      </c>
      <c r="BH11" s="510">
        <f t="shared" si="42"/>
        <v>0</v>
      </c>
      <c r="BJ11" s="520">
        <f t="shared" si="44"/>
        <v>0</v>
      </c>
      <c r="BK11" s="520">
        <f t="shared" si="45"/>
        <v>0</v>
      </c>
      <c r="CB11" s="74"/>
      <c r="CC11" s="74"/>
      <c r="CD11" s="74"/>
      <c r="CE11" s="74"/>
      <c r="CF11" s="74"/>
    </row>
    <row r="12" spans="1:84">
      <c r="A12" s="283" t="s">
        <v>853</v>
      </c>
      <c r="B12" s="283" t="s">
        <v>45</v>
      </c>
      <c r="C12" s="283" t="str">
        <f t="shared" si="40"/>
        <v>02420 ASOTIN-ANATONE SCHOOL DISTRICT</v>
      </c>
      <c r="D12" s="490">
        <v>0</v>
      </c>
      <c r="E12" s="490">
        <v>0</v>
      </c>
      <c r="F12" s="490">
        <v>0</v>
      </c>
      <c r="G12" s="490">
        <v>939287.53</v>
      </c>
      <c r="H12" s="490">
        <v>170028.35</v>
      </c>
      <c r="I12" s="490">
        <v>0</v>
      </c>
      <c r="J12" s="490">
        <v>141918.35999999999</v>
      </c>
      <c r="K12" s="490">
        <v>0</v>
      </c>
      <c r="L12" s="490">
        <v>17557.98</v>
      </c>
      <c r="M12" s="490">
        <v>381133.11</v>
      </c>
      <c r="N12" s="300">
        <v>3.7600000000000001E-2</v>
      </c>
      <c r="O12" s="492">
        <v>0.19339999999999999</v>
      </c>
      <c r="P12" s="490">
        <v>0</v>
      </c>
      <c r="Q12" s="493">
        <v>0</v>
      </c>
      <c r="R12" s="493">
        <v>0</v>
      </c>
      <c r="S12" s="494">
        <v>0</v>
      </c>
      <c r="T12" s="495">
        <v>0</v>
      </c>
      <c r="U12" s="495">
        <v>0</v>
      </c>
      <c r="V12" s="490">
        <v>0</v>
      </c>
      <c r="W12" s="495">
        <v>0</v>
      </c>
      <c r="X12" s="495">
        <v>0</v>
      </c>
      <c r="Y12" s="490">
        <v>0</v>
      </c>
      <c r="Z12" s="490">
        <v>0</v>
      </c>
      <c r="AA12" s="490">
        <v>0</v>
      </c>
      <c r="AB12" s="490">
        <v>16213.69</v>
      </c>
      <c r="AC12" s="490">
        <v>409693.88</v>
      </c>
      <c r="AD12" s="490">
        <v>44.1</v>
      </c>
      <c r="AE12" s="490">
        <v>389999.99</v>
      </c>
      <c r="AF12" s="339">
        <v>8843.5371882086165</v>
      </c>
      <c r="AG12" s="339">
        <v>9290.1106575963713</v>
      </c>
      <c r="AH12" s="496">
        <v>446.57</v>
      </c>
      <c r="AI12" s="490">
        <v>1.76</v>
      </c>
      <c r="AJ12" s="490">
        <v>15317.99</v>
      </c>
      <c r="AK12" s="339">
        <v>8703.4034090909081</v>
      </c>
      <c r="AL12" s="339">
        <v>9212.323863636364</v>
      </c>
      <c r="AM12" s="496">
        <v>508.92</v>
      </c>
      <c r="AN12" s="495">
        <v>10993.52</v>
      </c>
      <c r="AO12" s="495">
        <v>0</v>
      </c>
      <c r="AP12" s="74"/>
      <c r="AQ12" s="303">
        <v>3146.5699999999924</v>
      </c>
      <c r="AR12" s="303">
        <v>59627.649999999994</v>
      </c>
      <c r="AS12" s="552">
        <v>18572.32</v>
      </c>
      <c r="AY12" s="67">
        <f t="shared" si="43"/>
        <v>0</v>
      </c>
      <c r="BA12" t="s">
        <v>854</v>
      </c>
      <c r="BB12" t="s">
        <v>45</v>
      </c>
      <c r="BC12" t="s">
        <v>855</v>
      </c>
      <c r="BD12" s="491">
        <v>3.7600000000000001E-2</v>
      </c>
      <c r="BE12" s="492">
        <v>0.19339999999999999</v>
      </c>
      <c r="BG12" s="510">
        <f t="shared" si="41"/>
        <v>0</v>
      </c>
      <c r="BH12" s="510">
        <f t="shared" si="42"/>
        <v>0</v>
      </c>
      <c r="BJ12" s="520">
        <f t="shared" si="44"/>
        <v>0</v>
      </c>
      <c r="BK12" s="520">
        <f t="shared" si="45"/>
        <v>0</v>
      </c>
      <c r="CB12" s="74"/>
      <c r="CC12" s="74"/>
      <c r="CD12" s="74"/>
      <c r="CE12" s="74"/>
      <c r="CF12" s="74"/>
    </row>
    <row r="13" spans="1:84">
      <c r="A13" s="283" t="s">
        <v>48</v>
      </c>
      <c r="B13" s="283" t="s">
        <v>47</v>
      </c>
      <c r="C13" s="283" t="str">
        <f t="shared" si="40"/>
        <v>17408 AUBURN SCHOOL DISTRICT</v>
      </c>
      <c r="D13" s="490">
        <v>0</v>
      </c>
      <c r="E13" s="490">
        <v>0</v>
      </c>
      <c r="F13" s="490">
        <v>0</v>
      </c>
      <c r="G13" s="490">
        <v>28271103.140000001</v>
      </c>
      <c r="H13" s="490">
        <v>4729053.43</v>
      </c>
      <c r="I13" s="490">
        <v>4299001.08</v>
      </c>
      <c r="J13" s="490">
        <v>7306142.3700000001</v>
      </c>
      <c r="K13" s="490">
        <v>9315948.8900000006</v>
      </c>
      <c r="L13" s="490">
        <v>578881.37</v>
      </c>
      <c r="M13" s="490">
        <v>11457284.99</v>
      </c>
      <c r="N13" s="300">
        <v>3.5000000000000003E-2</v>
      </c>
      <c r="O13" s="492">
        <v>0.1242</v>
      </c>
      <c r="P13" s="490">
        <v>0</v>
      </c>
      <c r="Q13" s="493">
        <v>0</v>
      </c>
      <c r="R13" s="493">
        <v>0</v>
      </c>
      <c r="S13" s="494">
        <v>0</v>
      </c>
      <c r="T13" s="495">
        <v>0</v>
      </c>
      <c r="U13" s="495">
        <v>0</v>
      </c>
      <c r="V13" s="490">
        <v>0</v>
      </c>
      <c r="W13" s="495">
        <v>0</v>
      </c>
      <c r="X13" s="495">
        <v>0</v>
      </c>
      <c r="Y13" s="490">
        <v>1090.46</v>
      </c>
      <c r="Z13" s="490">
        <v>184486.02</v>
      </c>
      <c r="AA13" s="490">
        <v>587849.01</v>
      </c>
      <c r="AB13" s="490">
        <v>1770947.48</v>
      </c>
      <c r="AC13" s="490">
        <v>8005454.4199999999</v>
      </c>
      <c r="AD13" s="490">
        <v>746.94</v>
      </c>
      <c r="AE13" s="490">
        <v>7221627.6799999997</v>
      </c>
      <c r="AF13" s="339">
        <v>9668.2835033603751</v>
      </c>
      <c r="AG13" s="339">
        <v>10717.667309288563</v>
      </c>
      <c r="AH13" s="496">
        <v>1049.3800000000001</v>
      </c>
      <c r="AI13" s="490">
        <v>176.48</v>
      </c>
      <c r="AJ13" s="490">
        <v>1667543.56</v>
      </c>
      <c r="AK13" s="339">
        <v>9448.9095648232105</v>
      </c>
      <c r="AL13" s="339">
        <v>10034.833862194017</v>
      </c>
      <c r="AM13" s="496">
        <v>585.91999999999996</v>
      </c>
      <c r="AN13" s="495">
        <v>0</v>
      </c>
      <c r="AO13" s="495">
        <v>0</v>
      </c>
      <c r="AP13" s="74"/>
      <c r="AQ13" s="303">
        <v>3865916.4300000006</v>
      </c>
      <c r="AR13" s="303">
        <v>2113021.5499999998</v>
      </c>
      <c r="AS13" s="552">
        <v>508590.25</v>
      </c>
      <c r="AY13" s="67">
        <f t="shared" si="43"/>
        <v>0</v>
      </c>
      <c r="BA13" t="s">
        <v>856</v>
      </c>
      <c r="BB13" t="s">
        <v>47</v>
      </c>
      <c r="BC13" t="s">
        <v>857</v>
      </c>
      <c r="BD13" s="491">
        <v>3.5000000000000003E-2</v>
      </c>
      <c r="BE13" s="492">
        <v>0.1242</v>
      </c>
      <c r="BG13" s="510">
        <f t="shared" si="41"/>
        <v>0</v>
      </c>
      <c r="BH13" s="510">
        <f t="shared" si="42"/>
        <v>0</v>
      </c>
      <c r="BJ13" s="520">
        <f t="shared" si="44"/>
        <v>0</v>
      </c>
      <c r="BK13" s="520">
        <f t="shared" si="45"/>
        <v>0</v>
      </c>
      <c r="CB13" s="74"/>
      <c r="CC13" s="74"/>
      <c r="CD13" s="74"/>
      <c r="CE13" s="74"/>
      <c r="CF13" s="74"/>
    </row>
    <row r="14" spans="1:84">
      <c r="A14" s="283" t="s">
        <v>50</v>
      </c>
      <c r="B14" s="283" t="s">
        <v>49</v>
      </c>
      <c r="C14" s="283" t="str">
        <f t="shared" si="40"/>
        <v>18303 BAINBRIDGE SCHOOL DISTRICT</v>
      </c>
      <c r="D14" s="490">
        <v>0</v>
      </c>
      <c r="E14" s="490">
        <v>0</v>
      </c>
      <c r="F14" s="490">
        <v>0</v>
      </c>
      <c r="G14" s="490">
        <v>7243574.3700000001</v>
      </c>
      <c r="H14" s="490">
        <v>817254.32</v>
      </c>
      <c r="I14" s="490">
        <v>0</v>
      </c>
      <c r="J14" s="490">
        <v>244939.34</v>
      </c>
      <c r="K14" s="490">
        <v>78069.31</v>
      </c>
      <c r="L14" s="490">
        <v>123521.7</v>
      </c>
      <c r="M14" s="490">
        <v>1738947.8</v>
      </c>
      <c r="N14" s="300">
        <v>2.52E-2</v>
      </c>
      <c r="O14" s="492">
        <v>0.17050000000000001</v>
      </c>
      <c r="P14" s="490">
        <v>0</v>
      </c>
      <c r="Q14" s="493">
        <v>0</v>
      </c>
      <c r="R14" s="493">
        <v>0</v>
      </c>
      <c r="S14" s="494">
        <v>0</v>
      </c>
      <c r="T14" s="495">
        <v>0</v>
      </c>
      <c r="U14" s="495">
        <v>0</v>
      </c>
      <c r="V14" s="490">
        <v>0</v>
      </c>
      <c r="W14" s="495">
        <v>0</v>
      </c>
      <c r="X14" s="495">
        <v>0</v>
      </c>
      <c r="Y14" s="490">
        <v>4009.54</v>
      </c>
      <c r="Z14" s="490">
        <v>0</v>
      </c>
      <c r="AA14" s="490">
        <v>252531.18</v>
      </c>
      <c r="AB14" s="490">
        <v>628562.04</v>
      </c>
      <c r="AC14" s="490">
        <v>2880491.13</v>
      </c>
      <c r="AD14" s="490">
        <v>271</v>
      </c>
      <c r="AE14" s="490">
        <v>2741707.17</v>
      </c>
      <c r="AF14" s="339">
        <v>10117.000627306274</v>
      </c>
      <c r="AG14" s="339">
        <v>10629.118560885609</v>
      </c>
      <c r="AH14" s="496">
        <v>512.12</v>
      </c>
      <c r="AI14" s="490">
        <v>59.78</v>
      </c>
      <c r="AJ14" s="490">
        <v>591670.12</v>
      </c>
      <c r="AK14" s="339">
        <v>9897.4593509534952</v>
      </c>
      <c r="AL14" s="339">
        <v>10514.587487453999</v>
      </c>
      <c r="AM14" s="496">
        <v>617.13</v>
      </c>
      <c r="AN14" s="495">
        <v>0</v>
      </c>
      <c r="AO14" s="495">
        <v>0</v>
      </c>
      <c r="AP14" s="74"/>
      <c r="AQ14" s="303">
        <v>0</v>
      </c>
      <c r="AR14" s="303">
        <v>397144.26999999996</v>
      </c>
      <c r="AS14" s="552">
        <v>117851.19</v>
      </c>
      <c r="AY14" s="67">
        <f t="shared" si="43"/>
        <v>0</v>
      </c>
      <c r="BA14" t="s">
        <v>856</v>
      </c>
      <c r="BB14" t="s">
        <v>49</v>
      </c>
      <c r="BC14" t="s">
        <v>858</v>
      </c>
      <c r="BD14" s="491">
        <v>2.52E-2</v>
      </c>
      <c r="BE14" s="492">
        <v>0.17050000000000001</v>
      </c>
      <c r="BG14" s="510">
        <f t="shared" si="41"/>
        <v>0</v>
      </c>
      <c r="BH14" s="510">
        <f t="shared" si="42"/>
        <v>0</v>
      </c>
      <c r="BJ14" s="520">
        <f t="shared" si="44"/>
        <v>0</v>
      </c>
      <c r="BK14" s="520">
        <f t="shared" si="45"/>
        <v>0</v>
      </c>
      <c r="CB14" s="74"/>
      <c r="CC14" s="74"/>
      <c r="CD14" s="74"/>
      <c r="CE14" s="74"/>
      <c r="CF14" s="74"/>
    </row>
    <row r="15" spans="1:84">
      <c r="A15" s="283" t="s">
        <v>52</v>
      </c>
      <c r="B15" s="283" t="s">
        <v>51</v>
      </c>
      <c r="C15" s="283" t="str">
        <f t="shared" si="40"/>
        <v>06119 BATTLE GROUND SCHOOL DISTRICT</v>
      </c>
      <c r="D15" s="490">
        <v>0</v>
      </c>
      <c r="E15" s="490">
        <v>116888.57</v>
      </c>
      <c r="F15" s="490">
        <v>0</v>
      </c>
      <c r="G15" s="490">
        <v>22436006.940000001</v>
      </c>
      <c r="H15" s="490">
        <v>3526660.9</v>
      </c>
      <c r="I15" s="490">
        <v>0</v>
      </c>
      <c r="J15" s="490">
        <v>3273032.78</v>
      </c>
      <c r="K15" s="490">
        <v>2293163.9300000002</v>
      </c>
      <c r="L15" s="490">
        <v>399841.62</v>
      </c>
      <c r="M15" s="490">
        <v>13031769.67</v>
      </c>
      <c r="N15" s="300">
        <v>3.6999999999999998E-2</v>
      </c>
      <c r="O15" s="492">
        <v>0.14960000000000001</v>
      </c>
      <c r="P15" s="490">
        <v>0</v>
      </c>
      <c r="Q15" s="493">
        <v>0</v>
      </c>
      <c r="R15" s="493">
        <v>0</v>
      </c>
      <c r="S15" s="494">
        <v>0</v>
      </c>
      <c r="T15" s="495">
        <v>0</v>
      </c>
      <c r="U15" s="495">
        <v>0</v>
      </c>
      <c r="V15" s="490">
        <v>0</v>
      </c>
      <c r="W15" s="495">
        <v>0</v>
      </c>
      <c r="X15" s="495">
        <v>0</v>
      </c>
      <c r="Y15" s="490">
        <v>11910.08</v>
      </c>
      <c r="Z15" s="490">
        <v>41801.019999999997</v>
      </c>
      <c r="AA15" s="490">
        <v>517052.6</v>
      </c>
      <c r="AB15" s="490">
        <v>708128.39</v>
      </c>
      <c r="AC15" s="490">
        <v>9581027.2599999998</v>
      </c>
      <c r="AD15" s="490">
        <v>974.72</v>
      </c>
      <c r="AE15" s="490">
        <v>9150060.5299999993</v>
      </c>
      <c r="AF15" s="339">
        <v>9387.3733277248848</v>
      </c>
      <c r="AG15" s="339">
        <v>9829.517461424819</v>
      </c>
      <c r="AH15" s="496">
        <v>442.14</v>
      </c>
      <c r="AI15" s="490">
        <v>72.680000000000007</v>
      </c>
      <c r="AJ15" s="490">
        <v>666430.71</v>
      </c>
      <c r="AK15" s="339">
        <v>9169.3823610346717</v>
      </c>
      <c r="AL15" s="339">
        <v>9743.0983764446883</v>
      </c>
      <c r="AM15" s="496">
        <v>573.72</v>
      </c>
      <c r="AN15" s="495">
        <v>0</v>
      </c>
      <c r="AO15" s="495">
        <v>0</v>
      </c>
      <c r="AP15" s="74"/>
      <c r="AQ15" s="303">
        <v>222334.56000000029</v>
      </c>
      <c r="AR15" s="303">
        <v>1211501.98</v>
      </c>
      <c r="AS15" s="552">
        <v>369978.39</v>
      </c>
      <c r="AY15" s="67">
        <f t="shared" si="43"/>
        <v>0</v>
      </c>
      <c r="BA15" t="s">
        <v>859</v>
      </c>
      <c r="BB15" t="s">
        <v>51</v>
      </c>
      <c r="BC15" t="s">
        <v>860</v>
      </c>
      <c r="BD15" s="491">
        <v>3.6999999999999998E-2</v>
      </c>
      <c r="BE15" s="492">
        <v>0.14960000000000001</v>
      </c>
      <c r="BG15" s="510">
        <f t="shared" si="41"/>
        <v>0</v>
      </c>
      <c r="BH15" s="510">
        <f t="shared" si="42"/>
        <v>0</v>
      </c>
      <c r="BJ15" s="520">
        <f t="shared" si="44"/>
        <v>0</v>
      </c>
      <c r="BK15" s="520">
        <f t="shared" si="45"/>
        <v>0</v>
      </c>
      <c r="CB15" s="74"/>
      <c r="CC15" s="74"/>
      <c r="CD15" s="74"/>
      <c r="CE15" s="74"/>
      <c r="CF15" s="74"/>
    </row>
    <row r="16" spans="1:84">
      <c r="A16" s="283" t="s">
        <v>54</v>
      </c>
      <c r="B16" s="283" t="s">
        <v>53</v>
      </c>
      <c r="C16" s="283" t="str">
        <f t="shared" si="40"/>
        <v>17405 BELLEVUE SCHOOL DISTRICT</v>
      </c>
      <c r="D16" s="490">
        <v>0</v>
      </c>
      <c r="E16" s="490">
        <v>222710.26</v>
      </c>
      <c r="F16" s="490">
        <v>0</v>
      </c>
      <c r="G16" s="490">
        <v>31198396.120000001</v>
      </c>
      <c r="H16" s="490">
        <v>3913733.07</v>
      </c>
      <c r="I16" s="490">
        <v>364718</v>
      </c>
      <c r="J16" s="490">
        <v>2994773.53</v>
      </c>
      <c r="K16" s="490">
        <v>7165174.1299999999</v>
      </c>
      <c r="L16" s="490">
        <v>662500.96</v>
      </c>
      <c r="M16" s="490">
        <v>6622657.0099999998</v>
      </c>
      <c r="N16" s="300">
        <v>2.5700000000000001E-2</v>
      </c>
      <c r="O16" s="492">
        <v>0.1348</v>
      </c>
      <c r="P16" s="490">
        <v>0</v>
      </c>
      <c r="Q16" s="493">
        <v>0</v>
      </c>
      <c r="R16" s="493">
        <v>0</v>
      </c>
      <c r="S16" s="494">
        <v>0</v>
      </c>
      <c r="T16" s="495">
        <v>0</v>
      </c>
      <c r="U16" s="495">
        <v>0</v>
      </c>
      <c r="V16" s="490">
        <v>0</v>
      </c>
      <c r="W16" s="495">
        <v>0</v>
      </c>
      <c r="X16" s="495">
        <v>0</v>
      </c>
      <c r="Y16" s="490">
        <v>0</v>
      </c>
      <c r="Z16" s="490">
        <v>0</v>
      </c>
      <c r="AA16" s="490">
        <v>787582.88</v>
      </c>
      <c r="AB16" s="490">
        <v>2321979.1</v>
      </c>
      <c r="AC16" s="490">
        <v>8533884.8900000006</v>
      </c>
      <c r="AD16" s="490">
        <v>753.85</v>
      </c>
      <c r="AE16" s="490">
        <v>7494754</v>
      </c>
      <c r="AF16" s="339">
        <v>9941.9698879087355</v>
      </c>
      <c r="AG16" s="339">
        <v>11320.401790807191</v>
      </c>
      <c r="AH16" s="496">
        <v>1378.43</v>
      </c>
      <c r="AI16" s="490">
        <v>224.92</v>
      </c>
      <c r="AJ16" s="490">
        <v>2186570.7200000002</v>
      </c>
      <c r="AK16" s="339">
        <v>9721.5486395162734</v>
      </c>
      <c r="AL16" s="339">
        <v>10323.577716521431</v>
      </c>
      <c r="AM16" s="496">
        <v>602.03</v>
      </c>
      <c r="AN16" s="495">
        <v>0</v>
      </c>
      <c r="AO16" s="495">
        <v>0</v>
      </c>
      <c r="AP16" s="74"/>
      <c r="AQ16" s="303">
        <v>0</v>
      </c>
      <c r="AR16" s="303">
        <v>2165353.46</v>
      </c>
      <c r="AS16" s="552">
        <v>603951.26</v>
      </c>
      <c r="AY16" s="67">
        <f t="shared" si="43"/>
        <v>0</v>
      </c>
      <c r="BA16" t="s">
        <v>856</v>
      </c>
      <c r="BB16" t="s">
        <v>53</v>
      </c>
      <c r="BC16" t="s">
        <v>861</v>
      </c>
      <c r="BD16" s="491">
        <v>2.5700000000000001E-2</v>
      </c>
      <c r="BE16" s="492">
        <v>0.1348</v>
      </c>
      <c r="BG16" s="510">
        <f t="shared" si="41"/>
        <v>0</v>
      </c>
      <c r="BH16" s="510">
        <f t="shared" si="42"/>
        <v>0</v>
      </c>
      <c r="BJ16" s="520">
        <f t="shared" si="44"/>
        <v>0</v>
      </c>
      <c r="BK16" s="520">
        <f t="shared" si="45"/>
        <v>0</v>
      </c>
      <c r="CB16" s="74"/>
      <c r="CC16" s="74"/>
      <c r="CD16" s="74"/>
      <c r="CE16" s="74"/>
      <c r="CF16" s="74"/>
    </row>
    <row r="17" spans="1:84">
      <c r="A17" s="283" t="s">
        <v>56</v>
      </c>
      <c r="B17" s="283" t="s">
        <v>55</v>
      </c>
      <c r="C17" s="283" t="str">
        <f t="shared" si="40"/>
        <v>37501 BELLINGHAM SCHOOL DISTRICT</v>
      </c>
      <c r="D17" s="490">
        <v>0</v>
      </c>
      <c r="E17" s="490">
        <v>7292.87</v>
      </c>
      <c r="F17" s="490">
        <v>0</v>
      </c>
      <c r="G17" s="490">
        <v>21392847.100000001</v>
      </c>
      <c r="H17" s="490">
        <v>3195292.88</v>
      </c>
      <c r="I17" s="490">
        <v>585805.91</v>
      </c>
      <c r="J17" s="490">
        <v>3048227.24</v>
      </c>
      <c r="K17" s="490">
        <v>1666421.68</v>
      </c>
      <c r="L17" s="490">
        <v>346635.97</v>
      </c>
      <c r="M17" s="490">
        <v>5395502.8399999999</v>
      </c>
      <c r="N17" s="300">
        <v>2.6800000000000001E-2</v>
      </c>
      <c r="O17" s="492">
        <v>0.13300000000000001</v>
      </c>
      <c r="P17" s="490">
        <v>0</v>
      </c>
      <c r="Q17" s="493">
        <v>0</v>
      </c>
      <c r="R17" s="493">
        <v>0</v>
      </c>
      <c r="S17" s="494">
        <v>0</v>
      </c>
      <c r="T17" s="495">
        <v>0</v>
      </c>
      <c r="U17" s="495">
        <v>0</v>
      </c>
      <c r="V17" s="490">
        <v>0</v>
      </c>
      <c r="W17" s="495">
        <v>0</v>
      </c>
      <c r="X17" s="495">
        <v>0</v>
      </c>
      <c r="Y17" s="490">
        <v>1257.1099999999999</v>
      </c>
      <c r="Z17" s="490">
        <v>0</v>
      </c>
      <c r="AA17" s="490">
        <v>0</v>
      </c>
      <c r="AB17" s="490">
        <v>475523.01</v>
      </c>
      <c r="AC17" s="490">
        <v>7613093.3200000003</v>
      </c>
      <c r="AD17" s="490">
        <v>755.52</v>
      </c>
      <c r="AE17" s="490">
        <v>7029174.3600000003</v>
      </c>
      <c r="AF17" s="339">
        <v>9303.7568297331654</v>
      </c>
      <c r="AG17" s="339">
        <v>10076.627117746719</v>
      </c>
      <c r="AH17" s="496">
        <v>772.87</v>
      </c>
      <c r="AI17" s="490">
        <v>49.27</v>
      </c>
      <c r="AJ17" s="490">
        <v>447448.49</v>
      </c>
      <c r="AK17" s="339">
        <v>9081.5605845341979</v>
      </c>
      <c r="AL17" s="339">
        <v>9651.3702049928961</v>
      </c>
      <c r="AM17" s="496">
        <v>569.80999999999995</v>
      </c>
      <c r="AN17" s="495">
        <v>0</v>
      </c>
      <c r="AO17" s="495">
        <v>0</v>
      </c>
      <c r="AP17" s="74"/>
      <c r="AQ17" s="303">
        <v>0</v>
      </c>
      <c r="AR17" s="303">
        <v>1171407.3199999998</v>
      </c>
      <c r="AS17" s="552">
        <v>334599.25</v>
      </c>
      <c r="AY17" s="67">
        <f t="shared" si="43"/>
        <v>0</v>
      </c>
      <c r="BA17" t="s">
        <v>850</v>
      </c>
      <c r="BB17" t="s">
        <v>55</v>
      </c>
      <c r="BC17" t="s">
        <v>862</v>
      </c>
      <c r="BD17" s="491">
        <v>2.6800000000000001E-2</v>
      </c>
      <c r="BE17" s="492">
        <v>0.13300000000000001</v>
      </c>
      <c r="BG17" s="510">
        <f t="shared" si="41"/>
        <v>0</v>
      </c>
      <c r="BH17" s="510">
        <f t="shared" si="42"/>
        <v>0</v>
      </c>
      <c r="BJ17" s="520">
        <f t="shared" si="44"/>
        <v>0</v>
      </c>
      <c r="BK17" s="520">
        <f t="shared" si="45"/>
        <v>0</v>
      </c>
      <c r="CB17" s="74"/>
      <c r="CC17" s="74"/>
      <c r="CD17" s="74"/>
      <c r="CE17" s="74"/>
      <c r="CF17" s="74"/>
    </row>
    <row r="18" spans="1:84">
      <c r="A18" s="283" t="s">
        <v>58</v>
      </c>
      <c r="B18" s="283" t="s">
        <v>57</v>
      </c>
      <c r="C18" s="283" t="str">
        <f t="shared" si="40"/>
        <v>01122 BENGE SCHOOL DISTRICT</v>
      </c>
      <c r="D18" s="490">
        <v>0</v>
      </c>
      <c r="E18" s="490">
        <v>0</v>
      </c>
      <c r="F18" s="490">
        <v>0</v>
      </c>
      <c r="G18" s="490">
        <v>0</v>
      </c>
      <c r="H18" s="490">
        <v>0</v>
      </c>
      <c r="I18" s="490">
        <v>0</v>
      </c>
      <c r="J18" s="490">
        <v>0</v>
      </c>
      <c r="K18" s="490">
        <v>0</v>
      </c>
      <c r="L18" s="490">
        <v>0</v>
      </c>
      <c r="M18" s="490">
        <v>87979.61</v>
      </c>
      <c r="N18" s="300">
        <v>1.6299999999999999E-2</v>
      </c>
      <c r="O18" s="492">
        <v>0.28810000000000002</v>
      </c>
      <c r="P18" s="490">
        <v>0</v>
      </c>
      <c r="Q18" s="493">
        <v>0</v>
      </c>
      <c r="R18" s="493">
        <v>0</v>
      </c>
      <c r="S18" s="494">
        <v>0</v>
      </c>
      <c r="T18" s="495">
        <v>0</v>
      </c>
      <c r="U18" s="495">
        <v>0</v>
      </c>
      <c r="V18" s="490">
        <v>0</v>
      </c>
      <c r="W18" s="495">
        <v>0</v>
      </c>
      <c r="X18" s="495">
        <v>0</v>
      </c>
      <c r="Y18" s="490">
        <v>0</v>
      </c>
      <c r="Z18" s="490">
        <v>0</v>
      </c>
      <c r="AA18" s="490">
        <v>0</v>
      </c>
      <c r="AB18" s="490">
        <v>0</v>
      </c>
      <c r="AC18" s="490">
        <v>0</v>
      </c>
      <c r="AD18" s="490">
        <v>0</v>
      </c>
      <c r="AE18" s="490">
        <v>0</v>
      </c>
      <c r="AF18" s="339">
        <v>0</v>
      </c>
      <c r="AG18" s="339">
        <v>0</v>
      </c>
      <c r="AH18" s="496">
        <v>0</v>
      </c>
      <c r="AI18" s="490">
        <v>0</v>
      </c>
      <c r="AJ18" s="490">
        <v>0</v>
      </c>
      <c r="AK18" s="339">
        <v>0</v>
      </c>
      <c r="AL18" s="339">
        <v>0</v>
      </c>
      <c r="AM18" s="496">
        <v>0</v>
      </c>
      <c r="AN18" s="495">
        <v>0</v>
      </c>
      <c r="AO18" s="495">
        <v>0</v>
      </c>
      <c r="AP18" s="74"/>
      <c r="AQ18" s="303">
        <v>1287.6999999999998</v>
      </c>
      <c r="AR18" s="303">
        <v>3039.6</v>
      </c>
      <c r="AS18" s="552"/>
      <c r="AY18" s="67">
        <f t="shared" si="43"/>
        <v>0</v>
      </c>
      <c r="BA18" t="s">
        <v>848</v>
      </c>
      <c r="BB18" t="s">
        <v>57</v>
      </c>
      <c r="BC18" t="s">
        <v>863</v>
      </c>
      <c r="BD18" s="491">
        <v>1.6299999999999999E-2</v>
      </c>
      <c r="BE18" s="492">
        <v>0.28810000000000002</v>
      </c>
      <c r="BG18" s="510">
        <f t="shared" si="41"/>
        <v>0</v>
      </c>
      <c r="BH18" s="510">
        <f t="shared" si="42"/>
        <v>0</v>
      </c>
      <c r="BJ18" s="520">
        <f t="shared" si="44"/>
        <v>0</v>
      </c>
      <c r="BK18" s="520">
        <f t="shared" si="45"/>
        <v>0</v>
      </c>
      <c r="CB18" s="74"/>
      <c r="CC18" s="74"/>
      <c r="CD18" s="74"/>
      <c r="CE18" s="74"/>
      <c r="CF18" s="74"/>
    </row>
    <row r="19" spans="1:84">
      <c r="A19" s="283" t="s">
        <v>60</v>
      </c>
      <c r="B19" s="283" t="s">
        <v>59</v>
      </c>
      <c r="C19" s="283" t="str">
        <f t="shared" si="40"/>
        <v>27403 BETHEL SCHOOL DISTRICT</v>
      </c>
      <c r="D19" s="490">
        <v>0</v>
      </c>
      <c r="E19" s="490">
        <v>529418.28</v>
      </c>
      <c r="F19" s="490">
        <v>275269.37</v>
      </c>
      <c r="G19" s="490">
        <v>37078879.25</v>
      </c>
      <c r="H19" s="490">
        <v>7665602.9000000004</v>
      </c>
      <c r="I19" s="490">
        <v>3087828.82</v>
      </c>
      <c r="J19" s="490">
        <v>7156797.04</v>
      </c>
      <c r="K19" s="490">
        <v>2880952.98</v>
      </c>
      <c r="L19" s="490">
        <v>651651.48</v>
      </c>
      <c r="M19" s="490">
        <v>17755945.300000001</v>
      </c>
      <c r="N19" s="300">
        <v>3.7900000000000003E-2</v>
      </c>
      <c r="O19" s="492">
        <v>0.13819999999999999</v>
      </c>
      <c r="P19" s="490">
        <v>0</v>
      </c>
      <c r="Q19" s="493">
        <v>0</v>
      </c>
      <c r="R19" s="493">
        <v>0</v>
      </c>
      <c r="S19" s="494">
        <v>0</v>
      </c>
      <c r="T19" s="495">
        <v>0</v>
      </c>
      <c r="U19" s="495">
        <v>0</v>
      </c>
      <c r="V19" s="490">
        <v>0</v>
      </c>
      <c r="W19" s="495">
        <v>0</v>
      </c>
      <c r="X19" s="495">
        <v>0</v>
      </c>
      <c r="Y19" s="490">
        <v>23642.32</v>
      </c>
      <c r="Z19" s="490">
        <v>11774.15</v>
      </c>
      <c r="AA19" s="490">
        <v>254499.51</v>
      </c>
      <c r="AB19" s="490">
        <v>2466807.4300000002</v>
      </c>
      <c r="AC19" s="490">
        <v>10273720.789999999</v>
      </c>
      <c r="AD19" s="490">
        <v>1042.83</v>
      </c>
      <c r="AE19" s="490">
        <v>9606854.8300000001</v>
      </c>
      <c r="AF19" s="339">
        <v>9212.2923487049666</v>
      </c>
      <c r="AG19" s="339">
        <v>9851.7695022199205</v>
      </c>
      <c r="AH19" s="496">
        <v>639.48</v>
      </c>
      <c r="AI19" s="490">
        <v>258.20999999999998</v>
      </c>
      <c r="AJ19" s="490">
        <v>2322429.7200000002</v>
      </c>
      <c r="AK19" s="339">
        <v>8994.3446032299307</v>
      </c>
      <c r="AL19" s="339">
        <v>9553.4930095658583</v>
      </c>
      <c r="AM19" s="496">
        <v>559.15</v>
      </c>
      <c r="AN19" s="495">
        <v>0</v>
      </c>
      <c r="AO19" s="495">
        <v>0</v>
      </c>
      <c r="AP19" s="74"/>
      <c r="AQ19" s="303">
        <v>519187.89999999991</v>
      </c>
      <c r="AR19" s="303">
        <v>2212075.2000000002</v>
      </c>
      <c r="AS19" s="552">
        <v>604183.63</v>
      </c>
      <c r="AY19" s="67">
        <f t="shared" si="43"/>
        <v>0</v>
      </c>
      <c r="BA19" t="s">
        <v>856</v>
      </c>
      <c r="BB19" t="s">
        <v>59</v>
      </c>
      <c r="BC19" t="s">
        <v>864</v>
      </c>
      <c r="BD19" s="491">
        <v>3.7900000000000003E-2</v>
      </c>
      <c r="BE19" s="492">
        <v>0.13819999999999999</v>
      </c>
      <c r="BG19" s="510">
        <f t="shared" si="41"/>
        <v>0</v>
      </c>
      <c r="BH19" s="510">
        <f t="shared" si="42"/>
        <v>0</v>
      </c>
      <c r="BJ19" s="520">
        <f t="shared" si="44"/>
        <v>0</v>
      </c>
      <c r="BK19" s="520">
        <f t="shared" si="45"/>
        <v>0</v>
      </c>
      <c r="CB19" s="74"/>
      <c r="CC19" s="74"/>
      <c r="CD19" s="74"/>
      <c r="CE19" s="74"/>
      <c r="CF19" s="74"/>
    </row>
    <row r="20" spans="1:84">
      <c r="A20" s="283" t="s">
        <v>62</v>
      </c>
      <c r="B20" s="283" t="s">
        <v>61</v>
      </c>
      <c r="C20" s="283" t="str">
        <f t="shared" si="40"/>
        <v>20203 BICKLETON SCHOOL DISTRICT</v>
      </c>
      <c r="D20" s="490">
        <v>0</v>
      </c>
      <c r="E20" s="490">
        <v>0</v>
      </c>
      <c r="F20" s="490">
        <v>0</v>
      </c>
      <c r="G20" s="490">
        <v>0</v>
      </c>
      <c r="H20" s="490">
        <v>0</v>
      </c>
      <c r="I20" s="490">
        <v>0</v>
      </c>
      <c r="J20" s="490">
        <v>0</v>
      </c>
      <c r="K20" s="490">
        <v>0</v>
      </c>
      <c r="L20" s="490">
        <v>2909.02</v>
      </c>
      <c r="M20" s="490">
        <v>224398.77</v>
      </c>
      <c r="N20" s="300">
        <v>2.4199999999999999E-2</v>
      </c>
      <c r="O20" s="492">
        <v>0.2621</v>
      </c>
      <c r="P20" s="490">
        <v>0</v>
      </c>
      <c r="Q20" s="493">
        <v>0</v>
      </c>
      <c r="R20" s="493">
        <v>0</v>
      </c>
      <c r="S20" s="494">
        <v>0</v>
      </c>
      <c r="T20" s="495">
        <v>0</v>
      </c>
      <c r="U20" s="495">
        <v>0</v>
      </c>
      <c r="V20" s="490">
        <v>0</v>
      </c>
      <c r="W20" s="495">
        <v>0</v>
      </c>
      <c r="X20" s="495">
        <v>0</v>
      </c>
      <c r="Y20" s="490">
        <v>118.55</v>
      </c>
      <c r="Z20" s="490">
        <v>0</v>
      </c>
      <c r="AA20" s="490">
        <v>0</v>
      </c>
      <c r="AB20" s="490">
        <v>0</v>
      </c>
      <c r="AC20" s="490">
        <v>0</v>
      </c>
      <c r="AD20" s="490">
        <v>0</v>
      </c>
      <c r="AE20" s="490">
        <v>0</v>
      </c>
      <c r="AF20" s="339">
        <v>0</v>
      </c>
      <c r="AG20" s="339">
        <v>0</v>
      </c>
      <c r="AH20" s="496">
        <v>0</v>
      </c>
      <c r="AI20" s="490">
        <v>0</v>
      </c>
      <c r="AJ20" s="490">
        <v>0</v>
      </c>
      <c r="AK20" s="339">
        <v>0</v>
      </c>
      <c r="AL20" s="339">
        <v>0</v>
      </c>
      <c r="AM20" s="496">
        <v>0</v>
      </c>
      <c r="AN20" s="495">
        <v>0</v>
      </c>
      <c r="AO20" s="495">
        <v>0</v>
      </c>
      <c r="AP20" s="74"/>
      <c r="AQ20" s="303">
        <v>3758.4599999999991</v>
      </c>
      <c r="AR20" s="303">
        <v>19581.169999999998</v>
      </c>
      <c r="AS20" s="552"/>
      <c r="AY20" s="67">
        <f t="shared" si="43"/>
        <v>0</v>
      </c>
      <c r="BA20" t="s">
        <v>865</v>
      </c>
      <c r="BB20" t="s">
        <v>61</v>
      </c>
      <c r="BC20" t="s">
        <v>866</v>
      </c>
      <c r="BD20" s="491">
        <v>2.4199999999999999E-2</v>
      </c>
      <c r="BE20" s="492">
        <v>0.2621</v>
      </c>
      <c r="BG20" s="510">
        <f t="shared" si="41"/>
        <v>0</v>
      </c>
      <c r="BH20" s="510">
        <f t="shared" si="42"/>
        <v>0</v>
      </c>
      <c r="BJ20" s="520">
        <f t="shared" si="44"/>
        <v>0</v>
      </c>
      <c r="BK20" s="520">
        <f t="shared" si="45"/>
        <v>0</v>
      </c>
      <c r="CB20" s="74"/>
      <c r="CC20" s="74"/>
      <c r="CD20" s="74"/>
      <c r="CE20" s="74"/>
      <c r="CF20" s="74"/>
    </row>
    <row r="21" spans="1:84">
      <c r="A21" s="283" t="s">
        <v>64</v>
      </c>
      <c r="B21" s="283" t="s">
        <v>63</v>
      </c>
      <c r="C21" s="283" t="str">
        <f t="shared" si="40"/>
        <v>37503 BLAINE SCHOOL DISTRICT</v>
      </c>
      <c r="D21" s="490">
        <v>0</v>
      </c>
      <c r="E21" s="490">
        <v>72151.3</v>
      </c>
      <c r="F21" s="490">
        <v>0</v>
      </c>
      <c r="G21" s="490">
        <v>4227367.8899999997</v>
      </c>
      <c r="H21" s="490">
        <v>569984.34</v>
      </c>
      <c r="I21" s="490">
        <v>3263.22</v>
      </c>
      <c r="J21" s="490">
        <v>698798.99</v>
      </c>
      <c r="K21" s="490">
        <v>199810.66</v>
      </c>
      <c r="L21" s="490">
        <v>66313.64</v>
      </c>
      <c r="M21" s="490">
        <v>1709835.34</v>
      </c>
      <c r="N21" s="300">
        <v>3.8800000000000001E-2</v>
      </c>
      <c r="O21" s="492">
        <v>0.1419</v>
      </c>
      <c r="P21" s="490">
        <v>0</v>
      </c>
      <c r="Q21" s="493">
        <v>0</v>
      </c>
      <c r="R21" s="493">
        <v>0</v>
      </c>
      <c r="S21" s="494">
        <v>0</v>
      </c>
      <c r="T21" s="495">
        <v>0</v>
      </c>
      <c r="U21" s="495">
        <v>0</v>
      </c>
      <c r="V21" s="490">
        <v>0</v>
      </c>
      <c r="W21" s="495">
        <v>0</v>
      </c>
      <c r="X21" s="495">
        <v>0</v>
      </c>
      <c r="Y21" s="490">
        <v>2300.59</v>
      </c>
      <c r="Z21" s="490">
        <v>0</v>
      </c>
      <c r="AA21" s="490">
        <v>0</v>
      </c>
      <c r="AB21" s="490">
        <v>303110.51</v>
      </c>
      <c r="AC21" s="490">
        <v>1067482.8899999999</v>
      </c>
      <c r="AD21" s="490">
        <v>98.55</v>
      </c>
      <c r="AE21" s="490">
        <v>952394.68</v>
      </c>
      <c r="AF21" s="339">
        <v>9664.0759005580931</v>
      </c>
      <c r="AG21" s="339">
        <v>10831.891324200913</v>
      </c>
      <c r="AH21" s="496">
        <v>1167.82</v>
      </c>
      <c r="AI21" s="490">
        <v>30.22</v>
      </c>
      <c r="AJ21" s="490">
        <v>285427.86</v>
      </c>
      <c r="AK21" s="339">
        <v>9444.9986763732632</v>
      </c>
      <c r="AL21" s="339">
        <v>10030.129384513568</v>
      </c>
      <c r="AM21" s="496">
        <v>585.13</v>
      </c>
      <c r="AN21" s="495">
        <v>0</v>
      </c>
      <c r="AO21" s="495">
        <v>0</v>
      </c>
      <c r="AP21" s="74"/>
      <c r="AQ21" s="303">
        <v>0</v>
      </c>
      <c r="AR21" s="303">
        <v>227214.36000000002</v>
      </c>
      <c r="AS21" s="552">
        <v>66292.91</v>
      </c>
      <c r="AY21" s="67">
        <f t="shared" si="43"/>
        <v>0</v>
      </c>
      <c r="BA21" t="s">
        <v>850</v>
      </c>
      <c r="BB21" t="s">
        <v>63</v>
      </c>
      <c r="BC21" t="s">
        <v>867</v>
      </c>
      <c r="BD21" s="491">
        <v>3.8800000000000001E-2</v>
      </c>
      <c r="BE21" s="492">
        <v>0.1419</v>
      </c>
      <c r="BG21" s="510">
        <f t="shared" si="41"/>
        <v>0</v>
      </c>
      <c r="BH21" s="510">
        <f t="shared" si="42"/>
        <v>0</v>
      </c>
      <c r="BJ21" s="520">
        <f t="shared" si="44"/>
        <v>0</v>
      </c>
      <c r="BK21" s="520">
        <f t="shared" si="45"/>
        <v>0</v>
      </c>
      <c r="CB21" s="74"/>
      <c r="CC21" s="74"/>
      <c r="CD21" s="74"/>
      <c r="CE21" s="74"/>
      <c r="CF21" s="74"/>
    </row>
    <row r="22" spans="1:84">
      <c r="A22" s="283" t="s">
        <v>66</v>
      </c>
      <c r="B22" s="283" t="s">
        <v>65</v>
      </c>
      <c r="C22" s="283" t="str">
        <f t="shared" si="40"/>
        <v>21234 BOISTFORT SCHOOL DISTRICT</v>
      </c>
      <c r="D22" s="490">
        <v>0</v>
      </c>
      <c r="E22" s="490">
        <v>0</v>
      </c>
      <c r="F22" s="490">
        <v>0</v>
      </c>
      <c r="G22" s="490">
        <v>433238.48</v>
      </c>
      <c r="H22" s="490">
        <v>77022.61</v>
      </c>
      <c r="I22" s="490">
        <v>0</v>
      </c>
      <c r="J22" s="490">
        <v>19843.63</v>
      </c>
      <c r="K22" s="490">
        <v>0</v>
      </c>
      <c r="L22" s="490">
        <v>9662.09</v>
      </c>
      <c r="M22" s="490">
        <v>230879.45</v>
      </c>
      <c r="N22" s="300">
        <v>7.3999999999999996E-2</v>
      </c>
      <c r="O22" s="492">
        <v>0.25519999999999998</v>
      </c>
      <c r="P22" s="490">
        <v>0</v>
      </c>
      <c r="Q22" s="493">
        <v>0</v>
      </c>
      <c r="R22" s="493">
        <v>0</v>
      </c>
      <c r="S22" s="494">
        <v>0</v>
      </c>
      <c r="T22" s="495">
        <v>0</v>
      </c>
      <c r="U22" s="495">
        <v>0</v>
      </c>
      <c r="V22" s="490">
        <v>0</v>
      </c>
      <c r="W22" s="495">
        <v>0</v>
      </c>
      <c r="X22" s="495">
        <v>0</v>
      </c>
      <c r="Y22" s="490">
        <v>112.96</v>
      </c>
      <c r="Z22" s="490">
        <v>0</v>
      </c>
      <c r="AA22" s="490">
        <v>0</v>
      </c>
      <c r="AB22" s="490">
        <v>9447.01</v>
      </c>
      <c r="AC22" s="490">
        <v>1170.26</v>
      </c>
      <c r="AD22" s="490">
        <v>0</v>
      </c>
      <c r="AE22" s="490">
        <v>0</v>
      </c>
      <c r="AF22" s="339">
        <v>0</v>
      </c>
      <c r="AG22" s="339">
        <v>0</v>
      </c>
      <c r="AH22" s="496">
        <v>0</v>
      </c>
      <c r="AI22" s="490">
        <v>1.03</v>
      </c>
      <c r="AJ22" s="490">
        <v>8879.6299999999992</v>
      </c>
      <c r="AK22" s="339">
        <v>8620.9999999999982</v>
      </c>
      <c r="AL22" s="339">
        <v>9171.8543689320395</v>
      </c>
      <c r="AM22" s="496">
        <v>550.85</v>
      </c>
      <c r="AN22" s="495">
        <v>0</v>
      </c>
      <c r="AO22" s="495">
        <v>0</v>
      </c>
      <c r="AP22" s="74"/>
      <c r="AQ22" s="303">
        <v>29657.129999999997</v>
      </c>
      <c r="AR22" s="303">
        <v>14037.189999999999</v>
      </c>
      <c r="AS22" s="552">
        <v>12439.939999999999</v>
      </c>
      <c r="AY22" s="67">
        <f t="shared" si="43"/>
        <v>0</v>
      </c>
      <c r="BA22" t="s">
        <v>845</v>
      </c>
      <c r="BB22" t="s">
        <v>65</v>
      </c>
      <c r="BC22" t="s">
        <v>868</v>
      </c>
      <c r="BD22" s="491">
        <v>7.3999999999999996E-2</v>
      </c>
      <c r="BE22" s="492">
        <v>0.25519999999999998</v>
      </c>
      <c r="BG22" s="510">
        <f t="shared" si="41"/>
        <v>0</v>
      </c>
      <c r="BH22" s="510">
        <f t="shared" si="42"/>
        <v>0</v>
      </c>
      <c r="BJ22" s="520">
        <f t="shared" si="44"/>
        <v>0</v>
      </c>
      <c r="BK22" s="520">
        <f t="shared" si="45"/>
        <v>0</v>
      </c>
      <c r="CB22" s="74"/>
      <c r="CC22" s="74"/>
      <c r="CD22" s="74"/>
      <c r="CE22" s="74"/>
      <c r="CF22" s="74"/>
    </row>
    <row r="23" spans="1:84">
      <c r="A23" s="283" t="s">
        <v>68</v>
      </c>
      <c r="B23" s="283" t="s">
        <v>67</v>
      </c>
      <c r="C23" s="283" t="str">
        <f t="shared" si="40"/>
        <v>18100 BREMERTON SCHOOL DISTRICT</v>
      </c>
      <c r="D23" s="490">
        <v>0</v>
      </c>
      <c r="E23" s="490">
        <v>223766.71</v>
      </c>
      <c r="F23" s="490">
        <v>134067.94</v>
      </c>
      <c r="G23" s="490">
        <v>9666832.0299999993</v>
      </c>
      <c r="H23" s="490">
        <v>1817587.62</v>
      </c>
      <c r="I23" s="490">
        <v>1341224.97</v>
      </c>
      <c r="J23" s="490">
        <v>2182299.5699999998</v>
      </c>
      <c r="K23" s="490">
        <v>1011840.13</v>
      </c>
      <c r="L23" s="490">
        <v>153818.48000000001</v>
      </c>
      <c r="M23" s="490">
        <v>2609187.9500000002</v>
      </c>
      <c r="N23" s="300">
        <v>5.2699999999999997E-2</v>
      </c>
      <c r="O23" s="492">
        <v>0.1573</v>
      </c>
      <c r="P23" s="490">
        <v>0</v>
      </c>
      <c r="Q23" s="493">
        <v>0</v>
      </c>
      <c r="R23" s="493">
        <v>0</v>
      </c>
      <c r="S23" s="494">
        <v>0</v>
      </c>
      <c r="T23" s="495">
        <v>0</v>
      </c>
      <c r="U23" s="495">
        <v>0</v>
      </c>
      <c r="V23" s="490">
        <v>0</v>
      </c>
      <c r="W23" s="495">
        <v>0</v>
      </c>
      <c r="X23" s="495">
        <v>0</v>
      </c>
      <c r="Y23" s="490">
        <v>4810.33</v>
      </c>
      <c r="Z23" s="490">
        <v>7804.43</v>
      </c>
      <c r="AA23" s="490">
        <v>0</v>
      </c>
      <c r="AB23" s="490">
        <v>842412.66</v>
      </c>
      <c r="AC23" s="490">
        <v>3336957.95</v>
      </c>
      <c r="AD23" s="490">
        <v>317.27999999999997</v>
      </c>
      <c r="AE23" s="490">
        <v>3154368.81</v>
      </c>
      <c r="AF23" s="339">
        <v>9941.9087556732229</v>
      </c>
      <c r="AG23" s="339">
        <v>10517.391420827031</v>
      </c>
      <c r="AH23" s="496">
        <v>575.48</v>
      </c>
      <c r="AI23" s="490">
        <v>81.599999999999994</v>
      </c>
      <c r="AJ23" s="490">
        <v>793400.5</v>
      </c>
      <c r="AK23" s="339">
        <v>9723.0453431372553</v>
      </c>
      <c r="AL23" s="339">
        <v>10323.68455882353</v>
      </c>
      <c r="AM23" s="496">
        <v>600.64</v>
      </c>
      <c r="AN23" s="495">
        <v>0</v>
      </c>
      <c r="AO23" s="495">
        <v>0</v>
      </c>
      <c r="AP23" s="74"/>
      <c r="AQ23" s="303">
        <v>25404.260000000242</v>
      </c>
      <c r="AR23" s="303">
        <v>560335.72</v>
      </c>
      <c r="AS23" s="552">
        <v>130138.03</v>
      </c>
      <c r="AY23" s="67">
        <f t="shared" si="43"/>
        <v>0</v>
      </c>
      <c r="BA23" t="s">
        <v>869</v>
      </c>
      <c r="BB23" t="s">
        <v>67</v>
      </c>
      <c r="BC23" t="s">
        <v>870</v>
      </c>
      <c r="BD23" s="491">
        <v>5.2699999999999997E-2</v>
      </c>
      <c r="BE23" s="492">
        <v>0.1573</v>
      </c>
      <c r="BG23" s="510">
        <f t="shared" si="41"/>
        <v>0</v>
      </c>
      <c r="BH23" s="510">
        <f t="shared" si="42"/>
        <v>0</v>
      </c>
      <c r="BJ23" s="520">
        <f t="shared" si="44"/>
        <v>0</v>
      </c>
      <c r="BK23" s="520">
        <f t="shared" si="45"/>
        <v>0</v>
      </c>
      <c r="CB23" s="74"/>
      <c r="CC23" s="74"/>
      <c r="CD23" s="74"/>
      <c r="CE23" s="74"/>
      <c r="CF23" s="74"/>
    </row>
    <row r="24" spans="1:84">
      <c r="A24" s="283" t="s">
        <v>70</v>
      </c>
      <c r="B24" s="283" t="s">
        <v>69</v>
      </c>
      <c r="C24" s="283" t="str">
        <f t="shared" si="40"/>
        <v>24111 BREWSTER SCHOOL DISTRICT</v>
      </c>
      <c r="D24" s="490">
        <v>0</v>
      </c>
      <c r="E24" s="490">
        <v>57029.34</v>
      </c>
      <c r="F24" s="490">
        <v>28727.83</v>
      </c>
      <c r="G24" s="490">
        <v>1264659.19</v>
      </c>
      <c r="H24" s="490">
        <v>198951.33</v>
      </c>
      <c r="I24" s="490">
        <v>294018.28999999998</v>
      </c>
      <c r="J24" s="490">
        <v>617542.31999999995</v>
      </c>
      <c r="K24" s="490">
        <v>610512.1</v>
      </c>
      <c r="L24" s="490">
        <v>28778.47</v>
      </c>
      <c r="M24" s="490">
        <v>272835.09000000003</v>
      </c>
      <c r="N24" s="300">
        <v>4.3299999999999998E-2</v>
      </c>
      <c r="O24" s="492">
        <v>0.15479999999999999</v>
      </c>
      <c r="P24" s="490">
        <v>0</v>
      </c>
      <c r="Q24" s="493">
        <v>0</v>
      </c>
      <c r="R24" s="493">
        <v>0</v>
      </c>
      <c r="S24" s="494">
        <v>0</v>
      </c>
      <c r="T24" s="495">
        <v>0</v>
      </c>
      <c r="U24" s="495">
        <v>0</v>
      </c>
      <c r="V24" s="490">
        <v>0</v>
      </c>
      <c r="W24" s="495">
        <v>0</v>
      </c>
      <c r="X24" s="495">
        <v>0</v>
      </c>
      <c r="Y24" s="490">
        <v>0</v>
      </c>
      <c r="Z24" s="490">
        <v>0</v>
      </c>
      <c r="AA24" s="490">
        <v>69331.039999999994</v>
      </c>
      <c r="AB24" s="490">
        <v>115467.2</v>
      </c>
      <c r="AC24" s="490">
        <v>806142.16</v>
      </c>
      <c r="AD24" s="490">
        <v>84.89</v>
      </c>
      <c r="AE24" s="490">
        <v>751068.42</v>
      </c>
      <c r="AF24" s="339">
        <v>8847.5488278949233</v>
      </c>
      <c r="AG24" s="339">
        <v>9496.3147602780064</v>
      </c>
      <c r="AH24" s="496">
        <v>648.77</v>
      </c>
      <c r="AI24" s="490">
        <v>12.6</v>
      </c>
      <c r="AJ24" s="490">
        <v>108594.39</v>
      </c>
      <c r="AK24" s="339">
        <v>8618.6023809523813</v>
      </c>
      <c r="AL24" s="339">
        <v>9164.063492063493</v>
      </c>
      <c r="AM24" s="496">
        <v>545.46</v>
      </c>
      <c r="AN24" s="495">
        <v>0</v>
      </c>
      <c r="AO24" s="495">
        <v>0</v>
      </c>
      <c r="AP24" s="74"/>
      <c r="AQ24" s="303">
        <v>35287.290000000023</v>
      </c>
      <c r="AR24" s="303">
        <v>109352.26000000001</v>
      </c>
      <c r="AS24" s="552">
        <v>38872.629999999997</v>
      </c>
      <c r="AY24" s="67">
        <f t="shared" si="43"/>
        <v>0</v>
      </c>
      <c r="BA24" t="s">
        <v>871</v>
      </c>
      <c r="BB24" t="s">
        <v>69</v>
      </c>
      <c r="BC24" t="s">
        <v>872</v>
      </c>
      <c r="BD24" s="491">
        <v>4.3299999999999998E-2</v>
      </c>
      <c r="BE24" s="492">
        <v>0.15479999999999999</v>
      </c>
      <c r="BG24" s="510">
        <f t="shared" si="41"/>
        <v>0</v>
      </c>
      <c r="BH24" s="510">
        <f t="shared" si="42"/>
        <v>0</v>
      </c>
      <c r="BJ24" s="520">
        <f t="shared" si="44"/>
        <v>0</v>
      </c>
      <c r="BK24" s="520">
        <f t="shared" si="45"/>
        <v>0</v>
      </c>
      <c r="CB24" s="74"/>
      <c r="CC24" s="74"/>
      <c r="CD24" s="74"/>
      <c r="CE24" s="74"/>
      <c r="CF24" s="74"/>
    </row>
    <row r="25" spans="1:84">
      <c r="A25" s="283" t="s">
        <v>72</v>
      </c>
      <c r="B25" s="283" t="s">
        <v>71</v>
      </c>
      <c r="C25" s="283" t="str">
        <f t="shared" si="40"/>
        <v>09075 BRIDGEPORT SCHOOL DISTRICT</v>
      </c>
      <c r="D25" s="490">
        <v>0</v>
      </c>
      <c r="E25" s="490">
        <v>0</v>
      </c>
      <c r="F25" s="490">
        <v>1090.51</v>
      </c>
      <c r="G25" s="490">
        <v>919322.76</v>
      </c>
      <c r="H25" s="490">
        <v>105088.78</v>
      </c>
      <c r="I25" s="490">
        <v>228565.46</v>
      </c>
      <c r="J25" s="490">
        <v>466689.12</v>
      </c>
      <c r="K25" s="490">
        <v>641440.92000000004</v>
      </c>
      <c r="L25" s="490">
        <v>21090.36</v>
      </c>
      <c r="M25" s="490">
        <v>225502.81</v>
      </c>
      <c r="N25" s="300">
        <v>4.87E-2</v>
      </c>
      <c r="O25" s="492">
        <v>0.1696</v>
      </c>
      <c r="P25" s="490">
        <v>0</v>
      </c>
      <c r="Q25" s="493">
        <v>0</v>
      </c>
      <c r="R25" s="493">
        <v>0</v>
      </c>
      <c r="S25" s="494">
        <v>0</v>
      </c>
      <c r="T25" s="495">
        <v>0</v>
      </c>
      <c r="U25" s="495">
        <v>0</v>
      </c>
      <c r="V25" s="490">
        <v>0</v>
      </c>
      <c r="W25" s="495">
        <v>0</v>
      </c>
      <c r="X25" s="495">
        <v>0</v>
      </c>
      <c r="Y25" s="490">
        <v>0</v>
      </c>
      <c r="Z25" s="490">
        <v>9168.1299999999992</v>
      </c>
      <c r="AA25" s="490">
        <v>4817.17</v>
      </c>
      <c r="AB25" s="490">
        <v>67447.820000000007</v>
      </c>
      <c r="AC25" s="490">
        <v>253549.23</v>
      </c>
      <c r="AD25" s="490">
        <v>27.65</v>
      </c>
      <c r="AE25" s="490">
        <v>244556.65</v>
      </c>
      <c r="AF25" s="339">
        <v>8844.7251356238703</v>
      </c>
      <c r="AG25" s="339">
        <v>9169.9540687160952</v>
      </c>
      <c r="AH25" s="496">
        <v>325.23</v>
      </c>
      <c r="AI25" s="490">
        <v>7.36</v>
      </c>
      <c r="AJ25" s="490">
        <v>63576.47</v>
      </c>
      <c r="AK25" s="339">
        <v>8638.107336956522</v>
      </c>
      <c r="AL25" s="339">
        <v>9164.10597826087</v>
      </c>
      <c r="AM25" s="496">
        <v>526</v>
      </c>
      <c r="AN25" s="495">
        <v>0</v>
      </c>
      <c r="AO25" s="495">
        <v>0</v>
      </c>
      <c r="AP25" s="74"/>
      <c r="AQ25" s="303">
        <v>52771.650000000009</v>
      </c>
      <c r="AR25" s="303">
        <v>83412.97</v>
      </c>
      <c r="AS25" s="552">
        <v>31204.25</v>
      </c>
      <c r="AY25" s="67">
        <f t="shared" si="43"/>
        <v>0</v>
      </c>
      <c r="BA25" t="s">
        <v>871</v>
      </c>
      <c r="BB25" t="s">
        <v>71</v>
      </c>
      <c r="BC25" t="s">
        <v>873</v>
      </c>
      <c r="BD25" s="491">
        <v>4.87E-2</v>
      </c>
      <c r="BE25" s="492">
        <v>0.1696</v>
      </c>
      <c r="BG25" s="510">
        <f t="shared" si="41"/>
        <v>0</v>
      </c>
      <c r="BH25" s="510">
        <f t="shared" si="42"/>
        <v>0</v>
      </c>
      <c r="BJ25" s="520">
        <f t="shared" si="44"/>
        <v>0</v>
      </c>
      <c r="BK25" s="520">
        <f t="shared" si="45"/>
        <v>0</v>
      </c>
      <c r="CB25" s="74"/>
      <c r="CC25" s="74"/>
      <c r="CD25" s="74"/>
      <c r="CE25" s="74"/>
      <c r="CF25" s="74"/>
    </row>
    <row r="26" spans="1:84">
      <c r="A26" s="283" t="s">
        <v>74</v>
      </c>
      <c r="B26" s="283" t="s">
        <v>73</v>
      </c>
      <c r="C26" s="283" t="str">
        <f t="shared" si="40"/>
        <v>16046 BRINNON SCHOOL DISTRICT</v>
      </c>
      <c r="D26" s="490">
        <v>0</v>
      </c>
      <c r="E26" s="490">
        <v>0</v>
      </c>
      <c r="F26" s="490">
        <v>0</v>
      </c>
      <c r="G26" s="490">
        <v>124998.31</v>
      </c>
      <c r="H26" s="490">
        <v>4780.55</v>
      </c>
      <c r="I26" s="490">
        <v>22752.66</v>
      </c>
      <c r="J26" s="490">
        <v>41349.57</v>
      </c>
      <c r="K26" s="490">
        <v>0</v>
      </c>
      <c r="L26" s="490">
        <v>2077.87</v>
      </c>
      <c r="M26" s="490">
        <v>118369.65</v>
      </c>
      <c r="N26" s="300">
        <v>7.0199999999999999E-2</v>
      </c>
      <c r="O26" s="492">
        <v>0.3846</v>
      </c>
      <c r="P26" s="490">
        <v>0</v>
      </c>
      <c r="Q26" s="493">
        <v>0</v>
      </c>
      <c r="R26" s="493">
        <v>0</v>
      </c>
      <c r="S26" s="494">
        <v>0</v>
      </c>
      <c r="T26" s="495">
        <v>0</v>
      </c>
      <c r="U26" s="495">
        <v>0</v>
      </c>
      <c r="V26" s="490">
        <v>0</v>
      </c>
      <c r="W26" s="495">
        <v>0</v>
      </c>
      <c r="X26" s="495">
        <v>0</v>
      </c>
      <c r="Y26" s="490">
        <v>82.76</v>
      </c>
      <c r="Z26" s="490">
        <v>0</v>
      </c>
      <c r="AA26" s="490">
        <v>0</v>
      </c>
      <c r="AB26" s="490">
        <v>0</v>
      </c>
      <c r="AC26" s="490">
        <v>0</v>
      </c>
      <c r="AD26" s="490">
        <v>0</v>
      </c>
      <c r="AE26" s="490">
        <v>0</v>
      </c>
      <c r="AF26" s="339">
        <v>0</v>
      </c>
      <c r="AG26" s="339">
        <v>0</v>
      </c>
      <c r="AH26" s="496">
        <v>0</v>
      </c>
      <c r="AI26" s="490">
        <v>0</v>
      </c>
      <c r="AJ26" s="490">
        <v>0</v>
      </c>
      <c r="AK26" s="339">
        <v>0</v>
      </c>
      <c r="AL26" s="339">
        <v>0</v>
      </c>
      <c r="AM26" s="496">
        <v>0</v>
      </c>
      <c r="AN26" s="495">
        <v>0</v>
      </c>
      <c r="AO26" s="495">
        <v>0</v>
      </c>
      <c r="AP26" s="74"/>
      <c r="AQ26" s="303">
        <v>5532.24</v>
      </c>
      <c r="AR26" s="303">
        <v>8303.7000000000007</v>
      </c>
      <c r="AS26" s="552">
        <v>12062.33</v>
      </c>
      <c r="AY26" s="67">
        <f t="shared" si="43"/>
        <v>0</v>
      </c>
      <c r="BA26" t="s">
        <v>869</v>
      </c>
      <c r="BB26" t="s">
        <v>73</v>
      </c>
      <c r="BC26" t="s">
        <v>874</v>
      </c>
      <c r="BD26" s="491">
        <v>7.0199999999999999E-2</v>
      </c>
      <c r="BE26" s="492">
        <v>0.3846</v>
      </c>
      <c r="BG26" s="510">
        <f t="shared" si="41"/>
        <v>0</v>
      </c>
      <c r="BH26" s="510">
        <f t="shared" si="42"/>
        <v>0</v>
      </c>
      <c r="BJ26" s="520">
        <f t="shared" si="44"/>
        <v>0</v>
      </c>
      <c r="BK26" s="520">
        <f t="shared" si="45"/>
        <v>0</v>
      </c>
      <c r="CB26" s="74"/>
      <c r="CC26" s="74"/>
      <c r="CD26" s="74"/>
      <c r="CE26" s="74"/>
      <c r="CF26" s="74"/>
    </row>
    <row r="27" spans="1:84">
      <c r="A27" s="283" t="s">
        <v>76</v>
      </c>
      <c r="B27" s="283" t="s">
        <v>75</v>
      </c>
      <c r="C27" s="283" t="str">
        <f t="shared" si="40"/>
        <v>29100 BURLINGTON EDISON SCHOOL DISTRICT</v>
      </c>
      <c r="D27" s="490">
        <v>0</v>
      </c>
      <c r="E27" s="490">
        <v>120536.79</v>
      </c>
      <c r="F27" s="490">
        <v>0</v>
      </c>
      <c r="G27" s="490">
        <v>6507428.79</v>
      </c>
      <c r="H27" s="490">
        <v>1023373.66</v>
      </c>
      <c r="I27" s="490">
        <v>831517.92</v>
      </c>
      <c r="J27" s="490">
        <v>1413417.94</v>
      </c>
      <c r="K27" s="490">
        <v>1395755.44</v>
      </c>
      <c r="L27" s="490">
        <v>109019.18</v>
      </c>
      <c r="M27" s="490">
        <v>2630273.5499999998</v>
      </c>
      <c r="N27" s="300">
        <v>3.5700000000000003E-2</v>
      </c>
      <c r="O27" s="492">
        <v>0.1401</v>
      </c>
      <c r="P27" s="490">
        <v>0</v>
      </c>
      <c r="Q27" s="493">
        <v>0</v>
      </c>
      <c r="R27" s="493">
        <v>0</v>
      </c>
      <c r="S27" s="494">
        <v>0</v>
      </c>
      <c r="T27" s="495">
        <v>0</v>
      </c>
      <c r="U27" s="495">
        <v>0</v>
      </c>
      <c r="V27" s="490">
        <v>0</v>
      </c>
      <c r="W27" s="495">
        <v>0</v>
      </c>
      <c r="X27" s="495">
        <v>0</v>
      </c>
      <c r="Y27" s="490">
        <v>0</v>
      </c>
      <c r="Z27" s="490">
        <v>70183.16</v>
      </c>
      <c r="AA27" s="490">
        <v>53127.14</v>
      </c>
      <c r="AB27" s="490">
        <v>751420.55</v>
      </c>
      <c r="AC27" s="490">
        <v>3173593.58</v>
      </c>
      <c r="AD27" s="490">
        <v>310.94</v>
      </c>
      <c r="AE27" s="490">
        <v>3006278.34</v>
      </c>
      <c r="AF27" s="339">
        <v>9668.3551167427795</v>
      </c>
      <c r="AG27" s="339">
        <v>10206.450054672927</v>
      </c>
      <c r="AH27" s="496">
        <v>538.09</v>
      </c>
      <c r="AI27" s="490">
        <v>74.91</v>
      </c>
      <c r="AJ27" s="490">
        <v>707804.22</v>
      </c>
      <c r="AK27" s="339">
        <v>9448.7280736884259</v>
      </c>
      <c r="AL27" s="339">
        <v>10030.977840074758</v>
      </c>
      <c r="AM27" s="496">
        <v>582.25</v>
      </c>
      <c r="AN27" s="495">
        <v>1682.98</v>
      </c>
      <c r="AO27" s="495">
        <v>0</v>
      </c>
      <c r="AP27" s="74"/>
      <c r="AQ27" s="303">
        <v>0</v>
      </c>
      <c r="AR27" s="303">
        <v>408670.04000000004</v>
      </c>
      <c r="AS27" s="552">
        <v>107800.95000000001</v>
      </c>
      <c r="AY27" s="67">
        <f t="shared" si="43"/>
        <v>0</v>
      </c>
      <c r="BA27" t="s">
        <v>850</v>
      </c>
      <c r="BB27" t="s">
        <v>75</v>
      </c>
      <c r="BC27" t="s">
        <v>875</v>
      </c>
      <c r="BD27" s="491">
        <v>3.5700000000000003E-2</v>
      </c>
      <c r="BE27" s="492">
        <v>0.1401</v>
      </c>
      <c r="BG27" s="510">
        <f t="shared" si="41"/>
        <v>0</v>
      </c>
      <c r="BH27" s="510">
        <f t="shared" si="42"/>
        <v>0</v>
      </c>
      <c r="BJ27" s="520">
        <f t="shared" si="44"/>
        <v>0</v>
      </c>
      <c r="BK27" s="520">
        <f t="shared" si="45"/>
        <v>0</v>
      </c>
      <c r="CB27" s="74"/>
      <c r="CC27" s="74"/>
      <c r="CD27" s="74"/>
      <c r="CE27" s="74"/>
      <c r="CF27" s="74"/>
    </row>
    <row r="28" spans="1:84">
      <c r="A28" s="283" t="s">
        <v>78</v>
      </c>
      <c r="B28" s="283" t="s">
        <v>77</v>
      </c>
      <c r="C28" s="283" t="str">
        <f t="shared" si="40"/>
        <v>06117 CAMAS SCHOOL DISTRICT</v>
      </c>
      <c r="D28" s="490">
        <v>0</v>
      </c>
      <c r="E28" s="490">
        <v>5778.66</v>
      </c>
      <c r="F28" s="490">
        <v>0</v>
      </c>
      <c r="G28" s="490">
        <v>12591918.039999999</v>
      </c>
      <c r="H28" s="490">
        <v>1558784.47</v>
      </c>
      <c r="I28" s="490">
        <v>0</v>
      </c>
      <c r="J28" s="490">
        <v>835191.03</v>
      </c>
      <c r="K28" s="490">
        <v>499157.35</v>
      </c>
      <c r="L28" s="490">
        <v>231043.92</v>
      </c>
      <c r="M28" s="490">
        <v>4617687.84</v>
      </c>
      <c r="N28" s="300">
        <v>3.6799999999999999E-2</v>
      </c>
      <c r="O28" s="492">
        <v>0.1447</v>
      </c>
      <c r="P28" s="490">
        <v>0</v>
      </c>
      <c r="Q28" s="493">
        <v>0</v>
      </c>
      <c r="R28" s="493">
        <v>0</v>
      </c>
      <c r="S28" s="494">
        <v>0</v>
      </c>
      <c r="T28" s="495">
        <v>0</v>
      </c>
      <c r="U28" s="495">
        <v>0</v>
      </c>
      <c r="V28" s="490">
        <v>0</v>
      </c>
      <c r="W28" s="495">
        <v>0</v>
      </c>
      <c r="X28" s="495">
        <v>0</v>
      </c>
      <c r="Y28" s="490">
        <v>0</v>
      </c>
      <c r="Z28" s="490">
        <v>0</v>
      </c>
      <c r="AA28" s="490">
        <v>168523.44</v>
      </c>
      <c r="AB28" s="490">
        <v>304120.18</v>
      </c>
      <c r="AC28" s="490">
        <v>4006970.02</v>
      </c>
      <c r="AD28" s="490">
        <v>406.51</v>
      </c>
      <c r="AE28" s="490">
        <v>3826413.65</v>
      </c>
      <c r="AF28" s="339">
        <v>9412.8401515337882</v>
      </c>
      <c r="AG28" s="339">
        <v>9857.0023369658811</v>
      </c>
      <c r="AH28" s="496">
        <v>444.16</v>
      </c>
      <c r="AI28" s="490">
        <v>31.12</v>
      </c>
      <c r="AJ28" s="490">
        <v>286177.99</v>
      </c>
      <c r="AK28" s="339">
        <v>9195.9508354755781</v>
      </c>
      <c r="AL28" s="339">
        <v>9772.4993573264783</v>
      </c>
      <c r="AM28" s="496">
        <v>576.54999999999995</v>
      </c>
      <c r="AN28" s="495">
        <v>0</v>
      </c>
      <c r="AO28" s="495">
        <v>0</v>
      </c>
      <c r="AP28" s="74"/>
      <c r="AQ28" s="303">
        <v>0</v>
      </c>
      <c r="AR28" s="303">
        <v>722920.29</v>
      </c>
      <c r="AS28" s="552">
        <v>211701.76000000001</v>
      </c>
      <c r="AY28" s="67">
        <f t="shared" si="43"/>
        <v>0</v>
      </c>
      <c r="BA28" t="s">
        <v>859</v>
      </c>
      <c r="BB28" t="s">
        <v>77</v>
      </c>
      <c r="BC28" t="s">
        <v>876</v>
      </c>
      <c r="BD28" s="491">
        <v>3.6799999999999999E-2</v>
      </c>
      <c r="BE28" s="492">
        <v>0.1447</v>
      </c>
      <c r="BG28" s="510">
        <f t="shared" si="41"/>
        <v>0</v>
      </c>
      <c r="BH28" s="510">
        <f t="shared" si="42"/>
        <v>0</v>
      </c>
      <c r="BJ28" s="520">
        <f t="shared" si="44"/>
        <v>0</v>
      </c>
      <c r="BK28" s="520">
        <f t="shared" si="45"/>
        <v>0</v>
      </c>
      <c r="CB28" s="74"/>
      <c r="CC28" s="74"/>
      <c r="CD28" s="74"/>
      <c r="CE28" s="74"/>
      <c r="CF28" s="74"/>
    </row>
    <row r="29" spans="1:84">
      <c r="A29" s="283" t="s">
        <v>80</v>
      </c>
      <c r="B29" s="283" t="s">
        <v>79</v>
      </c>
      <c r="C29" s="283" t="str">
        <f t="shared" si="40"/>
        <v>05401 CAPE FLATTERY SCHOOL DISTRICT</v>
      </c>
      <c r="D29" s="490">
        <v>0</v>
      </c>
      <c r="E29" s="490">
        <v>4102.92</v>
      </c>
      <c r="F29" s="490">
        <v>0</v>
      </c>
      <c r="G29" s="490">
        <v>932350.21</v>
      </c>
      <c r="H29" s="490">
        <v>130581.81</v>
      </c>
      <c r="I29" s="490">
        <v>146593.56</v>
      </c>
      <c r="J29" s="490">
        <v>259733.48</v>
      </c>
      <c r="K29" s="490">
        <v>0</v>
      </c>
      <c r="L29" s="490">
        <v>0</v>
      </c>
      <c r="M29" s="490">
        <v>370566.97</v>
      </c>
      <c r="N29" s="300">
        <v>3.0099999999999998E-2</v>
      </c>
      <c r="O29" s="492">
        <v>0.2253</v>
      </c>
      <c r="P29" s="490">
        <v>0</v>
      </c>
      <c r="Q29" s="493">
        <v>0</v>
      </c>
      <c r="R29" s="493">
        <v>0</v>
      </c>
      <c r="S29" s="494">
        <v>0</v>
      </c>
      <c r="T29" s="495">
        <v>0</v>
      </c>
      <c r="U29" s="495">
        <v>0</v>
      </c>
      <c r="V29" s="490">
        <v>0</v>
      </c>
      <c r="W29" s="495">
        <v>0</v>
      </c>
      <c r="X29" s="495">
        <v>0</v>
      </c>
      <c r="Y29" s="490">
        <v>0</v>
      </c>
      <c r="Z29" s="490">
        <v>0</v>
      </c>
      <c r="AA29" s="490">
        <v>0</v>
      </c>
      <c r="AB29" s="490">
        <v>0</v>
      </c>
      <c r="AC29" s="490">
        <v>123147.11</v>
      </c>
      <c r="AD29" s="490">
        <v>11.92</v>
      </c>
      <c r="AE29" s="490">
        <v>105512.72</v>
      </c>
      <c r="AF29" s="339">
        <v>8851.7382550335569</v>
      </c>
      <c r="AG29" s="339">
        <v>10331.133389261746</v>
      </c>
      <c r="AH29" s="496">
        <v>1479.4</v>
      </c>
      <c r="AI29" s="490">
        <v>0</v>
      </c>
      <c r="AJ29" s="490">
        <v>0</v>
      </c>
      <c r="AK29" s="339">
        <v>0</v>
      </c>
      <c r="AL29" s="339">
        <v>0</v>
      </c>
      <c r="AM29" s="496">
        <v>0</v>
      </c>
      <c r="AN29" s="495">
        <v>1540.45</v>
      </c>
      <c r="AO29" s="495">
        <v>0</v>
      </c>
      <c r="AP29" s="74"/>
      <c r="AQ29" s="303">
        <v>5043.0800000000017</v>
      </c>
      <c r="AR29" s="303">
        <v>71193.540000000008</v>
      </c>
      <c r="AS29" s="552">
        <v>23797.29</v>
      </c>
      <c r="AY29" s="67">
        <f t="shared" si="43"/>
        <v>0</v>
      </c>
      <c r="BA29" t="s">
        <v>869</v>
      </c>
      <c r="BB29" t="s">
        <v>79</v>
      </c>
      <c r="BC29" t="s">
        <v>877</v>
      </c>
      <c r="BD29" s="491">
        <v>3.0099999999999998E-2</v>
      </c>
      <c r="BE29" s="492">
        <v>0.2253</v>
      </c>
      <c r="BG29" s="510">
        <f t="shared" si="41"/>
        <v>0</v>
      </c>
      <c r="BH29" s="510">
        <f t="shared" si="42"/>
        <v>0</v>
      </c>
      <c r="BJ29" s="520">
        <f t="shared" si="44"/>
        <v>0</v>
      </c>
      <c r="BK29" s="520">
        <f t="shared" si="45"/>
        <v>0</v>
      </c>
      <c r="CB29" s="74"/>
      <c r="CC29" s="74"/>
      <c r="CD29" s="74"/>
      <c r="CE29" s="74"/>
      <c r="CF29" s="74"/>
    </row>
    <row r="30" spans="1:84">
      <c r="A30" s="283" t="s">
        <v>82</v>
      </c>
      <c r="B30" s="283" t="s">
        <v>81</v>
      </c>
      <c r="C30" s="283" t="str">
        <f t="shared" si="40"/>
        <v>27019 CARBONADO SCHOOL DISTRICT</v>
      </c>
      <c r="D30" s="490">
        <v>0</v>
      </c>
      <c r="E30" s="490">
        <v>0</v>
      </c>
      <c r="F30" s="490">
        <v>0</v>
      </c>
      <c r="G30" s="490">
        <v>340815.04</v>
      </c>
      <c r="H30" s="490">
        <v>22117.48</v>
      </c>
      <c r="I30" s="490">
        <v>0</v>
      </c>
      <c r="J30" s="490">
        <v>37002.43</v>
      </c>
      <c r="K30" s="490">
        <v>0</v>
      </c>
      <c r="L30" s="490">
        <v>5555.93</v>
      </c>
      <c r="M30" s="490">
        <v>112500.94</v>
      </c>
      <c r="N30" s="300">
        <v>5.11E-2</v>
      </c>
      <c r="O30" s="492">
        <v>0.40329999999999999</v>
      </c>
      <c r="P30" s="490">
        <v>0</v>
      </c>
      <c r="Q30" s="493">
        <v>0</v>
      </c>
      <c r="R30" s="493">
        <v>0</v>
      </c>
      <c r="S30" s="494">
        <v>0</v>
      </c>
      <c r="T30" s="495">
        <v>0</v>
      </c>
      <c r="U30" s="495">
        <v>0</v>
      </c>
      <c r="V30" s="490">
        <v>0</v>
      </c>
      <c r="W30" s="495">
        <v>0</v>
      </c>
      <c r="X30" s="495">
        <v>0</v>
      </c>
      <c r="Y30" s="490">
        <v>0</v>
      </c>
      <c r="Z30" s="490">
        <v>0</v>
      </c>
      <c r="AA30" s="490">
        <v>0</v>
      </c>
      <c r="AB30" s="490">
        <v>0</v>
      </c>
      <c r="AC30" s="490">
        <v>0</v>
      </c>
      <c r="AD30" s="490">
        <v>0</v>
      </c>
      <c r="AE30" s="490">
        <v>0</v>
      </c>
      <c r="AF30" s="339">
        <v>0</v>
      </c>
      <c r="AG30" s="339">
        <v>0</v>
      </c>
      <c r="AH30" s="496">
        <v>0</v>
      </c>
      <c r="AI30" s="490">
        <v>0</v>
      </c>
      <c r="AJ30" s="490">
        <v>0</v>
      </c>
      <c r="AK30" s="339">
        <v>0</v>
      </c>
      <c r="AL30" s="339">
        <v>0</v>
      </c>
      <c r="AM30" s="496">
        <v>0</v>
      </c>
      <c r="AN30" s="495">
        <v>0</v>
      </c>
      <c r="AO30" s="495">
        <v>0</v>
      </c>
      <c r="AP30" s="74"/>
      <c r="AQ30" s="303">
        <v>5914.25</v>
      </c>
      <c r="AR30" s="303">
        <v>20166.719999999998</v>
      </c>
      <c r="AS30" s="552"/>
      <c r="AY30" s="67">
        <f t="shared" si="43"/>
        <v>0</v>
      </c>
      <c r="BA30" t="s">
        <v>856</v>
      </c>
      <c r="BB30" t="s">
        <v>81</v>
      </c>
      <c r="BC30" t="s">
        <v>878</v>
      </c>
      <c r="BD30" s="491">
        <v>5.11E-2</v>
      </c>
      <c r="BE30" s="492">
        <v>0.40329999999999999</v>
      </c>
      <c r="BG30" s="510">
        <f t="shared" si="41"/>
        <v>0</v>
      </c>
      <c r="BH30" s="510">
        <f t="shared" si="42"/>
        <v>0</v>
      </c>
      <c r="BJ30" s="520">
        <f t="shared" si="44"/>
        <v>0</v>
      </c>
      <c r="BK30" s="520">
        <f t="shared" si="45"/>
        <v>0</v>
      </c>
      <c r="CB30" s="74"/>
      <c r="CC30" s="74"/>
      <c r="CD30" s="74"/>
      <c r="CE30" s="74"/>
      <c r="CF30" s="74"/>
    </row>
    <row r="31" spans="1:84">
      <c r="A31" s="283" t="s">
        <v>84</v>
      </c>
      <c r="B31" s="283" t="s">
        <v>83</v>
      </c>
      <c r="C31" s="283" t="str">
        <f t="shared" si="40"/>
        <v>04228 CASCADE SCHOOL DISTRICT</v>
      </c>
      <c r="D31" s="490">
        <v>0</v>
      </c>
      <c r="E31" s="490">
        <v>0</v>
      </c>
      <c r="F31" s="490">
        <v>0</v>
      </c>
      <c r="G31" s="490">
        <v>1605855.01</v>
      </c>
      <c r="H31" s="490">
        <v>224595.19</v>
      </c>
      <c r="I31" s="490">
        <v>2805.12</v>
      </c>
      <c r="J31" s="490">
        <v>342017.04</v>
      </c>
      <c r="K31" s="490">
        <v>222421.99</v>
      </c>
      <c r="L31" s="490">
        <v>36051</v>
      </c>
      <c r="M31" s="490">
        <v>1076257.51</v>
      </c>
      <c r="N31" s="300">
        <v>2.8799999999999999E-2</v>
      </c>
      <c r="O31" s="492">
        <v>0.14610000000000001</v>
      </c>
      <c r="P31" s="490">
        <v>0</v>
      </c>
      <c r="Q31" s="493">
        <v>0</v>
      </c>
      <c r="R31" s="493">
        <v>0</v>
      </c>
      <c r="S31" s="494">
        <v>0</v>
      </c>
      <c r="T31" s="495">
        <v>0</v>
      </c>
      <c r="U31" s="495">
        <v>0</v>
      </c>
      <c r="V31" s="490">
        <v>0</v>
      </c>
      <c r="W31" s="495">
        <v>0</v>
      </c>
      <c r="X31" s="495">
        <v>0</v>
      </c>
      <c r="Y31" s="490">
        <v>1394.67</v>
      </c>
      <c r="Z31" s="490">
        <v>1645.57</v>
      </c>
      <c r="AA31" s="490">
        <v>34300.78</v>
      </c>
      <c r="AB31" s="490">
        <v>377830.36</v>
      </c>
      <c r="AC31" s="490">
        <v>1118230.58</v>
      </c>
      <c r="AD31" s="490">
        <v>119.63</v>
      </c>
      <c r="AE31" s="490">
        <v>1058494.49</v>
      </c>
      <c r="AF31" s="339">
        <v>8848.0689626347903</v>
      </c>
      <c r="AG31" s="339">
        <v>9347.4093454819031</v>
      </c>
      <c r="AH31" s="496">
        <v>499.34</v>
      </c>
      <c r="AI31" s="490">
        <v>41.22</v>
      </c>
      <c r="AJ31" s="490">
        <v>355784.93</v>
      </c>
      <c r="AK31" s="339">
        <v>8631.3665696263943</v>
      </c>
      <c r="AL31" s="339">
        <v>9166.1901989325561</v>
      </c>
      <c r="AM31" s="496">
        <v>534.82000000000005</v>
      </c>
      <c r="AN31" s="495">
        <v>1931.3</v>
      </c>
      <c r="AO31" s="495">
        <v>0</v>
      </c>
      <c r="AP31" s="74"/>
      <c r="AQ31" s="303">
        <v>0</v>
      </c>
      <c r="AR31" s="303">
        <v>118727.23999999999</v>
      </c>
      <c r="AS31" s="552">
        <v>14363.1</v>
      </c>
      <c r="AY31" s="67">
        <f t="shared" si="43"/>
        <v>0</v>
      </c>
      <c r="BA31" t="s">
        <v>871</v>
      </c>
      <c r="BB31" t="s">
        <v>83</v>
      </c>
      <c r="BC31" t="s">
        <v>879</v>
      </c>
      <c r="BD31" s="491">
        <v>2.8799999999999999E-2</v>
      </c>
      <c r="BE31" s="492">
        <v>0.14610000000000001</v>
      </c>
      <c r="BG31" s="510">
        <f t="shared" si="41"/>
        <v>0</v>
      </c>
      <c r="BH31" s="510">
        <f t="shared" si="42"/>
        <v>0</v>
      </c>
      <c r="BJ31" s="520">
        <f t="shared" si="44"/>
        <v>0</v>
      </c>
      <c r="BK31" s="520">
        <f t="shared" si="45"/>
        <v>0</v>
      </c>
      <c r="CB31" s="74"/>
      <c r="CC31" s="74"/>
      <c r="CD31" s="74"/>
      <c r="CE31" s="74"/>
      <c r="CF31" s="74"/>
    </row>
    <row r="32" spans="1:84">
      <c r="A32" s="283" t="s">
        <v>86</v>
      </c>
      <c r="B32" s="283" t="s">
        <v>85</v>
      </c>
      <c r="C32" s="283" t="str">
        <f t="shared" si="40"/>
        <v>04222 CASHMERE SCHOOL DISTRICT</v>
      </c>
      <c r="D32" s="490">
        <v>0</v>
      </c>
      <c r="E32" s="490">
        <v>43049.31</v>
      </c>
      <c r="F32" s="490">
        <v>0</v>
      </c>
      <c r="G32" s="490">
        <v>2209742.38</v>
      </c>
      <c r="H32" s="490">
        <v>220512.1</v>
      </c>
      <c r="I32" s="490">
        <v>0</v>
      </c>
      <c r="J32" s="490">
        <v>487905.96</v>
      </c>
      <c r="K32" s="490">
        <v>302680.65999999997</v>
      </c>
      <c r="L32" s="490">
        <v>49553.79</v>
      </c>
      <c r="M32" s="490">
        <v>583699.22</v>
      </c>
      <c r="N32" s="300">
        <v>2.81E-2</v>
      </c>
      <c r="O32" s="492">
        <v>0.14949999999999999</v>
      </c>
      <c r="P32" s="490">
        <v>0</v>
      </c>
      <c r="Q32" s="493">
        <v>0</v>
      </c>
      <c r="R32" s="493">
        <v>0</v>
      </c>
      <c r="S32" s="494">
        <v>0</v>
      </c>
      <c r="T32" s="495">
        <v>0</v>
      </c>
      <c r="U32" s="495">
        <v>0</v>
      </c>
      <c r="V32" s="490">
        <v>0</v>
      </c>
      <c r="W32" s="495">
        <v>0</v>
      </c>
      <c r="X32" s="495">
        <v>0</v>
      </c>
      <c r="Y32" s="490">
        <v>0</v>
      </c>
      <c r="Z32" s="490">
        <v>0</v>
      </c>
      <c r="AA32" s="490">
        <v>82151.039999999994</v>
      </c>
      <c r="AB32" s="490">
        <v>448019.52</v>
      </c>
      <c r="AC32" s="490">
        <v>1280189.0900000001</v>
      </c>
      <c r="AD32" s="490">
        <v>134.34</v>
      </c>
      <c r="AE32" s="490">
        <v>1212008.43</v>
      </c>
      <c r="AF32" s="339">
        <v>9021.9475212148282</v>
      </c>
      <c r="AG32" s="339">
        <v>9529.4706714306994</v>
      </c>
      <c r="AH32" s="496">
        <v>507.52</v>
      </c>
      <c r="AI32" s="490">
        <v>47.86</v>
      </c>
      <c r="AJ32" s="490">
        <v>421405.97</v>
      </c>
      <c r="AK32" s="339">
        <v>8804.9722106142908</v>
      </c>
      <c r="AL32" s="339">
        <v>9361.0430422064364</v>
      </c>
      <c r="AM32" s="496">
        <v>556.07000000000005</v>
      </c>
      <c r="AN32" s="495">
        <v>337.86</v>
      </c>
      <c r="AO32" s="495">
        <v>0</v>
      </c>
      <c r="AP32" s="74"/>
      <c r="AQ32" s="303">
        <v>0</v>
      </c>
      <c r="AR32" s="303">
        <v>168603.78</v>
      </c>
      <c r="AS32" s="552">
        <v>58159.78</v>
      </c>
      <c r="AY32" s="67">
        <f t="shared" si="43"/>
        <v>0</v>
      </c>
      <c r="BA32" t="s">
        <v>871</v>
      </c>
      <c r="BB32" t="s">
        <v>85</v>
      </c>
      <c r="BC32" t="s">
        <v>880</v>
      </c>
      <c r="BD32" s="491">
        <v>2.81E-2</v>
      </c>
      <c r="BE32" s="492">
        <v>0.14949999999999999</v>
      </c>
      <c r="BG32" s="510">
        <f t="shared" si="41"/>
        <v>0</v>
      </c>
      <c r="BH32" s="510">
        <f t="shared" si="42"/>
        <v>0</v>
      </c>
      <c r="BJ32" s="520">
        <f t="shared" si="44"/>
        <v>0</v>
      </c>
      <c r="BK32" s="520">
        <f t="shared" si="45"/>
        <v>0</v>
      </c>
      <c r="CB32" s="74"/>
      <c r="CC32" s="74"/>
      <c r="CD32" s="74"/>
      <c r="CE32" s="74"/>
      <c r="CF32" s="74"/>
    </row>
    <row r="33" spans="1:84">
      <c r="A33" s="283" t="s">
        <v>88</v>
      </c>
      <c r="B33" s="283" t="s">
        <v>87</v>
      </c>
      <c r="C33" s="283" t="str">
        <f t="shared" si="40"/>
        <v>08401 CASTLE ROCK SCHOOL DISTRICT</v>
      </c>
      <c r="D33" s="490">
        <v>0</v>
      </c>
      <c r="E33" s="490">
        <v>17400.63</v>
      </c>
      <c r="F33" s="490">
        <v>3481.93</v>
      </c>
      <c r="G33" s="490">
        <v>2540640.11</v>
      </c>
      <c r="H33" s="490">
        <v>325406.94</v>
      </c>
      <c r="I33" s="490">
        <v>199786.99</v>
      </c>
      <c r="J33" s="490">
        <v>511259.37</v>
      </c>
      <c r="K33" s="490">
        <v>49200.29</v>
      </c>
      <c r="L33" s="490">
        <v>41765.15</v>
      </c>
      <c r="M33" s="490">
        <v>1038171.98</v>
      </c>
      <c r="N33" s="300">
        <v>5.91E-2</v>
      </c>
      <c r="O33" s="492">
        <v>0.1988</v>
      </c>
      <c r="P33" s="490">
        <v>0</v>
      </c>
      <c r="Q33" s="493">
        <v>0</v>
      </c>
      <c r="R33" s="493">
        <v>0</v>
      </c>
      <c r="S33" s="494">
        <v>0</v>
      </c>
      <c r="T33" s="495">
        <v>0</v>
      </c>
      <c r="U33" s="495">
        <v>0</v>
      </c>
      <c r="V33" s="490">
        <v>0</v>
      </c>
      <c r="W33" s="495">
        <v>0</v>
      </c>
      <c r="X33" s="495">
        <v>0</v>
      </c>
      <c r="Y33" s="490">
        <v>1665.33</v>
      </c>
      <c r="Z33" s="490">
        <v>13448.92</v>
      </c>
      <c r="AA33" s="490">
        <v>0</v>
      </c>
      <c r="AB33" s="490">
        <v>122177.96</v>
      </c>
      <c r="AC33" s="490">
        <v>889260.51</v>
      </c>
      <c r="AD33" s="490">
        <v>94.94</v>
      </c>
      <c r="AE33" s="490">
        <v>839927.74</v>
      </c>
      <c r="AF33" s="339">
        <v>8846.932167684854</v>
      </c>
      <c r="AG33" s="339">
        <v>9366.5526648409523</v>
      </c>
      <c r="AH33" s="496">
        <v>519.62</v>
      </c>
      <c r="AI33" s="490">
        <v>13.32</v>
      </c>
      <c r="AJ33" s="490">
        <v>115017.11</v>
      </c>
      <c r="AK33" s="339">
        <v>8634.9181681681675</v>
      </c>
      <c r="AL33" s="339">
        <v>9172.5195195195192</v>
      </c>
      <c r="AM33" s="496">
        <v>537.6</v>
      </c>
      <c r="AN33" s="495">
        <v>0</v>
      </c>
      <c r="AO33" s="495">
        <v>0</v>
      </c>
      <c r="AP33" s="74"/>
      <c r="AQ33" s="303">
        <v>3975.6399999999849</v>
      </c>
      <c r="AR33" s="303">
        <v>148116.64000000001</v>
      </c>
      <c r="AS33" s="552">
        <v>52001.83</v>
      </c>
      <c r="AY33" s="67">
        <f t="shared" si="43"/>
        <v>0</v>
      </c>
      <c r="BA33" t="s">
        <v>859</v>
      </c>
      <c r="BB33" t="s">
        <v>87</v>
      </c>
      <c r="BC33" t="s">
        <v>881</v>
      </c>
      <c r="BD33" s="491">
        <v>5.91E-2</v>
      </c>
      <c r="BE33" s="492">
        <v>0.1988</v>
      </c>
      <c r="BG33" s="510">
        <f t="shared" si="41"/>
        <v>0</v>
      </c>
      <c r="BH33" s="510">
        <f t="shared" si="42"/>
        <v>0</v>
      </c>
      <c r="BJ33" s="520">
        <f t="shared" si="44"/>
        <v>0</v>
      </c>
      <c r="BK33" s="520">
        <f t="shared" si="45"/>
        <v>0</v>
      </c>
      <c r="CB33" s="74"/>
      <c r="CC33" s="74"/>
      <c r="CD33" s="74"/>
      <c r="CE33" s="74"/>
      <c r="CF33" s="74"/>
    </row>
    <row r="34" spans="1:84">
      <c r="A34" s="283" t="s">
        <v>90</v>
      </c>
      <c r="B34" s="353" t="s">
        <v>89</v>
      </c>
      <c r="C34" s="353" t="str">
        <f>CONCATENATE(B34," ",A34," PUBLIC SCHOOLS CHARTER")</f>
        <v>18901 CATALYST PUBLIC SCHOOLS CHARTER</v>
      </c>
      <c r="D34" s="490">
        <v>0</v>
      </c>
      <c r="E34" s="490">
        <v>0</v>
      </c>
      <c r="F34" s="490">
        <v>0</v>
      </c>
      <c r="G34" s="490">
        <v>799409.31</v>
      </c>
      <c r="H34" s="490">
        <v>62309.95</v>
      </c>
      <c r="I34" s="490">
        <v>0</v>
      </c>
      <c r="J34" s="490">
        <v>162831.28</v>
      </c>
      <c r="K34" s="490">
        <v>0</v>
      </c>
      <c r="L34" s="490">
        <v>16583.55</v>
      </c>
      <c r="M34" s="490">
        <v>262422.86</v>
      </c>
      <c r="N34" s="300">
        <v>3.7100000000000001E-2</v>
      </c>
      <c r="O34" s="492">
        <v>0.14399999999999999</v>
      </c>
      <c r="P34" s="490">
        <v>0</v>
      </c>
      <c r="Q34" s="493">
        <v>0</v>
      </c>
      <c r="R34" s="493">
        <v>0</v>
      </c>
      <c r="S34" s="494">
        <v>0</v>
      </c>
      <c r="T34" s="495">
        <v>0</v>
      </c>
      <c r="U34" s="495">
        <v>0</v>
      </c>
      <c r="V34" s="490">
        <v>0</v>
      </c>
      <c r="W34" s="495">
        <v>0</v>
      </c>
      <c r="X34" s="495">
        <v>0</v>
      </c>
      <c r="Y34" s="490">
        <v>0</v>
      </c>
      <c r="Z34" s="490">
        <v>0</v>
      </c>
      <c r="AA34" s="490">
        <v>0</v>
      </c>
      <c r="AB34" s="490">
        <v>0</v>
      </c>
      <c r="AC34" s="490">
        <v>0</v>
      </c>
      <c r="AD34" s="490">
        <v>0</v>
      </c>
      <c r="AE34" s="490">
        <v>0</v>
      </c>
      <c r="AF34" s="339">
        <v>0</v>
      </c>
      <c r="AG34" s="339">
        <v>0</v>
      </c>
      <c r="AH34" s="496">
        <v>0</v>
      </c>
      <c r="AI34" s="490">
        <v>0</v>
      </c>
      <c r="AJ34" s="490">
        <v>0</v>
      </c>
      <c r="AK34" s="339">
        <v>0</v>
      </c>
      <c r="AL34" s="339">
        <v>0</v>
      </c>
      <c r="AM34" s="496">
        <v>0</v>
      </c>
      <c r="AN34" s="495">
        <v>0</v>
      </c>
      <c r="AO34" s="495">
        <v>0</v>
      </c>
      <c r="AP34" s="74"/>
      <c r="AQ34" s="303">
        <v>27546.299999999996</v>
      </c>
      <c r="AR34" s="303">
        <v>60312.58</v>
      </c>
      <c r="AS34" s="552">
        <v>14682.03</v>
      </c>
      <c r="AY34" s="67">
        <f t="shared" si="43"/>
        <v>0</v>
      </c>
      <c r="BA34" t="s">
        <v>882</v>
      </c>
      <c r="BB34" t="s">
        <v>89</v>
      </c>
      <c r="BC34" s="11" t="s">
        <v>883</v>
      </c>
      <c r="BD34" s="491">
        <v>3.7100000000000001E-2</v>
      </c>
      <c r="BE34" s="492">
        <v>0.14399999999999999</v>
      </c>
      <c r="BG34" s="510">
        <f t="shared" si="41"/>
        <v>0</v>
      </c>
      <c r="BH34" s="510">
        <f t="shared" si="42"/>
        <v>0</v>
      </c>
      <c r="BJ34" s="520">
        <f t="shared" si="44"/>
        <v>0</v>
      </c>
      <c r="BK34" s="520">
        <f t="shared" si="45"/>
        <v>0</v>
      </c>
      <c r="CB34" s="74"/>
      <c r="CC34" s="74"/>
      <c r="CD34" s="74"/>
      <c r="CE34" s="74"/>
      <c r="CF34" s="74"/>
    </row>
    <row r="35" spans="1:84">
      <c r="A35" s="283" t="s">
        <v>92</v>
      </c>
      <c r="B35" s="283" t="s">
        <v>91</v>
      </c>
      <c r="C35" s="283" t="str">
        <f t="shared" ref="C35:C41" si="46">CONCATENATE(B35," ",A35," SCHOOL DISTRICT")</f>
        <v>20215 CENTERVILLE SCHOOL DISTRICT</v>
      </c>
      <c r="D35" s="490">
        <v>0</v>
      </c>
      <c r="E35" s="490">
        <v>0</v>
      </c>
      <c r="F35" s="490">
        <v>0</v>
      </c>
      <c r="G35" s="490">
        <v>0</v>
      </c>
      <c r="H35" s="490">
        <v>0</v>
      </c>
      <c r="I35" s="490">
        <v>0</v>
      </c>
      <c r="J35" s="490">
        <v>24732.09</v>
      </c>
      <c r="K35" s="490">
        <v>0</v>
      </c>
      <c r="L35" s="490">
        <v>2748.01</v>
      </c>
      <c r="M35" s="490">
        <v>176797.74</v>
      </c>
      <c r="N35" s="300">
        <v>0.13100000000000001</v>
      </c>
      <c r="O35" s="492">
        <v>0.318</v>
      </c>
      <c r="P35" s="490">
        <v>0</v>
      </c>
      <c r="Q35" s="493">
        <v>0</v>
      </c>
      <c r="R35" s="493">
        <v>0</v>
      </c>
      <c r="S35" s="494">
        <v>0</v>
      </c>
      <c r="T35" s="495">
        <v>0</v>
      </c>
      <c r="U35" s="495">
        <v>0</v>
      </c>
      <c r="V35" s="490">
        <v>0</v>
      </c>
      <c r="W35" s="495">
        <v>0</v>
      </c>
      <c r="X35" s="495">
        <v>0</v>
      </c>
      <c r="Y35" s="490">
        <v>0</v>
      </c>
      <c r="Z35" s="490">
        <v>0</v>
      </c>
      <c r="AA35" s="490">
        <v>0</v>
      </c>
      <c r="AB35" s="490">
        <v>0</v>
      </c>
      <c r="AC35" s="490">
        <v>0</v>
      </c>
      <c r="AD35" s="490">
        <v>0</v>
      </c>
      <c r="AE35" s="490">
        <v>0</v>
      </c>
      <c r="AF35" s="339">
        <v>0</v>
      </c>
      <c r="AG35" s="339">
        <v>0</v>
      </c>
      <c r="AH35" s="496">
        <v>0</v>
      </c>
      <c r="AI35" s="490">
        <v>0</v>
      </c>
      <c r="AJ35" s="490">
        <v>0</v>
      </c>
      <c r="AK35" s="339">
        <v>0</v>
      </c>
      <c r="AL35" s="339">
        <v>0</v>
      </c>
      <c r="AM35" s="496">
        <v>0</v>
      </c>
      <c r="AN35" s="495">
        <v>0</v>
      </c>
      <c r="AO35" s="495">
        <v>0</v>
      </c>
      <c r="AP35" s="74"/>
      <c r="AQ35" s="303">
        <v>6862.0699999999988</v>
      </c>
      <c r="AR35" s="303">
        <v>9326.7599999999984</v>
      </c>
      <c r="AS35" s="552">
        <v>12788.52</v>
      </c>
      <c r="AY35" s="67">
        <f t="shared" si="43"/>
        <v>0</v>
      </c>
      <c r="BA35" t="s">
        <v>859</v>
      </c>
      <c r="BB35" t="s">
        <v>91</v>
      </c>
      <c r="BC35" t="s">
        <v>884</v>
      </c>
      <c r="BD35" s="491">
        <v>0.13100000000000001</v>
      </c>
      <c r="BE35" s="492">
        <v>0.318</v>
      </c>
      <c r="BG35" s="510">
        <f t="shared" si="41"/>
        <v>0</v>
      </c>
      <c r="BH35" s="510">
        <f t="shared" si="42"/>
        <v>0</v>
      </c>
      <c r="BJ35" s="520">
        <f t="shared" si="44"/>
        <v>0</v>
      </c>
      <c r="BK35" s="520">
        <f t="shared" si="45"/>
        <v>0</v>
      </c>
      <c r="CB35" s="74"/>
      <c r="CC35" s="74"/>
      <c r="CD35" s="74"/>
      <c r="CE35" s="74"/>
      <c r="CF35" s="74"/>
    </row>
    <row r="36" spans="1:84">
      <c r="A36" s="283" t="s">
        <v>94</v>
      </c>
      <c r="B36" s="283" t="s">
        <v>93</v>
      </c>
      <c r="C36" s="283" t="str">
        <f t="shared" si="46"/>
        <v>18401 CENTRAL KITSAP SCHOOL DISTRICT</v>
      </c>
      <c r="D36" s="490">
        <v>0</v>
      </c>
      <c r="E36" s="490">
        <v>227813.31</v>
      </c>
      <c r="F36" s="490">
        <v>28779.01</v>
      </c>
      <c r="G36" s="490">
        <v>23877576.890000001</v>
      </c>
      <c r="H36" s="490">
        <v>4453657.08</v>
      </c>
      <c r="I36" s="490">
        <v>609439.73</v>
      </c>
      <c r="J36" s="490">
        <v>3390039.43</v>
      </c>
      <c r="K36" s="490">
        <v>987783.42</v>
      </c>
      <c r="L36" s="490">
        <v>385788.72</v>
      </c>
      <c r="M36" s="490">
        <v>6901592.1299999999</v>
      </c>
      <c r="N36" s="300">
        <v>3.5799999999999998E-2</v>
      </c>
      <c r="O36" s="492">
        <v>0.13589999999999999</v>
      </c>
      <c r="P36" s="490">
        <v>0</v>
      </c>
      <c r="Q36" s="493">
        <v>0</v>
      </c>
      <c r="R36" s="493">
        <v>0</v>
      </c>
      <c r="S36" s="494">
        <v>0</v>
      </c>
      <c r="T36" s="495">
        <v>0</v>
      </c>
      <c r="U36" s="495">
        <v>0</v>
      </c>
      <c r="V36" s="490">
        <v>0</v>
      </c>
      <c r="W36" s="495">
        <v>0</v>
      </c>
      <c r="X36" s="495">
        <v>0</v>
      </c>
      <c r="Y36" s="490">
        <v>11911.19</v>
      </c>
      <c r="Z36" s="490">
        <v>114905.78</v>
      </c>
      <c r="AA36" s="490">
        <v>600895.30000000005</v>
      </c>
      <c r="AB36" s="490">
        <v>1169204.75</v>
      </c>
      <c r="AC36" s="490">
        <v>6530534.7199999997</v>
      </c>
      <c r="AD36" s="490">
        <v>604.48</v>
      </c>
      <c r="AE36" s="490">
        <v>6115549.7699999996</v>
      </c>
      <c r="AF36" s="339">
        <v>10117.042366993117</v>
      </c>
      <c r="AG36" s="339">
        <v>10803.5579671784</v>
      </c>
      <c r="AH36" s="496">
        <v>686.52</v>
      </c>
      <c r="AI36" s="490">
        <v>111.19</v>
      </c>
      <c r="AJ36" s="490">
        <v>1100531.75</v>
      </c>
      <c r="AK36" s="339">
        <v>9897.7583415774807</v>
      </c>
      <c r="AL36" s="339">
        <v>10515.376832448961</v>
      </c>
      <c r="AM36" s="496">
        <v>617.62</v>
      </c>
      <c r="AN36" s="495">
        <v>16304.29</v>
      </c>
      <c r="AO36" s="495">
        <v>0</v>
      </c>
      <c r="AP36" s="74"/>
      <c r="AQ36" s="303">
        <v>0</v>
      </c>
      <c r="AR36" s="303">
        <v>1304418.17</v>
      </c>
      <c r="AS36" s="552">
        <v>338520.58</v>
      </c>
      <c r="AY36" s="67">
        <f t="shared" si="43"/>
        <v>0</v>
      </c>
      <c r="BA36" t="s">
        <v>869</v>
      </c>
      <c r="BB36" t="s">
        <v>93</v>
      </c>
      <c r="BC36" t="s">
        <v>885</v>
      </c>
      <c r="BD36" s="491">
        <v>3.5799999999999998E-2</v>
      </c>
      <c r="BE36" s="492">
        <v>0.13589999999999999</v>
      </c>
      <c r="BG36" s="510">
        <f t="shared" si="41"/>
        <v>0</v>
      </c>
      <c r="BH36" s="510">
        <f t="shared" si="42"/>
        <v>0</v>
      </c>
      <c r="BJ36" s="520">
        <f t="shared" si="44"/>
        <v>0</v>
      </c>
      <c r="BK36" s="520">
        <f t="shared" si="45"/>
        <v>0</v>
      </c>
      <c r="CB36" s="74"/>
      <c r="CC36" s="74"/>
      <c r="CD36" s="74"/>
      <c r="CE36" s="74"/>
      <c r="CF36" s="74"/>
    </row>
    <row r="37" spans="1:84">
      <c r="A37" s="283" t="s">
        <v>96</v>
      </c>
      <c r="B37" s="283" t="s">
        <v>95</v>
      </c>
      <c r="C37" s="283" t="str">
        <f t="shared" si="46"/>
        <v>32356 CENTRAL VALLEY SCHOOL DISTRICT</v>
      </c>
      <c r="D37" s="490">
        <v>0</v>
      </c>
      <c r="E37" s="490">
        <v>0</v>
      </c>
      <c r="F37" s="490">
        <v>0</v>
      </c>
      <c r="G37" s="490">
        <v>27114099.07</v>
      </c>
      <c r="H37" s="490">
        <v>6665598.0800000001</v>
      </c>
      <c r="I37" s="490">
        <v>945284.19</v>
      </c>
      <c r="J37" s="490">
        <v>4043309.62</v>
      </c>
      <c r="K37" s="490">
        <v>1293943.98</v>
      </c>
      <c r="L37" s="490">
        <v>438997.11</v>
      </c>
      <c r="M37" s="490">
        <v>7154268.3300000001</v>
      </c>
      <c r="N37" s="300">
        <v>5.04E-2</v>
      </c>
      <c r="O37" s="492">
        <v>0.13370000000000001</v>
      </c>
      <c r="P37" s="490">
        <v>0</v>
      </c>
      <c r="Q37" s="493">
        <v>0</v>
      </c>
      <c r="R37" s="493">
        <v>0</v>
      </c>
      <c r="S37" s="494">
        <v>0</v>
      </c>
      <c r="T37" s="495">
        <v>0</v>
      </c>
      <c r="U37" s="495">
        <v>0</v>
      </c>
      <c r="V37" s="490">
        <v>0</v>
      </c>
      <c r="W37" s="495">
        <v>0</v>
      </c>
      <c r="X37" s="495">
        <v>0</v>
      </c>
      <c r="Y37" s="490">
        <v>16477.71</v>
      </c>
      <c r="Z37" s="490">
        <v>0</v>
      </c>
      <c r="AA37" s="490">
        <v>0</v>
      </c>
      <c r="AB37" s="490">
        <v>3635367.47</v>
      </c>
      <c r="AC37" s="490">
        <v>6357130.1100000003</v>
      </c>
      <c r="AD37" s="490">
        <v>663.04</v>
      </c>
      <c r="AE37" s="490">
        <v>5982284.9199999999</v>
      </c>
      <c r="AF37" s="339">
        <v>9022.5098334942086</v>
      </c>
      <c r="AG37" s="339">
        <v>9587.8530857866808</v>
      </c>
      <c r="AH37" s="496">
        <v>565.34</v>
      </c>
      <c r="AI37" s="490">
        <v>388.42</v>
      </c>
      <c r="AJ37" s="490">
        <v>3419992.92</v>
      </c>
      <c r="AK37" s="339">
        <v>8804.8836826116058</v>
      </c>
      <c r="AL37" s="339">
        <v>9359.3725091395918</v>
      </c>
      <c r="AM37" s="496">
        <v>554.49</v>
      </c>
      <c r="AN37" s="495">
        <v>0</v>
      </c>
      <c r="AO37" s="495">
        <v>0</v>
      </c>
      <c r="AP37" s="74"/>
      <c r="AQ37" s="303">
        <v>511080.75999999931</v>
      </c>
      <c r="AR37" s="303">
        <v>1504449.7299999997</v>
      </c>
      <c r="AS37" s="552">
        <v>413025.91000000003</v>
      </c>
      <c r="AY37" s="67">
        <f t="shared" si="43"/>
        <v>0</v>
      </c>
      <c r="BA37" t="s">
        <v>848</v>
      </c>
      <c r="BB37" t="s">
        <v>95</v>
      </c>
      <c r="BC37" t="s">
        <v>886</v>
      </c>
      <c r="BD37" s="491">
        <v>5.04E-2</v>
      </c>
      <c r="BE37" s="492">
        <v>0.13370000000000001</v>
      </c>
      <c r="BG37" s="510">
        <f t="shared" si="41"/>
        <v>0</v>
      </c>
      <c r="BH37" s="510">
        <f t="shared" si="42"/>
        <v>0</v>
      </c>
      <c r="BJ37" s="520">
        <f t="shared" si="44"/>
        <v>0</v>
      </c>
      <c r="BK37" s="520">
        <f t="shared" si="45"/>
        <v>0</v>
      </c>
      <c r="CB37" s="74"/>
      <c r="CC37" s="74"/>
      <c r="CD37" s="74"/>
      <c r="CE37" s="74"/>
      <c r="CF37" s="74"/>
    </row>
    <row r="38" spans="1:84">
      <c r="A38" s="283" t="s">
        <v>98</v>
      </c>
      <c r="B38" s="283" t="s">
        <v>97</v>
      </c>
      <c r="C38" s="283" t="str">
        <f t="shared" si="46"/>
        <v>21401 CENTRALIA SCHOOL DISTRICT</v>
      </c>
      <c r="D38" s="490">
        <v>0</v>
      </c>
      <c r="E38" s="490">
        <v>179062.88</v>
      </c>
      <c r="F38" s="490">
        <v>0</v>
      </c>
      <c r="G38" s="490">
        <v>6504512.3600000003</v>
      </c>
      <c r="H38" s="490">
        <v>1244950.97</v>
      </c>
      <c r="I38" s="490">
        <v>1036024.89</v>
      </c>
      <c r="J38" s="490">
        <v>1724214.7</v>
      </c>
      <c r="K38" s="490">
        <v>815172.98</v>
      </c>
      <c r="L38" s="490">
        <v>99945.45</v>
      </c>
      <c r="M38" s="490">
        <v>2833984.07</v>
      </c>
      <c r="N38" s="300">
        <v>1.6E-2</v>
      </c>
      <c r="O38" s="492">
        <v>0.1386</v>
      </c>
      <c r="P38" s="490">
        <v>0</v>
      </c>
      <c r="Q38" s="493">
        <v>0</v>
      </c>
      <c r="R38" s="493">
        <v>0</v>
      </c>
      <c r="S38" s="494">
        <v>0</v>
      </c>
      <c r="T38" s="495">
        <v>0</v>
      </c>
      <c r="U38" s="495">
        <v>0</v>
      </c>
      <c r="V38" s="490">
        <v>0</v>
      </c>
      <c r="W38" s="495">
        <v>0</v>
      </c>
      <c r="X38" s="495">
        <v>0</v>
      </c>
      <c r="Y38" s="490">
        <v>1122.9000000000001</v>
      </c>
      <c r="Z38" s="490">
        <v>0</v>
      </c>
      <c r="AA38" s="490">
        <v>157056.84</v>
      </c>
      <c r="AB38" s="490">
        <v>460767.45</v>
      </c>
      <c r="AC38" s="490">
        <v>2314406.54</v>
      </c>
      <c r="AD38" s="490">
        <v>240.89</v>
      </c>
      <c r="AE38" s="490">
        <v>2131350.06</v>
      </c>
      <c r="AF38" s="339">
        <v>8847.8146041761811</v>
      </c>
      <c r="AG38" s="339">
        <v>9607.731910830671</v>
      </c>
      <c r="AH38" s="496">
        <v>759.92</v>
      </c>
      <c r="AI38" s="490">
        <v>50.25</v>
      </c>
      <c r="AJ38" s="490">
        <v>433750.13</v>
      </c>
      <c r="AK38" s="339">
        <v>8631.843383084577</v>
      </c>
      <c r="AL38" s="339">
        <v>9169.5014925373143</v>
      </c>
      <c r="AM38" s="496">
        <v>537.66</v>
      </c>
      <c r="AN38" s="495">
        <v>0</v>
      </c>
      <c r="AO38" s="495">
        <v>0</v>
      </c>
      <c r="AP38" s="74"/>
      <c r="AQ38" s="303">
        <v>32225.480000000156</v>
      </c>
      <c r="AR38" s="303">
        <v>374786.54</v>
      </c>
      <c r="AS38" s="552">
        <v>112361.32</v>
      </c>
      <c r="AY38" s="67">
        <f t="shared" si="43"/>
        <v>0</v>
      </c>
      <c r="BA38" t="s">
        <v>845</v>
      </c>
      <c r="BB38" t="s">
        <v>97</v>
      </c>
      <c r="BC38" t="s">
        <v>887</v>
      </c>
      <c r="BD38" s="491">
        <v>1.6E-2</v>
      </c>
      <c r="BE38" s="492">
        <v>0.1386</v>
      </c>
      <c r="BG38" s="510">
        <f t="shared" si="41"/>
        <v>0</v>
      </c>
      <c r="BH38" s="510">
        <f t="shared" si="42"/>
        <v>0</v>
      </c>
      <c r="BJ38" s="520">
        <f t="shared" si="44"/>
        <v>0</v>
      </c>
      <c r="BK38" s="520">
        <f t="shared" si="45"/>
        <v>0</v>
      </c>
      <c r="CB38" s="74"/>
      <c r="CC38" s="74"/>
      <c r="CD38" s="74"/>
      <c r="CE38" s="74"/>
      <c r="CF38" s="74"/>
    </row>
    <row r="39" spans="1:84">
      <c r="A39" s="283" t="s">
        <v>100</v>
      </c>
      <c r="B39" s="283" t="s">
        <v>99</v>
      </c>
      <c r="C39" s="283" t="str">
        <f t="shared" si="46"/>
        <v>21302 CHEHALIS SCHOOL DISTRICT</v>
      </c>
      <c r="D39" s="490">
        <v>0</v>
      </c>
      <c r="E39" s="490">
        <v>0</v>
      </c>
      <c r="F39" s="490">
        <v>0</v>
      </c>
      <c r="G39" s="490">
        <v>4981898.09</v>
      </c>
      <c r="H39" s="490">
        <v>894458.87</v>
      </c>
      <c r="I39" s="490">
        <v>226163.06</v>
      </c>
      <c r="J39" s="490">
        <v>973124.6</v>
      </c>
      <c r="K39" s="490">
        <v>255683.83</v>
      </c>
      <c r="L39" s="490">
        <v>90723.21</v>
      </c>
      <c r="M39" s="490">
        <v>1593794.8</v>
      </c>
      <c r="N39" s="300">
        <v>3.1399999999999997E-2</v>
      </c>
      <c r="O39" s="492">
        <v>0.1585</v>
      </c>
      <c r="P39" s="490">
        <v>170675.63</v>
      </c>
      <c r="Q39" s="493">
        <v>16443.192999999999</v>
      </c>
      <c r="R39" s="493">
        <v>7076.02</v>
      </c>
      <c r="S39" s="494">
        <v>3409125.38</v>
      </c>
      <c r="T39" s="495">
        <v>253613.54999999976</v>
      </c>
      <c r="U39" s="495">
        <v>110266.68</v>
      </c>
      <c r="V39" s="490">
        <v>0</v>
      </c>
      <c r="W39" s="495">
        <v>0</v>
      </c>
      <c r="X39" s="495">
        <v>0</v>
      </c>
      <c r="Y39" s="490">
        <v>0</v>
      </c>
      <c r="Z39" s="490">
        <v>0</v>
      </c>
      <c r="AA39" s="490">
        <v>0</v>
      </c>
      <c r="AB39" s="490">
        <v>0</v>
      </c>
      <c r="AC39" s="490">
        <v>1745035.08</v>
      </c>
      <c r="AD39" s="490">
        <v>174.86</v>
      </c>
      <c r="AE39" s="490">
        <v>1577778.73</v>
      </c>
      <c r="AF39" s="339">
        <v>9023.0969346906095</v>
      </c>
      <c r="AG39" s="339">
        <v>9979.6127187464263</v>
      </c>
      <c r="AH39" s="496">
        <v>956.52</v>
      </c>
      <c r="AI39" s="490">
        <v>0</v>
      </c>
      <c r="AJ39" s="490">
        <v>0</v>
      </c>
      <c r="AK39" s="339">
        <v>0</v>
      </c>
      <c r="AL39" s="339">
        <v>0</v>
      </c>
      <c r="AM39" s="496">
        <v>0</v>
      </c>
      <c r="AN39" s="495">
        <v>0</v>
      </c>
      <c r="AO39" s="495">
        <v>0</v>
      </c>
      <c r="AP39" s="74"/>
      <c r="AQ39" s="303">
        <v>0</v>
      </c>
      <c r="AR39" s="303">
        <v>305620.03999999998</v>
      </c>
      <c r="AS39" s="552">
        <v>95688.390000000014</v>
      </c>
      <c r="AY39" s="67">
        <f t="shared" si="43"/>
        <v>0</v>
      </c>
      <c r="BA39" t="s">
        <v>845</v>
      </c>
      <c r="BB39" t="s">
        <v>99</v>
      </c>
      <c r="BC39" t="s">
        <v>888</v>
      </c>
      <c r="BD39" s="491">
        <v>3.1399999999999997E-2</v>
      </c>
      <c r="BE39" s="492">
        <v>0.1585</v>
      </c>
      <c r="BG39" s="510">
        <f t="shared" si="41"/>
        <v>0</v>
      </c>
      <c r="BH39" s="510">
        <f t="shared" si="42"/>
        <v>0</v>
      </c>
      <c r="BJ39" s="520">
        <f t="shared" si="44"/>
        <v>0</v>
      </c>
      <c r="BK39" s="520">
        <f t="shared" si="45"/>
        <v>0</v>
      </c>
      <c r="CB39" s="74"/>
      <c r="CC39" s="74"/>
      <c r="CD39" s="74"/>
      <c r="CE39" s="74"/>
      <c r="CF39" s="74"/>
    </row>
    <row r="40" spans="1:84">
      <c r="A40" s="283" t="s">
        <v>102</v>
      </c>
      <c r="B40" s="283" t="s">
        <v>101</v>
      </c>
      <c r="C40" s="283" t="str">
        <f t="shared" si="46"/>
        <v>32360 CHENEY SCHOOL DISTRICT</v>
      </c>
      <c r="D40" s="490">
        <v>0</v>
      </c>
      <c r="E40" s="490">
        <v>0</v>
      </c>
      <c r="F40" s="490">
        <v>2208.15</v>
      </c>
      <c r="G40" s="490">
        <v>9773529.3900000006</v>
      </c>
      <c r="H40" s="490">
        <v>1423361.09</v>
      </c>
      <c r="I40" s="490">
        <v>667203.36</v>
      </c>
      <c r="J40" s="490">
        <v>1833094.99</v>
      </c>
      <c r="K40" s="490">
        <v>717895.26</v>
      </c>
      <c r="L40" s="490">
        <v>161346.44</v>
      </c>
      <c r="M40" s="490">
        <v>3812696.29</v>
      </c>
      <c r="N40" s="300">
        <v>9.1999999999999998E-3</v>
      </c>
      <c r="O40" s="492">
        <v>0.14180000000000001</v>
      </c>
      <c r="P40" s="490">
        <v>0</v>
      </c>
      <c r="Q40" s="493">
        <v>0</v>
      </c>
      <c r="R40" s="493">
        <v>0</v>
      </c>
      <c r="S40" s="494">
        <v>0</v>
      </c>
      <c r="T40" s="495">
        <v>0</v>
      </c>
      <c r="U40" s="495">
        <v>0</v>
      </c>
      <c r="V40" s="490">
        <v>0</v>
      </c>
      <c r="W40" s="495">
        <v>0</v>
      </c>
      <c r="X40" s="495">
        <v>0</v>
      </c>
      <c r="Y40" s="490">
        <v>5680.47</v>
      </c>
      <c r="Z40" s="490">
        <v>44865.5</v>
      </c>
      <c r="AA40" s="490">
        <v>310228.59999999998</v>
      </c>
      <c r="AB40" s="490">
        <v>1037760.97</v>
      </c>
      <c r="AC40" s="490">
        <v>2471928.33</v>
      </c>
      <c r="AD40" s="490">
        <v>262.87</v>
      </c>
      <c r="AE40" s="490">
        <v>2325780.7400000002</v>
      </c>
      <c r="AF40" s="339">
        <v>8847.64613687374</v>
      </c>
      <c r="AG40" s="339">
        <v>9403.6152090386877</v>
      </c>
      <c r="AH40" s="496">
        <v>555.97</v>
      </c>
      <c r="AI40" s="490">
        <v>113.2</v>
      </c>
      <c r="AJ40" s="490">
        <v>976849.59</v>
      </c>
      <c r="AK40" s="339">
        <v>8629.413339222614</v>
      </c>
      <c r="AL40" s="339">
        <v>9167.4997349823316</v>
      </c>
      <c r="AM40" s="496">
        <v>538.09</v>
      </c>
      <c r="AN40" s="495">
        <v>0</v>
      </c>
      <c r="AO40" s="495">
        <v>9999.2199999999993</v>
      </c>
      <c r="AP40" s="74"/>
      <c r="AQ40" s="303">
        <v>12223.01999999996</v>
      </c>
      <c r="AR40" s="303">
        <v>553524.99</v>
      </c>
      <c r="AS40" s="552">
        <v>173098.41</v>
      </c>
      <c r="AY40" s="67">
        <f t="shared" si="43"/>
        <v>0</v>
      </c>
      <c r="BA40" t="s">
        <v>848</v>
      </c>
      <c r="BB40" t="s">
        <v>101</v>
      </c>
      <c r="BC40" t="s">
        <v>889</v>
      </c>
      <c r="BD40" s="491">
        <v>9.1999999999999998E-3</v>
      </c>
      <c r="BE40" s="492">
        <v>0.14180000000000001</v>
      </c>
      <c r="BG40" s="510">
        <f t="shared" si="41"/>
        <v>0</v>
      </c>
      <c r="BH40" s="510">
        <f t="shared" si="42"/>
        <v>0</v>
      </c>
      <c r="BJ40" s="520">
        <f t="shared" si="44"/>
        <v>0</v>
      </c>
      <c r="BK40" s="520">
        <f t="shared" si="45"/>
        <v>0</v>
      </c>
      <c r="CB40" s="74"/>
      <c r="CC40" s="74"/>
      <c r="CD40" s="74"/>
      <c r="CE40" s="74"/>
      <c r="CF40" s="74"/>
    </row>
    <row r="41" spans="1:84">
      <c r="A41" s="283" t="s">
        <v>104</v>
      </c>
      <c r="B41" s="283" t="s">
        <v>103</v>
      </c>
      <c r="C41" s="283" t="str">
        <f t="shared" si="46"/>
        <v>33036 CHEWELAH SCHOOL DISTRICT</v>
      </c>
      <c r="D41" s="490">
        <v>0</v>
      </c>
      <c r="E41" s="490">
        <v>21043.21</v>
      </c>
      <c r="F41" s="490">
        <v>20046.63</v>
      </c>
      <c r="G41" s="490">
        <v>1372431.16</v>
      </c>
      <c r="H41" s="490">
        <v>242945.67</v>
      </c>
      <c r="I41" s="490">
        <v>236876.93</v>
      </c>
      <c r="J41" s="490">
        <v>312199.63</v>
      </c>
      <c r="K41" s="490">
        <v>2551.89</v>
      </c>
      <c r="L41" s="490">
        <v>24414.95</v>
      </c>
      <c r="M41" s="490">
        <v>713883.06</v>
      </c>
      <c r="N41" s="300">
        <v>4.2500000000000003E-2</v>
      </c>
      <c r="O41" s="492">
        <v>0.15110000000000001</v>
      </c>
      <c r="P41" s="490">
        <v>0</v>
      </c>
      <c r="Q41" s="493">
        <v>0</v>
      </c>
      <c r="R41" s="493">
        <v>0</v>
      </c>
      <c r="S41" s="494">
        <v>0</v>
      </c>
      <c r="T41" s="495">
        <v>0</v>
      </c>
      <c r="U41" s="495">
        <v>0</v>
      </c>
      <c r="V41" s="490">
        <v>0</v>
      </c>
      <c r="W41" s="495">
        <v>0</v>
      </c>
      <c r="X41" s="495">
        <v>0</v>
      </c>
      <c r="Y41" s="490">
        <v>0</v>
      </c>
      <c r="Z41" s="490">
        <v>0</v>
      </c>
      <c r="AA41" s="490">
        <v>0</v>
      </c>
      <c r="AB41" s="490">
        <v>105330.78</v>
      </c>
      <c r="AC41" s="490">
        <v>499837.45</v>
      </c>
      <c r="AD41" s="490">
        <v>49.95</v>
      </c>
      <c r="AE41" s="490">
        <v>441877.24</v>
      </c>
      <c r="AF41" s="339">
        <v>8846.391191191191</v>
      </c>
      <c r="AG41" s="339">
        <v>10006.755755755756</v>
      </c>
      <c r="AH41" s="496">
        <v>1160.3599999999999</v>
      </c>
      <c r="AI41" s="490">
        <v>11.49</v>
      </c>
      <c r="AJ41" s="490">
        <v>99006.720000000001</v>
      </c>
      <c r="AK41" s="339">
        <v>8616.7728459530026</v>
      </c>
      <c r="AL41" s="339">
        <v>9167.1697127937332</v>
      </c>
      <c r="AM41" s="496">
        <v>550.4</v>
      </c>
      <c r="AN41" s="495">
        <v>0</v>
      </c>
      <c r="AO41" s="495">
        <v>0</v>
      </c>
      <c r="AP41" s="74"/>
      <c r="AQ41" s="303">
        <v>1.4551915228366852E-11</v>
      </c>
      <c r="AR41" s="303">
        <v>74077.37</v>
      </c>
      <c r="AS41" s="552">
        <v>32569.45</v>
      </c>
      <c r="AY41" s="67">
        <f t="shared" si="43"/>
        <v>0</v>
      </c>
      <c r="BA41" t="s">
        <v>848</v>
      </c>
      <c r="BB41" t="s">
        <v>103</v>
      </c>
      <c r="BC41" t="s">
        <v>890</v>
      </c>
      <c r="BD41" s="491">
        <v>4.2500000000000003E-2</v>
      </c>
      <c r="BE41" s="492">
        <v>0.15110000000000001</v>
      </c>
      <c r="BG41" s="510">
        <f t="shared" si="41"/>
        <v>0</v>
      </c>
      <c r="BH41" s="510">
        <f t="shared" si="42"/>
        <v>0</v>
      </c>
      <c r="BJ41" s="520">
        <f t="shared" si="44"/>
        <v>0</v>
      </c>
      <c r="BK41" s="520">
        <f t="shared" si="45"/>
        <v>0</v>
      </c>
      <c r="CB41" s="74"/>
      <c r="CC41" s="74"/>
      <c r="CD41" s="74"/>
      <c r="CE41" s="74"/>
      <c r="CF41" s="74"/>
    </row>
    <row r="42" spans="1:84">
      <c r="A42" s="283" t="s">
        <v>891</v>
      </c>
      <c r="B42" s="353" t="s">
        <v>105</v>
      </c>
      <c r="C42" s="353" t="str">
        <f>CONCATENATE(B42," ",A42," TRIBAL COMPACT")</f>
        <v>27901 CHIEF LESCHI TRIBAL COMPACT</v>
      </c>
      <c r="D42" s="490">
        <v>56419.54</v>
      </c>
      <c r="E42" s="490">
        <v>0</v>
      </c>
      <c r="F42" s="490">
        <v>0</v>
      </c>
      <c r="G42" s="490">
        <v>1124190.28</v>
      </c>
      <c r="H42" s="490">
        <v>161692.26999999999</v>
      </c>
      <c r="I42" s="490">
        <v>201606.81</v>
      </c>
      <c r="J42" s="490">
        <v>232243.72</v>
      </c>
      <c r="K42" s="490">
        <v>0</v>
      </c>
      <c r="L42" s="490">
        <v>20998.32</v>
      </c>
      <c r="M42" s="490">
        <v>658088.42000000004</v>
      </c>
      <c r="N42" s="300">
        <v>3.7100000000000001E-2</v>
      </c>
      <c r="O42" s="492">
        <v>0.14399999999999999</v>
      </c>
      <c r="P42" s="490">
        <v>0</v>
      </c>
      <c r="Q42" s="493">
        <v>0</v>
      </c>
      <c r="R42" s="493">
        <v>0</v>
      </c>
      <c r="S42" s="494">
        <v>0</v>
      </c>
      <c r="T42" s="495">
        <v>0</v>
      </c>
      <c r="U42" s="495">
        <v>0</v>
      </c>
      <c r="V42" s="490">
        <v>0</v>
      </c>
      <c r="W42" s="495">
        <v>0</v>
      </c>
      <c r="X42" s="495">
        <v>0</v>
      </c>
      <c r="Y42" s="490">
        <v>0</v>
      </c>
      <c r="Z42" s="490">
        <v>4390.09</v>
      </c>
      <c r="AA42" s="490">
        <v>1557.92</v>
      </c>
      <c r="AB42" s="490">
        <v>62808.38</v>
      </c>
      <c r="AC42" s="490">
        <v>341205.23</v>
      </c>
      <c r="AD42" s="490">
        <v>34.35</v>
      </c>
      <c r="AE42" s="490">
        <v>328997.17</v>
      </c>
      <c r="AF42" s="339">
        <v>9577.7924308588063</v>
      </c>
      <c r="AG42" s="339">
        <v>9933.1944687045107</v>
      </c>
      <c r="AH42" s="496">
        <v>355.4</v>
      </c>
      <c r="AI42" s="490">
        <v>6.33</v>
      </c>
      <c r="AJ42" s="490">
        <v>59288.45</v>
      </c>
      <c r="AK42" s="339">
        <v>9366.2638230647699</v>
      </c>
      <c r="AL42" s="339">
        <v>9922.3349131121631</v>
      </c>
      <c r="AM42" s="496">
        <v>556.07000000000005</v>
      </c>
      <c r="AN42" s="495">
        <v>0</v>
      </c>
      <c r="AO42" s="495">
        <v>0</v>
      </c>
      <c r="AP42" s="74"/>
      <c r="AQ42" s="303">
        <v>0</v>
      </c>
      <c r="AR42" s="303">
        <v>79501.429999999993</v>
      </c>
      <c r="AS42" s="552">
        <v>9868.5300000000007</v>
      </c>
      <c r="AY42" s="67">
        <f t="shared" si="43"/>
        <v>0</v>
      </c>
      <c r="BA42" t="s">
        <v>882</v>
      </c>
      <c r="BB42" t="s">
        <v>105</v>
      </c>
      <c r="BC42" s="11" t="s">
        <v>892</v>
      </c>
      <c r="BD42" s="491">
        <v>3.7100000000000001E-2</v>
      </c>
      <c r="BE42" s="492">
        <v>0.14399999999999999</v>
      </c>
      <c r="BG42" s="510">
        <f t="shared" si="41"/>
        <v>0</v>
      </c>
      <c r="BH42" s="510">
        <f t="shared" si="42"/>
        <v>0</v>
      </c>
      <c r="BJ42" s="520">
        <f t="shared" si="44"/>
        <v>0</v>
      </c>
      <c r="BK42" s="520">
        <f t="shared" si="45"/>
        <v>0</v>
      </c>
      <c r="CB42" s="74"/>
      <c r="CC42" s="74"/>
      <c r="CD42" s="74"/>
      <c r="CE42" s="74"/>
      <c r="CF42" s="74"/>
    </row>
    <row r="43" spans="1:84">
      <c r="A43" s="283" t="s">
        <v>108</v>
      </c>
      <c r="B43" s="283" t="s">
        <v>107</v>
      </c>
      <c r="C43" s="283" t="str">
        <f t="shared" ref="C43:C80" si="47">CONCATENATE(B43," ",A43," SCHOOL DISTRICT")</f>
        <v>16049 CHIMACUM SCHOOL DISTRICT</v>
      </c>
      <c r="D43" s="490">
        <v>0</v>
      </c>
      <c r="E43" s="490">
        <v>25366.639999999999</v>
      </c>
      <c r="F43" s="490">
        <v>7744.95</v>
      </c>
      <c r="G43" s="490">
        <v>1885539.5</v>
      </c>
      <c r="H43" s="490">
        <v>235704.31</v>
      </c>
      <c r="I43" s="490">
        <v>129547.02</v>
      </c>
      <c r="J43" s="490">
        <v>291452.09000000003</v>
      </c>
      <c r="K43" s="490">
        <v>35399.39</v>
      </c>
      <c r="L43" s="490">
        <v>21916.27</v>
      </c>
      <c r="M43" s="490">
        <v>920026.24</v>
      </c>
      <c r="N43" s="300">
        <v>4.0300000000000002E-2</v>
      </c>
      <c r="O43" s="492">
        <v>0.22220000000000001</v>
      </c>
      <c r="P43" s="490">
        <v>0</v>
      </c>
      <c r="Q43" s="493">
        <v>0</v>
      </c>
      <c r="R43" s="493">
        <v>0</v>
      </c>
      <c r="S43" s="494">
        <v>0</v>
      </c>
      <c r="T43" s="495">
        <v>0</v>
      </c>
      <c r="U43" s="495">
        <v>0</v>
      </c>
      <c r="V43" s="490">
        <v>0</v>
      </c>
      <c r="W43" s="495">
        <v>0</v>
      </c>
      <c r="X43" s="495">
        <v>0</v>
      </c>
      <c r="Y43" s="490">
        <v>807.5</v>
      </c>
      <c r="Z43" s="490">
        <v>0</v>
      </c>
      <c r="AA43" s="490">
        <v>0</v>
      </c>
      <c r="AB43" s="490">
        <v>0</v>
      </c>
      <c r="AC43" s="490">
        <v>209512.19</v>
      </c>
      <c r="AD43" s="490">
        <v>20.43</v>
      </c>
      <c r="AE43" s="490">
        <v>195702.03</v>
      </c>
      <c r="AF43" s="339">
        <v>9579.1497797356824</v>
      </c>
      <c r="AG43" s="339">
        <v>10255.124326970143</v>
      </c>
      <c r="AH43" s="496">
        <v>675.97</v>
      </c>
      <c r="AI43" s="490">
        <v>0</v>
      </c>
      <c r="AJ43" s="490">
        <v>0</v>
      </c>
      <c r="AK43" s="339">
        <v>0</v>
      </c>
      <c r="AL43" s="339">
        <v>0</v>
      </c>
      <c r="AM43" s="496">
        <v>0</v>
      </c>
      <c r="AN43" s="495">
        <v>0</v>
      </c>
      <c r="AO43" s="495">
        <v>0</v>
      </c>
      <c r="AP43" s="74"/>
      <c r="AQ43" s="303">
        <v>68079.89</v>
      </c>
      <c r="AR43" s="303">
        <v>80761.119999999995</v>
      </c>
      <c r="AS43" s="552">
        <v>29780.95</v>
      </c>
      <c r="AY43" s="67">
        <f t="shared" si="43"/>
        <v>0</v>
      </c>
      <c r="BA43" t="s">
        <v>869</v>
      </c>
      <c r="BB43" t="s">
        <v>107</v>
      </c>
      <c r="BC43" t="s">
        <v>893</v>
      </c>
      <c r="BD43" s="491">
        <v>4.0300000000000002E-2</v>
      </c>
      <c r="BE43" s="492">
        <v>0.22220000000000001</v>
      </c>
      <c r="BG43" s="510">
        <f t="shared" si="41"/>
        <v>0</v>
      </c>
      <c r="BH43" s="510">
        <f t="shared" si="42"/>
        <v>0</v>
      </c>
      <c r="BJ43" s="520">
        <f t="shared" si="44"/>
        <v>0</v>
      </c>
      <c r="BK43" s="520">
        <f t="shared" si="45"/>
        <v>0</v>
      </c>
      <c r="CB43" s="74"/>
      <c r="CC43" s="74"/>
      <c r="CD43" s="74"/>
      <c r="CE43" s="74"/>
      <c r="CF43" s="74"/>
    </row>
    <row r="44" spans="1:84">
      <c r="A44" s="283" t="s">
        <v>110</v>
      </c>
      <c r="B44" s="283" t="s">
        <v>109</v>
      </c>
      <c r="C44" s="283" t="str">
        <f t="shared" si="47"/>
        <v>02250 CLARKSTON SCHOOL DISTRICT</v>
      </c>
      <c r="D44" s="490">
        <v>0</v>
      </c>
      <c r="E44" s="490">
        <v>3141.13</v>
      </c>
      <c r="F44" s="490">
        <v>2653.39</v>
      </c>
      <c r="G44" s="490">
        <v>4292416.21</v>
      </c>
      <c r="H44" s="490">
        <v>788217.08</v>
      </c>
      <c r="I44" s="490">
        <v>417651.43</v>
      </c>
      <c r="J44" s="490">
        <v>905638.68</v>
      </c>
      <c r="K44" s="490">
        <v>57978.75</v>
      </c>
      <c r="L44" s="490">
        <v>72102.03</v>
      </c>
      <c r="M44" s="490">
        <v>1344158.52</v>
      </c>
      <c r="N44" s="300">
        <v>4.9599999999999998E-2</v>
      </c>
      <c r="O44" s="492">
        <v>0.1966</v>
      </c>
      <c r="P44" s="490">
        <v>0</v>
      </c>
      <c r="Q44" s="493">
        <v>0</v>
      </c>
      <c r="R44" s="493">
        <v>0</v>
      </c>
      <c r="S44" s="494">
        <v>0</v>
      </c>
      <c r="T44" s="495">
        <v>0</v>
      </c>
      <c r="U44" s="495">
        <v>0</v>
      </c>
      <c r="V44" s="490">
        <v>0</v>
      </c>
      <c r="W44" s="495">
        <v>0</v>
      </c>
      <c r="X44" s="495">
        <v>0</v>
      </c>
      <c r="Y44" s="490">
        <v>1139.67</v>
      </c>
      <c r="Z44" s="490">
        <v>0</v>
      </c>
      <c r="AA44" s="490">
        <v>65673.63</v>
      </c>
      <c r="AB44" s="490">
        <v>0</v>
      </c>
      <c r="AC44" s="490">
        <v>1495700.44</v>
      </c>
      <c r="AD44" s="490">
        <v>156.74</v>
      </c>
      <c r="AE44" s="490">
        <v>1386737.12</v>
      </c>
      <c r="AF44" s="339">
        <v>8847.3722087533497</v>
      </c>
      <c r="AG44" s="339">
        <v>9542.5573561311721</v>
      </c>
      <c r="AH44" s="496">
        <v>695.19</v>
      </c>
      <c r="AI44" s="490">
        <v>0</v>
      </c>
      <c r="AJ44" s="490">
        <v>0</v>
      </c>
      <c r="AK44" s="339">
        <v>0</v>
      </c>
      <c r="AL44" s="339">
        <v>0</v>
      </c>
      <c r="AM44" s="496">
        <v>0</v>
      </c>
      <c r="AN44" s="495">
        <v>200</v>
      </c>
      <c r="AO44" s="495">
        <v>0</v>
      </c>
      <c r="AP44" s="74"/>
      <c r="AQ44" s="303">
        <v>0</v>
      </c>
      <c r="AR44" s="303">
        <v>237804.24</v>
      </c>
      <c r="AS44" s="552">
        <v>77011.23</v>
      </c>
      <c r="AY44" s="67">
        <f t="shared" si="43"/>
        <v>0</v>
      </c>
      <c r="BA44" t="s">
        <v>854</v>
      </c>
      <c r="BB44" t="s">
        <v>109</v>
      </c>
      <c r="BC44" t="s">
        <v>894</v>
      </c>
      <c r="BD44" s="491">
        <v>4.9599999999999998E-2</v>
      </c>
      <c r="BE44" s="492">
        <v>0.1966</v>
      </c>
      <c r="BG44" s="510">
        <f t="shared" si="41"/>
        <v>0</v>
      </c>
      <c r="BH44" s="510">
        <f t="shared" si="42"/>
        <v>0</v>
      </c>
      <c r="BJ44" s="520">
        <f t="shared" si="44"/>
        <v>0</v>
      </c>
      <c r="BK44" s="520">
        <f t="shared" si="45"/>
        <v>0</v>
      </c>
      <c r="CB44" s="74"/>
      <c r="CC44" s="74"/>
      <c r="CD44" s="74"/>
      <c r="CE44" s="74"/>
      <c r="CF44" s="74"/>
    </row>
    <row r="45" spans="1:84">
      <c r="A45" s="283" t="s">
        <v>112</v>
      </c>
      <c r="B45" s="283" t="s">
        <v>111</v>
      </c>
      <c r="C45" s="283" t="str">
        <f t="shared" si="47"/>
        <v>19404 CLE ELUM-ROSLYN SCHOOL DISTRICT</v>
      </c>
      <c r="D45" s="490">
        <v>0</v>
      </c>
      <c r="E45" s="490">
        <v>0</v>
      </c>
      <c r="F45" s="490">
        <v>0</v>
      </c>
      <c r="G45" s="490">
        <v>1641602.96</v>
      </c>
      <c r="H45" s="490">
        <v>202587</v>
      </c>
      <c r="I45" s="490">
        <v>0</v>
      </c>
      <c r="J45" s="490">
        <v>222901.76000000001</v>
      </c>
      <c r="K45" s="490">
        <v>32436.639999999999</v>
      </c>
      <c r="L45" s="490">
        <v>28422.98</v>
      </c>
      <c r="M45" s="490">
        <v>704726.96</v>
      </c>
      <c r="N45" s="300">
        <v>6.1600000000000002E-2</v>
      </c>
      <c r="O45" s="492">
        <v>0.20699999999999999</v>
      </c>
      <c r="P45" s="490">
        <v>0</v>
      </c>
      <c r="Q45" s="493">
        <v>0</v>
      </c>
      <c r="R45" s="493">
        <v>0</v>
      </c>
      <c r="S45" s="494">
        <v>0</v>
      </c>
      <c r="T45" s="495">
        <v>0</v>
      </c>
      <c r="U45" s="495">
        <v>0</v>
      </c>
      <c r="V45" s="490">
        <v>0</v>
      </c>
      <c r="W45" s="495">
        <v>0</v>
      </c>
      <c r="X45" s="495">
        <v>0</v>
      </c>
      <c r="Y45" s="490">
        <v>1097.17</v>
      </c>
      <c r="Z45" s="490">
        <v>3614.05</v>
      </c>
      <c r="AA45" s="490">
        <v>52217.42</v>
      </c>
      <c r="AB45" s="490">
        <v>137187.64000000001</v>
      </c>
      <c r="AC45" s="490">
        <v>578736.92000000004</v>
      </c>
      <c r="AD45" s="490">
        <v>60.57</v>
      </c>
      <c r="AE45" s="490">
        <v>558144.9</v>
      </c>
      <c r="AF45" s="339">
        <v>9214.8736998514123</v>
      </c>
      <c r="AG45" s="339">
        <v>9554.8443123658581</v>
      </c>
      <c r="AH45" s="496">
        <v>339.97</v>
      </c>
      <c r="AI45" s="490">
        <v>14.37</v>
      </c>
      <c r="AJ45" s="490">
        <v>129260.67</v>
      </c>
      <c r="AK45" s="339">
        <v>8995.1753653444684</v>
      </c>
      <c r="AL45" s="339">
        <v>9546.8086290883803</v>
      </c>
      <c r="AM45" s="496">
        <v>551.63</v>
      </c>
      <c r="AN45" s="495">
        <v>53027.29</v>
      </c>
      <c r="AO45" s="495">
        <v>67937.62</v>
      </c>
      <c r="AP45" s="74"/>
      <c r="AQ45" s="303">
        <v>0</v>
      </c>
      <c r="AR45" s="303">
        <v>93128.94</v>
      </c>
      <c r="AS45" s="552"/>
      <c r="AY45" s="67">
        <f t="shared" si="43"/>
        <v>0</v>
      </c>
      <c r="BA45" t="s">
        <v>865</v>
      </c>
      <c r="BB45" t="s">
        <v>111</v>
      </c>
      <c r="BC45" t="s">
        <v>895</v>
      </c>
      <c r="BD45" s="491">
        <v>6.1600000000000002E-2</v>
      </c>
      <c r="BE45" s="492">
        <v>0.20699999999999999</v>
      </c>
      <c r="BG45" s="510">
        <f t="shared" si="41"/>
        <v>0</v>
      </c>
      <c r="BH45" s="510">
        <f t="shared" si="42"/>
        <v>0</v>
      </c>
      <c r="BJ45" s="520">
        <f t="shared" si="44"/>
        <v>0</v>
      </c>
      <c r="BK45" s="520">
        <f t="shared" si="45"/>
        <v>0</v>
      </c>
      <c r="CB45" s="74"/>
      <c r="CC45" s="74"/>
      <c r="CD45" s="74"/>
      <c r="CE45" s="74"/>
      <c r="CF45" s="74"/>
    </row>
    <row r="46" spans="1:84">
      <c r="A46" s="283" t="s">
        <v>114</v>
      </c>
      <c r="B46" s="283" t="s">
        <v>113</v>
      </c>
      <c r="C46" s="283" t="str">
        <f t="shared" si="47"/>
        <v>27400 CLOVER PARK SCHOOL DISTRICT</v>
      </c>
      <c r="D46" s="490">
        <v>0</v>
      </c>
      <c r="E46" s="490">
        <v>466812.98</v>
      </c>
      <c r="F46" s="490">
        <v>81593.61</v>
      </c>
      <c r="G46" s="490">
        <v>25678625.149999999</v>
      </c>
      <c r="H46" s="490">
        <v>5655626.1799999997</v>
      </c>
      <c r="I46" s="490">
        <v>2496740.16</v>
      </c>
      <c r="J46" s="490">
        <v>5661201.6900000004</v>
      </c>
      <c r="K46" s="490">
        <v>3158060.64</v>
      </c>
      <c r="L46" s="490">
        <v>368842.84</v>
      </c>
      <c r="M46" s="490">
        <v>8895508.3499999996</v>
      </c>
      <c r="N46" s="300">
        <v>4.8099999999999997E-2</v>
      </c>
      <c r="O46" s="492">
        <v>0.161</v>
      </c>
      <c r="P46" s="490">
        <v>0</v>
      </c>
      <c r="Q46" s="493">
        <v>0</v>
      </c>
      <c r="R46" s="493">
        <v>0</v>
      </c>
      <c r="S46" s="494">
        <v>154147.36000000002</v>
      </c>
      <c r="T46" s="495">
        <v>12004.810000000005</v>
      </c>
      <c r="U46" s="495">
        <v>5913.79</v>
      </c>
      <c r="V46" s="490">
        <v>2419334.5099999998</v>
      </c>
      <c r="W46" s="495">
        <v>215391.17999999993</v>
      </c>
      <c r="X46" s="495">
        <v>92130.55</v>
      </c>
      <c r="Y46" s="490">
        <v>13676.06</v>
      </c>
      <c r="Z46" s="490">
        <v>154244.29999999999</v>
      </c>
      <c r="AA46" s="490">
        <v>337824.93</v>
      </c>
      <c r="AB46" s="490">
        <v>3410072.67</v>
      </c>
      <c r="AC46" s="490">
        <v>5636029.4699999997</v>
      </c>
      <c r="AD46" s="490">
        <v>577.16</v>
      </c>
      <c r="AE46" s="490">
        <v>5317082.2300000004</v>
      </c>
      <c r="AF46" s="339">
        <v>9212.492601704902</v>
      </c>
      <c r="AG46" s="339">
        <v>9765.1075438353309</v>
      </c>
      <c r="AH46" s="496">
        <v>552.61</v>
      </c>
      <c r="AI46" s="490">
        <v>356.95</v>
      </c>
      <c r="AJ46" s="490">
        <v>3210538.3</v>
      </c>
      <c r="AK46" s="339">
        <v>8994.3641966661999</v>
      </c>
      <c r="AL46" s="339">
        <v>9553.3622916374843</v>
      </c>
      <c r="AM46" s="496">
        <v>559</v>
      </c>
      <c r="AN46" s="495">
        <v>0</v>
      </c>
      <c r="AO46" s="495">
        <v>4000</v>
      </c>
      <c r="AP46" s="74"/>
      <c r="AQ46" s="303">
        <v>149310.18999999994</v>
      </c>
      <c r="AR46" s="303">
        <v>1377922.81</v>
      </c>
      <c r="AS46" s="552">
        <v>373638.28</v>
      </c>
      <c r="AY46" s="67">
        <f t="shared" si="43"/>
        <v>0</v>
      </c>
      <c r="BA46" t="s">
        <v>856</v>
      </c>
      <c r="BB46" t="s">
        <v>113</v>
      </c>
      <c r="BC46" t="s">
        <v>896</v>
      </c>
      <c r="BD46" s="491">
        <v>4.8099999999999997E-2</v>
      </c>
      <c r="BE46" s="492">
        <v>0.161</v>
      </c>
      <c r="BG46" s="510">
        <f t="shared" si="41"/>
        <v>0</v>
      </c>
      <c r="BH46" s="510">
        <f t="shared" si="42"/>
        <v>0</v>
      </c>
      <c r="BJ46" s="520">
        <f t="shared" si="44"/>
        <v>0</v>
      </c>
      <c r="BK46" s="520">
        <f t="shared" si="45"/>
        <v>0</v>
      </c>
      <c r="CB46" s="74"/>
      <c r="CC46" s="74"/>
      <c r="CD46" s="74"/>
      <c r="CE46" s="74"/>
      <c r="CF46" s="74"/>
    </row>
    <row r="47" spans="1:84">
      <c r="A47" s="283" t="s">
        <v>116</v>
      </c>
      <c r="B47" s="283" t="s">
        <v>115</v>
      </c>
      <c r="C47" s="283" t="str">
        <f t="shared" si="47"/>
        <v>38300 COLFAX SCHOOL DISTRICT</v>
      </c>
      <c r="D47" s="490">
        <v>0</v>
      </c>
      <c r="E47" s="490">
        <v>0</v>
      </c>
      <c r="F47" s="490">
        <v>0</v>
      </c>
      <c r="G47" s="490">
        <v>745993.07</v>
      </c>
      <c r="H47" s="490">
        <v>108971.64</v>
      </c>
      <c r="I47" s="490">
        <v>0</v>
      </c>
      <c r="J47" s="490">
        <v>132860.04999999999</v>
      </c>
      <c r="K47" s="490">
        <v>0</v>
      </c>
      <c r="L47" s="490">
        <v>15801.33</v>
      </c>
      <c r="M47" s="490">
        <v>542902.42000000004</v>
      </c>
      <c r="N47" s="300">
        <v>5.04E-2</v>
      </c>
      <c r="O47" s="492">
        <v>0.23530000000000001</v>
      </c>
      <c r="P47" s="490">
        <v>0</v>
      </c>
      <c r="Q47" s="493">
        <v>0</v>
      </c>
      <c r="R47" s="493">
        <v>0</v>
      </c>
      <c r="S47" s="494">
        <v>0</v>
      </c>
      <c r="T47" s="495">
        <v>0</v>
      </c>
      <c r="U47" s="495">
        <v>0</v>
      </c>
      <c r="V47" s="490">
        <v>0</v>
      </c>
      <c r="W47" s="495">
        <v>0</v>
      </c>
      <c r="X47" s="495">
        <v>0</v>
      </c>
      <c r="Y47" s="490">
        <v>0</v>
      </c>
      <c r="Z47" s="490">
        <v>2815.1</v>
      </c>
      <c r="AA47" s="490">
        <v>4863.1400000000003</v>
      </c>
      <c r="AB47" s="490">
        <v>91859.76</v>
      </c>
      <c r="AC47" s="490">
        <v>355745.34</v>
      </c>
      <c r="AD47" s="490">
        <v>37.909999999999997</v>
      </c>
      <c r="AE47" s="490">
        <v>342184.78</v>
      </c>
      <c r="AF47" s="339">
        <v>9026.2405697705108</v>
      </c>
      <c r="AG47" s="339">
        <v>9383.9446056449506</v>
      </c>
      <c r="AH47" s="496">
        <v>357.7</v>
      </c>
      <c r="AI47" s="490">
        <v>9.81</v>
      </c>
      <c r="AJ47" s="490">
        <v>86589.440000000002</v>
      </c>
      <c r="AK47" s="339">
        <v>8826.6503567787968</v>
      </c>
      <c r="AL47" s="339">
        <v>9363.8899082568805</v>
      </c>
      <c r="AM47" s="496">
        <v>537.24</v>
      </c>
      <c r="AN47" s="495">
        <v>0</v>
      </c>
      <c r="AO47" s="495">
        <v>0</v>
      </c>
      <c r="AP47" s="74"/>
      <c r="AQ47" s="303">
        <v>42416.89</v>
      </c>
      <c r="AR47" s="303">
        <v>57217.33</v>
      </c>
      <c r="AS47" s="552">
        <v>17435.830000000002</v>
      </c>
      <c r="AY47" s="67">
        <f t="shared" si="43"/>
        <v>0</v>
      </c>
      <c r="BA47" t="s">
        <v>848</v>
      </c>
      <c r="BB47" t="s">
        <v>115</v>
      </c>
      <c r="BC47" t="s">
        <v>897</v>
      </c>
      <c r="BD47" s="491">
        <v>5.04E-2</v>
      </c>
      <c r="BE47" s="492">
        <v>0.23530000000000001</v>
      </c>
      <c r="BG47" s="510">
        <f t="shared" si="41"/>
        <v>0</v>
      </c>
      <c r="BH47" s="510">
        <f t="shared" si="42"/>
        <v>0</v>
      </c>
      <c r="BJ47" s="520">
        <f t="shared" si="44"/>
        <v>0</v>
      </c>
      <c r="BK47" s="520">
        <f t="shared" si="45"/>
        <v>0</v>
      </c>
      <c r="CB47" s="74"/>
      <c r="CC47" s="74"/>
      <c r="CD47" s="74"/>
      <c r="CE47" s="74"/>
      <c r="CF47" s="74"/>
    </row>
    <row r="48" spans="1:84">
      <c r="A48" s="283" t="s">
        <v>118</v>
      </c>
      <c r="B48" s="283" t="s">
        <v>117</v>
      </c>
      <c r="C48" s="283" t="str">
        <f t="shared" si="47"/>
        <v>36250 COLLEGE PLACE SCHOOL DISTRICT</v>
      </c>
      <c r="D48" s="490">
        <v>0</v>
      </c>
      <c r="E48" s="490">
        <v>54167.47</v>
      </c>
      <c r="F48" s="490">
        <v>45392.05</v>
      </c>
      <c r="G48" s="490">
        <v>2613311.54</v>
      </c>
      <c r="H48" s="490">
        <v>596984.88</v>
      </c>
      <c r="I48" s="490">
        <v>460039.92</v>
      </c>
      <c r="J48" s="490">
        <v>551154.44999999995</v>
      </c>
      <c r="K48" s="490">
        <v>406055.36</v>
      </c>
      <c r="L48" s="490">
        <v>44258.57</v>
      </c>
      <c r="M48" s="490">
        <v>715582.06</v>
      </c>
      <c r="N48" s="300">
        <v>2.8199999999999999E-2</v>
      </c>
      <c r="O48" s="492">
        <v>0.13969999999999999</v>
      </c>
      <c r="P48" s="490">
        <v>0</v>
      </c>
      <c r="Q48" s="493">
        <v>0</v>
      </c>
      <c r="R48" s="493">
        <v>0</v>
      </c>
      <c r="S48" s="494">
        <v>0</v>
      </c>
      <c r="T48" s="495">
        <v>0</v>
      </c>
      <c r="U48" s="495">
        <v>0</v>
      </c>
      <c r="V48" s="490">
        <v>0</v>
      </c>
      <c r="W48" s="495">
        <v>0</v>
      </c>
      <c r="X48" s="495">
        <v>0</v>
      </c>
      <c r="Y48" s="490">
        <v>0</v>
      </c>
      <c r="Z48" s="490">
        <v>4154.13</v>
      </c>
      <c r="AA48" s="490">
        <v>35523.49</v>
      </c>
      <c r="AB48" s="490">
        <v>114282.99</v>
      </c>
      <c r="AC48" s="490">
        <v>1085849.1200000001</v>
      </c>
      <c r="AD48" s="490">
        <v>112.86</v>
      </c>
      <c r="AE48" s="490">
        <v>998556.62</v>
      </c>
      <c r="AF48" s="339">
        <v>8847.7460570618459</v>
      </c>
      <c r="AG48" s="339">
        <v>9621.2043239411669</v>
      </c>
      <c r="AH48" s="496">
        <v>773.46</v>
      </c>
      <c r="AI48" s="490">
        <v>12.46</v>
      </c>
      <c r="AJ48" s="490">
        <v>107587.08</v>
      </c>
      <c r="AK48" s="339">
        <v>8634.5971107544137</v>
      </c>
      <c r="AL48" s="339">
        <v>9171.9895666131615</v>
      </c>
      <c r="AM48" s="496">
        <v>537.39</v>
      </c>
      <c r="AN48" s="495">
        <v>0</v>
      </c>
      <c r="AO48" s="495">
        <v>0</v>
      </c>
      <c r="AP48" s="74"/>
      <c r="AQ48" s="303">
        <v>112998.75999999995</v>
      </c>
      <c r="AR48" s="303">
        <v>163628.17000000001</v>
      </c>
      <c r="AS48" s="552">
        <v>39029.15</v>
      </c>
      <c r="AY48" s="67">
        <f t="shared" si="43"/>
        <v>0</v>
      </c>
      <c r="BA48" t="s">
        <v>854</v>
      </c>
      <c r="BB48" t="s">
        <v>117</v>
      </c>
      <c r="BC48" t="s">
        <v>898</v>
      </c>
      <c r="BD48" s="491">
        <v>2.8199999999999999E-2</v>
      </c>
      <c r="BE48" s="492">
        <v>0.13969999999999999</v>
      </c>
      <c r="BG48" s="510">
        <f t="shared" si="41"/>
        <v>0</v>
      </c>
      <c r="BH48" s="510">
        <f t="shared" si="42"/>
        <v>0</v>
      </c>
      <c r="BJ48" s="520">
        <f t="shared" si="44"/>
        <v>0</v>
      </c>
      <c r="BK48" s="520">
        <f t="shared" si="45"/>
        <v>0</v>
      </c>
      <c r="CB48" s="74"/>
      <c r="CC48" s="74"/>
      <c r="CD48" s="74"/>
      <c r="CE48" s="74"/>
      <c r="CF48" s="74"/>
    </row>
    <row r="49" spans="1:84">
      <c r="A49" s="283" t="s">
        <v>120</v>
      </c>
      <c r="B49" s="283" t="s">
        <v>119</v>
      </c>
      <c r="C49" s="283" t="str">
        <f t="shared" si="47"/>
        <v>38306 COLTON SCHOOL DISTRICT</v>
      </c>
      <c r="D49" s="490">
        <v>0</v>
      </c>
      <c r="E49" s="490">
        <v>0</v>
      </c>
      <c r="F49" s="490">
        <v>0</v>
      </c>
      <c r="G49" s="490">
        <v>272736.82</v>
      </c>
      <c r="H49" s="490">
        <v>25166.91</v>
      </c>
      <c r="I49" s="490">
        <v>0</v>
      </c>
      <c r="J49" s="490">
        <v>32447.65</v>
      </c>
      <c r="K49" s="490">
        <v>0</v>
      </c>
      <c r="L49" s="490">
        <v>0</v>
      </c>
      <c r="M49" s="490">
        <v>195599.54</v>
      </c>
      <c r="N49" s="300">
        <v>3.7900000000000003E-2</v>
      </c>
      <c r="O49" s="492">
        <v>0.1784</v>
      </c>
      <c r="P49" s="490">
        <v>0</v>
      </c>
      <c r="Q49" s="493">
        <v>0</v>
      </c>
      <c r="R49" s="493">
        <v>0</v>
      </c>
      <c r="S49" s="494">
        <v>0</v>
      </c>
      <c r="T49" s="495">
        <v>0</v>
      </c>
      <c r="U49" s="495">
        <v>0</v>
      </c>
      <c r="V49" s="490">
        <v>0</v>
      </c>
      <c r="W49" s="495">
        <v>0</v>
      </c>
      <c r="X49" s="495">
        <v>0</v>
      </c>
      <c r="Y49" s="490">
        <v>0</v>
      </c>
      <c r="Z49" s="490">
        <v>0</v>
      </c>
      <c r="AA49" s="490">
        <v>0</v>
      </c>
      <c r="AB49" s="490">
        <v>10514.35</v>
      </c>
      <c r="AC49" s="490">
        <v>55817.96</v>
      </c>
      <c r="AD49" s="490">
        <v>6.03</v>
      </c>
      <c r="AE49" s="490">
        <v>53946.71</v>
      </c>
      <c r="AF49" s="339">
        <v>8946.3864013266993</v>
      </c>
      <c r="AG49" s="339">
        <v>9256.7097844112759</v>
      </c>
      <c r="AH49" s="496">
        <v>310.32</v>
      </c>
      <c r="AI49" s="490">
        <v>1.1299999999999999</v>
      </c>
      <c r="AJ49" s="490">
        <v>9966.75</v>
      </c>
      <c r="AK49" s="339">
        <v>8820.1327433628321</v>
      </c>
      <c r="AL49" s="339">
        <v>9304.7345132743376</v>
      </c>
      <c r="AM49" s="496">
        <v>484.6</v>
      </c>
      <c r="AN49" s="495">
        <v>0</v>
      </c>
      <c r="AO49" s="495">
        <v>0</v>
      </c>
      <c r="AP49" s="74"/>
      <c r="AQ49" s="303">
        <v>10492.760000000006</v>
      </c>
      <c r="AR49" s="303">
        <v>25360.639999999999</v>
      </c>
      <c r="AS49" s="552">
        <v>14415.13</v>
      </c>
      <c r="AY49" s="67">
        <f t="shared" si="43"/>
        <v>0</v>
      </c>
      <c r="BA49" t="s">
        <v>848</v>
      </c>
      <c r="BB49" t="s">
        <v>119</v>
      </c>
      <c r="BC49" t="s">
        <v>899</v>
      </c>
      <c r="BD49" s="491">
        <v>3.7900000000000003E-2</v>
      </c>
      <c r="BE49" s="492">
        <v>0.1784</v>
      </c>
      <c r="BG49" s="510">
        <f t="shared" si="41"/>
        <v>0</v>
      </c>
      <c r="BH49" s="510">
        <f t="shared" si="42"/>
        <v>0</v>
      </c>
      <c r="BJ49" s="520">
        <f t="shared" si="44"/>
        <v>0</v>
      </c>
      <c r="BK49" s="520">
        <f t="shared" si="45"/>
        <v>0</v>
      </c>
      <c r="CB49" s="74"/>
      <c r="CC49" s="74"/>
      <c r="CD49" s="74"/>
      <c r="CE49" s="74"/>
      <c r="CF49" s="74"/>
    </row>
    <row r="50" spans="1:84">
      <c r="A50" s="283" t="s">
        <v>122</v>
      </c>
      <c r="B50" s="283" t="s">
        <v>121</v>
      </c>
      <c r="C50" s="283" t="str">
        <f t="shared" si="47"/>
        <v>33206 COLUMBIA (STEVENS) SCHOOL DISTRICT</v>
      </c>
      <c r="D50" s="490">
        <v>0</v>
      </c>
      <c r="E50" s="490">
        <v>0</v>
      </c>
      <c r="F50" s="490">
        <v>0</v>
      </c>
      <c r="G50" s="490">
        <v>179263.38</v>
      </c>
      <c r="H50" s="490">
        <v>27508.240000000002</v>
      </c>
      <c r="I50" s="490">
        <v>40310.629999999997</v>
      </c>
      <c r="J50" s="490">
        <v>66491.759999999995</v>
      </c>
      <c r="K50" s="490">
        <v>0</v>
      </c>
      <c r="L50" s="490">
        <v>0</v>
      </c>
      <c r="M50" s="490">
        <v>264863.33</v>
      </c>
      <c r="N50" s="300">
        <v>3.4099999999999998E-2</v>
      </c>
      <c r="O50" s="492">
        <v>0.30880000000000002</v>
      </c>
      <c r="P50" s="490">
        <v>0</v>
      </c>
      <c r="Q50" s="493">
        <v>0</v>
      </c>
      <c r="R50" s="493">
        <v>0</v>
      </c>
      <c r="S50" s="494">
        <v>0</v>
      </c>
      <c r="T50" s="495">
        <v>0</v>
      </c>
      <c r="U50" s="495">
        <v>0</v>
      </c>
      <c r="V50" s="490">
        <v>0</v>
      </c>
      <c r="W50" s="495">
        <v>0</v>
      </c>
      <c r="X50" s="495">
        <v>0</v>
      </c>
      <c r="Y50" s="490">
        <v>131.97</v>
      </c>
      <c r="Z50" s="490">
        <v>493.45</v>
      </c>
      <c r="AA50" s="490">
        <v>0</v>
      </c>
      <c r="AB50" s="490">
        <v>20807.189999999999</v>
      </c>
      <c r="AC50" s="490">
        <v>64455.31</v>
      </c>
      <c r="AD50" s="490">
        <v>6.34</v>
      </c>
      <c r="AE50" s="490">
        <v>56084.02</v>
      </c>
      <c r="AF50" s="339">
        <v>8846.0599369085176</v>
      </c>
      <c r="AG50" s="339">
        <v>10166.452681388013</v>
      </c>
      <c r="AH50" s="496">
        <v>1320.39</v>
      </c>
      <c r="AI50" s="490">
        <v>2.2799999999999998</v>
      </c>
      <c r="AJ50" s="490">
        <v>19724.009999999998</v>
      </c>
      <c r="AK50" s="339">
        <v>8650.8815789473683</v>
      </c>
      <c r="AL50" s="339">
        <v>9125.96052631579</v>
      </c>
      <c r="AM50" s="496">
        <v>475.08</v>
      </c>
      <c r="AN50" s="495">
        <v>0</v>
      </c>
      <c r="AO50" s="495">
        <v>0</v>
      </c>
      <c r="AP50" s="74"/>
      <c r="AQ50" s="303">
        <v>0</v>
      </c>
      <c r="AR50" s="303">
        <v>22489.99</v>
      </c>
      <c r="AS50" s="552">
        <v>14008.47</v>
      </c>
      <c r="AY50" s="67">
        <f t="shared" si="43"/>
        <v>0</v>
      </c>
      <c r="BA50" t="s">
        <v>848</v>
      </c>
      <c r="BB50" t="s">
        <v>121</v>
      </c>
      <c r="BC50" t="s">
        <v>900</v>
      </c>
      <c r="BD50" s="491">
        <v>3.4099999999999998E-2</v>
      </c>
      <c r="BE50" s="492">
        <v>0.30880000000000002</v>
      </c>
      <c r="BG50" s="510">
        <f t="shared" si="41"/>
        <v>0</v>
      </c>
      <c r="BH50" s="510">
        <f t="shared" si="42"/>
        <v>0</v>
      </c>
      <c r="BJ50" s="520">
        <f t="shared" si="44"/>
        <v>0</v>
      </c>
      <c r="BK50" s="520">
        <f t="shared" si="45"/>
        <v>0</v>
      </c>
      <c r="CB50" s="74"/>
      <c r="CC50" s="74"/>
      <c r="CD50" s="74"/>
      <c r="CE50" s="74"/>
      <c r="CF50" s="74"/>
    </row>
    <row r="51" spans="1:84">
      <c r="A51" s="283" t="s">
        <v>901</v>
      </c>
      <c r="B51" s="283" t="s">
        <v>123</v>
      </c>
      <c r="C51" s="283" t="str">
        <f t="shared" si="47"/>
        <v>36400 COLUMBIA (WALLA) SCHOOL DISTRICT</v>
      </c>
      <c r="D51" s="490">
        <v>0</v>
      </c>
      <c r="E51" s="490">
        <v>0</v>
      </c>
      <c r="F51" s="490">
        <v>14881.33</v>
      </c>
      <c r="G51" s="490">
        <v>1282847.05</v>
      </c>
      <c r="H51" s="490">
        <v>189217.74</v>
      </c>
      <c r="I51" s="490">
        <v>234214.95</v>
      </c>
      <c r="J51" s="490">
        <v>283467.73</v>
      </c>
      <c r="K51" s="490">
        <v>245484.97</v>
      </c>
      <c r="L51" s="490">
        <v>23252.38</v>
      </c>
      <c r="M51" s="490">
        <v>462310.29</v>
      </c>
      <c r="N51" s="300">
        <v>3.5999999999999997E-2</v>
      </c>
      <c r="O51" s="492">
        <v>0.2029</v>
      </c>
      <c r="P51" s="490">
        <v>0</v>
      </c>
      <c r="Q51" s="493">
        <v>0</v>
      </c>
      <c r="R51" s="493">
        <v>0</v>
      </c>
      <c r="S51" s="494">
        <v>0</v>
      </c>
      <c r="T51" s="495">
        <v>0</v>
      </c>
      <c r="U51" s="495">
        <v>0</v>
      </c>
      <c r="V51" s="490">
        <v>0</v>
      </c>
      <c r="W51" s="495">
        <v>0</v>
      </c>
      <c r="X51" s="495">
        <v>0</v>
      </c>
      <c r="Y51" s="490">
        <v>885.79</v>
      </c>
      <c r="Z51" s="490">
        <v>0</v>
      </c>
      <c r="AA51" s="490">
        <v>13942.52</v>
      </c>
      <c r="AB51" s="490">
        <v>0</v>
      </c>
      <c r="AC51" s="490">
        <v>474547.09</v>
      </c>
      <c r="AD51" s="490">
        <v>50.78</v>
      </c>
      <c r="AE51" s="490">
        <v>453678.99</v>
      </c>
      <c r="AF51" s="339">
        <v>8934.2061835368258</v>
      </c>
      <c r="AG51" s="339">
        <v>9345.1573454115805</v>
      </c>
      <c r="AH51" s="496">
        <v>410.95</v>
      </c>
      <c r="AI51" s="490">
        <v>0</v>
      </c>
      <c r="AJ51" s="490">
        <v>0</v>
      </c>
      <c r="AK51" s="339">
        <v>0</v>
      </c>
      <c r="AL51" s="339">
        <v>0</v>
      </c>
      <c r="AM51" s="496">
        <v>0</v>
      </c>
      <c r="AN51" s="495">
        <v>0</v>
      </c>
      <c r="AO51" s="495">
        <v>0</v>
      </c>
      <c r="AP51" s="74"/>
      <c r="AQ51" s="303">
        <v>73236.070000000007</v>
      </c>
      <c r="AR51" s="303">
        <v>89785.7</v>
      </c>
      <c r="AS51" s="552">
        <v>32918.01</v>
      </c>
      <c r="AY51" s="67">
        <f t="shared" si="43"/>
        <v>0</v>
      </c>
      <c r="BA51" t="s">
        <v>854</v>
      </c>
      <c r="BB51" t="s">
        <v>123</v>
      </c>
      <c r="BC51" t="s">
        <v>902</v>
      </c>
      <c r="BD51" s="491">
        <v>3.5999999999999997E-2</v>
      </c>
      <c r="BE51" s="492">
        <v>0.2029</v>
      </c>
      <c r="BG51" s="510">
        <f t="shared" si="41"/>
        <v>0</v>
      </c>
      <c r="BH51" s="510">
        <f t="shared" si="42"/>
        <v>0</v>
      </c>
      <c r="BJ51" s="520">
        <f t="shared" si="44"/>
        <v>0</v>
      </c>
      <c r="BK51" s="520">
        <f t="shared" si="45"/>
        <v>0</v>
      </c>
      <c r="CB51" s="74"/>
      <c r="CC51" s="74"/>
      <c r="CD51" s="74"/>
      <c r="CE51" s="74"/>
      <c r="CF51" s="74"/>
    </row>
    <row r="52" spans="1:84">
      <c r="A52" s="283" t="s">
        <v>126</v>
      </c>
      <c r="B52" s="283" t="s">
        <v>125</v>
      </c>
      <c r="C52" s="283" t="str">
        <f t="shared" si="47"/>
        <v>33115 COLVILLE SCHOOL DISTRICT</v>
      </c>
      <c r="D52" s="490">
        <v>0</v>
      </c>
      <c r="E52" s="490">
        <v>0</v>
      </c>
      <c r="F52" s="490">
        <v>0</v>
      </c>
      <c r="G52" s="490">
        <v>3104122.58</v>
      </c>
      <c r="H52" s="490">
        <v>591130.31999999995</v>
      </c>
      <c r="I52" s="490">
        <v>370524.74</v>
      </c>
      <c r="J52" s="490">
        <v>699342.61</v>
      </c>
      <c r="K52" s="490">
        <v>20382.89</v>
      </c>
      <c r="L52" s="490">
        <v>50628.69</v>
      </c>
      <c r="M52" s="490">
        <v>1676750.88</v>
      </c>
      <c r="N52" s="300">
        <v>3.5700000000000003E-2</v>
      </c>
      <c r="O52" s="492">
        <v>0.19059999999999999</v>
      </c>
      <c r="P52" s="490">
        <v>0</v>
      </c>
      <c r="Q52" s="493">
        <v>0</v>
      </c>
      <c r="R52" s="493">
        <v>0</v>
      </c>
      <c r="S52" s="494">
        <v>0</v>
      </c>
      <c r="T52" s="495">
        <v>0</v>
      </c>
      <c r="U52" s="495">
        <v>0</v>
      </c>
      <c r="V52" s="490">
        <v>0</v>
      </c>
      <c r="W52" s="495">
        <v>0</v>
      </c>
      <c r="X52" s="495">
        <v>0</v>
      </c>
      <c r="Y52" s="490">
        <v>1932.63</v>
      </c>
      <c r="Z52" s="490">
        <v>0</v>
      </c>
      <c r="AA52" s="490">
        <v>0</v>
      </c>
      <c r="AB52" s="490">
        <v>151338.20000000001</v>
      </c>
      <c r="AC52" s="490">
        <v>874532.04</v>
      </c>
      <c r="AD52" s="490">
        <v>89.82</v>
      </c>
      <c r="AE52" s="490">
        <v>810197.23</v>
      </c>
      <c r="AF52" s="339">
        <v>9020.2319082609665</v>
      </c>
      <c r="AG52" s="339">
        <v>9736.4956579826339</v>
      </c>
      <c r="AH52" s="496">
        <v>716.26</v>
      </c>
      <c r="AI52" s="490">
        <v>16.18</v>
      </c>
      <c r="AJ52" s="490">
        <v>142413.81</v>
      </c>
      <c r="AK52" s="339">
        <v>8801.8423980222506</v>
      </c>
      <c r="AL52" s="339">
        <v>9353.4116192830661</v>
      </c>
      <c r="AM52" s="496">
        <v>551.57000000000005</v>
      </c>
      <c r="AN52" s="495">
        <v>0</v>
      </c>
      <c r="AO52" s="495">
        <v>0</v>
      </c>
      <c r="AP52" s="74"/>
      <c r="AQ52" s="303">
        <v>0</v>
      </c>
      <c r="AR52" s="303">
        <v>179720.37</v>
      </c>
      <c r="AS52" s="552">
        <v>58421.2</v>
      </c>
      <c r="AY52" s="67">
        <f t="shared" si="43"/>
        <v>0</v>
      </c>
      <c r="BA52" t="s">
        <v>848</v>
      </c>
      <c r="BB52" t="s">
        <v>125</v>
      </c>
      <c r="BC52" t="s">
        <v>903</v>
      </c>
      <c r="BD52" s="491">
        <v>3.5700000000000003E-2</v>
      </c>
      <c r="BE52" s="492">
        <v>0.19059999999999999</v>
      </c>
      <c r="BG52" s="510">
        <f t="shared" si="41"/>
        <v>0</v>
      </c>
      <c r="BH52" s="510">
        <f t="shared" si="42"/>
        <v>0</v>
      </c>
      <c r="BJ52" s="520">
        <f t="shared" si="44"/>
        <v>0</v>
      </c>
      <c r="BK52" s="520">
        <f t="shared" si="45"/>
        <v>0</v>
      </c>
      <c r="CB52" s="74"/>
      <c r="CC52" s="74"/>
      <c r="CD52" s="74"/>
      <c r="CE52" s="74"/>
      <c r="CF52" s="74"/>
    </row>
    <row r="53" spans="1:84">
      <c r="A53" s="283" t="s">
        <v>128</v>
      </c>
      <c r="B53" s="283" t="s">
        <v>127</v>
      </c>
      <c r="C53" s="283" t="str">
        <f t="shared" si="47"/>
        <v>29011 CONCRETE SCHOOL DISTRICT</v>
      </c>
      <c r="D53" s="490">
        <v>0</v>
      </c>
      <c r="E53" s="490">
        <v>17360.68</v>
      </c>
      <c r="F53" s="490">
        <v>12366.79</v>
      </c>
      <c r="G53" s="490">
        <v>972455.37</v>
      </c>
      <c r="H53" s="490">
        <v>218134.98</v>
      </c>
      <c r="I53" s="490">
        <v>160878</v>
      </c>
      <c r="J53" s="490">
        <v>235379.29</v>
      </c>
      <c r="K53" s="490">
        <v>24656.01</v>
      </c>
      <c r="L53" s="490">
        <v>16244.65</v>
      </c>
      <c r="M53" s="490">
        <v>833190.51</v>
      </c>
      <c r="N53" s="300">
        <v>5.8900000000000001E-2</v>
      </c>
      <c r="O53" s="492">
        <v>0.23150000000000001</v>
      </c>
      <c r="P53" s="490">
        <v>0</v>
      </c>
      <c r="Q53" s="493">
        <v>0</v>
      </c>
      <c r="R53" s="493">
        <v>0</v>
      </c>
      <c r="S53" s="494">
        <v>0</v>
      </c>
      <c r="T53" s="495">
        <v>0</v>
      </c>
      <c r="U53" s="495">
        <v>0</v>
      </c>
      <c r="V53" s="490">
        <v>0</v>
      </c>
      <c r="W53" s="495">
        <v>0</v>
      </c>
      <c r="X53" s="495">
        <v>0</v>
      </c>
      <c r="Y53" s="490">
        <v>0</v>
      </c>
      <c r="Z53" s="490">
        <v>3218.44</v>
      </c>
      <c r="AA53" s="490">
        <v>0</v>
      </c>
      <c r="AB53" s="490">
        <v>28762.13</v>
      </c>
      <c r="AC53" s="490">
        <v>240495.04</v>
      </c>
      <c r="AD53" s="490">
        <v>22.92</v>
      </c>
      <c r="AE53" s="490">
        <v>215406.84</v>
      </c>
      <c r="AF53" s="339">
        <v>9398.2041884816754</v>
      </c>
      <c r="AG53" s="339">
        <v>10492.802792321116</v>
      </c>
      <c r="AH53" s="496">
        <v>1094.5999999999999</v>
      </c>
      <c r="AI53" s="490">
        <v>2.95</v>
      </c>
      <c r="AJ53" s="490">
        <v>27143.439999999999</v>
      </c>
      <c r="AK53" s="339">
        <v>9201.1661016949147</v>
      </c>
      <c r="AL53" s="339">
        <v>9749.874576271186</v>
      </c>
      <c r="AM53" s="496">
        <v>548.71</v>
      </c>
      <c r="AN53" s="495">
        <v>3030.4</v>
      </c>
      <c r="AO53" s="495">
        <v>0</v>
      </c>
      <c r="AP53" s="74"/>
      <c r="AQ53" s="303">
        <v>14452.320000000043</v>
      </c>
      <c r="AR53" s="303">
        <v>66578.149999999994</v>
      </c>
      <c r="AS53" s="552">
        <v>24523.46</v>
      </c>
      <c r="AY53" s="67">
        <f t="shared" si="43"/>
        <v>0</v>
      </c>
      <c r="BA53" t="s">
        <v>850</v>
      </c>
      <c r="BB53" t="s">
        <v>127</v>
      </c>
      <c r="BC53" t="s">
        <v>904</v>
      </c>
      <c r="BD53" s="491">
        <v>5.8900000000000001E-2</v>
      </c>
      <c r="BE53" s="492">
        <v>0.23150000000000001</v>
      </c>
      <c r="BG53" s="510">
        <f t="shared" si="41"/>
        <v>0</v>
      </c>
      <c r="BH53" s="510">
        <f t="shared" si="42"/>
        <v>0</v>
      </c>
      <c r="BJ53" s="520">
        <f t="shared" si="44"/>
        <v>0</v>
      </c>
      <c r="BK53" s="520">
        <f t="shared" si="45"/>
        <v>0</v>
      </c>
      <c r="CB53" s="74"/>
      <c r="CC53" s="74"/>
      <c r="CD53" s="74"/>
      <c r="CE53" s="74"/>
      <c r="CF53" s="74"/>
    </row>
    <row r="54" spans="1:84">
      <c r="A54" s="283" t="s">
        <v>130</v>
      </c>
      <c r="B54" s="283" t="s">
        <v>129</v>
      </c>
      <c r="C54" s="283" t="str">
        <f t="shared" si="47"/>
        <v>29317 CONWAY SCHOOL DISTRICT</v>
      </c>
      <c r="D54" s="490">
        <v>0</v>
      </c>
      <c r="E54" s="490">
        <v>0</v>
      </c>
      <c r="F54" s="490">
        <v>0</v>
      </c>
      <c r="G54" s="490">
        <v>555041.99</v>
      </c>
      <c r="H54" s="490">
        <v>67350.38</v>
      </c>
      <c r="I54" s="490">
        <v>0</v>
      </c>
      <c r="J54" s="490">
        <v>89586.01</v>
      </c>
      <c r="K54" s="490">
        <v>53717.87</v>
      </c>
      <c r="L54" s="490">
        <v>14319.56</v>
      </c>
      <c r="M54" s="490">
        <v>294212.07</v>
      </c>
      <c r="N54" s="300">
        <v>1.7399999999999999E-2</v>
      </c>
      <c r="O54" s="492">
        <v>0.18820000000000001</v>
      </c>
      <c r="P54" s="490">
        <v>0</v>
      </c>
      <c r="Q54" s="493">
        <v>0</v>
      </c>
      <c r="R54" s="493">
        <v>0</v>
      </c>
      <c r="S54" s="494">
        <v>0</v>
      </c>
      <c r="T54" s="495">
        <v>0</v>
      </c>
      <c r="U54" s="495">
        <v>0</v>
      </c>
      <c r="V54" s="490">
        <v>0</v>
      </c>
      <c r="W54" s="495">
        <v>0</v>
      </c>
      <c r="X54" s="495">
        <v>0</v>
      </c>
      <c r="Y54" s="490">
        <v>494.34</v>
      </c>
      <c r="Z54" s="490">
        <v>0</v>
      </c>
      <c r="AA54" s="490">
        <v>0</v>
      </c>
      <c r="AB54" s="490">
        <v>0</v>
      </c>
      <c r="AC54" s="490">
        <v>0</v>
      </c>
      <c r="AD54" s="490">
        <v>0</v>
      </c>
      <c r="AE54" s="490">
        <v>0</v>
      </c>
      <c r="AF54" s="339">
        <v>0</v>
      </c>
      <c r="AG54" s="339">
        <v>0</v>
      </c>
      <c r="AH54" s="496">
        <v>0</v>
      </c>
      <c r="AI54" s="490">
        <v>0</v>
      </c>
      <c r="AJ54" s="490">
        <v>0</v>
      </c>
      <c r="AK54" s="339">
        <v>0</v>
      </c>
      <c r="AL54" s="339">
        <v>0</v>
      </c>
      <c r="AM54" s="496">
        <v>0</v>
      </c>
      <c r="AN54" s="495">
        <v>0</v>
      </c>
      <c r="AO54" s="495">
        <v>0</v>
      </c>
      <c r="AP54" s="74"/>
      <c r="AQ54" s="303">
        <v>818.16000000000349</v>
      </c>
      <c r="AR54" s="303">
        <v>50003.39</v>
      </c>
      <c r="AS54" s="552">
        <v>8351.16</v>
      </c>
      <c r="AY54" s="67">
        <f t="shared" si="43"/>
        <v>0</v>
      </c>
      <c r="BA54" t="s">
        <v>850</v>
      </c>
      <c r="BB54" t="s">
        <v>129</v>
      </c>
      <c r="BC54" t="s">
        <v>905</v>
      </c>
      <c r="BD54" s="491">
        <v>1.7399999999999999E-2</v>
      </c>
      <c r="BE54" s="492">
        <v>0.18820000000000001</v>
      </c>
      <c r="BG54" s="510">
        <f t="shared" si="41"/>
        <v>0</v>
      </c>
      <c r="BH54" s="510">
        <f t="shared" si="42"/>
        <v>0</v>
      </c>
      <c r="BJ54" s="520">
        <f t="shared" si="44"/>
        <v>0</v>
      </c>
      <c r="BK54" s="520">
        <f t="shared" si="45"/>
        <v>0</v>
      </c>
      <c r="CB54" s="74"/>
      <c r="CC54" s="74"/>
      <c r="CD54" s="74"/>
      <c r="CE54" s="74"/>
      <c r="CF54" s="74"/>
    </row>
    <row r="55" spans="1:84">
      <c r="A55" s="283" t="s">
        <v>132</v>
      </c>
      <c r="B55" s="283" t="s">
        <v>131</v>
      </c>
      <c r="C55" s="283" t="str">
        <f t="shared" si="47"/>
        <v>14099 COSMOPOLIS SCHOOL DISTRICT</v>
      </c>
      <c r="D55" s="490">
        <v>0</v>
      </c>
      <c r="E55" s="490">
        <v>0</v>
      </c>
      <c r="F55" s="490">
        <v>0</v>
      </c>
      <c r="G55" s="490">
        <v>244816.91</v>
      </c>
      <c r="H55" s="490">
        <v>52270.33</v>
      </c>
      <c r="I55" s="490">
        <v>0</v>
      </c>
      <c r="J55" s="490">
        <v>47894.85</v>
      </c>
      <c r="K55" s="490">
        <v>1122.83</v>
      </c>
      <c r="L55" s="490">
        <v>5090.7700000000004</v>
      </c>
      <c r="M55" s="490">
        <v>65955.62</v>
      </c>
      <c r="N55" s="300">
        <v>5.8200000000000002E-2</v>
      </c>
      <c r="O55" s="492">
        <v>0.27679999999999999</v>
      </c>
      <c r="P55" s="490">
        <v>0</v>
      </c>
      <c r="Q55" s="493">
        <v>0</v>
      </c>
      <c r="R55" s="493">
        <v>0</v>
      </c>
      <c r="S55" s="494">
        <v>0</v>
      </c>
      <c r="T55" s="495">
        <v>0</v>
      </c>
      <c r="U55" s="495">
        <v>0</v>
      </c>
      <c r="V55" s="490">
        <v>0</v>
      </c>
      <c r="W55" s="495">
        <v>0</v>
      </c>
      <c r="X55" s="495">
        <v>0</v>
      </c>
      <c r="Y55" s="490">
        <v>0</v>
      </c>
      <c r="Z55" s="490">
        <v>0</v>
      </c>
      <c r="AA55" s="490">
        <v>0</v>
      </c>
      <c r="AB55" s="490">
        <v>0</v>
      </c>
      <c r="AC55" s="490">
        <v>0</v>
      </c>
      <c r="AD55" s="490">
        <v>0</v>
      </c>
      <c r="AE55" s="490">
        <v>0</v>
      </c>
      <c r="AF55" s="339">
        <v>0</v>
      </c>
      <c r="AG55" s="339">
        <v>0</v>
      </c>
      <c r="AH55" s="496">
        <v>0</v>
      </c>
      <c r="AI55" s="490">
        <v>0</v>
      </c>
      <c r="AJ55" s="490">
        <v>0</v>
      </c>
      <c r="AK55" s="339">
        <v>0</v>
      </c>
      <c r="AL55" s="339">
        <v>0</v>
      </c>
      <c r="AM55" s="496">
        <v>0</v>
      </c>
      <c r="AN55" s="495">
        <v>5691.84</v>
      </c>
      <c r="AO55" s="495">
        <v>0</v>
      </c>
      <c r="AP55" s="74"/>
      <c r="AQ55" s="303">
        <v>24336.35</v>
      </c>
      <c r="AR55" s="303">
        <v>19691.149999999998</v>
      </c>
      <c r="AS55" s="552">
        <v>15199.4</v>
      </c>
      <c r="AY55" s="67">
        <f t="shared" si="43"/>
        <v>0</v>
      </c>
      <c r="BA55" t="s">
        <v>845</v>
      </c>
      <c r="BB55" t="s">
        <v>131</v>
      </c>
      <c r="BC55" t="s">
        <v>906</v>
      </c>
      <c r="BD55" s="491">
        <v>5.8200000000000002E-2</v>
      </c>
      <c r="BE55" s="492">
        <v>0.27679999999999999</v>
      </c>
      <c r="BG55" s="510">
        <f t="shared" si="41"/>
        <v>0</v>
      </c>
      <c r="BH55" s="510">
        <f t="shared" si="42"/>
        <v>0</v>
      </c>
      <c r="BJ55" s="520">
        <f t="shared" si="44"/>
        <v>0</v>
      </c>
      <c r="BK55" s="520">
        <f t="shared" si="45"/>
        <v>0</v>
      </c>
      <c r="CB55" s="74"/>
      <c r="CC55" s="74"/>
      <c r="CD55" s="74"/>
      <c r="CE55" s="74"/>
      <c r="CF55" s="74"/>
    </row>
    <row r="56" spans="1:84">
      <c r="A56" s="283" t="s">
        <v>907</v>
      </c>
      <c r="B56" s="283" t="s">
        <v>133</v>
      </c>
      <c r="C56" s="283" t="str">
        <f t="shared" si="47"/>
        <v>13151 COULEE/HARTLINE SCHOOL DISTRICT</v>
      </c>
      <c r="D56" s="490">
        <v>0</v>
      </c>
      <c r="E56" s="490">
        <v>0</v>
      </c>
      <c r="F56" s="490">
        <v>0</v>
      </c>
      <c r="G56" s="490">
        <v>314577.94</v>
      </c>
      <c r="H56" s="490">
        <v>57134.559999999998</v>
      </c>
      <c r="I56" s="490">
        <v>0</v>
      </c>
      <c r="J56" s="490">
        <v>60258.16</v>
      </c>
      <c r="K56" s="490">
        <v>0</v>
      </c>
      <c r="L56" s="490">
        <v>6025.82</v>
      </c>
      <c r="M56" s="490">
        <v>427318.55</v>
      </c>
      <c r="N56" s="300">
        <v>2.52E-2</v>
      </c>
      <c r="O56" s="492">
        <v>0.19689999999999999</v>
      </c>
      <c r="P56" s="490">
        <v>0</v>
      </c>
      <c r="Q56" s="493">
        <v>0</v>
      </c>
      <c r="R56" s="493">
        <v>0</v>
      </c>
      <c r="S56" s="494">
        <v>0</v>
      </c>
      <c r="T56" s="495">
        <v>0</v>
      </c>
      <c r="U56" s="495">
        <v>0</v>
      </c>
      <c r="V56" s="490">
        <v>0</v>
      </c>
      <c r="W56" s="495">
        <v>0</v>
      </c>
      <c r="X56" s="495">
        <v>0</v>
      </c>
      <c r="Y56" s="490">
        <v>202.43</v>
      </c>
      <c r="Z56" s="490">
        <v>0</v>
      </c>
      <c r="AA56" s="490">
        <v>0</v>
      </c>
      <c r="AB56" s="490">
        <v>0</v>
      </c>
      <c r="AC56" s="490">
        <v>161423.17000000001</v>
      </c>
      <c r="AD56" s="490">
        <v>17.57</v>
      </c>
      <c r="AE56" s="490">
        <v>155415.84</v>
      </c>
      <c r="AF56" s="339">
        <v>8845.5230506545249</v>
      </c>
      <c r="AG56" s="339">
        <v>9187.4314171883907</v>
      </c>
      <c r="AH56" s="496">
        <v>341.91</v>
      </c>
      <c r="AI56" s="490">
        <v>0</v>
      </c>
      <c r="AJ56" s="490">
        <v>0</v>
      </c>
      <c r="AK56" s="339">
        <v>0</v>
      </c>
      <c r="AL56" s="339">
        <v>0</v>
      </c>
      <c r="AM56" s="496">
        <v>0</v>
      </c>
      <c r="AN56" s="495">
        <v>546.41</v>
      </c>
      <c r="AO56" s="495">
        <v>0</v>
      </c>
      <c r="AP56" s="74"/>
      <c r="AQ56" s="303">
        <v>0</v>
      </c>
      <c r="AR56" s="303">
        <v>27656.36</v>
      </c>
      <c r="AS56" s="552">
        <v>15344.630000000001</v>
      </c>
      <c r="AY56" s="67">
        <f t="shared" si="43"/>
        <v>0</v>
      </c>
      <c r="BA56" t="s">
        <v>871</v>
      </c>
      <c r="BB56" t="s">
        <v>133</v>
      </c>
      <c r="BC56" t="s">
        <v>908</v>
      </c>
      <c r="BD56" s="491">
        <v>2.52E-2</v>
      </c>
      <c r="BE56" s="492">
        <v>0.19689999999999999</v>
      </c>
      <c r="BG56" s="510">
        <f t="shared" si="41"/>
        <v>0</v>
      </c>
      <c r="BH56" s="510">
        <f t="shared" si="42"/>
        <v>0</v>
      </c>
      <c r="BJ56" s="520">
        <f t="shared" si="44"/>
        <v>0</v>
      </c>
      <c r="BK56" s="520">
        <f t="shared" si="45"/>
        <v>0</v>
      </c>
      <c r="CB56" s="74"/>
      <c r="CC56" s="74"/>
      <c r="CD56" s="74"/>
      <c r="CE56" s="74"/>
      <c r="CF56" s="74"/>
    </row>
    <row r="57" spans="1:84">
      <c r="A57" s="283" t="s">
        <v>136</v>
      </c>
      <c r="B57" s="283" t="s">
        <v>135</v>
      </c>
      <c r="C57" s="283" t="str">
        <f t="shared" si="47"/>
        <v>15204 COUPEVILLE SCHOOL DISTRICT</v>
      </c>
      <c r="D57" s="490">
        <v>0</v>
      </c>
      <c r="E57" s="490">
        <v>18918.79</v>
      </c>
      <c r="F57" s="490">
        <v>0</v>
      </c>
      <c r="G57" s="490">
        <v>2247967.2799999998</v>
      </c>
      <c r="H57" s="490">
        <v>325422.75</v>
      </c>
      <c r="I57" s="490">
        <v>18880.16</v>
      </c>
      <c r="J57" s="490">
        <v>310823.38</v>
      </c>
      <c r="K57" s="490">
        <v>62061.53</v>
      </c>
      <c r="L57" s="490">
        <v>33797.82</v>
      </c>
      <c r="M57" s="490">
        <v>705405.26</v>
      </c>
      <c r="N57" s="300">
        <v>5.6500000000000002E-2</v>
      </c>
      <c r="O57" s="492">
        <v>0.23669999999999999</v>
      </c>
      <c r="P57" s="490">
        <v>0</v>
      </c>
      <c r="Q57" s="493">
        <v>0</v>
      </c>
      <c r="R57" s="493">
        <v>0</v>
      </c>
      <c r="S57" s="494">
        <v>149699.93</v>
      </c>
      <c r="T57" s="495">
        <v>0</v>
      </c>
      <c r="U57" s="495">
        <v>6330.98</v>
      </c>
      <c r="V57" s="490">
        <v>0</v>
      </c>
      <c r="W57" s="495">
        <v>0</v>
      </c>
      <c r="X57" s="495">
        <v>0</v>
      </c>
      <c r="Y57" s="490">
        <v>1153.0899999999999</v>
      </c>
      <c r="Z57" s="490">
        <v>0</v>
      </c>
      <c r="AA57" s="490">
        <v>0</v>
      </c>
      <c r="AB57" s="490">
        <v>28228.78</v>
      </c>
      <c r="AC57" s="490">
        <v>300066.03999999998</v>
      </c>
      <c r="AD57" s="490">
        <v>29.09</v>
      </c>
      <c r="AE57" s="490">
        <v>281190.64</v>
      </c>
      <c r="AF57" s="339">
        <v>9666.2303196974917</v>
      </c>
      <c r="AG57" s="339">
        <v>10315.092471639739</v>
      </c>
      <c r="AH57" s="496">
        <v>648.86</v>
      </c>
      <c r="AI57" s="490">
        <v>2.81</v>
      </c>
      <c r="AJ57" s="490">
        <v>26630.75</v>
      </c>
      <c r="AK57" s="339">
        <v>9477.1352313167263</v>
      </c>
      <c r="AL57" s="339">
        <v>10045.829181494661</v>
      </c>
      <c r="AM57" s="496">
        <v>568.69000000000005</v>
      </c>
      <c r="AN57" s="495">
        <v>0</v>
      </c>
      <c r="AO57" s="495">
        <v>0</v>
      </c>
      <c r="AP57" s="74"/>
      <c r="AQ57" s="303">
        <v>54338.019999999946</v>
      </c>
      <c r="AR57" s="303">
        <v>114451.16</v>
      </c>
      <c r="AS57" s="552">
        <v>37797.9</v>
      </c>
      <c r="AY57" s="67">
        <f t="shared" si="43"/>
        <v>0</v>
      </c>
      <c r="BA57" t="s">
        <v>850</v>
      </c>
      <c r="BB57" t="s">
        <v>135</v>
      </c>
      <c r="BC57" t="s">
        <v>909</v>
      </c>
      <c r="BD57" s="491">
        <v>5.6500000000000002E-2</v>
      </c>
      <c r="BE57" s="492">
        <v>0.23669999999999999</v>
      </c>
      <c r="BG57" s="510">
        <f t="shared" si="41"/>
        <v>0</v>
      </c>
      <c r="BH57" s="510">
        <f t="shared" si="42"/>
        <v>0</v>
      </c>
      <c r="BJ57" s="520">
        <f t="shared" si="44"/>
        <v>0</v>
      </c>
      <c r="BK57" s="520">
        <f t="shared" si="45"/>
        <v>0</v>
      </c>
      <c r="CB57" s="74"/>
      <c r="CC57" s="74"/>
      <c r="CD57" s="74"/>
      <c r="CE57" s="74"/>
      <c r="CF57" s="74"/>
    </row>
    <row r="58" spans="1:84">
      <c r="A58" s="283" t="s">
        <v>138</v>
      </c>
      <c r="B58" s="283" t="s">
        <v>137</v>
      </c>
      <c r="C58" s="283" t="str">
        <f t="shared" si="47"/>
        <v>05313 CRESCENT SCHOOL DISTRICT</v>
      </c>
      <c r="D58" s="490">
        <v>0</v>
      </c>
      <c r="E58" s="490">
        <v>0</v>
      </c>
      <c r="F58" s="490">
        <v>0</v>
      </c>
      <c r="G58" s="490">
        <v>373318.27</v>
      </c>
      <c r="H58" s="490">
        <v>42701.5</v>
      </c>
      <c r="I58" s="490">
        <v>65764.52</v>
      </c>
      <c r="J58" s="490">
        <v>120100.75</v>
      </c>
      <c r="K58" s="490">
        <v>0</v>
      </c>
      <c r="L58" s="490">
        <v>10701.03</v>
      </c>
      <c r="M58" s="490">
        <v>216223.64</v>
      </c>
      <c r="N58" s="300">
        <v>9.1800000000000007E-2</v>
      </c>
      <c r="O58" s="492">
        <v>0.21410000000000001</v>
      </c>
      <c r="P58" s="490">
        <v>0</v>
      </c>
      <c r="Q58" s="493">
        <v>0</v>
      </c>
      <c r="R58" s="493">
        <v>0</v>
      </c>
      <c r="S58" s="494">
        <v>0</v>
      </c>
      <c r="T58" s="495">
        <v>0</v>
      </c>
      <c r="U58" s="495">
        <v>0</v>
      </c>
      <c r="V58" s="490">
        <v>0</v>
      </c>
      <c r="W58" s="495">
        <v>0</v>
      </c>
      <c r="X58" s="495">
        <v>0</v>
      </c>
      <c r="Y58" s="490">
        <v>404.87</v>
      </c>
      <c r="Z58" s="490">
        <v>0</v>
      </c>
      <c r="AA58" s="490">
        <v>5413.39</v>
      </c>
      <c r="AB58" s="490">
        <v>0</v>
      </c>
      <c r="AC58" s="490">
        <v>76202.350000000006</v>
      </c>
      <c r="AD58" s="490">
        <v>3.71</v>
      </c>
      <c r="AE58" s="490">
        <v>32816.910000000003</v>
      </c>
      <c r="AF58" s="339">
        <v>8845.528301886794</v>
      </c>
      <c r="AG58" s="339">
        <v>20539.716981132078</v>
      </c>
      <c r="AH58" s="496">
        <v>11694.19</v>
      </c>
      <c r="AI58" s="490">
        <v>0</v>
      </c>
      <c r="AJ58" s="490">
        <v>0</v>
      </c>
      <c r="AK58" s="339">
        <v>0</v>
      </c>
      <c r="AL58" s="339">
        <v>0</v>
      </c>
      <c r="AM58" s="496">
        <v>0</v>
      </c>
      <c r="AN58" s="495">
        <v>0</v>
      </c>
      <c r="AO58" s="495">
        <v>0</v>
      </c>
      <c r="AP58" s="74"/>
      <c r="AQ58" s="303">
        <v>0</v>
      </c>
      <c r="AR58" s="303">
        <v>31253.759999999998</v>
      </c>
      <c r="AS58" s="552">
        <v>16303.18</v>
      </c>
      <c r="AY58" s="67">
        <f t="shared" si="43"/>
        <v>0</v>
      </c>
      <c r="BA58" t="s">
        <v>869</v>
      </c>
      <c r="BB58" t="s">
        <v>137</v>
      </c>
      <c r="BC58" t="s">
        <v>910</v>
      </c>
      <c r="BD58" s="491">
        <v>9.1800000000000007E-2</v>
      </c>
      <c r="BE58" s="492">
        <v>0.21410000000000001</v>
      </c>
      <c r="BG58" s="510">
        <f t="shared" si="41"/>
        <v>0</v>
      </c>
      <c r="BH58" s="510">
        <f t="shared" si="42"/>
        <v>0</v>
      </c>
      <c r="BJ58" s="520">
        <f t="shared" si="44"/>
        <v>0</v>
      </c>
      <c r="BK58" s="520">
        <f t="shared" si="45"/>
        <v>0</v>
      </c>
      <c r="CB58" s="74"/>
      <c r="CC58" s="74"/>
      <c r="CD58" s="74"/>
      <c r="CE58" s="74"/>
      <c r="CF58" s="74"/>
    </row>
    <row r="59" spans="1:84">
      <c r="A59" s="283" t="s">
        <v>140</v>
      </c>
      <c r="B59" s="283" t="s">
        <v>139</v>
      </c>
      <c r="C59" s="283" t="str">
        <f t="shared" si="47"/>
        <v>22073 CRESTON SCHOOL DISTRICT</v>
      </c>
      <c r="D59" s="490">
        <v>0</v>
      </c>
      <c r="E59" s="490">
        <v>0</v>
      </c>
      <c r="F59" s="490">
        <v>0</v>
      </c>
      <c r="G59" s="490">
        <v>141034.32999999999</v>
      </c>
      <c r="H59" s="490">
        <v>21775.57</v>
      </c>
      <c r="I59" s="490">
        <v>13951.43</v>
      </c>
      <c r="J59" s="490">
        <v>32553.33</v>
      </c>
      <c r="K59" s="490">
        <v>0</v>
      </c>
      <c r="L59" s="490">
        <v>2642.3</v>
      </c>
      <c r="M59" s="490">
        <v>622953.91</v>
      </c>
      <c r="N59" s="300">
        <v>7.1400000000000005E-2</v>
      </c>
      <c r="O59" s="492">
        <v>0.26800000000000002</v>
      </c>
      <c r="P59" s="490">
        <v>0</v>
      </c>
      <c r="Q59" s="493">
        <v>0</v>
      </c>
      <c r="R59" s="493">
        <v>0</v>
      </c>
      <c r="S59" s="494">
        <v>0</v>
      </c>
      <c r="T59" s="495">
        <v>0</v>
      </c>
      <c r="U59" s="495">
        <v>0</v>
      </c>
      <c r="V59" s="490">
        <v>0</v>
      </c>
      <c r="W59" s="495">
        <v>0</v>
      </c>
      <c r="X59" s="495">
        <v>0</v>
      </c>
      <c r="Y59" s="490">
        <v>0</v>
      </c>
      <c r="Z59" s="490">
        <v>0</v>
      </c>
      <c r="AA59" s="490">
        <v>1605.95</v>
      </c>
      <c r="AB59" s="490">
        <v>10648.13</v>
      </c>
      <c r="AC59" s="490">
        <v>60539.02</v>
      </c>
      <c r="AD59" s="490">
        <v>5.7</v>
      </c>
      <c r="AE59" s="490">
        <v>50884.5</v>
      </c>
      <c r="AF59" s="339">
        <v>8927.105263157895</v>
      </c>
      <c r="AG59" s="339">
        <v>10620.880701754386</v>
      </c>
      <c r="AH59" s="496">
        <v>1693.78</v>
      </c>
      <c r="AI59" s="490">
        <v>1.1499999999999999</v>
      </c>
      <c r="AJ59" s="490">
        <v>9996.84</v>
      </c>
      <c r="AK59" s="339">
        <v>8692.9043478260883</v>
      </c>
      <c r="AL59" s="339">
        <v>9259.2434782608689</v>
      </c>
      <c r="AM59" s="496">
        <v>566.34</v>
      </c>
      <c r="AN59" s="495">
        <v>1382.35</v>
      </c>
      <c r="AO59" s="495">
        <v>0</v>
      </c>
      <c r="AP59" s="74"/>
      <c r="AQ59" s="303">
        <v>20174.099999999995</v>
      </c>
      <c r="AR59" s="303">
        <v>20553.490000000002</v>
      </c>
      <c r="AS59" s="552">
        <v>12875.66</v>
      </c>
      <c r="AY59" s="67">
        <f t="shared" si="43"/>
        <v>0</v>
      </c>
      <c r="BA59" t="s">
        <v>848</v>
      </c>
      <c r="BB59" t="s">
        <v>139</v>
      </c>
      <c r="BC59" t="s">
        <v>911</v>
      </c>
      <c r="BD59" s="491">
        <v>7.1400000000000005E-2</v>
      </c>
      <c r="BE59" s="492">
        <v>0.26800000000000002</v>
      </c>
      <c r="BG59" s="510">
        <f t="shared" si="41"/>
        <v>0</v>
      </c>
      <c r="BH59" s="510">
        <f t="shared" si="42"/>
        <v>0</v>
      </c>
      <c r="BJ59" s="520">
        <f t="shared" si="44"/>
        <v>0</v>
      </c>
      <c r="BK59" s="520">
        <f t="shared" si="45"/>
        <v>0</v>
      </c>
      <c r="CB59" s="74"/>
      <c r="CC59" s="74"/>
      <c r="CD59" s="74"/>
      <c r="CE59" s="74"/>
      <c r="CF59" s="74"/>
    </row>
    <row r="60" spans="1:84">
      <c r="A60" s="283" t="s">
        <v>142</v>
      </c>
      <c r="B60" s="283" t="s">
        <v>141</v>
      </c>
      <c r="C60" s="283" t="str">
        <f t="shared" si="47"/>
        <v>10050 CURLEW SCHOOL DISTRICT</v>
      </c>
      <c r="D60" s="490">
        <v>0</v>
      </c>
      <c r="E60" s="490">
        <v>0</v>
      </c>
      <c r="F60" s="490">
        <v>0</v>
      </c>
      <c r="G60" s="490">
        <v>468532.25</v>
      </c>
      <c r="H60" s="490">
        <v>38687.120000000003</v>
      </c>
      <c r="I60" s="490">
        <v>60456.2</v>
      </c>
      <c r="J60" s="490">
        <v>95863.25</v>
      </c>
      <c r="K60" s="490">
        <v>0</v>
      </c>
      <c r="L60" s="490">
        <v>8244.0400000000009</v>
      </c>
      <c r="M60" s="490">
        <v>292426.96000000002</v>
      </c>
      <c r="N60" s="300">
        <v>7.7399999999999997E-2</v>
      </c>
      <c r="O60" s="492">
        <v>0.32990000000000003</v>
      </c>
      <c r="P60" s="490">
        <v>0</v>
      </c>
      <c r="Q60" s="493">
        <v>0</v>
      </c>
      <c r="R60" s="493">
        <v>0</v>
      </c>
      <c r="S60" s="494">
        <v>0</v>
      </c>
      <c r="T60" s="495">
        <v>0</v>
      </c>
      <c r="U60" s="495">
        <v>0</v>
      </c>
      <c r="V60" s="490">
        <v>0</v>
      </c>
      <c r="W60" s="495">
        <v>0</v>
      </c>
      <c r="X60" s="495">
        <v>0</v>
      </c>
      <c r="Y60" s="490">
        <v>294.14</v>
      </c>
      <c r="Z60" s="490">
        <v>0</v>
      </c>
      <c r="AA60" s="490">
        <v>0</v>
      </c>
      <c r="AB60" s="490">
        <v>0</v>
      </c>
      <c r="AC60" s="490">
        <v>72229.399999999994</v>
      </c>
      <c r="AD60" s="490">
        <v>6.77</v>
      </c>
      <c r="AE60" s="490">
        <v>60425.96</v>
      </c>
      <c r="AF60" s="339">
        <v>8925.5480059084202</v>
      </c>
      <c r="AG60" s="339">
        <v>10669.03988183161</v>
      </c>
      <c r="AH60" s="496">
        <v>1743.49</v>
      </c>
      <c r="AI60" s="490">
        <v>0</v>
      </c>
      <c r="AJ60" s="490">
        <v>0</v>
      </c>
      <c r="AK60" s="339">
        <v>0</v>
      </c>
      <c r="AL60" s="339">
        <v>0</v>
      </c>
      <c r="AM60" s="496">
        <v>0</v>
      </c>
      <c r="AN60" s="495">
        <v>1609.69</v>
      </c>
      <c r="AO60" s="495">
        <v>0</v>
      </c>
      <c r="AP60" s="74"/>
      <c r="AQ60" s="303">
        <v>26802.379999999997</v>
      </c>
      <c r="AR60" s="303">
        <v>27825.15</v>
      </c>
      <c r="AS60" s="552">
        <v>15402.73</v>
      </c>
      <c r="AY60" s="67">
        <f t="shared" si="43"/>
        <v>0</v>
      </c>
      <c r="BA60" t="s">
        <v>848</v>
      </c>
      <c r="BB60" t="s">
        <v>141</v>
      </c>
      <c r="BC60" t="s">
        <v>912</v>
      </c>
      <c r="BD60" s="491">
        <v>7.7399999999999997E-2</v>
      </c>
      <c r="BE60" s="492">
        <v>0.32990000000000003</v>
      </c>
      <c r="BG60" s="510">
        <f t="shared" si="41"/>
        <v>0</v>
      </c>
      <c r="BH60" s="510">
        <f t="shared" si="42"/>
        <v>0</v>
      </c>
      <c r="BJ60" s="520">
        <f t="shared" si="44"/>
        <v>0</v>
      </c>
      <c r="BK60" s="520">
        <f t="shared" si="45"/>
        <v>0</v>
      </c>
      <c r="CB60" s="74"/>
      <c r="CC60" s="74"/>
      <c r="CD60" s="74"/>
      <c r="CE60" s="74"/>
      <c r="CF60" s="74"/>
    </row>
    <row r="61" spans="1:84">
      <c r="A61" s="283" t="s">
        <v>144</v>
      </c>
      <c r="B61" s="283" t="s">
        <v>143</v>
      </c>
      <c r="C61" s="283" t="str">
        <f t="shared" si="47"/>
        <v>26059 CUSICK SCHOOL DISTRICT</v>
      </c>
      <c r="D61" s="490">
        <v>46796.05</v>
      </c>
      <c r="E61" s="490">
        <v>2383.0700000000002</v>
      </c>
      <c r="F61" s="490">
        <v>7303.51</v>
      </c>
      <c r="G61" s="490">
        <v>541766.24</v>
      </c>
      <c r="H61" s="490">
        <v>84704.13</v>
      </c>
      <c r="I61" s="490">
        <v>76361.649999999994</v>
      </c>
      <c r="J61" s="490">
        <v>168099.51</v>
      </c>
      <c r="K61" s="490">
        <v>0</v>
      </c>
      <c r="L61" s="490">
        <v>10804.93</v>
      </c>
      <c r="M61" s="490">
        <v>293317.37</v>
      </c>
      <c r="N61" s="300">
        <v>3.9199999999999999E-2</v>
      </c>
      <c r="O61" s="492">
        <v>0.22789999999999999</v>
      </c>
      <c r="P61" s="490">
        <v>0</v>
      </c>
      <c r="Q61" s="493">
        <v>0</v>
      </c>
      <c r="R61" s="493">
        <v>0</v>
      </c>
      <c r="S61" s="494">
        <v>0</v>
      </c>
      <c r="T61" s="495">
        <v>0</v>
      </c>
      <c r="U61" s="495">
        <v>0</v>
      </c>
      <c r="V61" s="490">
        <v>0</v>
      </c>
      <c r="W61" s="495">
        <v>0</v>
      </c>
      <c r="X61" s="495">
        <v>0</v>
      </c>
      <c r="Y61" s="490">
        <v>0</v>
      </c>
      <c r="Z61" s="490">
        <v>0</v>
      </c>
      <c r="AA61" s="490">
        <v>3720.99</v>
      </c>
      <c r="AB61" s="490">
        <v>0</v>
      </c>
      <c r="AC61" s="490">
        <v>60863.03</v>
      </c>
      <c r="AD61" s="490">
        <v>6.6</v>
      </c>
      <c r="AE61" s="490">
        <v>58454.26</v>
      </c>
      <c r="AF61" s="339">
        <v>8856.7060606060622</v>
      </c>
      <c r="AG61" s="339">
        <v>9221.6712121212131</v>
      </c>
      <c r="AH61" s="496">
        <v>364.97</v>
      </c>
      <c r="AI61" s="490">
        <v>0</v>
      </c>
      <c r="AJ61" s="490">
        <v>0</v>
      </c>
      <c r="AK61" s="339">
        <v>0</v>
      </c>
      <c r="AL61" s="339">
        <v>0</v>
      </c>
      <c r="AM61" s="496">
        <v>0</v>
      </c>
      <c r="AN61" s="495">
        <v>759.78</v>
      </c>
      <c r="AO61" s="495">
        <v>0</v>
      </c>
      <c r="AP61" s="74"/>
      <c r="AQ61" s="303">
        <v>40443.25</v>
      </c>
      <c r="AR61" s="303">
        <v>36014.229999999996</v>
      </c>
      <c r="AS61" s="552">
        <v>6941.66</v>
      </c>
      <c r="AY61" s="67">
        <f t="shared" si="43"/>
        <v>0</v>
      </c>
      <c r="BA61" t="s">
        <v>848</v>
      </c>
      <c r="BB61" t="s">
        <v>143</v>
      </c>
      <c r="BC61" t="s">
        <v>913</v>
      </c>
      <c r="BD61" s="491">
        <v>3.9199999999999999E-2</v>
      </c>
      <c r="BE61" s="492">
        <v>0.22789999999999999</v>
      </c>
      <c r="BG61" s="510">
        <f t="shared" si="41"/>
        <v>0</v>
      </c>
      <c r="BH61" s="510">
        <f t="shared" si="42"/>
        <v>0</v>
      </c>
      <c r="BJ61" s="520">
        <f t="shared" si="44"/>
        <v>0</v>
      </c>
      <c r="BK61" s="520">
        <f t="shared" si="45"/>
        <v>0</v>
      </c>
      <c r="CB61" s="74"/>
      <c r="CC61" s="74"/>
      <c r="CD61" s="74"/>
      <c r="CE61" s="74"/>
      <c r="CF61" s="74"/>
    </row>
    <row r="62" spans="1:84">
      <c r="A62" s="283" t="s">
        <v>146</v>
      </c>
      <c r="B62" s="283" t="s">
        <v>145</v>
      </c>
      <c r="C62" s="283" t="str">
        <f t="shared" si="47"/>
        <v>19007 DAMMAN SCHOOL DISTRICT</v>
      </c>
      <c r="D62" s="490">
        <v>0</v>
      </c>
      <c r="E62" s="490">
        <v>0</v>
      </c>
      <c r="F62" s="490">
        <v>0</v>
      </c>
      <c r="G62" s="490">
        <v>70602.600000000006</v>
      </c>
      <c r="H62" s="490">
        <v>4905.8100000000004</v>
      </c>
      <c r="I62" s="490">
        <v>0</v>
      </c>
      <c r="J62" s="490">
        <v>0</v>
      </c>
      <c r="K62" s="490">
        <v>0</v>
      </c>
      <c r="L62" s="490">
        <v>0</v>
      </c>
      <c r="M62" s="490">
        <v>0</v>
      </c>
      <c r="N62" s="300">
        <v>2.4199999999999999E-2</v>
      </c>
      <c r="O62" s="492">
        <v>0.28799999999999998</v>
      </c>
      <c r="P62" s="490">
        <v>0</v>
      </c>
      <c r="Q62" s="493">
        <v>0</v>
      </c>
      <c r="R62" s="493">
        <v>0</v>
      </c>
      <c r="S62" s="494">
        <v>0</v>
      </c>
      <c r="T62" s="495">
        <v>0</v>
      </c>
      <c r="U62" s="495">
        <v>0</v>
      </c>
      <c r="V62" s="490">
        <v>0</v>
      </c>
      <c r="W62" s="495">
        <v>0</v>
      </c>
      <c r="X62" s="495">
        <v>0</v>
      </c>
      <c r="Y62" s="490">
        <v>49.21</v>
      </c>
      <c r="Z62" s="490">
        <v>0</v>
      </c>
      <c r="AA62" s="490">
        <v>0</v>
      </c>
      <c r="AB62" s="490">
        <v>0</v>
      </c>
      <c r="AC62" s="490">
        <v>0</v>
      </c>
      <c r="AD62" s="490">
        <v>0</v>
      </c>
      <c r="AE62" s="490">
        <v>0</v>
      </c>
      <c r="AF62" s="339">
        <v>0</v>
      </c>
      <c r="AG62" s="339">
        <v>0</v>
      </c>
      <c r="AH62" s="496">
        <v>0</v>
      </c>
      <c r="AI62" s="490">
        <v>0</v>
      </c>
      <c r="AJ62" s="490">
        <v>0</v>
      </c>
      <c r="AK62" s="339">
        <v>0</v>
      </c>
      <c r="AL62" s="339">
        <v>0</v>
      </c>
      <c r="AM62" s="496">
        <v>0</v>
      </c>
      <c r="AN62" s="495">
        <v>0</v>
      </c>
      <c r="AO62" s="495">
        <v>0</v>
      </c>
      <c r="AP62" s="74"/>
      <c r="AQ62" s="303">
        <v>8106.87</v>
      </c>
      <c r="AR62" s="303">
        <v>4659.82</v>
      </c>
      <c r="AS62" s="552"/>
      <c r="AY62" s="67">
        <f t="shared" si="43"/>
        <v>0</v>
      </c>
      <c r="BA62" t="s">
        <v>865</v>
      </c>
      <c r="BB62" t="s">
        <v>145</v>
      </c>
      <c r="BC62" t="s">
        <v>914</v>
      </c>
      <c r="BD62" s="491">
        <v>2.4199999999999999E-2</v>
      </c>
      <c r="BE62" s="492">
        <v>0.28799999999999998</v>
      </c>
      <c r="BG62" s="510">
        <f t="shared" si="41"/>
        <v>0</v>
      </c>
      <c r="BH62" s="510">
        <f t="shared" si="42"/>
        <v>0</v>
      </c>
      <c r="BJ62" s="520">
        <f t="shared" si="44"/>
        <v>0</v>
      </c>
      <c r="BK62" s="520">
        <f t="shared" si="45"/>
        <v>0</v>
      </c>
      <c r="CB62" s="74"/>
      <c r="CC62" s="74"/>
      <c r="CD62" s="74"/>
      <c r="CE62" s="74"/>
      <c r="CF62" s="74"/>
    </row>
    <row r="63" spans="1:84">
      <c r="A63" s="283" t="s">
        <v>148</v>
      </c>
      <c r="B63" s="283" t="s">
        <v>147</v>
      </c>
      <c r="C63" s="283" t="str">
        <f t="shared" si="47"/>
        <v>31330 DARRINGTON SCHOOL DISTRICT</v>
      </c>
      <c r="D63" s="490">
        <v>0</v>
      </c>
      <c r="E63" s="490">
        <v>6725.34</v>
      </c>
      <c r="F63" s="490">
        <v>0</v>
      </c>
      <c r="G63" s="490">
        <v>816048.8</v>
      </c>
      <c r="H63" s="490">
        <v>103471.22</v>
      </c>
      <c r="I63" s="490">
        <v>102467.2</v>
      </c>
      <c r="J63" s="490">
        <v>164314.72</v>
      </c>
      <c r="K63" s="490">
        <v>0</v>
      </c>
      <c r="L63" s="490">
        <v>13998.87</v>
      </c>
      <c r="M63" s="490">
        <v>377486.42</v>
      </c>
      <c r="N63" s="300">
        <v>4.5100000000000001E-2</v>
      </c>
      <c r="O63" s="492">
        <v>0.24379999999999999</v>
      </c>
      <c r="P63" s="490">
        <v>0</v>
      </c>
      <c r="Q63" s="493">
        <v>0</v>
      </c>
      <c r="R63" s="493">
        <v>0</v>
      </c>
      <c r="S63" s="494">
        <v>0</v>
      </c>
      <c r="T63" s="495">
        <v>0</v>
      </c>
      <c r="U63" s="495">
        <v>0</v>
      </c>
      <c r="V63" s="490">
        <v>0</v>
      </c>
      <c r="W63" s="495">
        <v>0</v>
      </c>
      <c r="X63" s="495">
        <v>0</v>
      </c>
      <c r="Y63" s="490">
        <v>534.61</v>
      </c>
      <c r="Z63" s="490">
        <v>0</v>
      </c>
      <c r="AA63" s="490">
        <v>0</v>
      </c>
      <c r="AB63" s="490">
        <v>0</v>
      </c>
      <c r="AC63" s="490">
        <v>170867.9</v>
      </c>
      <c r="AD63" s="490">
        <v>17.190000000000001</v>
      </c>
      <c r="AE63" s="490">
        <v>164696.85999999999</v>
      </c>
      <c r="AF63" s="339">
        <v>9580.9691681209988</v>
      </c>
      <c r="AG63" s="339">
        <v>9939.9592786503763</v>
      </c>
      <c r="AH63" s="496">
        <v>358.99</v>
      </c>
      <c r="AI63" s="490">
        <v>0</v>
      </c>
      <c r="AJ63" s="490">
        <v>0</v>
      </c>
      <c r="AK63" s="339">
        <v>0</v>
      </c>
      <c r="AL63" s="339">
        <v>0</v>
      </c>
      <c r="AM63" s="496">
        <v>0</v>
      </c>
      <c r="AN63" s="495">
        <v>0</v>
      </c>
      <c r="AO63" s="495">
        <v>0</v>
      </c>
      <c r="AP63" s="74"/>
      <c r="AQ63" s="303">
        <v>0</v>
      </c>
      <c r="AR63" s="303">
        <v>59786.33</v>
      </c>
      <c r="AS63" s="552">
        <v>22751.59</v>
      </c>
      <c r="AY63" s="67">
        <f t="shared" si="43"/>
        <v>0</v>
      </c>
      <c r="BA63" t="s">
        <v>850</v>
      </c>
      <c r="BB63" t="s">
        <v>147</v>
      </c>
      <c r="BC63" t="s">
        <v>915</v>
      </c>
      <c r="BD63" s="491">
        <v>4.5100000000000001E-2</v>
      </c>
      <c r="BE63" s="492">
        <v>0.24379999999999999</v>
      </c>
      <c r="BG63" s="510">
        <f t="shared" si="41"/>
        <v>0</v>
      </c>
      <c r="BH63" s="510">
        <f t="shared" si="42"/>
        <v>0</v>
      </c>
      <c r="BJ63" s="520">
        <f t="shared" si="44"/>
        <v>0</v>
      </c>
      <c r="BK63" s="520">
        <f t="shared" si="45"/>
        <v>0</v>
      </c>
      <c r="CB63" s="74"/>
      <c r="CC63" s="74"/>
      <c r="CD63" s="74"/>
      <c r="CE63" s="74"/>
      <c r="CF63" s="74"/>
    </row>
    <row r="64" spans="1:84">
      <c r="A64" s="283" t="s">
        <v>150</v>
      </c>
      <c r="B64" s="283" t="s">
        <v>149</v>
      </c>
      <c r="C64" s="283" t="str">
        <f t="shared" si="47"/>
        <v>22207 DAVENPORT SCHOOL DISTRICT</v>
      </c>
      <c r="D64" s="490">
        <v>0</v>
      </c>
      <c r="E64" s="490">
        <v>0</v>
      </c>
      <c r="F64" s="490">
        <v>0</v>
      </c>
      <c r="G64" s="490">
        <v>924413</v>
      </c>
      <c r="H64" s="490">
        <v>113124.69</v>
      </c>
      <c r="I64" s="490">
        <v>0</v>
      </c>
      <c r="J64" s="490">
        <v>205812.8</v>
      </c>
      <c r="K64" s="490">
        <v>0</v>
      </c>
      <c r="L64" s="490">
        <v>0</v>
      </c>
      <c r="M64" s="490">
        <v>529201.69999999995</v>
      </c>
      <c r="N64" s="300">
        <v>3.4099999999999998E-2</v>
      </c>
      <c r="O64" s="492">
        <v>0.20369999999999999</v>
      </c>
      <c r="P64" s="490">
        <v>0</v>
      </c>
      <c r="Q64" s="493">
        <v>0</v>
      </c>
      <c r="R64" s="493">
        <v>0</v>
      </c>
      <c r="S64" s="494">
        <v>0</v>
      </c>
      <c r="T64" s="495">
        <v>0</v>
      </c>
      <c r="U64" s="495">
        <v>0</v>
      </c>
      <c r="V64" s="490">
        <v>0</v>
      </c>
      <c r="W64" s="495">
        <v>0</v>
      </c>
      <c r="X64" s="495">
        <v>0</v>
      </c>
      <c r="Y64" s="490">
        <v>0</v>
      </c>
      <c r="Z64" s="490">
        <v>20353.650000000001</v>
      </c>
      <c r="AA64" s="490">
        <v>6591.21</v>
      </c>
      <c r="AB64" s="490">
        <v>258986.69</v>
      </c>
      <c r="AC64" s="490">
        <v>450015.66</v>
      </c>
      <c r="AD64" s="490">
        <v>49.07</v>
      </c>
      <c r="AE64" s="490">
        <v>434178.05</v>
      </c>
      <c r="AF64" s="339">
        <v>8848.1363358467497</v>
      </c>
      <c r="AG64" s="339">
        <v>9170.8917872427137</v>
      </c>
      <c r="AH64" s="496">
        <v>322.76</v>
      </c>
      <c r="AI64" s="490">
        <v>28.26</v>
      </c>
      <c r="AJ64" s="490">
        <v>243884.81</v>
      </c>
      <c r="AK64" s="339">
        <v>8630.0357395612173</v>
      </c>
      <c r="AL64" s="339">
        <v>9164.4263977353148</v>
      </c>
      <c r="AM64" s="496">
        <v>534.39</v>
      </c>
      <c r="AN64" s="495">
        <v>0</v>
      </c>
      <c r="AO64" s="495">
        <v>0</v>
      </c>
      <c r="AP64" s="74"/>
      <c r="AQ64" s="303">
        <v>6718.789999999979</v>
      </c>
      <c r="AR64" s="303">
        <v>65729.919999999998</v>
      </c>
      <c r="AS64" s="552">
        <v>28764.3</v>
      </c>
      <c r="AY64" s="67">
        <f t="shared" si="43"/>
        <v>0</v>
      </c>
      <c r="BA64" t="s">
        <v>848</v>
      </c>
      <c r="BB64" t="s">
        <v>149</v>
      </c>
      <c r="BC64" t="s">
        <v>916</v>
      </c>
      <c r="BD64" s="491">
        <v>3.4099999999999998E-2</v>
      </c>
      <c r="BE64" s="492">
        <v>0.20369999999999999</v>
      </c>
      <c r="BG64" s="510">
        <f t="shared" si="41"/>
        <v>0</v>
      </c>
      <c r="BH64" s="510">
        <f t="shared" si="42"/>
        <v>0</v>
      </c>
      <c r="BJ64" s="520">
        <f t="shared" si="44"/>
        <v>0</v>
      </c>
      <c r="BK64" s="520">
        <f t="shared" si="45"/>
        <v>0</v>
      </c>
      <c r="CB64" s="74"/>
      <c r="CC64" s="74"/>
      <c r="CD64" s="74"/>
      <c r="CE64" s="74"/>
      <c r="CF64" s="74"/>
    </row>
    <row r="65" spans="1:84">
      <c r="A65" s="283" t="s">
        <v>152</v>
      </c>
      <c r="B65" s="283" t="s">
        <v>151</v>
      </c>
      <c r="C65" s="283" t="str">
        <f t="shared" si="47"/>
        <v>07002 DAYTON SCHOOL DISTRICT</v>
      </c>
      <c r="D65" s="490">
        <v>0</v>
      </c>
      <c r="E65" s="490">
        <v>0</v>
      </c>
      <c r="F65" s="490">
        <v>0</v>
      </c>
      <c r="G65" s="490">
        <v>0</v>
      </c>
      <c r="H65" s="490">
        <v>0</v>
      </c>
      <c r="I65" s="490">
        <v>112544.07</v>
      </c>
      <c r="J65" s="490">
        <v>130817.7</v>
      </c>
      <c r="K65" s="490">
        <v>1478.55</v>
      </c>
      <c r="L65" s="490">
        <v>10641.71</v>
      </c>
      <c r="M65" s="490">
        <v>343809.49</v>
      </c>
      <c r="N65" s="300">
        <v>4.7600000000000003E-2</v>
      </c>
      <c r="O65" s="492">
        <v>0.25600000000000001</v>
      </c>
      <c r="P65" s="490">
        <v>0</v>
      </c>
      <c r="Q65" s="493">
        <v>0</v>
      </c>
      <c r="R65" s="493">
        <v>0</v>
      </c>
      <c r="S65" s="494">
        <v>0</v>
      </c>
      <c r="T65" s="495">
        <v>0</v>
      </c>
      <c r="U65" s="495">
        <v>0</v>
      </c>
      <c r="V65" s="490">
        <v>0</v>
      </c>
      <c r="W65" s="495">
        <v>0</v>
      </c>
      <c r="X65" s="495">
        <v>0</v>
      </c>
      <c r="Y65" s="490">
        <v>0</v>
      </c>
      <c r="Z65" s="490">
        <v>0</v>
      </c>
      <c r="AA65" s="490">
        <v>0</v>
      </c>
      <c r="AB65" s="490">
        <v>26697.39</v>
      </c>
      <c r="AC65" s="490">
        <v>171117.42</v>
      </c>
      <c r="AD65" s="490">
        <v>16.86</v>
      </c>
      <c r="AE65" s="490">
        <v>152066.22</v>
      </c>
      <c r="AF65" s="339">
        <v>9019.3487544483996</v>
      </c>
      <c r="AG65" s="339">
        <v>10149.313167259788</v>
      </c>
      <c r="AH65" s="496">
        <v>1129.96</v>
      </c>
      <c r="AI65" s="490">
        <v>2.86</v>
      </c>
      <c r="AJ65" s="490">
        <v>25197.87</v>
      </c>
      <c r="AK65" s="339">
        <v>8810.4440559440554</v>
      </c>
      <c r="AL65" s="339">
        <v>9334.7517482517487</v>
      </c>
      <c r="AM65" s="496">
        <v>524.30999999999995</v>
      </c>
      <c r="AN65" s="495">
        <v>3400</v>
      </c>
      <c r="AO65" s="495">
        <v>100</v>
      </c>
      <c r="AP65" s="74"/>
      <c r="AQ65" s="303">
        <v>16885.009999999995</v>
      </c>
      <c r="AR65" s="303">
        <v>40961.960000000006</v>
      </c>
      <c r="AS65" s="552">
        <v>21328.3</v>
      </c>
      <c r="AY65" s="67">
        <f t="shared" si="43"/>
        <v>0</v>
      </c>
      <c r="BA65" t="s">
        <v>854</v>
      </c>
      <c r="BB65" t="s">
        <v>151</v>
      </c>
      <c r="BC65" t="s">
        <v>917</v>
      </c>
      <c r="BD65" s="491">
        <v>4.7600000000000003E-2</v>
      </c>
      <c r="BE65" s="492">
        <v>0.25600000000000001</v>
      </c>
      <c r="BG65" s="510">
        <f t="shared" si="41"/>
        <v>0</v>
      </c>
      <c r="BH65" s="510">
        <f t="shared" si="42"/>
        <v>0</v>
      </c>
      <c r="BJ65" s="520">
        <f t="shared" si="44"/>
        <v>0</v>
      </c>
      <c r="BK65" s="520">
        <f t="shared" si="45"/>
        <v>0</v>
      </c>
      <c r="CB65" s="74"/>
      <c r="CC65" s="74"/>
      <c r="CD65" s="74"/>
      <c r="CE65" s="74"/>
      <c r="CF65" s="74"/>
    </row>
    <row r="66" spans="1:84">
      <c r="A66" s="283" t="s">
        <v>154</v>
      </c>
      <c r="B66" s="283" t="s">
        <v>153</v>
      </c>
      <c r="C66" s="283" t="str">
        <f t="shared" si="47"/>
        <v>32414 DEER PARK SCHOOL DISTRICT</v>
      </c>
      <c r="D66" s="490">
        <v>0</v>
      </c>
      <c r="E66" s="490">
        <v>79883.429999999993</v>
      </c>
      <c r="F66" s="490">
        <v>0</v>
      </c>
      <c r="G66" s="490">
        <v>3796442.95</v>
      </c>
      <c r="H66" s="490">
        <v>576808.67000000004</v>
      </c>
      <c r="I66" s="490">
        <v>414430.74</v>
      </c>
      <c r="J66" s="490">
        <v>904495.84</v>
      </c>
      <c r="K66" s="490">
        <v>55528.95</v>
      </c>
      <c r="L66" s="490">
        <v>78958.990000000005</v>
      </c>
      <c r="M66" s="490">
        <v>1729517</v>
      </c>
      <c r="N66" s="300">
        <v>4.7E-2</v>
      </c>
      <c r="O66" s="492">
        <v>0.1837</v>
      </c>
      <c r="P66" s="490">
        <v>0</v>
      </c>
      <c r="Q66" s="493">
        <v>0</v>
      </c>
      <c r="R66" s="493">
        <v>0</v>
      </c>
      <c r="S66" s="494">
        <v>0</v>
      </c>
      <c r="T66" s="495">
        <v>0</v>
      </c>
      <c r="U66" s="495">
        <v>0</v>
      </c>
      <c r="V66" s="490">
        <v>0</v>
      </c>
      <c r="W66" s="495">
        <v>0</v>
      </c>
      <c r="X66" s="495">
        <v>0</v>
      </c>
      <c r="Y66" s="490">
        <v>3033.16</v>
      </c>
      <c r="Z66" s="490">
        <v>0</v>
      </c>
      <c r="AA66" s="490">
        <v>0</v>
      </c>
      <c r="AB66" s="490">
        <v>0</v>
      </c>
      <c r="AC66" s="490">
        <v>1114522.57</v>
      </c>
      <c r="AD66" s="490">
        <v>105.97</v>
      </c>
      <c r="AE66" s="490">
        <v>937620.27</v>
      </c>
      <c r="AF66" s="339">
        <v>8847.9783901104092</v>
      </c>
      <c r="AG66" s="339">
        <v>10517.340473718978</v>
      </c>
      <c r="AH66" s="496">
        <v>1669.36</v>
      </c>
      <c r="AI66" s="490">
        <v>0</v>
      </c>
      <c r="AJ66" s="490">
        <v>0</v>
      </c>
      <c r="AK66" s="339">
        <v>0</v>
      </c>
      <c r="AL66" s="339">
        <v>0</v>
      </c>
      <c r="AM66" s="496">
        <v>0</v>
      </c>
      <c r="AN66" s="495">
        <v>0</v>
      </c>
      <c r="AO66" s="495">
        <v>0</v>
      </c>
      <c r="AP66" s="74"/>
      <c r="AQ66" s="303">
        <v>111977.42000000001</v>
      </c>
      <c r="AR66" s="303">
        <v>214801.3</v>
      </c>
      <c r="AS66" s="552"/>
      <c r="AY66" s="67">
        <f t="shared" si="43"/>
        <v>0</v>
      </c>
      <c r="BA66" t="s">
        <v>848</v>
      </c>
      <c r="BB66" t="s">
        <v>153</v>
      </c>
      <c r="BC66" t="s">
        <v>918</v>
      </c>
      <c r="BD66" s="491">
        <v>4.7E-2</v>
      </c>
      <c r="BE66" s="492">
        <v>0.1837</v>
      </c>
      <c r="BG66" s="510">
        <f t="shared" si="41"/>
        <v>0</v>
      </c>
      <c r="BH66" s="510">
        <f t="shared" si="42"/>
        <v>0</v>
      </c>
      <c r="BJ66" s="520">
        <f t="shared" si="44"/>
        <v>0</v>
      </c>
      <c r="BK66" s="520">
        <f t="shared" si="45"/>
        <v>0</v>
      </c>
      <c r="CB66" s="74"/>
      <c r="CC66" s="74"/>
      <c r="CD66" s="74"/>
      <c r="CE66" s="74"/>
      <c r="CF66" s="74"/>
    </row>
    <row r="67" spans="1:84">
      <c r="A67" s="283" t="s">
        <v>156</v>
      </c>
      <c r="B67" s="283" t="s">
        <v>155</v>
      </c>
      <c r="C67" s="283" t="str">
        <f t="shared" si="47"/>
        <v>27343 DIERINGER SCHOOL DISTRICT</v>
      </c>
      <c r="D67" s="490">
        <v>0</v>
      </c>
      <c r="E67" s="490">
        <v>0</v>
      </c>
      <c r="F67" s="490">
        <v>0</v>
      </c>
      <c r="G67" s="490">
        <v>2368515.63</v>
      </c>
      <c r="H67" s="490">
        <v>504450.09</v>
      </c>
      <c r="I67" s="490">
        <v>0</v>
      </c>
      <c r="J67" s="490">
        <v>217870.33</v>
      </c>
      <c r="K67" s="490">
        <v>176385.33</v>
      </c>
      <c r="L67" s="490">
        <v>47692.4</v>
      </c>
      <c r="M67" s="490">
        <v>1677856.81</v>
      </c>
      <c r="N67" s="300">
        <v>1.35E-2</v>
      </c>
      <c r="O67" s="492">
        <v>0.1646</v>
      </c>
      <c r="P67" s="490">
        <v>0</v>
      </c>
      <c r="Q67" s="493">
        <v>0</v>
      </c>
      <c r="R67" s="493">
        <v>0</v>
      </c>
      <c r="S67" s="494">
        <v>0</v>
      </c>
      <c r="T67" s="495">
        <v>0</v>
      </c>
      <c r="U67" s="495">
        <v>0</v>
      </c>
      <c r="V67" s="490">
        <v>0</v>
      </c>
      <c r="W67" s="495">
        <v>0</v>
      </c>
      <c r="X67" s="495">
        <v>0</v>
      </c>
      <c r="Y67" s="490">
        <v>1610.53</v>
      </c>
      <c r="Z67" s="490">
        <v>0</v>
      </c>
      <c r="AA67" s="490">
        <v>0</v>
      </c>
      <c r="AB67" s="490">
        <v>854675.82</v>
      </c>
      <c r="AC67" s="490">
        <v>0</v>
      </c>
      <c r="AD67" s="490">
        <v>0</v>
      </c>
      <c r="AE67" s="490">
        <v>0</v>
      </c>
      <c r="AF67" s="339">
        <v>0</v>
      </c>
      <c r="AG67" s="339">
        <v>0</v>
      </c>
      <c r="AH67" s="496">
        <v>0</v>
      </c>
      <c r="AI67" s="490">
        <v>84.37</v>
      </c>
      <c r="AJ67" s="490">
        <v>804254.45</v>
      </c>
      <c r="AK67" s="339">
        <v>9532.4694796728691</v>
      </c>
      <c r="AL67" s="339">
        <v>10130.09150171862</v>
      </c>
      <c r="AM67" s="496">
        <v>597.62</v>
      </c>
      <c r="AN67" s="495">
        <v>0</v>
      </c>
      <c r="AO67" s="495">
        <v>0</v>
      </c>
      <c r="AP67" s="74"/>
      <c r="AQ67" s="303">
        <v>0</v>
      </c>
      <c r="AR67" s="303">
        <v>168551.69999999998</v>
      </c>
      <c r="AS67" s="552">
        <v>52379.45</v>
      </c>
      <c r="AY67" s="67">
        <f t="shared" si="43"/>
        <v>0</v>
      </c>
      <c r="BA67" t="s">
        <v>856</v>
      </c>
      <c r="BB67" t="s">
        <v>155</v>
      </c>
      <c r="BC67" t="s">
        <v>919</v>
      </c>
      <c r="BD67" s="491">
        <v>1.35E-2</v>
      </c>
      <c r="BE67" s="492">
        <v>0.1646</v>
      </c>
      <c r="BG67" s="510">
        <f t="shared" si="41"/>
        <v>0</v>
      </c>
      <c r="BH67" s="510">
        <f t="shared" si="42"/>
        <v>0</v>
      </c>
      <c r="BJ67" s="520">
        <f t="shared" si="44"/>
        <v>0</v>
      </c>
      <c r="BK67" s="520">
        <f t="shared" si="45"/>
        <v>0</v>
      </c>
      <c r="CB67" s="74"/>
      <c r="CC67" s="74"/>
      <c r="CD67" s="74"/>
      <c r="CE67" s="74"/>
      <c r="CF67" s="74"/>
    </row>
    <row r="68" spans="1:84">
      <c r="A68" s="283" t="s">
        <v>158</v>
      </c>
      <c r="B68" s="283" t="s">
        <v>157</v>
      </c>
      <c r="C68" s="283" t="str">
        <f t="shared" si="47"/>
        <v>36101 DIXIE SCHOOL DISTRICT</v>
      </c>
      <c r="D68" s="490">
        <v>0</v>
      </c>
      <c r="E68" s="490">
        <v>0</v>
      </c>
      <c r="F68" s="490">
        <v>527.59</v>
      </c>
      <c r="G68" s="490">
        <v>0</v>
      </c>
      <c r="H68" s="490">
        <v>0</v>
      </c>
      <c r="I68" s="490">
        <v>5374.6</v>
      </c>
      <c r="J68" s="490">
        <v>9029.32</v>
      </c>
      <c r="K68" s="490">
        <v>0</v>
      </c>
      <c r="L68" s="490">
        <v>0</v>
      </c>
      <c r="M68" s="490">
        <v>109525.83</v>
      </c>
      <c r="N68" s="300">
        <v>7.0199999999999999E-2</v>
      </c>
      <c r="O68" s="492">
        <v>0.40489999999999998</v>
      </c>
      <c r="P68" s="490">
        <v>0</v>
      </c>
      <c r="Q68" s="493">
        <v>0</v>
      </c>
      <c r="R68" s="493">
        <v>0</v>
      </c>
      <c r="S68" s="494">
        <v>0</v>
      </c>
      <c r="T68" s="495">
        <v>0</v>
      </c>
      <c r="U68" s="495">
        <v>0</v>
      </c>
      <c r="V68" s="490">
        <v>0</v>
      </c>
      <c r="W68" s="495">
        <v>0</v>
      </c>
      <c r="X68" s="495">
        <v>0</v>
      </c>
      <c r="Y68" s="490">
        <v>21.25</v>
      </c>
      <c r="Z68" s="490">
        <v>0</v>
      </c>
      <c r="AA68" s="490">
        <v>0</v>
      </c>
      <c r="AB68" s="490">
        <v>0</v>
      </c>
      <c r="AC68" s="490">
        <v>0</v>
      </c>
      <c r="AD68" s="490">
        <v>0</v>
      </c>
      <c r="AE68" s="490">
        <v>0</v>
      </c>
      <c r="AF68" s="339">
        <v>0</v>
      </c>
      <c r="AG68" s="339">
        <v>0</v>
      </c>
      <c r="AH68" s="496">
        <v>0</v>
      </c>
      <c r="AI68" s="490">
        <v>0</v>
      </c>
      <c r="AJ68" s="490">
        <v>0</v>
      </c>
      <c r="AK68" s="339">
        <v>0</v>
      </c>
      <c r="AL68" s="339">
        <v>0</v>
      </c>
      <c r="AM68" s="496">
        <v>0</v>
      </c>
      <c r="AN68" s="495">
        <v>0</v>
      </c>
      <c r="AO68" s="495">
        <v>0</v>
      </c>
      <c r="AP68" s="74"/>
      <c r="AQ68" s="303">
        <v>4420.96</v>
      </c>
      <c r="AR68" s="303">
        <v>3871.34</v>
      </c>
      <c r="AS68" s="552">
        <v>10464.75</v>
      </c>
      <c r="AY68" s="67">
        <f t="shared" si="43"/>
        <v>0</v>
      </c>
      <c r="BA68" t="s">
        <v>854</v>
      </c>
      <c r="BB68" t="s">
        <v>157</v>
      </c>
      <c r="BC68" t="s">
        <v>920</v>
      </c>
      <c r="BD68" s="491">
        <v>7.0199999999999999E-2</v>
      </c>
      <c r="BE68" s="492">
        <v>0.40489999999999998</v>
      </c>
      <c r="BG68" s="510">
        <f t="shared" si="41"/>
        <v>0</v>
      </c>
      <c r="BH68" s="510">
        <f t="shared" si="42"/>
        <v>0</v>
      </c>
      <c r="BJ68" s="520">
        <f t="shared" si="44"/>
        <v>0</v>
      </c>
      <c r="BK68" s="520">
        <f t="shared" si="45"/>
        <v>0</v>
      </c>
      <c r="CB68" s="74"/>
      <c r="CC68" s="74"/>
      <c r="CD68" s="74"/>
      <c r="CE68" s="74"/>
      <c r="CF68" s="74"/>
    </row>
    <row r="69" spans="1:84">
      <c r="A69" s="283" t="s">
        <v>921</v>
      </c>
      <c r="B69" s="283" t="s">
        <v>159</v>
      </c>
      <c r="C69" s="283" t="str">
        <f t="shared" si="47"/>
        <v>32361 EAST VALLEY SCHOOL DISTRICT</v>
      </c>
      <c r="D69" s="490">
        <v>0</v>
      </c>
      <c r="E69" s="490">
        <v>0</v>
      </c>
      <c r="F69" s="490">
        <v>17535.009999999998</v>
      </c>
      <c r="G69" s="490">
        <v>6640711.3099999996</v>
      </c>
      <c r="H69" s="490">
        <v>1399266.13</v>
      </c>
      <c r="I69" s="490">
        <v>913896.54</v>
      </c>
      <c r="J69" s="490">
        <v>1469199.95</v>
      </c>
      <c r="K69" s="490">
        <v>273215.24</v>
      </c>
      <c r="L69" s="490">
        <v>106094.56</v>
      </c>
      <c r="M69" s="490">
        <v>2696970.52</v>
      </c>
      <c r="N69" s="300">
        <v>3.49E-2</v>
      </c>
      <c r="O69" s="492">
        <v>0.16980000000000001</v>
      </c>
      <c r="P69" s="490">
        <v>0</v>
      </c>
      <c r="Q69" s="493">
        <v>0</v>
      </c>
      <c r="R69" s="493">
        <v>0</v>
      </c>
      <c r="S69" s="494">
        <v>0</v>
      </c>
      <c r="T69" s="495">
        <v>0</v>
      </c>
      <c r="U69" s="495">
        <v>0</v>
      </c>
      <c r="V69" s="490">
        <v>0</v>
      </c>
      <c r="W69" s="495">
        <v>0</v>
      </c>
      <c r="X69" s="495">
        <v>0</v>
      </c>
      <c r="Y69" s="490">
        <v>4050.92</v>
      </c>
      <c r="Z69" s="490">
        <v>9418.41</v>
      </c>
      <c r="AA69" s="490">
        <v>0</v>
      </c>
      <c r="AB69" s="490">
        <v>157837.6</v>
      </c>
      <c r="AC69" s="490">
        <v>1934703.92</v>
      </c>
      <c r="AD69" s="490">
        <v>196.11</v>
      </c>
      <c r="AE69" s="490">
        <v>1769342.16</v>
      </c>
      <c r="AF69" s="339">
        <v>9022.1924430166728</v>
      </c>
      <c r="AG69" s="339">
        <v>9865.4016623323641</v>
      </c>
      <c r="AH69" s="496">
        <v>843.21</v>
      </c>
      <c r="AI69" s="490">
        <v>16.86</v>
      </c>
      <c r="AJ69" s="490">
        <v>148455.73000000001</v>
      </c>
      <c r="AK69" s="339">
        <v>8805.2034400948996</v>
      </c>
      <c r="AL69" s="339">
        <v>9361.6607354685657</v>
      </c>
      <c r="AM69" s="496">
        <v>556.46</v>
      </c>
      <c r="AN69" s="495">
        <v>0</v>
      </c>
      <c r="AO69" s="495">
        <v>0</v>
      </c>
      <c r="AP69" s="74"/>
      <c r="AQ69" s="303">
        <v>0</v>
      </c>
      <c r="AR69" s="303">
        <v>371879.83999999997</v>
      </c>
      <c r="AS69" s="552">
        <v>116050.28</v>
      </c>
      <c r="AY69" s="67">
        <f t="shared" si="43"/>
        <v>0</v>
      </c>
      <c r="BA69" t="s">
        <v>848</v>
      </c>
      <c r="BB69" t="s">
        <v>159</v>
      </c>
      <c r="BC69" t="s">
        <v>922</v>
      </c>
      <c r="BD69" s="491">
        <v>3.49E-2</v>
      </c>
      <c r="BE69" s="492">
        <v>0.16980000000000001</v>
      </c>
      <c r="BG69" s="510">
        <f t="shared" si="41"/>
        <v>0</v>
      </c>
      <c r="BH69" s="510">
        <f t="shared" si="42"/>
        <v>0</v>
      </c>
      <c r="BJ69" s="520">
        <f t="shared" si="44"/>
        <v>0</v>
      </c>
      <c r="BK69" s="520">
        <f t="shared" si="45"/>
        <v>0</v>
      </c>
      <c r="CB69" s="74"/>
      <c r="CC69" s="74"/>
      <c r="CD69" s="74"/>
      <c r="CE69" s="74"/>
      <c r="CF69" s="74"/>
    </row>
    <row r="70" spans="1:84">
      <c r="A70" s="283" t="s">
        <v>162</v>
      </c>
      <c r="B70" s="283" t="s">
        <v>161</v>
      </c>
      <c r="C70" s="283" t="str">
        <f t="shared" si="47"/>
        <v>39090 EAST VALLEY (YAKIMA) SCHOOL DISTRICT</v>
      </c>
      <c r="D70" s="490">
        <v>0</v>
      </c>
      <c r="E70" s="490">
        <v>0</v>
      </c>
      <c r="F70" s="490">
        <v>77259.960000000006</v>
      </c>
      <c r="G70" s="490">
        <v>4890544.37</v>
      </c>
      <c r="H70" s="490">
        <v>770321.13</v>
      </c>
      <c r="I70" s="490">
        <v>1023453.78</v>
      </c>
      <c r="J70" s="490">
        <v>1355912.64</v>
      </c>
      <c r="K70" s="490">
        <v>708096.04</v>
      </c>
      <c r="L70" s="490">
        <v>99114.3</v>
      </c>
      <c r="M70" s="490">
        <v>2039697.63</v>
      </c>
      <c r="N70" s="300">
        <v>4.1399999999999999E-2</v>
      </c>
      <c r="O70" s="492">
        <v>0.15659999999999999</v>
      </c>
      <c r="P70" s="490">
        <v>0</v>
      </c>
      <c r="Q70" s="493">
        <v>0</v>
      </c>
      <c r="R70" s="493">
        <v>0</v>
      </c>
      <c r="S70" s="494">
        <v>0</v>
      </c>
      <c r="T70" s="495">
        <v>0</v>
      </c>
      <c r="U70" s="495">
        <v>0</v>
      </c>
      <c r="V70" s="490">
        <v>0</v>
      </c>
      <c r="W70" s="495">
        <v>0</v>
      </c>
      <c r="X70" s="495">
        <v>0</v>
      </c>
      <c r="Y70" s="490">
        <v>3829.48</v>
      </c>
      <c r="Z70" s="490">
        <v>21645.49</v>
      </c>
      <c r="AA70" s="490">
        <v>133574.22</v>
      </c>
      <c r="AB70" s="490">
        <v>154978.35999999999</v>
      </c>
      <c r="AC70" s="490">
        <v>1827010.24</v>
      </c>
      <c r="AD70" s="490">
        <v>192.75</v>
      </c>
      <c r="AE70" s="490">
        <v>1705480.7</v>
      </c>
      <c r="AF70" s="339">
        <v>8848.1488975356679</v>
      </c>
      <c r="AG70" s="339">
        <v>9478.6523476005186</v>
      </c>
      <c r="AH70" s="496">
        <v>630.5</v>
      </c>
      <c r="AI70" s="490">
        <v>16.91</v>
      </c>
      <c r="AJ70" s="490">
        <v>145884.79999999999</v>
      </c>
      <c r="AK70" s="339">
        <v>8627.131874630395</v>
      </c>
      <c r="AL70" s="339">
        <v>9164.8941454760479</v>
      </c>
      <c r="AM70" s="496">
        <v>537.76</v>
      </c>
      <c r="AN70" s="495">
        <v>0</v>
      </c>
      <c r="AO70" s="495">
        <v>0</v>
      </c>
      <c r="AP70" s="74"/>
      <c r="AQ70" s="303">
        <v>116479.36999999976</v>
      </c>
      <c r="AR70" s="303">
        <v>354039.73</v>
      </c>
      <c r="AS70" s="552">
        <v>107307.16</v>
      </c>
      <c r="AY70" s="67">
        <f t="shared" si="43"/>
        <v>0</v>
      </c>
      <c r="BA70" t="s">
        <v>865</v>
      </c>
      <c r="BB70" t="s">
        <v>161</v>
      </c>
      <c r="BC70" t="s">
        <v>923</v>
      </c>
      <c r="BD70" s="491">
        <v>4.1399999999999999E-2</v>
      </c>
      <c r="BE70" s="492">
        <v>0.15659999999999999</v>
      </c>
      <c r="BG70" s="510">
        <f t="shared" si="41"/>
        <v>0</v>
      </c>
      <c r="BH70" s="510">
        <f t="shared" si="42"/>
        <v>0</v>
      </c>
      <c r="BJ70" s="520">
        <f t="shared" si="44"/>
        <v>0</v>
      </c>
      <c r="BK70" s="520">
        <f t="shared" si="45"/>
        <v>0</v>
      </c>
      <c r="CB70" s="74"/>
      <c r="CC70" s="74"/>
      <c r="CD70" s="74"/>
      <c r="CE70" s="74"/>
      <c r="CF70" s="74"/>
    </row>
    <row r="71" spans="1:84">
      <c r="A71" s="283" t="s">
        <v>164</v>
      </c>
      <c r="B71" s="283" t="s">
        <v>163</v>
      </c>
      <c r="C71" s="283" t="str">
        <f t="shared" si="47"/>
        <v>09206 EASTMONT SCHOOL DISTRICT</v>
      </c>
      <c r="D71" s="490">
        <v>0</v>
      </c>
      <c r="E71" s="490">
        <v>221631.04</v>
      </c>
      <c r="F71" s="490">
        <v>131230.93</v>
      </c>
      <c r="G71" s="490">
        <v>8417023.7899999991</v>
      </c>
      <c r="H71" s="490">
        <v>1262303.3899999999</v>
      </c>
      <c r="I71" s="490">
        <v>1604010.06</v>
      </c>
      <c r="J71" s="490">
        <v>2556920.23</v>
      </c>
      <c r="K71" s="490">
        <v>1851849.31</v>
      </c>
      <c r="L71" s="490">
        <v>175060.37</v>
      </c>
      <c r="M71" s="490">
        <v>2542487.3199999998</v>
      </c>
      <c r="N71" s="300">
        <v>3.7199999999999997E-2</v>
      </c>
      <c r="O71" s="492">
        <v>0.1421</v>
      </c>
      <c r="P71" s="490">
        <v>0</v>
      </c>
      <c r="Q71" s="493">
        <v>0</v>
      </c>
      <c r="R71" s="493">
        <v>0</v>
      </c>
      <c r="S71" s="494">
        <v>152474.58000000002</v>
      </c>
      <c r="T71" s="495">
        <v>15008.777</v>
      </c>
      <c r="U71" s="495">
        <v>5646.84</v>
      </c>
      <c r="V71" s="490">
        <v>0</v>
      </c>
      <c r="W71" s="495">
        <v>0</v>
      </c>
      <c r="X71" s="495">
        <v>0</v>
      </c>
      <c r="Y71" s="490">
        <v>6834.68</v>
      </c>
      <c r="Z71" s="490">
        <v>50755.79</v>
      </c>
      <c r="AA71" s="490">
        <v>171211.88</v>
      </c>
      <c r="AB71" s="490">
        <v>1292678.18</v>
      </c>
      <c r="AC71" s="490">
        <v>3608315.62</v>
      </c>
      <c r="AD71" s="490">
        <v>383.95</v>
      </c>
      <c r="AE71" s="490">
        <v>3396989.53</v>
      </c>
      <c r="AF71" s="339">
        <v>8847.4789165255897</v>
      </c>
      <c r="AG71" s="339">
        <v>9397.8789425706473</v>
      </c>
      <c r="AH71" s="496">
        <v>550.4</v>
      </c>
      <c r="AI71" s="490">
        <v>140.97999999999999</v>
      </c>
      <c r="AJ71" s="490">
        <v>1216829.52</v>
      </c>
      <c r="AK71" s="339">
        <v>8631.2208823946676</v>
      </c>
      <c r="AL71" s="339">
        <v>9169.2309547453533</v>
      </c>
      <c r="AM71" s="496">
        <v>538.01</v>
      </c>
      <c r="AN71" s="495">
        <v>0</v>
      </c>
      <c r="AO71" s="495">
        <v>0</v>
      </c>
      <c r="AP71" s="74"/>
      <c r="AQ71" s="303">
        <v>0</v>
      </c>
      <c r="AR71" s="303">
        <v>622533.87000000011</v>
      </c>
      <c r="AS71" s="552"/>
      <c r="AY71" s="67">
        <f t="shared" si="43"/>
        <v>0</v>
      </c>
      <c r="BA71" t="s">
        <v>871</v>
      </c>
      <c r="BB71" t="s">
        <v>163</v>
      </c>
      <c r="BC71" t="s">
        <v>924</v>
      </c>
      <c r="BD71" s="491">
        <v>3.7199999999999997E-2</v>
      </c>
      <c r="BE71" s="492">
        <v>0.1421</v>
      </c>
      <c r="BG71" s="510">
        <f t="shared" ref="BG71:BG134" si="48">+N71-BD71</f>
        <v>0</v>
      </c>
      <c r="BH71" s="510">
        <f t="shared" ref="BH71:BH134" si="49">+O71-BE71</f>
        <v>0</v>
      </c>
      <c r="BJ71" s="520">
        <f t="shared" si="44"/>
        <v>0</v>
      </c>
      <c r="BK71" s="520">
        <f t="shared" si="45"/>
        <v>0</v>
      </c>
      <c r="CB71" s="74"/>
      <c r="CC71" s="74"/>
      <c r="CD71" s="74"/>
      <c r="CE71" s="74"/>
      <c r="CF71" s="74"/>
    </row>
    <row r="72" spans="1:84">
      <c r="A72" s="283" t="s">
        <v>166</v>
      </c>
      <c r="B72" s="283" t="s">
        <v>165</v>
      </c>
      <c r="C72" s="283" t="str">
        <f t="shared" si="47"/>
        <v>19028 EASTON SCHOOL DISTRICT</v>
      </c>
      <c r="D72" s="490">
        <v>11798.34</v>
      </c>
      <c r="E72" s="490">
        <v>2934.89</v>
      </c>
      <c r="F72" s="490">
        <v>1181.81</v>
      </c>
      <c r="G72" s="490">
        <v>152079.99</v>
      </c>
      <c r="H72" s="490">
        <v>22525.16</v>
      </c>
      <c r="I72" s="490">
        <v>12851.44</v>
      </c>
      <c r="J72" s="490">
        <v>44750.52</v>
      </c>
      <c r="K72" s="490">
        <v>0</v>
      </c>
      <c r="L72" s="490">
        <v>0</v>
      </c>
      <c r="M72" s="490">
        <v>142301.14000000001</v>
      </c>
      <c r="N72" s="300">
        <v>0.13600000000000001</v>
      </c>
      <c r="O72" s="492">
        <v>0.4521</v>
      </c>
      <c r="P72" s="490">
        <v>0</v>
      </c>
      <c r="Q72" s="493">
        <v>0</v>
      </c>
      <c r="R72" s="493">
        <v>0</v>
      </c>
      <c r="S72" s="494">
        <v>0</v>
      </c>
      <c r="T72" s="495">
        <v>0</v>
      </c>
      <c r="U72" s="495">
        <v>0</v>
      </c>
      <c r="V72" s="490">
        <v>0</v>
      </c>
      <c r="W72" s="495">
        <v>0</v>
      </c>
      <c r="X72" s="495">
        <v>0</v>
      </c>
      <c r="Y72" s="490">
        <v>102.89</v>
      </c>
      <c r="Z72" s="490">
        <v>0</v>
      </c>
      <c r="AA72" s="490">
        <v>0</v>
      </c>
      <c r="AB72" s="490">
        <v>0</v>
      </c>
      <c r="AC72" s="490">
        <v>0</v>
      </c>
      <c r="AD72" s="490">
        <v>0</v>
      </c>
      <c r="AE72" s="490">
        <v>0</v>
      </c>
      <c r="AF72" s="339">
        <v>0</v>
      </c>
      <c r="AG72" s="339">
        <v>0</v>
      </c>
      <c r="AH72" s="496">
        <v>0</v>
      </c>
      <c r="AI72" s="490">
        <v>0</v>
      </c>
      <c r="AJ72" s="490">
        <v>0</v>
      </c>
      <c r="AK72" s="339">
        <v>0</v>
      </c>
      <c r="AL72" s="339">
        <v>0</v>
      </c>
      <c r="AM72" s="496">
        <v>0</v>
      </c>
      <c r="AN72" s="495">
        <v>1555.74</v>
      </c>
      <c r="AO72" s="495">
        <v>2500</v>
      </c>
      <c r="AP72" s="74"/>
      <c r="AQ72" s="303">
        <v>33837.85</v>
      </c>
      <c r="AR72" s="303">
        <v>23173.75</v>
      </c>
      <c r="AS72" s="552">
        <v>12701.36</v>
      </c>
      <c r="AY72" s="67">
        <f t="shared" ref="AY72:AY135" si="50">+BB72-B72</f>
        <v>0</v>
      </c>
      <c r="BA72" t="s">
        <v>865</v>
      </c>
      <c r="BB72" t="s">
        <v>165</v>
      </c>
      <c r="BC72" t="s">
        <v>925</v>
      </c>
      <c r="BD72" s="491">
        <v>0.13600000000000001</v>
      </c>
      <c r="BE72" s="492">
        <v>0.4521</v>
      </c>
      <c r="BG72" s="510">
        <f t="shared" si="48"/>
        <v>0</v>
      </c>
      <c r="BH72" s="510">
        <f t="shared" si="49"/>
        <v>0</v>
      </c>
      <c r="BJ72" s="520">
        <f t="shared" ref="BJ72:BJ135" si="51">+BG72-0</f>
        <v>0</v>
      </c>
      <c r="BK72" s="520">
        <f t="shared" ref="BK72:BK135" si="52">+BH72-0</f>
        <v>0</v>
      </c>
      <c r="CB72" s="74"/>
      <c r="CC72" s="74"/>
      <c r="CD72" s="74"/>
      <c r="CE72" s="74"/>
      <c r="CF72" s="74"/>
    </row>
    <row r="73" spans="1:84">
      <c r="A73" s="283" t="s">
        <v>168</v>
      </c>
      <c r="B73" s="283" t="s">
        <v>167</v>
      </c>
      <c r="C73" s="283" t="str">
        <f t="shared" si="47"/>
        <v>27404 EATONVILLE SCHOOL DISTRICT</v>
      </c>
      <c r="D73" s="490">
        <v>0</v>
      </c>
      <c r="E73" s="490">
        <v>43713.01</v>
      </c>
      <c r="F73" s="490">
        <v>1749.4</v>
      </c>
      <c r="G73" s="490">
        <v>2677235.7599999998</v>
      </c>
      <c r="H73" s="490">
        <v>435378.21</v>
      </c>
      <c r="I73" s="490">
        <v>42388.5</v>
      </c>
      <c r="J73" s="490">
        <v>549180.46</v>
      </c>
      <c r="K73" s="490">
        <v>18475.62</v>
      </c>
      <c r="L73" s="490">
        <v>58076.4</v>
      </c>
      <c r="M73" s="490">
        <v>1294476.6000000001</v>
      </c>
      <c r="N73" s="300">
        <v>2.4500000000000001E-2</v>
      </c>
      <c r="O73" s="492">
        <v>0.19139999999999999</v>
      </c>
      <c r="P73" s="490">
        <v>0</v>
      </c>
      <c r="Q73" s="493">
        <v>0</v>
      </c>
      <c r="R73" s="493">
        <v>0</v>
      </c>
      <c r="S73" s="494">
        <v>0</v>
      </c>
      <c r="T73" s="495">
        <v>0</v>
      </c>
      <c r="U73" s="495">
        <v>0</v>
      </c>
      <c r="V73" s="490">
        <v>0</v>
      </c>
      <c r="W73" s="495">
        <v>0</v>
      </c>
      <c r="X73" s="495">
        <v>0</v>
      </c>
      <c r="Y73" s="490">
        <v>611.78</v>
      </c>
      <c r="Z73" s="490">
        <v>747.92</v>
      </c>
      <c r="AA73" s="490">
        <v>0</v>
      </c>
      <c r="AB73" s="490">
        <v>590223.26</v>
      </c>
      <c r="AC73" s="490">
        <v>1198524.53</v>
      </c>
      <c r="AD73" s="490">
        <v>125.98</v>
      </c>
      <c r="AE73" s="490">
        <v>1114680.43</v>
      </c>
      <c r="AF73" s="339">
        <v>8848.0745356405769</v>
      </c>
      <c r="AG73" s="339">
        <v>9513.6095411970146</v>
      </c>
      <c r="AH73" s="496">
        <v>665.54</v>
      </c>
      <c r="AI73" s="490">
        <v>64.37</v>
      </c>
      <c r="AJ73" s="490">
        <v>555623.79</v>
      </c>
      <c r="AK73" s="339">
        <v>8631.7195898710579</v>
      </c>
      <c r="AL73" s="339">
        <v>9169.2288333074412</v>
      </c>
      <c r="AM73" s="496">
        <v>537.51</v>
      </c>
      <c r="AN73" s="495">
        <v>7000</v>
      </c>
      <c r="AO73" s="495">
        <v>0</v>
      </c>
      <c r="AP73" s="74"/>
      <c r="AQ73" s="303">
        <v>0</v>
      </c>
      <c r="AR73" s="303">
        <v>187486.42999999996</v>
      </c>
      <c r="AS73" s="552">
        <v>67745.260000000009</v>
      </c>
      <c r="AY73" s="67">
        <f t="shared" si="50"/>
        <v>0</v>
      </c>
      <c r="BA73" t="s">
        <v>856</v>
      </c>
      <c r="BB73" t="s">
        <v>167</v>
      </c>
      <c r="BC73" t="s">
        <v>926</v>
      </c>
      <c r="BD73" s="491">
        <v>2.4500000000000001E-2</v>
      </c>
      <c r="BE73" s="492">
        <v>0.19139999999999999</v>
      </c>
      <c r="BG73" s="510">
        <f t="shared" si="48"/>
        <v>0</v>
      </c>
      <c r="BH73" s="510">
        <f t="shared" si="49"/>
        <v>0</v>
      </c>
      <c r="BJ73" s="520">
        <f t="shared" si="51"/>
        <v>0</v>
      </c>
      <c r="BK73" s="520">
        <f t="shared" si="52"/>
        <v>0</v>
      </c>
      <c r="CB73" s="74"/>
      <c r="CC73" s="74"/>
      <c r="CD73" s="74"/>
      <c r="CE73" s="74"/>
      <c r="CF73" s="74"/>
    </row>
    <row r="74" spans="1:84">
      <c r="A74" s="283" t="s">
        <v>170</v>
      </c>
      <c r="B74" s="283" t="s">
        <v>169</v>
      </c>
      <c r="C74" s="283" t="str">
        <f t="shared" si="47"/>
        <v>31015 EDMONDS SCHOOL DISTRICT</v>
      </c>
      <c r="D74" s="490">
        <v>0</v>
      </c>
      <c r="E74" s="490">
        <v>527724.93000000005</v>
      </c>
      <c r="F74" s="490">
        <v>62288.959999999999</v>
      </c>
      <c r="G74" s="490">
        <v>43188619.609999999</v>
      </c>
      <c r="H74" s="490">
        <v>8776086.9000000004</v>
      </c>
      <c r="I74" s="490">
        <v>629213.68000000005</v>
      </c>
      <c r="J74" s="490">
        <v>5841256.4500000002</v>
      </c>
      <c r="K74" s="490">
        <v>7251599.7000000002</v>
      </c>
      <c r="L74" s="490">
        <v>695307.56</v>
      </c>
      <c r="M74" s="490">
        <v>17179187.350000001</v>
      </c>
      <c r="N74" s="300">
        <v>3.4799999999999998E-2</v>
      </c>
      <c r="O74" s="492">
        <v>0.1258</v>
      </c>
      <c r="P74" s="490">
        <v>0</v>
      </c>
      <c r="Q74" s="493">
        <v>0</v>
      </c>
      <c r="R74" s="493">
        <v>0</v>
      </c>
      <c r="S74" s="494">
        <v>0</v>
      </c>
      <c r="T74" s="495">
        <v>0</v>
      </c>
      <c r="U74" s="495">
        <v>0</v>
      </c>
      <c r="V74" s="490">
        <v>0</v>
      </c>
      <c r="W74" s="495">
        <v>0</v>
      </c>
      <c r="X74" s="495">
        <v>0</v>
      </c>
      <c r="Y74" s="490">
        <v>22530.61</v>
      </c>
      <c r="Z74" s="490">
        <v>18311.7</v>
      </c>
      <c r="AA74" s="490">
        <v>305490.53000000003</v>
      </c>
      <c r="AB74" s="490">
        <v>1031992.57</v>
      </c>
      <c r="AC74" s="490">
        <v>10462992.380000001</v>
      </c>
      <c r="AD74" s="490">
        <v>947.57</v>
      </c>
      <c r="AE74" s="490">
        <v>9420857.4800000004</v>
      </c>
      <c r="AF74" s="339">
        <v>9942.1229882752723</v>
      </c>
      <c r="AG74" s="339">
        <v>11041.920259189295</v>
      </c>
      <c r="AH74" s="496">
        <v>1099.8</v>
      </c>
      <c r="AI74" s="490">
        <v>99.95</v>
      </c>
      <c r="AJ74" s="490">
        <v>971784.69</v>
      </c>
      <c r="AK74" s="339">
        <v>9722.7082541270629</v>
      </c>
      <c r="AL74" s="339">
        <v>10325.08824412206</v>
      </c>
      <c r="AM74" s="496">
        <v>602.38</v>
      </c>
      <c r="AN74" s="495">
        <v>0</v>
      </c>
      <c r="AO74" s="495">
        <v>0</v>
      </c>
      <c r="AP74" s="74"/>
      <c r="AQ74" s="303">
        <v>0</v>
      </c>
      <c r="AR74" s="303">
        <v>2412924.04</v>
      </c>
      <c r="AS74" s="552">
        <v>598577.58000000007</v>
      </c>
      <c r="AY74" s="67">
        <f t="shared" si="50"/>
        <v>0</v>
      </c>
      <c r="BA74" t="s">
        <v>850</v>
      </c>
      <c r="BB74" t="s">
        <v>169</v>
      </c>
      <c r="BC74" t="s">
        <v>927</v>
      </c>
      <c r="BD74" s="491">
        <v>3.4799999999999998E-2</v>
      </c>
      <c r="BE74" s="492">
        <v>0.1258</v>
      </c>
      <c r="BG74" s="510">
        <f t="shared" si="48"/>
        <v>0</v>
      </c>
      <c r="BH74" s="510">
        <f t="shared" si="49"/>
        <v>0</v>
      </c>
      <c r="BJ74" s="520">
        <f t="shared" si="51"/>
        <v>0</v>
      </c>
      <c r="BK74" s="520">
        <f t="shared" si="52"/>
        <v>0</v>
      </c>
      <c r="CB74" s="74"/>
      <c r="CC74" s="74"/>
      <c r="CD74" s="74"/>
      <c r="CE74" s="74"/>
      <c r="CF74" s="74"/>
    </row>
    <row r="75" spans="1:84">
      <c r="A75" s="283" t="s">
        <v>172</v>
      </c>
      <c r="B75" s="283" t="s">
        <v>171</v>
      </c>
      <c r="C75" s="283" t="str">
        <f t="shared" si="47"/>
        <v>19401 ELLENSBURG SCHOOL DISTRICT</v>
      </c>
      <c r="D75" s="490">
        <v>0</v>
      </c>
      <c r="E75" s="490">
        <v>55566.87</v>
      </c>
      <c r="F75" s="490">
        <v>17348.419999999998</v>
      </c>
      <c r="G75" s="490">
        <v>5087879.3600000003</v>
      </c>
      <c r="H75" s="490">
        <v>888838.32</v>
      </c>
      <c r="I75" s="490">
        <v>234591.27</v>
      </c>
      <c r="J75" s="490">
        <v>899820.65</v>
      </c>
      <c r="K75" s="490">
        <v>392071.05</v>
      </c>
      <c r="L75" s="490">
        <v>96724.74</v>
      </c>
      <c r="M75" s="490">
        <v>2060063.45</v>
      </c>
      <c r="N75" s="300">
        <v>5.0599999999999999E-2</v>
      </c>
      <c r="O75" s="492">
        <v>0.16039999999999999</v>
      </c>
      <c r="P75" s="490">
        <v>0</v>
      </c>
      <c r="Q75" s="493">
        <v>0</v>
      </c>
      <c r="R75" s="493">
        <v>0</v>
      </c>
      <c r="S75" s="494">
        <v>0</v>
      </c>
      <c r="T75" s="495">
        <v>0</v>
      </c>
      <c r="U75" s="495">
        <v>0</v>
      </c>
      <c r="V75" s="490">
        <v>0</v>
      </c>
      <c r="W75" s="495">
        <v>0</v>
      </c>
      <c r="X75" s="495">
        <v>0</v>
      </c>
      <c r="Y75" s="490">
        <v>3357.5</v>
      </c>
      <c r="Z75" s="490">
        <v>27359.45</v>
      </c>
      <c r="AA75" s="490">
        <v>182626.92</v>
      </c>
      <c r="AB75" s="490">
        <v>259314.97</v>
      </c>
      <c r="AC75" s="490">
        <v>1749462.6</v>
      </c>
      <c r="AD75" s="490">
        <v>190.58</v>
      </c>
      <c r="AE75" s="490">
        <v>1686179.88</v>
      </c>
      <c r="AF75" s="339">
        <v>8847.6224157833967</v>
      </c>
      <c r="AG75" s="339">
        <v>9179.6757267289322</v>
      </c>
      <c r="AH75" s="496">
        <v>332.05</v>
      </c>
      <c r="AI75" s="490">
        <v>28.29</v>
      </c>
      <c r="AJ75" s="490">
        <v>244223.16</v>
      </c>
      <c r="AK75" s="339">
        <v>8632.8441145281031</v>
      </c>
      <c r="AL75" s="339">
        <v>9166.3121244255926</v>
      </c>
      <c r="AM75" s="496">
        <v>533.47</v>
      </c>
      <c r="AN75" s="495">
        <v>0</v>
      </c>
      <c r="AO75" s="495">
        <v>0</v>
      </c>
      <c r="AP75" s="74"/>
      <c r="AQ75" s="303">
        <v>0</v>
      </c>
      <c r="AR75" s="303">
        <v>320033.48</v>
      </c>
      <c r="AS75" s="552">
        <v>105738.62</v>
      </c>
      <c r="AY75" s="67">
        <f t="shared" si="50"/>
        <v>0</v>
      </c>
      <c r="BA75" t="s">
        <v>865</v>
      </c>
      <c r="BB75" t="s">
        <v>171</v>
      </c>
      <c r="BC75" t="s">
        <v>928</v>
      </c>
      <c r="BD75" s="491">
        <v>5.0599999999999999E-2</v>
      </c>
      <c r="BE75" s="492">
        <v>0.16039999999999999</v>
      </c>
      <c r="BG75" s="510">
        <f t="shared" si="48"/>
        <v>0</v>
      </c>
      <c r="BH75" s="510">
        <f t="shared" si="49"/>
        <v>0</v>
      </c>
      <c r="BJ75" s="520">
        <f t="shared" si="51"/>
        <v>0</v>
      </c>
      <c r="BK75" s="520">
        <f t="shared" si="52"/>
        <v>0</v>
      </c>
      <c r="CB75" s="74"/>
      <c r="CC75" s="74"/>
      <c r="CD75" s="74"/>
      <c r="CE75" s="74"/>
      <c r="CF75" s="74"/>
    </row>
    <row r="76" spans="1:84">
      <c r="A76" s="283" t="s">
        <v>174</v>
      </c>
      <c r="B76" s="283" t="s">
        <v>173</v>
      </c>
      <c r="C76" s="283" t="str">
        <f t="shared" si="47"/>
        <v>14068 ELMA SCHOOL DISTRICT</v>
      </c>
      <c r="D76" s="490">
        <v>0</v>
      </c>
      <c r="E76" s="490">
        <v>77029.08</v>
      </c>
      <c r="F76" s="490">
        <v>49243.44</v>
      </c>
      <c r="G76" s="490">
        <v>2784149.58</v>
      </c>
      <c r="H76" s="490">
        <v>568378.81999999995</v>
      </c>
      <c r="I76" s="490">
        <v>524235.63</v>
      </c>
      <c r="J76" s="490">
        <v>856004.93</v>
      </c>
      <c r="K76" s="490">
        <v>216512.76</v>
      </c>
      <c r="L76" s="490">
        <v>50732.480000000003</v>
      </c>
      <c r="M76" s="490">
        <v>942517.71</v>
      </c>
      <c r="N76" s="300">
        <v>0</v>
      </c>
      <c r="O76" s="492">
        <v>0.1366</v>
      </c>
      <c r="P76" s="490">
        <v>0</v>
      </c>
      <c r="Q76" s="493">
        <v>0</v>
      </c>
      <c r="R76" s="493">
        <v>0</v>
      </c>
      <c r="S76" s="494">
        <v>0</v>
      </c>
      <c r="T76" s="495">
        <v>0</v>
      </c>
      <c r="U76" s="495">
        <v>0</v>
      </c>
      <c r="V76" s="490">
        <v>0</v>
      </c>
      <c r="W76" s="495">
        <v>0</v>
      </c>
      <c r="X76" s="495">
        <v>0</v>
      </c>
      <c r="Y76" s="490">
        <v>0</v>
      </c>
      <c r="Z76" s="490">
        <v>24855.95</v>
      </c>
      <c r="AA76" s="490">
        <v>127751.44</v>
      </c>
      <c r="AB76" s="490">
        <v>651235.47</v>
      </c>
      <c r="AC76" s="490">
        <v>2370496.08</v>
      </c>
      <c r="AD76" s="490">
        <v>249.92</v>
      </c>
      <c r="AE76" s="490">
        <v>2232892.5099999998</v>
      </c>
      <c r="AF76" s="339">
        <v>8934.4290572983355</v>
      </c>
      <c r="AG76" s="339">
        <v>9485.0195262483994</v>
      </c>
      <c r="AH76" s="496">
        <v>550.59</v>
      </c>
      <c r="AI76" s="490">
        <v>70.290000000000006</v>
      </c>
      <c r="AJ76" s="490">
        <v>612711.11</v>
      </c>
      <c r="AK76" s="339">
        <v>8716.9029733959305</v>
      </c>
      <c r="AL76" s="339">
        <v>9264.9803670507881</v>
      </c>
      <c r="AM76" s="496">
        <v>548.08000000000004</v>
      </c>
      <c r="AN76" s="495">
        <v>1730.07</v>
      </c>
      <c r="AO76" s="495">
        <v>0</v>
      </c>
      <c r="AP76" s="74"/>
      <c r="AQ76" s="303">
        <v>53743.250000000029</v>
      </c>
      <c r="AR76" s="303">
        <v>175741.21000000002</v>
      </c>
      <c r="AS76" s="552">
        <v>40821.31</v>
      </c>
      <c r="AY76" s="67">
        <f t="shared" si="50"/>
        <v>0</v>
      </c>
      <c r="BA76" t="s">
        <v>845</v>
      </c>
      <c r="BB76" t="s">
        <v>173</v>
      </c>
      <c r="BC76" t="s">
        <v>929</v>
      </c>
      <c r="BD76" s="491">
        <v>0</v>
      </c>
      <c r="BE76" s="492">
        <v>0.1366</v>
      </c>
      <c r="BG76" s="510">
        <f t="shared" si="48"/>
        <v>0</v>
      </c>
      <c r="BH76" s="510">
        <f t="shared" si="49"/>
        <v>0</v>
      </c>
      <c r="BJ76" s="520">
        <f t="shared" si="51"/>
        <v>0</v>
      </c>
      <c r="BK76" s="520">
        <f t="shared" si="52"/>
        <v>0</v>
      </c>
      <c r="CB76" s="74"/>
      <c r="CC76" s="74"/>
      <c r="CD76" s="74"/>
      <c r="CE76" s="74"/>
      <c r="CF76" s="74"/>
    </row>
    <row r="77" spans="1:84">
      <c r="A77" s="283" t="s">
        <v>176</v>
      </c>
      <c r="B77" s="283" t="s">
        <v>175</v>
      </c>
      <c r="C77" s="283" t="str">
        <f t="shared" si="47"/>
        <v>38308 ENDICOTT SCHOOL DISTRICT</v>
      </c>
      <c r="D77" s="490">
        <v>0</v>
      </c>
      <c r="E77" s="490">
        <v>0</v>
      </c>
      <c r="F77" s="490">
        <v>2253.23</v>
      </c>
      <c r="G77" s="490">
        <v>133499.15</v>
      </c>
      <c r="H77" s="490">
        <v>25414.38</v>
      </c>
      <c r="I77" s="490">
        <v>21194.26</v>
      </c>
      <c r="J77" s="490">
        <v>27012.29</v>
      </c>
      <c r="K77" s="490">
        <v>0</v>
      </c>
      <c r="L77" s="490">
        <v>2285.65</v>
      </c>
      <c r="M77" s="490">
        <v>218849.37</v>
      </c>
      <c r="N77" s="300">
        <v>3.4299999999999997E-2</v>
      </c>
      <c r="O77" s="492">
        <v>0.2616</v>
      </c>
      <c r="P77" s="490">
        <v>0</v>
      </c>
      <c r="Q77" s="493">
        <v>0</v>
      </c>
      <c r="R77" s="493">
        <v>0</v>
      </c>
      <c r="S77" s="494">
        <v>0</v>
      </c>
      <c r="T77" s="495">
        <v>0</v>
      </c>
      <c r="U77" s="495">
        <v>0</v>
      </c>
      <c r="V77" s="490">
        <v>0</v>
      </c>
      <c r="W77" s="495">
        <v>0</v>
      </c>
      <c r="X77" s="495">
        <v>0</v>
      </c>
      <c r="Y77" s="490">
        <v>104.01</v>
      </c>
      <c r="Z77" s="490">
        <v>0</v>
      </c>
      <c r="AA77" s="490">
        <v>0</v>
      </c>
      <c r="AB77" s="490">
        <v>0</v>
      </c>
      <c r="AC77" s="490">
        <v>0</v>
      </c>
      <c r="AD77" s="490">
        <v>0</v>
      </c>
      <c r="AE77" s="490">
        <v>0</v>
      </c>
      <c r="AF77" s="339">
        <v>0</v>
      </c>
      <c r="AG77" s="339">
        <v>0</v>
      </c>
      <c r="AH77" s="496">
        <v>0</v>
      </c>
      <c r="AI77" s="490">
        <v>0</v>
      </c>
      <c r="AJ77" s="490">
        <v>0</v>
      </c>
      <c r="AK77" s="339">
        <v>0</v>
      </c>
      <c r="AL77" s="339">
        <v>0</v>
      </c>
      <c r="AM77" s="496">
        <v>0</v>
      </c>
      <c r="AN77" s="495">
        <v>0</v>
      </c>
      <c r="AO77" s="495">
        <v>0</v>
      </c>
      <c r="AP77" s="74"/>
      <c r="AQ77" s="303">
        <v>2137.5</v>
      </c>
      <c r="AR77" s="303">
        <v>20832.469999999998</v>
      </c>
      <c r="AS77" s="552">
        <v>12468.99</v>
      </c>
      <c r="AY77" s="67">
        <f t="shared" si="50"/>
        <v>0</v>
      </c>
      <c r="BA77" t="s">
        <v>848</v>
      </c>
      <c r="BB77" t="s">
        <v>175</v>
      </c>
      <c r="BC77" t="s">
        <v>930</v>
      </c>
      <c r="BD77" s="491">
        <v>3.4299999999999997E-2</v>
      </c>
      <c r="BE77" s="492">
        <v>0.2616</v>
      </c>
      <c r="BG77" s="510">
        <f t="shared" si="48"/>
        <v>0</v>
      </c>
      <c r="BH77" s="510">
        <f t="shared" si="49"/>
        <v>0</v>
      </c>
      <c r="BJ77" s="520">
        <f t="shared" si="51"/>
        <v>0</v>
      </c>
      <c r="BK77" s="520">
        <f t="shared" si="52"/>
        <v>0</v>
      </c>
      <c r="CB77" s="74"/>
      <c r="CC77" s="74"/>
      <c r="CD77" s="74"/>
      <c r="CE77" s="74"/>
      <c r="CF77" s="74"/>
    </row>
    <row r="78" spans="1:84">
      <c r="A78" s="283" t="s">
        <v>178</v>
      </c>
      <c r="B78" s="283" t="s">
        <v>177</v>
      </c>
      <c r="C78" s="283" t="str">
        <f t="shared" si="47"/>
        <v>04127 ENTIAT SCHOOL DISTRICT</v>
      </c>
      <c r="D78" s="490">
        <v>0</v>
      </c>
      <c r="E78" s="490">
        <v>7070.12</v>
      </c>
      <c r="F78" s="490">
        <v>7372.85</v>
      </c>
      <c r="G78" s="490">
        <v>400508</v>
      </c>
      <c r="H78" s="490">
        <v>38111.599999999999</v>
      </c>
      <c r="I78" s="490">
        <v>104804.65</v>
      </c>
      <c r="J78" s="490">
        <v>164462.68</v>
      </c>
      <c r="K78" s="490">
        <v>177003.76</v>
      </c>
      <c r="L78" s="490">
        <v>11824.11</v>
      </c>
      <c r="M78" s="490">
        <v>294213.65999999997</v>
      </c>
      <c r="N78" s="300">
        <v>7.9899999999999999E-2</v>
      </c>
      <c r="O78" s="492">
        <v>0.2389</v>
      </c>
      <c r="P78" s="490">
        <v>0</v>
      </c>
      <c r="Q78" s="493">
        <v>0</v>
      </c>
      <c r="R78" s="493">
        <v>0</v>
      </c>
      <c r="S78" s="494">
        <v>0</v>
      </c>
      <c r="T78" s="495">
        <v>0</v>
      </c>
      <c r="U78" s="495">
        <v>0</v>
      </c>
      <c r="V78" s="490">
        <v>0</v>
      </c>
      <c r="W78" s="495">
        <v>0</v>
      </c>
      <c r="X78" s="495">
        <v>0</v>
      </c>
      <c r="Y78" s="490">
        <v>0</v>
      </c>
      <c r="Z78" s="490">
        <v>0</v>
      </c>
      <c r="AA78" s="490">
        <v>0</v>
      </c>
      <c r="AB78" s="490">
        <v>0</v>
      </c>
      <c r="AC78" s="490">
        <v>4095.9</v>
      </c>
      <c r="AD78" s="490">
        <v>0</v>
      </c>
      <c r="AE78" s="490">
        <v>0</v>
      </c>
      <c r="AF78" s="339">
        <v>0</v>
      </c>
      <c r="AG78" s="339">
        <v>0</v>
      </c>
      <c r="AH78" s="496">
        <v>0</v>
      </c>
      <c r="AI78" s="490">
        <v>0</v>
      </c>
      <c r="AJ78" s="490">
        <v>0</v>
      </c>
      <c r="AK78" s="339">
        <v>0</v>
      </c>
      <c r="AL78" s="339">
        <v>0</v>
      </c>
      <c r="AM78" s="496">
        <v>0</v>
      </c>
      <c r="AN78" s="495">
        <v>1994.16</v>
      </c>
      <c r="AO78" s="495">
        <v>0</v>
      </c>
      <c r="AP78" s="74"/>
      <c r="AQ78" s="303">
        <v>15423.309999999998</v>
      </c>
      <c r="AR78" s="303">
        <v>51658.7</v>
      </c>
      <c r="AS78" s="552">
        <v>20195.46</v>
      </c>
      <c r="AY78" s="67">
        <f t="shared" si="50"/>
        <v>0</v>
      </c>
      <c r="BA78" t="s">
        <v>871</v>
      </c>
      <c r="BB78" t="s">
        <v>177</v>
      </c>
      <c r="BC78" t="s">
        <v>931</v>
      </c>
      <c r="BD78" s="491">
        <v>7.9899999999999999E-2</v>
      </c>
      <c r="BE78" s="492">
        <v>0.2389</v>
      </c>
      <c r="BG78" s="510">
        <f t="shared" si="48"/>
        <v>0</v>
      </c>
      <c r="BH78" s="510">
        <f t="shared" si="49"/>
        <v>0</v>
      </c>
      <c r="BJ78" s="520">
        <f t="shared" si="51"/>
        <v>0</v>
      </c>
      <c r="BK78" s="520">
        <f t="shared" si="52"/>
        <v>0</v>
      </c>
      <c r="CB78" s="74"/>
      <c r="CC78" s="74"/>
      <c r="CD78" s="74"/>
      <c r="CE78" s="74"/>
      <c r="CF78" s="74"/>
    </row>
    <row r="79" spans="1:84">
      <c r="A79" s="283" t="s">
        <v>180</v>
      </c>
      <c r="B79" s="283" t="s">
        <v>179</v>
      </c>
      <c r="C79" s="283" t="str">
        <f t="shared" si="47"/>
        <v>17216 ENUMCLAW SCHOOL DISTRICT</v>
      </c>
      <c r="D79" s="490">
        <v>0</v>
      </c>
      <c r="E79" s="490">
        <v>53973.96</v>
      </c>
      <c r="F79" s="490">
        <v>0</v>
      </c>
      <c r="G79" s="490">
        <v>9632013.7599999998</v>
      </c>
      <c r="H79" s="490">
        <v>1602125.2</v>
      </c>
      <c r="I79" s="490">
        <v>0</v>
      </c>
      <c r="J79" s="490">
        <v>929439.96</v>
      </c>
      <c r="K79" s="490">
        <v>600577</v>
      </c>
      <c r="L79" s="490">
        <v>144864.44</v>
      </c>
      <c r="M79" s="490">
        <v>2987551.49</v>
      </c>
      <c r="N79" s="300">
        <v>3.7199999999999997E-2</v>
      </c>
      <c r="O79" s="492">
        <v>0.1532</v>
      </c>
      <c r="P79" s="490">
        <v>0</v>
      </c>
      <c r="Q79" s="493">
        <v>0</v>
      </c>
      <c r="R79" s="493">
        <v>0</v>
      </c>
      <c r="S79" s="494">
        <v>0</v>
      </c>
      <c r="T79" s="495">
        <v>0</v>
      </c>
      <c r="U79" s="495">
        <v>0</v>
      </c>
      <c r="V79" s="490">
        <v>0</v>
      </c>
      <c r="W79" s="495">
        <v>0</v>
      </c>
      <c r="X79" s="495">
        <v>0</v>
      </c>
      <c r="Y79" s="490">
        <v>5102.24</v>
      </c>
      <c r="Z79" s="490">
        <v>0</v>
      </c>
      <c r="AA79" s="490">
        <v>346708.14</v>
      </c>
      <c r="AB79" s="490">
        <v>709243.32</v>
      </c>
      <c r="AC79" s="490">
        <v>4375153.05</v>
      </c>
      <c r="AD79" s="490">
        <v>422.94</v>
      </c>
      <c r="AE79" s="490">
        <v>4087463.82</v>
      </c>
      <c r="AF79" s="339">
        <v>9664.4058731734985</v>
      </c>
      <c r="AG79" s="339">
        <v>10344.618740246844</v>
      </c>
      <c r="AH79" s="496">
        <v>680.21</v>
      </c>
      <c r="AI79" s="490">
        <v>70.680000000000007</v>
      </c>
      <c r="AJ79" s="490">
        <v>667480.30000000005</v>
      </c>
      <c r="AK79" s="339">
        <v>9443.6941143180538</v>
      </c>
      <c r="AL79" s="339">
        <v>10034.568760611204</v>
      </c>
      <c r="AM79" s="496">
        <v>590.87</v>
      </c>
      <c r="AN79" s="495">
        <v>6228.81</v>
      </c>
      <c r="AO79" s="495">
        <v>0</v>
      </c>
      <c r="AP79" s="74"/>
      <c r="AQ79" s="303">
        <v>301180.72999999986</v>
      </c>
      <c r="AR79" s="303">
        <v>505115.71</v>
      </c>
      <c r="AS79" s="552">
        <v>99962.54</v>
      </c>
      <c r="AY79" s="67">
        <f t="shared" si="50"/>
        <v>0</v>
      </c>
      <c r="BA79" t="s">
        <v>856</v>
      </c>
      <c r="BB79" t="s">
        <v>179</v>
      </c>
      <c r="BC79" t="s">
        <v>932</v>
      </c>
      <c r="BD79" s="491">
        <v>3.7199999999999997E-2</v>
      </c>
      <c r="BE79" s="492">
        <v>0.1532</v>
      </c>
      <c r="BG79" s="510">
        <f t="shared" si="48"/>
        <v>0</v>
      </c>
      <c r="BH79" s="510">
        <f t="shared" si="49"/>
        <v>0</v>
      </c>
      <c r="BJ79" s="520">
        <f t="shared" si="51"/>
        <v>0</v>
      </c>
      <c r="BK79" s="520">
        <f t="shared" si="52"/>
        <v>0</v>
      </c>
      <c r="CB79" s="74"/>
      <c r="CC79" s="74"/>
      <c r="CD79" s="74"/>
      <c r="CE79" s="74"/>
      <c r="CF79" s="74"/>
    </row>
    <row r="80" spans="1:84">
      <c r="A80" s="283" t="s">
        <v>182</v>
      </c>
      <c r="B80" s="283" t="s">
        <v>181</v>
      </c>
      <c r="C80" s="283" t="str">
        <f t="shared" si="47"/>
        <v>13165 EPHRATA SCHOOL DISTRICT</v>
      </c>
      <c r="D80" s="490">
        <v>169274.67</v>
      </c>
      <c r="E80" s="490">
        <v>77980.850000000006</v>
      </c>
      <c r="F80" s="490">
        <v>19967.509999999998</v>
      </c>
      <c r="G80" s="490">
        <v>3832288.07</v>
      </c>
      <c r="H80" s="490">
        <v>661711.80000000005</v>
      </c>
      <c r="I80" s="490">
        <v>841017.01</v>
      </c>
      <c r="J80" s="490">
        <v>1063417.8400000001</v>
      </c>
      <c r="K80" s="490">
        <v>689216.33</v>
      </c>
      <c r="L80" s="490">
        <v>83628.72</v>
      </c>
      <c r="M80" s="490">
        <v>1926008.07</v>
      </c>
      <c r="N80" s="300">
        <v>5.0900000000000001E-2</v>
      </c>
      <c r="O80" s="492">
        <v>0.1711</v>
      </c>
      <c r="P80" s="490">
        <v>0</v>
      </c>
      <c r="Q80" s="493">
        <v>0</v>
      </c>
      <c r="R80" s="493">
        <v>0</v>
      </c>
      <c r="S80" s="494">
        <v>0</v>
      </c>
      <c r="T80" s="495">
        <v>0</v>
      </c>
      <c r="U80" s="495">
        <v>0</v>
      </c>
      <c r="V80" s="490">
        <v>0</v>
      </c>
      <c r="W80" s="495">
        <v>0</v>
      </c>
      <c r="X80" s="495">
        <v>0</v>
      </c>
      <c r="Y80" s="490">
        <v>0</v>
      </c>
      <c r="Z80" s="490">
        <v>22079.57</v>
      </c>
      <c r="AA80" s="490">
        <v>93206.11</v>
      </c>
      <c r="AB80" s="490">
        <v>464836.4</v>
      </c>
      <c r="AC80" s="490">
        <v>2400753.58</v>
      </c>
      <c r="AD80" s="490">
        <v>251.67</v>
      </c>
      <c r="AE80" s="490">
        <v>2270561.46</v>
      </c>
      <c r="AF80" s="339">
        <v>9021.9790201454289</v>
      </c>
      <c r="AG80" s="339">
        <v>9539.2918504390673</v>
      </c>
      <c r="AH80" s="496">
        <v>517.30999999999995</v>
      </c>
      <c r="AI80" s="490">
        <v>49.68</v>
      </c>
      <c r="AJ80" s="490">
        <v>437551.89</v>
      </c>
      <c r="AK80" s="339">
        <v>8807.4051932367147</v>
      </c>
      <c r="AL80" s="339">
        <v>9356.6103059581328</v>
      </c>
      <c r="AM80" s="496">
        <v>549.21</v>
      </c>
      <c r="AN80" s="495">
        <v>3217.8</v>
      </c>
      <c r="AO80" s="495">
        <v>0</v>
      </c>
      <c r="AP80" s="74"/>
      <c r="AQ80" s="303">
        <v>0</v>
      </c>
      <c r="AR80" s="303">
        <v>301067.45</v>
      </c>
      <c r="AS80" s="552">
        <v>89733.76999999999</v>
      </c>
      <c r="AY80" s="67">
        <f t="shared" si="50"/>
        <v>0</v>
      </c>
      <c r="BA80" t="s">
        <v>871</v>
      </c>
      <c r="BB80" t="s">
        <v>181</v>
      </c>
      <c r="BC80" t="s">
        <v>933</v>
      </c>
      <c r="BD80" s="491">
        <v>5.0900000000000001E-2</v>
      </c>
      <c r="BE80" s="492">
        <v>0.1711</v>
      </c>
      <c r="BG80" s="510">
        <f t="shared" si="48"/>
        <v>0</v>
      </c>
      <c r="BH80" s="510">
        <f t="shared" si="49"/>
        <v>0</v>
      </c>
      <c r="BJ80" s="520">
        <f t="shared" si="51"/>
        <v>0</v>
      </c>
      <c r="BK80" s="520">
        <f t="shared" si="52"/>
        <v>0</v>
      </c>
      <c r="CB80" s="74"/>
      <c r="CC80" s="74"/>
      <c r="CD80" s="74"/>
      <c r="CE80" s="74"/>
      <c r="CF80" s="74"/>
    </row>
    <row r="81" spans="1:84">
      <c r="A81" s="283" t="s">
        <v>184</v>
      </c>
      <c r="B81" s="285" t="s">
        <v>183</v>
      </c>
      <c r="C81" s="286" t="str">
        <f>CONCATENATE(B81," ",A81)</f>
        <v>06701 ESA 112</v>
      </c>
      <c r="D81" s="490">
        <v>0</v>
      </c>
      <c r="E81" s="490">
        <v>0</v>
      </c>
      <c r="F81" s="490">
        <v>0</v>
      </c>
      <c r="G81" s="490">
        <v>22984177.16</v>
      </c>
      <c r="H81" s="490">
        <v>3013361.02</v>
      </c>
      <c r="I81" s="490">
        <v>0</v>
      </c>
      <c r="J81" s="490">
        <v>0</v>
      </c>
      <c r="K81" s="490">
        <v>0</v>
      </c>
      <c r="L81" s="490">
        <v>0</v>
      </c>
      <c r="M81" s="490">
        <v>0</v>
      </c>
      <c r="N81" s="300">
        <v>0</v>
      </c>
      <c r="O81" s="492">
        <v>0</v>
      </c>
      <c r="P81" s="490">
        <v>0</v>
      </c>
      <c r="Q81" s="493">
        <v>0</v>
      </c>
      <c r="R81" s="493">
        <v>0</v>
      </c>
      <c r="S81" s="494">
        <v>0</v>
      </c>
      <c r="T81" s="495">
        <v>0</v>
      </c>
      <c r="U81" s="495">
        <v>0</v>
      </c>
      <c r="V81" s="490">
        <v>0</v>
      </c>
      <c r="W81" s="495">
        <v>0</v>
      </c>
      <c r="X81" s="495">
        <v>0</v>
      </c>
      <c r="Y81" s="490">
        <v>0</v>
      </c>
      <c r="Z81" s="490">
        <v>0</v>
      </c>
      <c r="AA81" s="490">
        <v>0</v>
      </c>
      <c r="AB81" s="490">
        <v>0</v>
      </c>
      <c r="AC81" s="490">
        <v>0</v>
      </c>
      <c r="AD81" s="490">
        <v>0</v>
      </c>
      <c r="AE81" s="490">
        <v>0</v>
      </c>
      <c r="AF81" s="339">
        <v>0</v>
      </c>
      <c r="AG81" s="339">
        <v>0</v>
      </c>
      <c r="AH81" s="496">
        <v>0</v>
      </c>
      <c r="AI81" s="490">
        <v>0</v>
      </c>
      <c r="AJ81" s="490">
        <v>0</v>
      </c>
      <c r="AK81" s="339">
        <v>0</v>
      </c>
      <c r="AL81" s="339">
        <v>0</v>
      </c>
      <c r="AM81" s="496">
        <v>0</v>
      </c>
      <c r="AN81" s="495">
        <v>0</v>
      </c>
      <c r="AO81" s="495">
        <v>0</v>
      </c>
      <c r="AP81" s="74"/>
      <c r="AQ81" s="303">
        <v>0</v>
      </c>
      <c r="AR81" s="303"/>
      <c r="AS81" s="552"/>
      <c r="AY81" s="67">
        <f t="shared" si="50"/>
        <v>0</v>
      </c>
      <c r="BA81"/>
      <c r="BB81" s="508" t="s">
        <v>183</v>
      </c>
      <c r="BC81"/>
      <c r="BD81" s="491">
        <v>0</v>
      </c>
      <c r="BE81" s="492">
        <v>0</v>
      </c>
      <c r="BG81" s="510">
        <f t="shared" si="48"/>
        <v>0</v>
      </c>
      <c r="BH81" s="510">
        <f t="shared" si="49"/>
        <v>0</v>
      </c>
      <c r="BJ81" s="520">
        <f t="shared" si="51"/>
        <v>0</v>
      </c>
      <c r="BK81" s="520">
        <f t="shared" si="52"/>
        <v>0</v>
      </c>
      <c r="CB81" s="74"/>
      <c r="CC81" s="74"/>
      <c r="CD81" s="74"/>
      <c r="CE81" s="74"/>
      <c r="CF81" s="74"/>
    </row>
    <row r="82" spans="1:84">
      <c r="A82" s="283" t="s">
        <v>186</v>
      </c>
      <c r="B82" s="283" t="s">
        <v>185</v>
      </c>
      <c r="C82" s="286" t="str">
        <f>CONCATENATE(B82," ",A82)</f>
        <v>32801 ESD 101</v>
      </c>
      <c r="D82" s="490">
        <v>0</v>
      </c>
      <c r="E82" s="490">
        <v>0</v>
      </c>
      <c r="F82" s="490">
        <v>0</v>
      </c>
      <c r="G82" s="490">
        <v>0</v>
      </c>
      <c r="H82" s="490">
        <v>0</v>
      </c>
      <c r="I82" s="490">
        <v>0</v>
      </c>
      <c r="J82" s="490">
        <v>0</v>
      </c>
      <c r="K82" s="490">
        <v>0</v>
      </c>
      <c r="L82" s="490">
        <v>0</v>
      </c>
      <c r="M82" s="490">
        <v>0</v>
      </c>
      <c r="N82" s="300">
        <v>0</v>
      </c>
      <c r="O82" s="492">
        <v>0</v>
      </c>
      <c r="P82" s="490">
        <v>0</v>
      </c>
      <c r="Q82" s="493">
        <v>0</v>
      </c>
      <c r="R82" s="493">
        <v>0</v>
      </c>
      <c r="S82" s="494">
        <v>909271.42999999993</v>
      </c>
      <c r="T82" s="495">
        <v>90827.459999999846</v>
      </c>
      <c r="U82" s="495">
        <v>29084.89</v>
      </c>
      <c r="V82" s="490">
        <v>0</v>
      </c>
      <c r="W82" s="495">
        <v>0</v>
      </c>
      <c r="X82" s="495">
        <v>0</v>
      </c>
      <c r="Y82" s="490">
        <v>0</v>
      </c>
      <c r="Z82" s="490">
        <v>0</v>
      </c>
      <c r="AA82" s="490">
        <v>0</v>
      </c>
      <c r="AB82" s="490">
        <v>0</v>
      </c>
      <c r="AC82" s="490">
        <v>0</v>
      </c>
      <c r="AD82" s="490">
        <v>0</v>
      </c>
      <c r="AE82" s="490">
        <v>0</v>
      </c>
      <c r="AF82" s="339">
        <v>0</v>
      </c>
      <c r="AG82" s="339">
        <v>0</v>
      </c>
      <c r="AH82" s="496">
        <v>0</v>
      </c>
      <c r="AI82" s="490">
        <v>0</v>
      </c>
      <c r="AJ82" s="490">
        <v>0</v>
      </c>
      <c r="AK82" s="339">
        <v>0</v>
      </c>
      <c r="AL82" s="339">
        <v>0</v>
      </c>
      <c r="AM82" s="496">
        <v>0</v>
      </c>
      <c r="AN82" s="495">
        <v>0</v>
      </c>
      <c r="AO82" s="495">
        <v>0</v>
      </c>
      <c r="AP82" s="74"/>
      <c r="AQ82" s="303">
        <v>0</v>
      </c>
      <c r="AR82" s="303"/>
      <c r="AS82" s="552"/>
      <c r="AY82" s="67">
        <f t="shared" si="50"/>
        <v>0</v>
      </c>
      <c r="BA82"/>
      <c r="BB82" s="286" t="s">
        <v>185</v>
      </c>
      <c r="BC82"/>
      <c r="BD82" s="491">
        <v>0</v>
      </c>
      <c r="BE82" s="492">
        <v>0</v>
      </c>
      <c r="BG82" s="510">
        <f t="shared" si="48"/>
        <v>0</v>
      </c>
      <c r="BH82" s="510">
        <f t="shared" si="49"/>
        <v>0</v>
      </c>
      <c r="BJ82" s="520">
        <f t="shared" si="51"/>
        <v>0</v>
      </c>
      <c r="BK82" s="520">
        <f t="shared" si="52"/>
        <v>0</v>
      </c>
      <c r="CB82" s="74"/>
      <c r="CC82" s="74"/>
      <c r="CD82" s="74"/>
      <c r="CE82" s="74"/>
      <c r="CF82" s="74"/>
    </row>
    <row r="83" spans="1:84">
      <c r="A83" s="283" t="s">
        <v>188</v>
      </c>
      <c r="B83" s="285" t="s">
        <v>187</v>
      </c>
      <c r="C83" s="286" t="str">
        <f>CONCATENATE(B83," ",A83)</f>
        <v>39801 ESD 105</v>
      </c>
      <c r="D83" s="490">
        <v>0</v>
      </c>
      <c r="E83" s="490">
        <v>0</v>
      </c>
      <c r="F83" s="490">
        <v>0</v>
      </c>
      <c r="G83" s="490">
        <v>0</v>
      </c>
      <c r="H83" s="490">
        <v>0</v>
      </c>
      <c r="I83" s="490">
        <v>0</v>
      </c>
      <c r="J83" s="490">
        <v>0</v>
      </c>
      <c r="K83" s="490">
        <v>0</v>
      </c>
      <c r="L83" s="490">
        <v>0</v>
      </c>
      <c r="M83" s="490">
        <v>2047728.79</v>
      </c>
      <c r="N83" s="300">
        <v>0</v>
      </c>
      <c r="O83" s="492">
        <v>0</v>
      </c>
      <c r="P83" s="490">
        <v>0</v>
      </c>
      <c r="Q83" s="493">
        <v>0</v>
      </c>
      <c r="R83" s="493">
        <v>0</v>
      </c>
      <c r="S83" s="494">
        <v>0</v>
      </c>
      <c r="T83" s="495">
        <v>0</v>
      </c>
      <c r="U83" s="495">
        <v>0</v>
      </c>
      <c r="V83" s="490">
        <v>0</v>
      </c>
      <c r="W83" s="495">
        <v>0</v>
      </c>
      <c r="X83" s="495">
        <v>0</v>
      </c>
      <c r="Y83" s="490">
        <v>0</v>
      </c>
      <c r="Z83" s="490">
        <v>0</v>
      </c>
      <c r="AA83" s="490">
        <v>0</v>
      </c>
      <c r="AB83" s="490">
        <v>0</v>
      </c>
      <c r="AC83" s="490">
        <v>0</v>
      </c>
      <c r="AD83" s="490">
        <v>0</v>
      </c>
      <c r="AE83" s="490">
        <v>0</v>
      </c>
      <c r="AF83" s="339">
        <v>0</v>
      </c>
      <c r="AG83" s="339">
        <v>0</v>
      </c>
      <c r="AH83" s="496">
        <v>0</v>
      </c>
      <c r="AI83" s="490">
        <v>0</v>
      </c>
      <c r="AJ83" s="490">
        <v>0</v>
      </c>
      <c r="AK83" s="339">
        <v>0</v>
      </c>
      <c r="AL83" s="339">
        <v>0</v>
      </c>
      <c r="AM83" s="496">
        <v>0</v>
      </c>
      <c r="AN83" s="495">
        <v>0</v>
      </c>
      <c r="AO83" s="495">
        <v>0</v>
      </c>
      <c r="AP83" s="74"/>
      <c r="AQ83" s="303">
        <v>0</v>
      </c>
      <c r="AR83" s="303"/>
      <c r="AS83" s="552"/>
      <c r="AY83" s="67">
        <f t="shared" si="50"/>
        <v>0</v>
      </c>
      <c r="BA83"/>
      <c r="BB83" s="508" t="s">
        <v>187</v>
      </c>
      <c r="BC83"/>
      <c r="BD83" s="491">
        <v>0</v>
      </c>
      <c r="BE83" s="492">
        <v>0</v>
      </c>
      <c r="BG83" s="510">
        <f t="shared" si="48"/>
        <v>0</v>
      </c>
      <c r="BH83" s="510">
        <f t="shared" si="49"/>
        <v>0</v>
      </c>
      <c r="BJ83" s="520">
        <f t="shared" si="51"/>
        <v>0</v>
      </c>
      <c r="BK83" s="520">
        <f t="shared" si="52"/>
        <v>0</v>
      </c>
      <c r="CB83" s="74"/>
      <c r="CC83" s="74"/>
      <c r="CD83" s="74"/>
      <c r="CE83" s="74"/>
      <c r="CF83" s="74"/>
    </row>
    <row r="84" spans="1:84">
      <c r="A84" s="283" t="s">
        <v>190</v>
      </c>
      <c r="B84" s="285" t="s">
        <v>189</v>
      </c>
      <c r="C84" s="286" t="str">
        <f>CONCATENATE(B84," ",A84)</f>
        <v>06801 ESD 112</v>
      </c>
      <c r="D84" s="490">
        <v>0</v>
      </c>
      <c r="E84" s="490">
        <v>0</v>
      </c>
      <c r="F84" s="490">
        <v>0</v>
      </c>
      <c r="G84" s="490">
        <v>0</v>
      </c>
      <c r="H84" s="490">
        <v>0</v>
      </c>
      <c r="I84" s="490">
        <v>0</v>
      </c>
      <c r="J84" s="490">
        <v>0</v>
      </c>
      <c r="K84" s="490">
        <v>0</v>
      </c>
      <c r="L84" s="490">
        <v>0</v>
      </c>
      <c r="M84" s="490">
        <v>5407717.7199999997</v>
      </c>
      <c r="N84" s="300">
        <v>0</v>
      </c>
      <c r="O84" s="492">
        <v>0</v>
      </c>
      <c r="P84" s="490">
        <v>0</v>
      </c>
      <c r="Q84" s="493">
        <v>0</v>
      </c>
      <c r="R84" s="493">
        <v>0</v>
      </c>
      <c r="S84" s="494">
        <v>737546.35</v>
      </c>
      <c r="T84" s="495">
        <v>0</v>
      </c>
      <c r="U84" s="495">
        <v>23591.91</v>
      </c>
      <c r="V84" s="490">
        <v>0</v>
      </c>
      <c r="W84" s="495">
        <v>0</v>
      </c>
      <c r="X84" s="495">
        <v>0</v>
      </c>
      <c r="Y84" s="490">
        <v>0</v>
      </c>
      <c r="Z84" s="490">
        <v>0</v>
      </c>
      <c r="AA84" s="490">
        <v>0</v>
      </c>
      <c r="AB84" s="490">
        <v>0</v>
      </c>
      <c r="AC84" s="490">
        <v>0</v>
      </c>
      <c r="AD84" s="490">
        <v>0</v>
      </c>
      <c r="AE84" s="490">
        <v>0</v>
      </c>
      <c r="AF84" s="339">
        <v>0</v>
      </c>
      <c r="AG84" s="339">
        <v>0</v>
      </c>
      <c r="AH84" s="496">
        <v>0</v>
      </c>
      <c r="AI84" s="490">
        <v>0</v>
      </c>
      <c r="AJ84" s="490">
        <v>0</v>
      </c>
      <c r="AK84" s="339">
        <v>0</v>
      </c>
      <c r="AL84" s="339">
        <v>0</v>
      </c>
      <c r="AM84" s="496">
        <v>0</v>
      </c>
      <c r="AN84" s="495">
        <v>0</v>
      </c>
      <c r="AO84" s="495">
        <v>0</v>
      </c>
      <c r="AP84" s="74"/>
      <c r="AQ84" s="303">
        <v>0</v>
      </c>
      <c r="AR84" s="303">
        <v>0</v>
      </c>
      <c r="AS84" s="552"/>
      <c r="AY84" s="67">
        <f t="shared" si="50"/>
        <v>0</v>
      </c>
      <c r="BA84"/>
      <c r="BB84" s="508" t="s">
        <v>189</v>
      </c>
      <c r="BC84"/>
      <c r="BD84" s="491">
        <v>0</v>
      </c>
      <c r="BE84" s="492">
        <v>0</v>
      </c>
      <c r="BG84" s="510">
        <f t="shared" si="48"/>
        <v>0</v>
      </c>
      <c r="BH84" s="510">
        <f t="shared" si="49"/>
        <v>0</v>
      </c>
      <c r="BJ84" s="520">
        <f t="shared" si="51"/>
        <v>0</v>
      </c>
      <c r="BK84" s="520">
        <f t="shared" si="52"/>
        <v>0</v>
      </c>
      <c r="CB84" s="74"/>
      <c r="CC84" s="74"/>
      <c r="CD84" s="74"/>
      <c r="CE84" s="74"/>
      <c r="CF84" s="74"/>
    </row>
    <row r="85" spans="1:84">
      <c r="A85" s="283" t="s">
        <v>192</v>
      </c>
      <c r="B85" s="283" t="s">
        <v>191</v>
      </c>
      <c r="C85" s="286" t="str">
        <f>CONCATENATE(B85," CAPITAL REGION ",A85)</f>
        <v>34801 CAPITAL REGION ESD 113</v>
      </c>
      <c r="D85" s="490">
        <v>0</v>
      </c>
      <c r="E85" s="490">
        <v>0</v>
      </c>
      <c r="F85" s="490">
        <v>0</v>
      </c>
      <c r="G85" s="490">
        <v>0</v>
      </c>
      <c r="H85" s="490">
        <v>0</v>
      </c>
      <c r="I85" s="490">
        <v>0</v>
      </c>
      <c r="J85" s="490">
        <v>0</v>
      </c>
      <c r="K85" s="490">
        <v>0</v>
      </c>
      <c r="L85" s="490">
        <v>0</v>
      </c>
      <c r="M85" s="490">
        <v>809118.08</v>
      </c>
      <c r="N85" s="300">
        <v>0</v>
      </c>
      <c r="O85" s="492">
        <v>0</v>
      </c>
      <c r="P85" s="490">
        <v>0</v>
      </c>
      <c r="Q85" s="493">
        <v>0</v>
      </c>
      <c r="R85" s="493">
        <v>0</v>
      </c>
      <c r="S85" s="494">
        <v>0</v>
      </c>
      <c r="T85" s="495">
        <v>0</v>
      </c>
      <c r="U85" s="495">
        <v>0</v>
      </c>
      <c r="V85" s="490">
        <v>0</v>
      </c>
      <c r="W85" s="495">
        <v>0</v>
      </c>
      <c r="X85" s="495">
        <v>0</v>
      </c>
      <c r="Y85" s="490">
        <v>0</v>
      </c>
      <c r="Z85" s="490">
        <v>0</v>
      </c>
      <c r="AA85" s="490">
        <v>0</v>
      </c>
      <c r="AB85" s="490">
        <v>0</v>
      </c>
      <c r="AC85" s="490">
        <v>0</v>
      </c>
      <c r="AD85" s="490">
        <v>0</v>
      </c>
      <c r="AE85" s="490">
        <v>0</v>
      </c>
      <c r="AF85" s="339">
        <v>0</v>
      </c>
      <c r="AG85" s="339">
        <v>0</v>
      </c>
      <c r="AH85" s="496">
        <v>0</v>
      </c>
      <c r="AI85" s="490">
        <v>0</v>
      </c>
      <c r="AJ85" s="490">
        <v>0</v>
      </c>
      <c r="AK85" s="339">
        <v>0</v>
      </c>
      <c r="AL85" s="339">
        <v>0</v>
      </c>
      <c r="AM85" s="496">
        <v>0</v>
      </c>
      <c r="AN85" s="495">
        <v>0</v>
      </c>
      <c r="AO85" s="495">
        <v>0</v>
      </c>
      <c r="AP85" s="74"/>
      <c r="AQ85" s="303">
        <v>0</v>
      </c>
      <c r="AR85" s="303"/>
      <c r="AS85" s="552"/>
      <c r="AY85" s="67">
        <f t="shared" si="50"/>
        <v>0</v>
      </c>
      <c r="BA85"/>
      <c r="BB85" s="286" t="s">
        <v>191</v>
      </c>
      <c r="BC85"/>
      <c r="BD85" s="491">
        <v>0</v>
      </c>
      <c r="BE85" s="492">
        <v>0</v>
      </c>
      <c r="BG85" s="510">
        <f t="shared" si="48"/>
        <v>0</v>
      </c>
      <c r="BH85" s="510">
        <f t="shared" si="49"/>
        <v>0</v>
      </c>
      <c r="BJ85" s="520">
        <f t="shared" si="51"/>
        <v>0</v>
      </c>
      <c r="BK85" s="520">
        <f t="shared" si="52"/>
        <v>0</v>
      </c>
      <c r="CB85" s="74"/>
      <c r="CC85" s="74"/>
      <c r="CD85" s="74"/>
      <c r="CE85" s="74"/>
      <c r="CF85" s="74"/>
    </row>
    <row r="86" spans="1:84">
      <c r="A86" s="283" t="s">
        <v>194</v>
      </c>
      <c r="B86" s="285" t="s">
        <v>193</v>
      </c>
      <c r="C86" s="286" t="str">
        <f>CONCATENATE(B86," OLYMPIC ",A86)</f>
        <v>18801 OLYMPIC ESD 114</v>
      </c>
      <c r="D86" s="490">
        <v>0</v>
      </c>
      <c r="E86" s="490">
        <v>0</v>
      </c>
      <c r="F86" s="490">
        <v>0</v>
      </c>
      <c r="G86" s="490">
        <v>0</v>
      </c>
      <c r="H86" s="490">
        <v>0</v>
      </c>
      <c r="I86" s="490">
        <v>0</v>
      </c>
      <c r="J86" s="490">
        <v>0</v>
      </c>
      <c r="K86" s="490">
        <v>0</v>
      </c>
      <c r="L86" s="490">
        <v>0</v>
      </c>
      <c r="M86" s="490">
        <v>0</v>
      </c>
      <c r="N86" s="300">
        <v>0</v>
      </c>
      <c r="O86" s="492">
        <v>0</v>
      </c>
      <c r="P86" s="490">
        <v>0</v>
      </c>
      <c r="Q86" s="493">
        <v>0</v>
      </c>
      <c r="R86" s="493">
        <v>0</v>
      </c>
      <c r="S86" s="494">
        <v>325940.58</v>
      </c>
      <c r="T86" s="495">
        <v>3511.7799999999697</v>
      </c>
      <c r="U86" s="495">
        <v>11409.07</v>
      </c>
      <c r="V86" s="490">
        <v>0</v>
      </c>
      <c r="W86" s="495">
        <v>0</v>
      </c>
      <c r="X86" s="495">
        <v>0</v>
      </c>
      <c r="Y86" s="490">
        <v>0</v>
      </c>
      <c r="Z86" s="490">
        <v>0</v>
      </c>
      <c r="AA86" s="490">
        <v>0</v>
      </c>
      <c r="AB86" s="490">
        <v>0</v>
      </c>
      <c r="AC86" s="490">
        <v>0</v>
      </c>
      <c r="AD86" s="490">
        <v>0</v>
      </c>
      <c r="AE86" s="490">
        <v>0</v>
      </c>
      <c r="AF86" s="339">
        <v>0</v>
      </c>
      <c r="AG86" s="339">
        <v>0</v>
      </c>
      <c r="AH86" s="496">
        <v>0</v>
      </c>
      <c r="AI86" s="490">
        <v>0</v>
      </c>
      <c r="AJ86" s="490">
        <v>0</v>
      </c>
      <c r="AK86" s="339">
        <v>0</v>
      </c>
      <c r="AL86" s="339">
        <v>0</v>
      </c>
      <c r="AM86" s="496">
        <v>0</v>
      </c>
      <c r="AN86" s="495">
        <v>0</v>
      </c>
      <c r="AO86" s="495">
        <v>0</v>
      </c>
      <c r="AP86" s="74"/>
      <c r="AQ86" s="303">
        <v>0</v>
      </c>
      <c r="AR86" s="303"/>
      <c r="AS86" s="552"/>
      <c r="AY86" s="67">
        <f t="shared" si="50"/>
        <v>0</v>
      </c>
      <c r="BA86"/>
      <c r="BB86" s="508" t="s">
        <v>193</v>
      </c>
      <c r="BC86"/>
      <c r="BD86" s="491">
        <v>0</v>
      </c>
      <c r="BE86" s="492">
        <v>0</v>
      </c>
      <c r="BG86" s="510">
        <f t="shared" si="48"/>
        <v>0</v>
      </c>
      <c r="BH86" s="510">
        <f t="shared" si="49"/>
        <v>0</v>
      </c>
      <c r="BJ86" s="520">
        <f t="shared" si="51"/>
        <v>0</v>
      </c>
      <c r="BK86" s="520">
        <f t="shared" si="52"/>
        <v>0</v>
      </c>
      <c r="CB86" s="74"/>
      <c r="CC86" s="74"/>
      <c r="CD86" s="74"/>
      <c r="CE86" s="74"/>
      <c r="CF86" s="74"/>
    </row>
    <row r="87" spans="1:84">
      <c r="A87" s="283" t="s">
        <v>196</v>
      </c>
      <c r="B87" s="285" t="s">
        <v>195</v>
      </c>
      <c r="C87" s="286" t="str">
        <f>CONCATENATE(B87," PUGET SOUND ",A87)</f>
        <v>17801 PUGET SOUND ESD 121</v>
      </c>
      <c r="D87" s="490">
        <v>0</v>
      </c>
      <c r="E87" s="490">
        <v>0</v>
      </c>
      <c r="F87" s="490">
        <v>0</v>
      </c>
      <c r="G87" s="490">
        <v>0</v>
      </c>
      <c r="H87" s="490">
        <v>0</v>
      </c>
      <c r="I87" s="490">
        <v>0</v>
      </c>
      <c r="J87" s="490">
        <v>0</v>
      </c>
      <c r="K87" s="490">
        <v>0</v>
      </c>
      <c r="L87" s="490">
        <v>0</v>
      </c>
      <c r="M87" s="490">
        <v>1866640.6</v>
      </c>
      <c r="N87" s="300">
        <v>0</v>
      </c>
      <c r="O87" s="492">
        <v>0</v>
      </c>
      <c r="P87" s="490">
        <v>0</v>
      </c>
      <c r="Q87" s="493">
        <v>0</v>
      </c>
      <c r="R87" s="493">
        <v>0</v>
      </c>
      <c r="S87" s="494">
        <v>0</v>
      </c>
      <c r="T87" s="495">
        <v>0</v>
      </c>
      <c r="U87" s="495">
        <v>0</v>
      </c>
      <c r="V87" s="490">
        <v>0</v>
      </c>
      <c r="W87" s="495">
        <v>0</v>
      </c>
      <c r="X87" s="495">
        <v>0</v>
      </c>
      <c r="Y87" s="490">
        <v>0</v>
      </c>
      <c r="Z87" s="490">
        <v>0</v>
      </c>
      <c r="AA87" s="490">
        <v>0</v>
      </c>
      <c r="AB87" s="490">
        <v>0</v>
      </c>
      <c r="AC87" s="490">
        <v>0</v>
      </c>
      <c r="AD87" s="490">
        <v>0</v>
      </c>
      <c r="AE87" s="490">
        <v>0</v>
      </c>
      <c r="AF87" s="339">
        <v>0</v>
      </c>
      <c r="AG87" s="339">
        <v>0</v>
      </c>
      <c r="AH87" s="496">
        <v>0</v>
      </c>
      <c r="AI87" s="490">
        <v>0</v>
      </c>
      <c r="AJ87" s="490">
        <v>0</v>
      </c>
      <c r="AK87" s="339">
        <v>0</v>
      </c>
      <c r="AL87" s="339">
        <v>0</v>
      </c>
      <c r="AM87" s="496">
        <v>0</v>
      </c>
      <c r="AN87" s="495">
        <v>0</v>
      </c>
      <c r="AO87" s="495">
        <v>0</v>
      </c>
      <c r="AP87" s="74"/>
      <c r="AQ87" s="303">
        <v>0</v>
      </c>
      <c r="AR87" s="303"/>
      <c r="AS87" s="552"/>
      <c r="AY87" s="67">
        <f t="shared" si="50"/>
        <v>0</v>
      </c>
      <c r="BA87"/>
      <c r="BB87" s="508" t="s">
        <v>195</v>
      </c>
      <c r="BC87"/>
      <c r="BD87" s="491">
        <v>0</v>
      </c>
      <c r="BE87" s="492">
        <v>0</v>
      </c>
      <c r="BG87" s="510">
        <f t="shared" si="48"/>
        <v>0</v>
      </c>
      <c r="BH87" s="510">
        <f t="shared" si="49"/>
        <v>0</v>
      </c>
      <c r="BJ87" s="520">
        <f t="shared" si="51"/>
        <v>0</v>
      </c>
      <c r="BK87" s="520">
        <f t="shared" si="52"/>
        <v>0</v>
      </c>
      <c r="CB87" s="74"/>
      <c r="CC87" s="74"/>
      <c r="CD87" s="74"/>
      <c r="CE87" s="74"/>
      <c r="CF87" s="74"/>
    </row>
    <row r="88" spans="1:84">
      <c r="A88" s="283" t="s">
        <v>198</v>
      </c>
      <c r="B88" s="285" t="s">
        <v>197</v>
      </c>
      <c r="C88" s="286" t="str">
        <f>CONCATENATE(B88," ",A88)</f>
        <v>11801 ESD 123</v>
      </c>
      <c r="D88" s="490">
        <v>0</v>
      </c>
      <c r="E88" s="490">
        <v>0</v>
      </c>
      <c r="F88" s="490">
        <v>0</v>
      </c>
      <c r="G88" s="490">
        <v>0</v>
      </c>
      <c r="H88" s="490">
        <v>0</v>
      </c>
      <c r="I88" s="490">
        <v>0</v>
      </c>
      <c r="J88" s="490">
        <v>0</v>
      </c>
      <c r="K88" s="490">
        <v>0</v>
      </c>
      <c r="L88" s="490">
        <v>0</v>
      </c>
      <c r="M88" s="490">
        <v>0</v>
      </c>
      <c r="N88" s="300">
        <v>0</v>
      </c>
      <c r="O88" s="492">
        <v>0</v>
      </c>
      <c r="P88" s="490">
        <v>0</v>
      </c>
      <c r="Q88" s="493">
        <v>0</v>
      </c>
      <c r="R88" s="493">
        <v>0</v>
      </c>
      <c r="S88" s="494">
        <v>0</v>
      </c>
      <c r="T88" s="495">
        <v>0</v>
      </c>
      <c r="U88" s="495">
        <v>0</v>
      </c>
      <c r="V88" s="490">
        <v>0</v>
      </c>
      <c r="W88" s="495">
        <v>0</v>
      </c>
      <c r="X88" s="495">
        <v>0</v>
      </c>
      <c r="Y88" s="490">
        <v>0</v>
      </c>
      <c r="Z88" s="490">
        <v>0</v>
      </c>
      <c r="AA88" s="490">
        <v>0</v>
      </c>
      <c r="AB88" s="490">
        <v>0</v>
      </c>
      <c r="AC88" s="490">
        <v>0</v>
      </c>
      <c r="AD88" s="490">
        <v>0</v>
      </c>
      <c r="AE88" s="490">
        <v>0</v>
      </c>
      <c r="AF88" s="339">
        <v>0</v>
      </c>
      <c r="AG88" s="339">
        <v>0</v>
      </c>
      <c r="AH88" s="496">
        <v>0</v>
      </c>
      <c r="AI88" s="490">
        <v>0</v>
      </c>
      <c r="AJ88" s="490">
        <v>0</v>
      </c>
      <c r="AK88" s="339">
        <v>0</v>
      </c>
      <c r="AL88" s="339">
        <v>0</v>
      </c>
      <c r="AM88" s="496">
        <v>0</v>
      </c>
      <c r="AN88" s="495">
        <v>0</v>
      </c>
      <c r="AO88" s="495">
        <v>0</v>
      </c>
      <c r="AP88" s="74"/>
      <c r="AQ88" s="303">
        <v>0</v>
      </c>
      <c r="AR88" s="303"/>
      <c r="AS88" s="552"/>
      <c r="AY88" s="67">
        <f t="shared" si="50"/>
        <v>0</v>
      </c>
      <c r="BA88"/>
      <c r="BB88" s="508" t="s">
        <v>197</v>
      </c>
      <c r="BC88"/>
      <c r="BD88" s="491">
        <v>0</v>
      </c>
      <c r="BE88" s="492">
        <v>0</v>
      </c>
      <c r="BG88" s="510">
        <f t="shared" si="48"/>
        <v>0</v>
      </c>
      <c r="BH88" s="510">
        <f t="shared" si="49"/>
        <v>0</v>
      </c>
      <c r="BJ88" s="520">
        <f t="shared" si="51"/>
        <v>0</v>
      </c>
      <c r="BK88" s="520">
        <f t="shared" si="52"/>
        <v>0</v>
      </c>
      <c r="CB88" s="74"/>
      <c r="CC88" s="74"/>
      <c r="CD88" s="74"/>
      <c r="CE88" s="74"/>
      <c r="CF88" s="74"/>
    </row>
    <row r="89" spans="1:84">
      <c r="A89" s="283" t="s">
        <v>200</v>
      </c>
      <c r="B89" s="285" t="s">
        <v>199</v>
      </c>
      <c r="C89" s="286" t="str">
        <f>CONCATENATE(B89," ",A89)</f>
        <v>04801 ESD 171</v>
      </c>
      <c r="D89" s="490">
        <v>0</v>
      </c>
      <c r="E89" s="490">
        <v>0</v>
      </c>
      <c r="F89" s="490">
        <v>0</v>
      </c>
      <c r="G89" s="490">
        <v>0</v>
      </c>
      <c r="H89" s="490">
        <v>0</v>
      </c>
      <c r="I89" s="490">
        <v>0</v>
      </c>
      <c r="J89" s="490">
        <v>0</v>
      </c>
      <c r="K89" s="490">
        <v>0</v>
      </c>
      <c r="L89" s="490">
        <v>0</v>
      </c>
      <c r="M89" s="490">
        <v>0</v>
      </c>
      <c r="N89" s="300">
        <v>0</v>
      </c>
      <c r="O89" s="492">
        <v>0</v>
      </c>
      <c r="P89" s="490">
        <v>0</v>
      </c>
      <c r="Q89" s="493">
        <v>0</v>
      </c>
      <c r="R89" s="493">
        <v>0</v>
      </c>
      <c r="S89" s="494">
        <v>0</v>
      </c>
      <c r="T89" s="495">
        <v>0</v>
      </c>
      <c r="U89" s="495">
        <v>0</v>
      </c>
      <c r="V89" s="490">
        <v>0</v>
      </c>
      <c r="W89" s="495">
        <v>0</v>
      </c>
      <c r="X89" s="495">
        <v>0</v>
      </c>
      <c r="Y89" s="490">
        <v>0</v>
      </c>
      <c r="Z89" s="490">
        <v>0</v>
      </c>
      <c r="AA89" s="490">
        <v>0</v>
      </c>
      <c r="AB89" s="490">
        <v>0</v>
      </c>
      <c r="AC89" s="490">
        <v>0</v>
      </c>
      <c r="AD89" s="490">
        <v>0</v>
      </c>
      <c r="AE89" s="490">
        <v>0</v>
      </c>
      <c r="AF89" s="339">
        <v>0</v>
      </c>
      <c r="AG89" s="339">
        <v>0</v>
      </c>
      <c r="AH89" s="496">
        <v>0</v>
      </c>
      <c r="AI89" s="490">
        <v>0</v>
      </c>
      <c r="AJ89" s="490">
        <v>0</v>
      </c>
      <c r="AK89" s="339">
        <v>0</v>
      </c>
      <c r="AL89" s="339">
        <v>0</v>
      </c>
      <c r="AM89" s="496">
        <v>0</v>
      </c>
      <c r="AN89" s="495">
        <v>0</v>
      </c>
      <c r="AO89" s="495">
        <v>0</v>
      </c>
      <c r="AP89" s="74"/>
      <c r="AQ89" s="303">
        <v>0</v>
      </c>
      <c r="AR89" s="303">
        <v>0</v>
      </c>
      <c r="AS89" s="552"/>
      <c r="AY89" s="67">
        <f t="shared" si="50"/>
        <v>0</v>
      </c>
      <c r="BA89"/>
      <c r="BB89" s="508" t="s">
        <v>199</v>
      </c>
      <c r="BC89"/>
      <c r="BD89" s="491">
        <v>0</v>
      </c>
      <c r="BE89" s="492">
        <v>0</v>
      </c>
      <c r="BG89" s="510">
        <f t="shared" si="48"/>
        <v>0</v>
      </c>
      <c r="BH89" s="510">
        <f t="shared" si="49"/>
        <v>0</v>
      </c>
      <c r="BJ89" s="520">
        <f t="shared" si="51"/>
        <v>0</v>
      </c>
      <c r="BK89" s="520">
        <f t="shared" si="52"/>
        <v>0</v>
      </c>
      <c r="CB89" s="74"/>
      <c r="CC89" s="74"/>
      <c r="CD89" s="74"/>
      <c r="CE89" s="74"/>
      <c r="CF89" s="74"/>
    </row>
    <row r="90" spans="1:84">
      <c r="A90" s="283" t="s">
        <v>202</v>
      </c>
      <c r="B90" s="283" t="s">
        <v>201</v>
      </c>
      <c r="C90" s="286" t="str">
        <f>CONCATENATE(B90," NORTHWEST ",A90)</f>
        <v>29801 NORTHWEST ESD 189</v>
      </c>
      <c r="D90" s="490">
        <v>0</v>
      </c>
      <c r="E90" s="490">
        <v>0</v>
      </c>
      <c r="F90" s="490">
        <v>0</v>
      </c>
      <c r="G90" s="490">
        <v>0</v>
      </c>
      <c r="H90" s="490">
        <v>0</v>
      </c>
      <c r="I90" s="490">
        <v>0</v>
      </c>
      <c r="J90" s="490">
        <v>0</v>
      </c>
      <c r="K90" s="490">
        <v>0</v>
      </c>
      <c r="L90" s="490">
        <v>0</v>
      </c>
      <c r="M90" s="490">
        <v>0</v>
      </c>
      <c r="N90" s="300">
        <v>0</v>
      </c>
      <c r="O90" s="492">
        <v>0</v>
      </c>
      <c r="P90" s="490">
        <v>0</v>
      </c>
      <c r="Q90" s="493">
        <v>0</v>
      </c>
      <c r="R90" s="493">
        <v>0</v>
      </c>
      <c r="S90" s="494">
        <v>586183.44999999995</v>
      </c>
      <c r="T90" s="495">
        <v>7529.0900000000838</v>
      </c>
      <c r="U90" s="495">
        <v>20225.75</v>
      </c>
      <c r="V90" s="490">
        <v>0</v>
      </c>
      <c r="W90" s="495">
        <v>0</v>
      </c>
      <c r="X90" s="495">
        <v>0</v>
      </c>
      <c r="Y90" s="490">
        <v>0</v>
      </c>
      <c r="Z90" s="490">
        <v>0</v>
      </c>
      <c r="AA90" s="490">
        <v>0</v>
      </c>
      <c r="AB90" s="490">
        <v>0</v>
      </c>
      <c r="AC90" s="490">
        <v>0</v>
      </c>
      <c r="AD90" s="490">
        <v>0</v>
      </c>
      <c r="AE90" s="490">
        <v>0</v>
      </c>
      <c r="AF90" s="339">
        <v>0</v>
      </c>
      <c r="AG90" s="339">
        <v>0</v>
      </c>
      <c r="AH90" s="496">
        <v>0</v>
      </c>
      <c r="AI90" s="490">
        <v>0</v>
      </c>
      <c r="AJ90" s="490">
        <v>0</v>
      </c>
      <c r="AK90" s="339">
        <v>0</v>
      </c>
      <c r="AL90" s="339">
        <v>0</v>
      </c>
      <c r="AM90" s="496">
        <v>0</v>
      </c>
      <c r="AN90" s="495">
        <v>0</v>
      </c>
      <c r="AO90" s="495">
        <v>0</v>
      </c>
      <c r="AP90" s="74"/>
      <c r="AQ90" s="303">
        <v>0</v>
      </c>
      <c r="AR90" s="303"/>
      <c r="AS90" s="552"/>
      <c r="AY90" s="67">
        <f t="shared" si="50"/>
        <v>0</v>
      </c>
      <c r="BA90"/>
      <c r="BB90" s="286" t="s">
        <v>201</v>
      </c>
      <c r="BC90"/>
      <c r="BD90" s="491">
        <v>0</v>
      </c>
      <c r="BE90" s="492">
        <v>0</v>
      </c>
      <c r="BG90" s="510">
        <f t="shared" si="48"/>
        <v>0</v>
      </c>
      <c r="BH90" s="510">
        <f t="shared" si="49"/>
        <v>0</v>
      </c>
      <c r="BJ90" s="520">
        <f t="shared" si="51"/>
        <v>0</v>
      </c>
      <c r="BK90" s="520">
        <f t="shared" si="52"/>
        <v>0</v>
      </c>
      <c r="CB90" s="74"/>
      <c r="CC90" s="74"/>
      <c r="CD90" s="74"/>
      <c r="CE90" s="74"/>
      <c r="CF90" s="74"/>
    </row>
    <row r="91" spans="1:84">
      <c r="A91" s="283" t="s">
        <v>204</v>
      </c>
      <c r="B91" s="283" t="s">
        <v>203</v>
      </c>
      <c r="C91" s="283" t="str">
        <f t="shared" ref="C91:C117" si="53">CONCATENATE(B91," ",A91," SCHOOL DISTRICT")</f>
        <v>21036 EVALINE SCHOOL DISTRICT</v>
      </c>
      <c r="D91" s="490">
        <v>0</v>
      </c>
      <c r="E91" s="490">
        <v>0</v>
      </c>
      <c r="F91" s="490">
        <v>0</v>
      </c>
      <c r="G91" s="490">
        <v>60337.78</v>
      </c>
      <c r="H91" s="490">
        <v>5800.51</v>
      </c>
      <c r="I91" s="490">
        <v>17038.53</v>
      </c>
      <c r="J91" s="490">
        <v>18908.61</v>
      </c>
      <c r="K91" s="490">
        <v>3368.48</v>
      </c>
      <c r="L91" s="490">
        <v>1662.29</v>
      </c>
      <c r="M91" s="490">
        <v>41612.32</v>
      </c>
      <c r="N91" s="300">
        <v>0.14360000000000001</v>
      </c>
      <c r="O91" s="492">
        <v>0.51180000000000003</v>
      </c>
      <c r="P91" s="490">
        <v>0</v>
      </c>
      <c r="Q91" s="493">
        <v>0</v>
      </c>
      <c r="R91" s="493">
        <v>0</v>
      </c>
      <c r="S91" s="494">
        <v>0</v>
      </c>
      <c r="T91" s="495">
        <v>0</v>
      </c>
      <c r="U91" s="495">
        <v>0</v>
      </c>
      <c r="V91" s="490">
        <v>0</v>
      </c>
      <c r="W91" s="495">
        <v>0</v>
      </c>
      <c r="X91" s="495">
        <v>0</v>
      </c>
      <c r="Y91" s="490">
        <v>64.87</v>
      </c>
      <c r="Z91" s="490">
        <v>0</v>
      </c>
      <c r="AA91" s="490">
        <v>0</v>
      </c>
      <c r="AB91" s="490">
        <v>0</v>
      </c>
      <c r="AC91" s="490">
        <v>0</v>
      </c>
      <c r="AD91" s="490">
        <v>0</v>
      </c>
      <c r="AE91" s="490">
        <v>0</v>
      </c>
      <c r="AF91" s="339">
        <v>0</v>
      </c>
      <c r="AG91" s="339">
        <v>0</v>
      </c>
      <c r="AH91" s="496">
        <v>0</v>
      </c>
      <c r="AI91" s="490">
        <v>0</v>
      </c>
      <c r="AJ91" s="490">
        <v>0</v>
      </c>
      <c r="AK91" s="339">
        <v>0</v>
      </c>
      <c r="AL91" s="339">
        <v>0</v>
      </c>
      <c r="AM91" s="496">
        <v>0</v>
      </c>
      <c r="AN91" s="495">
        <v>0</v>
      </c>
      <c r="AO91" s="495">
        <v>0</v>
      </c>
      <c r="AP91" s="74"/>
      <c r="AQ91" s="303">
        <v>0</v>
      </c>
      <c r="AR91" s="303">
        <v>7066.31</v>
      </c>
      <c r="AS91" s="552"/>
      <c r="AY91" s="67">
        <f t="shared" si="50"/>
        <v>0</v>
      </c>
      <c r="BA91" t="s">
        <v>845</v>
      </c>
      <c r="BB91" t="s">
        <v>203</v>
      </c>
      <c r="BC91" t="s">
        <v>934</v>
      </c>
      <c r="BD91" s="491">
        <v>0.14360000000000001</v>
      </c>
      <c r="BE91" s="492">
        <v>0.51180000000000003</v>
      </c>
      <c r="BG91" s="510">
        <f t="shared" si="48"/>
        <v>0</v>
      </c>
      <c r="BH91" s="510">
        <f t="shared" si="49"/>
        <v>0</v>
      </c>
      <c r="BJ91" s="520">
        <f t="shared" si="51"/>
        <v>0</v>
      </c>
      <c r="BK91" s="520">
        <f t="shared" si="52"/>
        <v>0</v>
      </c>
      <c r="CB91" s="74"/>
      <c r="CC91" s="74"/>
      <c r="CD91" s="74"/>
      <c r="CE91" s="74"/>
      <c r="CF91" s="74"/>
    </row>
    <row r="92" spans="1:84">
      <c r="A92" s="283" t="s">
        <v>206</v>
      </c>
      <c r="B92" s="283" t="s">
        <v>205</v>
      </c>
      <c r="C92" s="283" t="str">
        <f t="shared" si="53"/>
        <v>31002 EVERETT SCHOOL DISTRICT</v>
      </c>
      <c r="D92" s="490">
        <v>0</v>
      </c>
      <c r="E92" s="490">
        <v>567756.51</v>
      </c>
      <c r="F92" s="490">
        <v>244954.37</v>
      </c>
      <c r="G92" s="490">
        <v>39285375.579999998</v>
      </c>
      <c r="H92" s="490">
        <v>7702599.8899999997</v>
      </c>
      <c r="I92" s="490">
        <v>2890825.9</v>
      </c>
      <c r="J92" s="490">
        <v>5922491.8399999999</v>
      </c>
      <c r="K92" s="490">
        <v>7191149.0300000003</v>
      </c>
      <c r="L92" s="490">
        <v>683170.32</v>
      </c>
      <c r="M92" s="490">
        <v>16019944.199999999</v>
      </c>
      <c r="N92" s="300">
        <v>3.3500000000000002E-2</v>
      </c>
      <c r="O92" s="492">
        <v>0.1187</v>
      </c>
      <c r="P92" s="490">
        <v>0</v>
      </c>
      <c r="Q92" s="493">
        <v>0</v>
      </c>
      <c r="R92" s="493">
        <v>0</v>
      </c>
      <c r="S92" s="494">
        <v>0</v>
      </c>
      <c r="T92" s="495">
        <v>0</v>
      </c>
      <c r="U92" s="495">
        <v>0</v>
      </c>
      <c r="V92" s="490">
        <v>0</v>
      </c>
      <c r="W92" s="495">
        <v>0</v>
      </c>
      <c r="X92" s="495">
        <v>0</v>
      </c>
      <c r="Y92" s="490">
        <v>10449.42</v>
      </c>
      <c r="Z92" s="490">
        <v>211087.94</v>
      </c>
      <c r="AA92" s="490">
        <v>589034.72</v>
      </c>
      <c r="AB92" s="490">
        <v>5505557.5199999996</v>
      </c>
      <c r="AC92" s="490">
        <v>13679768.289999999</v>
      </c>
      <c r="AD92" s="490">
        <v>1300.27</v>
      </c>
      <c r="AE92" s="490">
        <v>12927346.17</v>
      </c>
      <c r="AF92" s="339">
        <v>9942.0475516623465</v>
      </c>
      <c r="AG92" s="339">
        <v>10520.713613326463</v>
      </c>
      <c r="AH92" s="496">
        <v>578.66999999999996</v>
      </c>
      <c r="AI92" s="490">
        <v>533.29</v>
      </c>
      <c r="AJ92" s="490">
        <v>5184588.68</v>
      </c>
      <c r="AK92" s="339">
        <v>9721.8936788614083</v>
      </c>
      <c r="AL92" s="339">
        <v>10323.759155431379</v>
      </c>
      <c r="AM92" s="496">
        <v>601.87</v>
      </c>
      <c r="AN92" s="495">
        <v>20000</v>
      </c>
      <c r="AO92" s="495">
        <v>0</v>
      </c>
      <c r="AP92" s="74"/>
      <c r="AQ92" s="303">
        <v>708545.34000000032</v>
      </c>
      <c r="AR92" s="303">
        <v>2451853.0099999998</v>
      </c>
      <c r="AS92" s="552">
        <v>593203.90999999992</v>
      </c>
      <c r="AY92" s="67">
        <f t="shared" si="50"/>
        <v>0</v>
      </c>
      <c r="BA92" t="s">
        <v>850</v>
      </c>
      <c r="BB92" t="s">
        <v>205</v>
      </c>
      <c r="BC92" t="s">
        <v>935</v>
      </c>
      <c r="BD92" s="491">
        <v>3.3500000000000002E-2</v>
      </c>
      <c r="BE92" s="492">
        <v>0.1187</v>
      </c>
      <c r="BG92" s="510">
        <f t="shared" si="48"/>
        <v>0</v>
      </c>
      <c r="BH92" s="510">
        <f t="shared" si="49"/>
        <v>0</v>
      </c>
      <c r="BJ92" s="520">
        <f t="shared" si="51"/>
        <v>0</v>
      </c>
      <c r="BK92" s="520">
        <f t="shared" si="52"/>
        <v>0</v>
      </c>
      <c r="CB92" s="74"/>
      <c r="CC92" s="74"/>
      <c r="CD92" s="74"/>
      <c r="CE92" s="74"/>
      <c r="CF92" s="74"/>
    </row>
    <row r="93" spans="1:84">
      <c r="A93" s="283" t="s">
        <v>208</v>
      </c>
      <c r="B93" s="283" t="s">
        <v>207</v>
      </c>
      <c r="C93" s="283" t="str">
        <f t="shared" si="53"/>
        <v>06114 EVERGREEN (CLARK) SCHOOL DISTRICT</v>
      </c>
      <c r="D93" s="490">
        <v>0</v>
      </c>
      <c r="E93" s="490">
        <v>267258.21999999997</v>
      </c>
      <c r="F93" s="490">
        <v>405183</v>
      </c>
      <c r="G93" s="490">
        <v>41676695.170000002</v>
      </c>
      <c r="H93" s="490">
        <v>6840166.71</v>
      </c>
      <c r="I93" s="490">
        <v>4497851.18</v>
      </c>
      <c r="J93" s="490">
        <v>9200422.1799999997</v>
      </c>
      <c r="K93" s="490">
        <v>6685898.6100000003</v>
      </c>
      <c r="L93" s="490">
        <v>727867.56</v>
      </c>
      <c r="M93" s="490">
        <v>19687004.379999999</v>
      </c>
      <c r="N93" s="300">
        <v>5.0500000000000003E-2</v>
      </c>
      <c r="O93" s="492">
        <v>7.1599999999999997E-2</v>
      </c>
      <c r="P93" s="490">
        <v>0</v>
      </c>
      <c r="Q93" s="493">
        <v>0</v>
      </c>
      <c r="R93" s="493">
        <v>0</v>
      </c>
      <c r="S93" s="494">
        <v>0</v>
      </c>
      <c r="T93" s="495">
        <v>0</v>
      </c>
      <c r="U93" s="495">
        <v>0</v>
      </c>
      <c r="V93" s="490">
        <v>0</v>
      </c>
      <c r="W93" s="495">
        <v>0</v>
      </c>
      <c r="X93" s="495">
        <v>0</v>
      </c>
      <c r="Y93" s="490">
        <v>8604.02</v>
      </c>
      <c r="Z93" s="490">
        <v>171256.59</v>
      </c>
      <c r="AA93" s="490">
        <v>257588.5</v>
      </c>
      <c r="AB93" s="490">
        <v>1883219.27</v>
      </c>
      <c r="AC93" s="490">
        <v>20679189.559999999</v>
      </c>
      <c r="AD93" s="490">
        <v>2116.23</v>
      </c>
      <c r="AE93" s="490">
        <v>19865703.879999999</v>
      </c>
      <c r="AF93" s="339">
        <v>9387.3085061642632</v>
      </c>
      <c r="AG93" s="339">
        <v>9771.711751558194</v>
      </c>
      <c r="AH93" s="496">
        <v>384.4</v>
      </c>
      <c r="AI93" s="490">
        <v>193.28</v>
      </c>
      <c r="AJ93" s="490">
        <v>1772161.58</v>
      </c>
      <c r="AK93" s="339">
        <v>9168.8823468543051</v>
      </c>
      <c r="AL93" s="339">
        <v>9743.4771833609266</v>
      </c>
      <c r="AM93" s="496">
        <v>574.59</v>
      </c>
      <c r="AN93" s="495">
        <v>0</v>
      </c>
      <c r="AO93" s="495">
        <v>496.52</v>
      </c>
      <c r="AP93" s="74"/>
      <c r="AQ93" s="303">
        <v>0</v>
      </c>
      <c r="AR93" s="303">
        <v>2656544.9700000002</v>
      </c>
      <c r="AS93" s="552">
        <v>657600.89</v>
      </c>
      <c r="AY93" s="67">
        <f t="shared" si="50"/>
        <v>0</v>
      </c>
      <c r="BA93" t="s">
        <v>859</v>
      </c>
      <c r="BB93" t="s">
        <v>207</v>
      </c>
      <c r="BC93" t="s">
        <v>936</v>
      </c>
      <c r="BD93" s="491">
        <v>5.0500000000000003E-2</v>
      </c>
      <c r="BE93" s="492">
        <v>7.1599999999999997E-2</v>
      </c>
      <c r="BG93" s="510">
        <f t="shared" si="48"/>
        <v>0</v>
      </c>
      <c r="BH93" s="510">
        <f t="shared" si="49"/>
        <v>0</v>
      </c>
      <c r="BJ93" s="520">
        <f t="shared" si="51"/>
        <v>0</v>
      </c>
      <c r="BK93" s="520">
        <f t="shared" si="52"/>
        <v>0</v>
      </c>
      <c r="CB93" s="74"/>
      <c r="CC93" s="74"/>
      <c r="CD93" s="74"/>
      <c r="CE93" s="74"/>
      <c r="CF93" s="74"/>
    </row>
    <row r="94" spans="1:84">
      <c r="A94" s="283" t="s">
        <v>210</v>
      </c>
      <c r="B94" s="283" t="s">
        <v>209</v>
      </c>
      <c r="C94" s="283" t="str">
        <f t="shared" si="53"/>
        <v>33205 EVERGREEN (STEVENS) SCHOOL DISTRICT</v>
      </c>
      <c r="D94" s="490">
        <v>0</v>
      </c>
      <c r="E94" s="490">
        <v>0</v>
      </c>
      <c r="F94" s="490">
        <v>0</v>
      </c>
      <c r="G94" s="490">
        <v>54790.57</v>
      </c>
      <c r="H94" s="490">
        <v>3128.51</v>
      </c>
      <c r="I94" s="490">
        <v>9973.76</v>
      </c>
      <c r="J94" s="490">
        <v>18804.7</v>
      </c>
      <c r="K94" s="490">
        <v>0</v>
      </c>
      <c r="L94" s="490">
        <v>0</v>
      </c>
      <c r="M94" s="490">
        <v>0</v>
      </c>
      <c r="N94" s="300">
        <v>8.1299999999999997E-2</v>
      </c>
      <c r="O94" s="492">
        <v>0.25309999999999999</v>
      </c>
      <c r="P94" s="490">
        <v>0</v>
      </c>
      <c r="Q94" s="493">
        <v>0</v>
      </c>
      <c r="R94" s="493">
        <v>0</v>
      </c>
      <c r="S94" s="494">
        <v>0</v>
      </c>
      <c r="T94" s="495">
        <v>0</v>
      </c>
      <c r="U94" s="495">
        <v>0</v>
      </c>
      <c r="V94" s="490">
        <v>0</v>
      </c>
      <c r="W94" s="495">
        <v>0</v>
      </c>
      <c r="X94" s="495">
        <v>0</v>
      </c>
      <c r="Y94" s="490">
        <v>0</v>
      </c>
      <c r="Z94" s="490">
        <v>0</v>
      </c>
      <c r="AA94" s="490">
        <v>0</v>
      </c>
      <c r="AB94" s="490">
        <v>0</v>
      </c>
      <c r="AC94" s="490">
        <v>0</v>
      </c>
      <c r="AD94" s="490">
        <v>0</v>
      </c>
      <c r="AE94" s="490">
        <v>0</v>
      </c>
      <c r="AF94" s="339">
        <v>0</v>
      </c>
      <c r="AG94" s="339">
        <v>0</v>
      </c>
      <c r="AH94" s="496">
        <v>0</v>
      </c>
      <c r="AI94" s="490">
        <v>0</v>
      </c>
      <c r="AJ94" s="490">
        <v>0</v>
      </c>
      <c r="AK94" s="339">
        <v>0</v>
      </c>
      <c r="AL94" s="339">
        <v>0</v>
      </c>
      <c r="AM94" s="496">
        <v>0</v>
      </c>
      <c r="AN94" s="495">
        <v>0</v>
      </c>
      <c r="AO94" s="495">
        <v>0</v>
      </c>
      <c r="AP94" s="74"/>
      <c r="AQ94" s="303">
        <v>0</v>
      </c>
      <c r="AR94" s="303">
        <v>4998.25</v>
      </c>
      <c r="AS94" s="552">
        <v>11132.83</v>
      </c>
      <c r="AY94" s="67">
        <f t="shared" si="50"/>
        <v>0</v>
      </c>
      <c r="BA94" t="s">
        <v>848</v>
      </c>
      <c r="BB94" t="s">
        <v>209</v>
      </c>
      <c r="BC94" t="s">
        <v>937</v>
      </c>
      <c r="BD94" s="491">
        <v>8.1299999999999997E-2</v>
      </c>
      <c r="BE94" s="492">
        <v>0.25309999999999999</v>
      </c>
      <c r="BG94" s="510">
        <f t="shared" si="48"/>
        <v>0</v>
      </c>
      <c r="BH94" s="510">
        <f t="shared" si="49"/>
        <v>0</v>
      </c>
      <c r="BJ94" s="520">
        <f t="shared" si="51"/>
        <v>0</v>
      </c>
      <c r="BK94" s="520">
        <f t="shared" si="52"/>
        <v>0</v>
      </c>
      <c r="CB94" s="74"/>
      <c r="CC94" s="74"/>
      <c r="CD94" s="74"/>
      <c r="CE94" s="74"/>
      <c r="CF94" s="74"/>
    </row>
    <row r="95" spans="1:84">
      <c r="A95" s="283" t="s">
        <v>212</v>
      </c>
      <c r="B95" s="283" t="s">
        <v>211</v>
      </c>
      <c r="C95" s="283" t="str">
        <f t="shared" si="53"/>
        <v>17210 FEDERAL WAY SCHOOL DISTRICT</v>
      </c>
      <c r="D95" s="490">
        <v>0</v>
      </c>
      <c r="E95" s="490">
        <v>224941.82</v>
      </c>
      <c r="F95" s="490">
        <v>37552.400000000001</v>
      </c>
      <c r="G95" s="490">
        <v>40605265.100000001</v>
      </c>
      <c r="H95" s="490">
        <v>7518580.5599999996</v>
      </c>
      <c r="I95" s="490">
        <v>6688710.7199999997</v>
      </c>
      <c r="J95" s="490">
        <v>11043968.800000001</v>
      </c>
      <c r="K95" s="490">
        <v>11331973.1</v>
      </c>
      <c r="L95" s="490">
        <v>687781.03</v>
      </c>
      <c r="M95" s="490">
        <v>14589647.76</v>
      </c>
      <c r="N95" s="300">
        <v>3.2800000000000003E-2</v>
      </c>
      <c r="O95" s="492">
        <v>0.1444</v>
      </c>
      <c r="P95" s="490">
        <v>0</v>
      </c>
      <c r="Q95" s="493">
        <v>0</v>
      </c>
      <c r="R95" s="493">
        <v>0</v>
      </c>
      <c r="S95" s="494">
        <v>0</v>
      </c>
      <c r="T95" s="495">
        <v>0</v>
      </c>
      <c r="U95" s="495">
        <v>0</v>
      </c>
      <c r="V95" s="490">
        <v>0</v>
      </c>
      <c r="W95" s="495">
        <v>0</v>
      </c>
      <c r="X95" s="495">
        <v>0</v>
      </c>
      <c r="Y95" s="490">
        <v>22013.9</v>
      </c>
      <c r="Z95" s="490">
        <v>80859.960000000006</v>
      </c>
      <c r="AA95" s="490">
        <v>288217.86</v>
      </c>
      <c r="AB95" s="490">
        <v>1087472.51</v>
      </c>
      <c r="AC95" s="490">
        <v>12179767.57</v>
      </c>
      <c r="AD95" s="490">
        <v>1163.07</v>
      </c>
      <c r="AE95" s="490">
        <v>11138922.279999999</v>
      </c>
      <c r="AF95" s="339">
        <v>9577.1727239117172</v>
      </c>
      <c r="AG95" s="339">
        <v>10472.084715451349</v>
      </c>
      <c r="AH95" s="496">
        <v>894.91</v>
      </c>
      <c r="AI95" s="490">
        <v>109.43</v>
      </c>
      <c r="AJ95" s="490">
        <v>1024115.62</v>
      </c>
      <c r="AK95" s="339">
        <v>9358.6367540893716</v>
      </c>
      <c r="AL95" s="339">
        <v>9937.6086082427119</v>
      </c>
      <c r="AM95" s="496">
        <v>578.97</v>
      </c>
      <c r="AN95" s="495">
        <v>0</v>
      </c>
      <c r="AO95" s="495">
        <v>0</v>
      </c>
      <c r="AP95" s="74"/>
      <c r="AQ95" s="303">
        <v>135945.89999999991</v>
      </c>
      <c r="AR95" s="303">
        <v>2615104.5499999998</v>
      </c>
      <c r="AS95" s="552">
        <v>614669.58000000007</v>
      </c>
      <c r="AY95" s="67">
        <f t="shared" si="50"/>
        <v>0</v>
      </c>
      <c r="BA95" t="s">
        <v>856</v>
      </c>
      <c r="BB95" t="s">
        <v>211</v>
      </c>
      <c r="BC95" t="s">
        <v>938</v>
      </c>
      <c r="BD95" s="491">
        <v>3.2800000000000003E-2</v>
      </c>
      <c r="BE95" s="492">
        <v>0.1444</v>
      </c>
      <c r="BG95" s="510">
        <f t="shared" si="48"/>
        <v>0</v>
      </c>
      <c r="BH95" s="510">
        <f t="shared" si="49"/>
        <v>0</v>
      </c>
      <c r="BJ95" s="520">
        <f t="shared" si="51"/>
        <v>0</v>
      </c>
      <c r="BK95" s="520">
        <f t="shared" si="52"/>
        <v>0</v>
      </c>
      <c r="CB95" s="74"/>
      <c r="CC95" s="74"/>
      <c r="CD95" s="74"/>
      <c r="CE95" s="74"/>
      <c r="CF95" s="74"/>
    </row>
    <row r="96" spans="1:84">
      <c r="A96" s="283" t="s">
        <v>214</v>
      </c>
      <c r="B96" s="283" t="s">
        <v>213</v>
      </c>
      <c r="C96" s="283" t="str">
        <f t="shared" si="53"/>
        <v>37502 FERNDALE SCHOOL DISTRICT</v>
      </c>
      <c r="D96" s="490">
        <v>0</v>
      </c>
      <c r="E96" s="490">
        <v>52969.74</v>
      </c>
      <c r="F96" s="490">
        <v>0</v>
      </c>
      <c r="G96" s="490">
        <v>9218599.5899999999</v>
      </c>
      <c r="H96" s="490">
        <v>1558988.8</v>
      </c>
      <c r="I96" s="490">
        <v>730680.29</v>
      </c>
      <c r="J96" s="490">
        <v>1682601.07</v>
      </c>
      <c r="K96" s="490">
        <v>835222.5</v>
      </c>
      <c r="L96" s="490">
        <v>144320.97</v>
      </c>
      <c r="M96" s="490">
        <v>3754052.39</v>
      </c>
      <c r="N96" s="300">
        <v>2.4199999999999999E-2</v>
      </c>
      <c r="O96" s="492">
        <v>0.1399</v>
      </c>
      <c r="P96" s="490">
        <v>0</v>
      </c>
      <c r="Q96" s="493">
        <v>0</v>
      </c>
      <c r="R96" s="493">
        <v>0</v>
      </c>
      <c r="S96" s="494">
        <v>0</v>
      </c>
      <c r="T96" s="495">
        <v>0</v>
      </c>
      <c r="U96" s="495">
        <v>0</v>
      </c>
      <c r="V96" s="490">
        <v>0</v>
      </c>
      <c r="W96" s="495">
        <v>0</v>
      </c>
      <c r="X96" s="495">
        <v>0</v>
      </c>
      <c r="Y96" s="490">
        <v>5037.37</v>
      </c>
      <c r="Z96" s="490">
        <v>12416.04</v>
      </c>
      <c r="AA96" s="490">
        <v>226385.48</v>
      </c>
      <c r="AB96" s="490">
        <v>107974.02</v>
      </c>
      <c r="AC96" s="490">
        <v>3057522.29</v>
      </c>
      <c r="AD96" s="490">
        <v>298.22000000000003</v>
      </c>
      <c r="AE96" s="490">
        <v>2774478.85</v>
      </c>
      <c r="AF96" s="339">
        <v>9303.4633827375765</v>
      </c>
      <c r="AG96" s="339">
        <v>10252.57289920193</v>
      </c>
      <c r="AH96" s="496">
        <v>949.11</v>
      </c>
      <c r="AI96" s="490">
        <v>11.2</v>
      </c>
      <c r="AJ96" s="490">
        <v>101625.3</v>
      </c>
      <c r="AK96" s="339">
        <v>9073.6875</v>
      </c>
      <c r="AL96" s="339">
        <v>9640.5375000000004</v>
      </c>
      <c r="AM96" s="496">
        <v>566.85</v>
      </c>
      <c r="AN96" s="495">
        <v>0</v>
      </c>
      <c r="AO96" s="495">
        <v>0</v>
      </c>
      <c r="AP96" s="74"/>
      <c r="AQ96" s="303">
        <v>258487.96000000014</v>
      </c>
      <c r="AR96" s="303">
        <v>509330.59</v>
      </c>
      <c r="AS96" s="552">
        <v>142570.1</v>
      </c>
      <c r="AY96" s="67">
        <f t="shared" si="50"/>
        <v>0</v>
      </c>
      <c r="BA96" t="s">
        <v>850</v>
      </c>
      <c r="BB96" t="s">
        <v>213</v>
      </c>
      <c r="BC96" t="s">
        <v>939</v>
      </c>
      <c r="BD96" s="491">
        <v>2.4199999999999999E-2</v>
      </c>
      <c r="BE96" s="492">
        <v>0.1399</v>
      </c>
      <c r="BG96" s="510">
        <f t="shared" si="48"/>
        <v>0</v>
      </c>
      <c r="BH96" s="510">
        <f t="shared" si="49"/>
        <v>0</v>
      </c>
      <c r="BJ96" s="520">
        <f t="shared" si="51"/>
        <v>0</v>
      </c>
      <c r="BK96" s="520">
        <f t="shared" si="52"/>
        <v>0</v>
      </c>
      <c r="CB96" s="74"/>
      <c r="CC96" s="74"/>
      <c r="CD96" s="74"/>
      <c r="CE96" s="74"/>
      <c r="CF96" s="74"/>
    </row>
    <row r="97" spans="1:84">
      <c r="A97" s="283" t="s">
        <v>216</v>
      </c>
      <c r="B97" s="283" t="s">
        <v>215</v>
      </c>
      <c r="C97" s="283" t="str">
        <f t="shared" si="53"/>
        <v>27417 FIFE SCHOOL DISTRICT</v>
      </c>
      <c r="D97" s="490">
        <v>0</v>
      </c>
      <c r="E97" s="490">
        <v>0</v>
      </c>
      <c r="F97" s="490">
        <v>0</v>
      </c>
      <c r="G97" s="490">
        <v>5826088.46</v>
      </c>
      <c r="H97" s="490">
        <v>1130022.8500000001</v>
      </c>
      <c r="I97" s="490">
        <v>5966.74</v>
      </c>
      <c r="J97" s="490">
        <v>1347793.8</v>
      </c>
      <c r="K97" s="490">
        <v>1269191.8</v>
      </c>
      <c r="L97" s="490">
        <v>127940.58</v>
      </c>
      <c r="M97" s="490">
        <v>3054738.3</v>
      </c>
      <c r="N97" s="300">
        <v>4.7100000000000003E-2</v>
      </c>
      <c r="O97" s="492">
        <v>0.1497</v>
      </c>
      <c r="P97" s="490">
        <v>0</v>
      </c>
      <c r="Q97" s="493">
        <v>0</v>
      </c>
      <c r="R97" s="493">
        <v>0</v>
      </c>
      <c r="S97" s="494">
        <v>0</v>
      </c>
      <c r="T97" s="495">
        <v>0</v>
      </c>
      <c r="U97" s="495">
        <v>0</v>
      </c>
      <c r="V97" s="490">
        <v>0</v>
      </c>
      <c r="W97" s="495">
        <v>0</v>
      </c>
      <c r="X97" s="495">
        <v>0</v>
      </c>
      <c r="Y97" s="490">
        <v>2720</v>
      </c>
      <c r="Z97" s="490">
        <v>0.35</v>
      </c>
      <c r="AA97" s="490">
        <v>126715.99</v>
      </c>
      <c r="AB97" s="490">
        <v>563491.26</v>
      </c>
      <c r="AC97" s="490">
        <v>3146041.36</v>
      </c>
      <c r="AD97" s="490">
        <v>308.43</v>
      </c>
      <c r="AE97" s="490">
        <v>2953770.86</v>
      </c>
      <c r="AF97" s="339">
        <v>9576.7949291573441</v>
      </c>
      <c r="AG97" s="339">
        <v>10200.179489673506</v>
      </c>
      <c r="AH97" s="496">
        <v>623.38</v>
      </c>
      <c r="AI97" s="490">
        <v>56.7</v>
      </c>
      <c r="AJ97" s="490">
        <v>530739.54</v>
      </c>
      <c r="AK97" s="339">
        <v>9360.4857142857145</v>
      </c>
      <c r="AL97" s="339">
        <v>9938.1174603174604</v>
      </c>
      <c r="AM97" s="496">
        <v>577.63</v>
      </c>
      <c r="AN97" s="495">
        <v>0</v>
      </c>
      <c r="AO97" s="495">
        <v>0</v>
      </c>
      <c r="AP97" s="74"/>
      <c r="AQ97" s="303">
        <v>0</v>
      </c>
      <c r="AR97" s="303">
        <v>435255.45</v>
      </c>
      <c r="AS97" s="552">
        <v>123370.1</v>
      </c>
      <c r="AY97" s="67">
        <f t="shared" si="50"/>
        <v>0</v>
      </c>
      <c r="BA97" t="s">
        <v>856</v>
      </c>
      <c r="BB97" t="s">
        <v>215</v>
      </c>
      <c r="BC97" t="s">
        <v>940</v>
      </c>
      <c r="BD97" s="491">
        <v>4.7100000000000003E-2</v>
      </c>
      <c r="BE97" s="492">
        <v>0.1497</v>
      </c>
      <c r="BG97" s="510">
        <f t="shared" si="48"/>
        <v>0</v>
      </c>
      <c r="BH97" s="510">
        <f t="shared" si="49"/>
        <v>0</v>
      </c>
      <c r="BJ97" s="520">
        <f t="shared" si="51"/>
        <v>0</v>
      </c>
      <c r="BK97" s="520">
        <f t="shared" si="52"/>
        <v>0</v>
      </c>
      <c r="CB97" s="74"/>
      <c r="CC97" s="74"/>
      <c r="CD97" s="74"/>
      <c r="CE97" s="74"/>
      <c r="CF97" s="74"/>
    </row>
    <row r="98" spans="1:84">
      <c r="A98" s="283" t="s">
        <v>218</v>
      </c>
      <c r="B98" s="283" t="s">
        <v>217</v>
      </c>
      <c r="C98" s="283" t="str">
        <f t="shared" si="53"/>
        <v>03053 FINLEY SCHOOL DISTRICT</v>
      </c>
      <c r="D98" s="490">
        <v>0</v>
      </c>
      <c r="E98" s="490">
        <v>29819.41</v>
      </c>
      <c r="F98" s="490">
        <v>24331.5</v>
      </c>
      <c r="G98" s="490">
        <v>1268525.19</v>
      </c>
      <c r="H98" s="490">
        <v>243033.51</v>
      </c>
      <c r="I98" s="490">
        <v>265967.09000000003</v>
      </c>
      <c r="J98" s="490">
        <v>417651.43</v>
      </c>
      <c r="K98" s="490">
        <v>275909.43</v>
      </c>
      <c r="L98" s="490">
        <v>25557.77</v>
      </c>
      <c r="M98" s="490">
        <v>686368.05</v>
      </c>
      <c r="N98" s="300">
        <v>2.1700000000000001E-2</v>
      </c>
      <c r="O98" s="492">
        <v>0.17879999999999999</v>
      </c>
      <c r="P98" s="490">
        <v>0</v>
      </c>
      <c r="Q98" s="493">
        <v>0</v>
      </c>
      <c r="R98" s="493">
        <v>0</v>
      </c>
      <c r="S98" s="494">
        <v>0</v>
      </c>
      <c r="T98" s="495">
        <v>0</v>
      </c>
      <c r="U98" s="495">
        <v>0</v>
      </c>
      <c r="V98" s="490">
        <v>0</v>
      </c>
      <c r="W98" s="495">
        <v>0</v>
      </c>
      <c r="X98" s="495">
        <v>0</v>
      </c>
      <c r="Y98" s="490">
        <v>987.57</v>
      </c>
      <c r="Z98" s="490">
        <v>3084</v>
      </c>
      <c r="AA98" s="490">
        <v>74717.98</v>
      </c>
      <c r="AB98" s="490">
        <v>38688.019999999997</v>
      </c>
      <c r="AC98" s="490">
        <v>686617.22</v>
      </c>
      <c r="AD98" s="490">
        <v>73.84</v>
      </c>
      <c r="AE98" s="490">
        <v>653237.89</v>
      </c>
      <c r="AF98" s="339">
        <v>8846.6669826652214</v>
      </c>
      <c r="AG98" s="339">
        <v>9298.7164138678218</v>
      </c>
      <c r="AH98" s="496">
        <v>452.05</v>
      </c>
      <c r="AI98" s="490">
        <v>4.22</v>
      </c>
      <c r="AJ98" s="490">
        <v>36402.75</v>
      </c>
      <c r="AK98" s="339">
        <v>8626.2440758293851</v>
      </c>
      <c r="AL98" s="339">
        <v>9167.7772511848343</v>
      </c>
      <c r="AM98" s="496">
        <v>541.53</v>
      </c>
      <c r="AN98" s="495">
        <v>0</v>
      </c>
      <c r="AO98" s="495">
        <v>0</v>
      </c>
      <c r="AP98" s="74"/>
      <c r="AQ98" s="303">
        <v>159211.15</v>
      </c>
      <c r="AR98" s="303">
        <v>94246.900000000009</v>
      </c>
      <c r="AS98" s="552">
        <v>36926.490000000005</v>
      </c>
      <c r="AY98" s="67">
        <f t="shared" si="50"/>
        <v>0</v>
      </c>
      <c r="BA98" t="s">
        <v>854</v>
      </c>
      <c r="BB98" t="s">
        <v>217</v>
      </c>
      <c r="BC98" t="s">
        <v>941</v>
      </c>
      <c r="BD98" s="491">
        <v>2.1700000000000001E-2</v>
      </c>
      <c r="BE98" s="492">
        <v>0.17879999999999999</v>
      </c>
      <c r="BG98" s="510">
        <f t="shared" si="48"/>
        <v>0</v>
      </c>
      <c r="BH98" s="510">
        <f t="shared" si="49"/>
        <v>0</v>
      </c>
      <c r="BJ98" s="520">
        <f t="shared" si="51"/>
        <v>0</v>
      </c>
      <c r="BK98" s="520">
        <f t="shared" si="52"/>
        <v>0</v>
      </c>
      <c r="CB98" s="74"/>
      <c r="CC98" s="74"/>
      <c r="CD98" s="74"/>
      <c r="CE98" s="74"/>
      <c r="CF98" s="74"/>
    </row>
    <row r="99" spans="1:84">
      <c r="A99" s="283" t="s">
        <v>220</v>
      </c>
      <c r="B99" s="283" t="s">
        <v>219</v>
      </c>
      <c r="C99" s="283" t="str">
        <f t="shared" si="53"/>
        <v>27402 FRANKLIN PIERCE SCHOOL DISTRICT</v>
      </c>
      <c r="D99" s="490">
        <v>0</v>
      </c>
      <c r="E99" s="490">
        <v>0</v>
      </c>
      <c r="F99" s="490">
        <v>0</v>
      </c>
      <c r="G99" s="490">
        <v>13726384.529999999</v>
      </c>
      <c r="H99" s="490">
        <v>2662749.98</v>
      </c>
      <c r="I99" s="490">
        <v>2313958.5299999998</v>
      </c>
      <c r="J99" s="490">
        <v>3642842.16</v>
      </c>
      <c r="K99" s="490">
        <v>1886802.41</v>
      </c>
      <c r="L99" s="490">
        <v>221917.88</v>
      </c>
      <c r="M99" s="490">
        <v>6272976.5700000003</v>
      </c>
      <c r="N99" s="300">
        <v>4.0599999999999997E-2</v>
      </c>
      <c r="O99" s="492">
        <v>0.14860000000000001</v>
      </c>
      <c r="P99" s="490">
        <v>0</v>
      </c>
      <c r="Q99" s="493">
        <v>0</v>
      </c>
      <c r="R99" s="493">
        <v>0</v>
      </c>
      <c r="S99" s="494">
        <v>0</v>
      </c>
      <c r="T99" s="495">
        <v>0</v>
      </c>
      <c r="U99" s="495">
        <v>0</v>
      </c>
      <c r="V99" s="490">
        <v>0</v>
      </c>
      <c r="W99" s="495">
        <v>0</v>
      </c>
      <c r="X99" s="495">
        <v>0</v>
      </c>
      <c r="Y99" s="490">
        <v>7979.94</v>
      </c>
      <c r="Z99" s="490">
        <v>93196.3</v>
      </c>
      <c r="AA99" s="490">
        <v>63032.91</v>
      </c>
      <c r="AB99" s="490">
        <v>826423.86</v>
      </c>
      <c r="AC99" s="490">
        <v>4940879.3099999996</v>
      </c>
      <c r="AD99" s="490">
        <v>504.44</v>
      </c>
      <c r="AE99" s="490">
        <v>4646944.21</v>
      </c>
      <c r="AF99" s="339">
        <v>9212.0851042740469</v>
      </c>
      <c r="AG99" s="339">
        <v>9794.780965030528</v>
      </c>
      <c r="AH99" s="496">
        <v>582.70000000000005</v>
      </c>
      <c r="AI99" s="490">
        <v>86.5</v>
      </c>
      <c r="AJ99" s="490">
        <v>778032.95</v>
      </c>
      <c r="AK99" s="339">
        <v>8994.6005780346823</v>
      </c>
      <c r="AL99" s="339">
        <v>9554.0330635838145</v>
      </c>
      <c r="AM99" s="496">
        <v>559.42999999999995</v>
      </c>
      <c r="AN99" s="495">
        <v>0</v>
      </c>
      <c r="AO99" s="495">
        <v>0</v>
      </c>
      <c r="AP99" s="74"/>
      <c r="AQ99" s="303">
        <v>245909.99</v>
      </c>
      <c r="AR99" s="303">
        <v>841145.05</v>
      </c>
      <c r="AS99" s="552">
        <v>230901.77000000002</v>
      </c>
      <c r="AY99" s="67">
        <f t="shared" si="50"/>
        <v>0</v>
      </c>
      <c r="BA99" t="s">
        <v>856</v>
      </c>
      <c r="BB99" t="s">
        <v>219</v>
      </c>
      <c r="BC99" t="s">
        <v>942</v>
      </c>
      <c r="BD99" s="491">
        <v>4.0599999999999997E-2</v>
      </c>
      <c r="BE99" s="492">
        <v>0.14860000000000001</v>
      </c>
      <c r="BG99" s="510">
        <f t="shared" si="48"/>
        <v>0</v>
      </c>
      <c r="BH99" s="510">
        <f t="shared" si="49"/>
        <v>0</v>
      </c>
      <c r="BJ99" s="520">
        <f t="shared" si="51"/>
        <v>0</v>
      </c>
      <c r="BK99" s="520">
        <f t="shared" si="52"/>
        <v>0</v>
      </c>
      <c r="CB99" s="74"/>
      <c r="CC99" s="74"/>
      <c r="CD99" s="74"/>
      <c r="CE99" s="74"/>
      <c r="CF99" s="74"/>
    </row>
    <row r="100" spans="1:84">
      <c r="A100" s="283" t="s">
        <v>222</v>
      </c>
      <c r="B100" s="283" t="s">
        <v>221</v>
      </c>
      <c r="C100" s="283" t="str">
        <f t="shared" si="53"/>
        <v>32358 FREEMAN SCHOOL DISTRICT</v>
      </c>
      <c r="D100" s="490">
        <v>63387.33</v>
      </c>
      <c r="E100" s="490">
        <v>0</v>
      </c>
      <c r="F100" s="490">
        <v>0</v>
      </c>
      <c r="G100" s="490">
        <v>1215774.5900000001</v>
      </c>
      <c r="H100" s="490">
        <v>196148.34</v>
      </c>
      <c r="I100" s="490">
        <v>0</v>
      </c>
      <c r="J100" s="490">
        <v>128345.39</v>
      </c>
      <c r="K100" s="490">
        <v>10455.48</v>
      </c>
      <c r="L100" s="490">
        <v>26013.05</v>
      </c>
      <c r="M100" s="490">
        <v>964167.37</v>
      </c>
      <c r="N100" s="300">
        <v>3.4599999999999999E-2</v>
      </c>
      <c r="O100" s="492">
        <v>0.17019999999999999</v>
      </c>
      <c r="P100" s="490">
        <v>0</v>
      </c>
      <c r="Q100" s="493">
        <v>0</v>
      </c>
      <c r="R100" s="493">
        <v>0</v>
      </c>
      <c r="S100" s="494">
        <v>0</v>
      </c>
      <c r="T100" s="495">
        <v>0</v>
      </c>
      <c r="U100" s="495">
        <v>0</v>
      </c>
      <c r="V100" s="490">
        <v>0</v>
      </c>
      <c r="W100" s="495">
        <v>0</v>
      </c>
      <c r="X100" s="495">
        <v>0</v>
      </c>
      <c r="Y100" s="490">
        <v>981.97</v>
      </c>
      <c r="Z100" s="490">
        <v>0</v>
      </c>
      <c r="AA100" s="490">
        <v>1979.66</v>
      </c>
      <c r="AB100" s="490">
        <v>241028.8</v>
      </c>
      <c r="AC100" s="490">
        <v>863989.93</v>
      </c>
      <c r="AD100" s="490">
        <v>91.44</v>
      </c>
      <c r="AE100" s="490">
        <v>825078.53</v>
      </c>
      <c r="AF100" s="339">
        <v>9023.1685258092748</v>
      </c>
      <c r="AG100" s="339">
        <v>9448.7087707786541</v>
      </c>
      <c r="AH100" s="496">
        <v>425.54</v>
      </c>
      <c r="AI100" s="490">
        <v>25.74</v>
      </c>
      <c r="AJ100" s="490">
        <v>226738.17</v>
      </c>
      <c r="AK100" s="339">
        <v>8808.7867132867141</v>
      </c>
      <c r="AL100" s="339">
        <v>9363.9782439782448</v>
      </c>
      <c r="AM100" s="496">
        <v>555.19000000000005</v>
      </c>
      <c r="AN100" s="495">
        <v>0</v>
      </c>
      <c r="AO100" s="495">
        <v>0</v>
      </c>
      <c r="AP100" s="74"/>
      <c r="AQ100" s="303">
        <v>0</v>
      </c>
      <c r="AR100" s="303">
        <v>84338.65</v>
      </c>
      <c r="AS100" s="552">
        <v>35967.94</v>
      </c>
      <c r="AY100" s="67">
        <f t="shared" si="50"/>
        <v>0</v>
      </c>
      <c r="BA100" t="s">
        <v>848</v>
      </c>
      <c r="BB100" t="s">
        <v>221</v>
      </c>
      <c r="BC100" t="s">
        <v>943</v>
      </c>
      <c r="BD100" s="491">
        <v>3.4599999999999999E-2</v>
      </c>
      <c r="BE100" s="492">
        <v>0.17019999999999999</v>
      </c>
      <c r="BG100" s="510">
        <f t="shared" si="48"/>
        <v>0</v>
      </c>
      <c r="BH100" s="510">
        <f t="shared" si="49"/>
        <v>0</v>
      </c>
      <c r="BJ100" s="520">
        <f t="shared" si="51"/>
        <v>0</v>
      </c>
      <c r="BK100" s="520">
        <f t="shared" si="52"/>
        <v>0</v>
      </c>
      <c r="CB100" s="74"/>
      <c r="CC100" s="74"/>
      <c r="CD100" s="74"/>
      <c r="CE100" s="74"/>
      <c r="CF100" s="74"/>
    </row>
    <row r="101" spans="1:84">
      <c r="A101" s="283" t="s">
        <v>224</v>
      </c>
      <c r="B101" s="283" t="s">
        <v>223</v>
      </c>
      <c r="C101" s="283" t="str">
        <f t="shared" si="53"/>
        <v>38302 GARFIELD SCHOOL DISTRICT</v>
      </c>
      <c r="D101" s="490">
        <v>0</v>
      </c>
      <c r="E101" s="490">
        <v>0</v>
      </c>
      <c r="F101" s="490">
        <v>0</v>
      </c>
      <c r="G101" s="490">
        <v>177450.64</v>
      </c>
      <c r="H101" s="490">
        <v>18541.59</v>
      </c>
      <c r="I101" s="490">
        <v>15791.79</v>
      </c>
      <c r="J101" s="490">
        <v>44570.27</v>
      </c>
      <c r="K101" s="490">
        <v>0</v>
      </c>
      <c r="L101" s="490">
        <v>3324.59</v>
      </c>
      <c r="M101" s="490">
        <v>399301.83</v>
      </c>
      <c r="N101" s="300">
        <v>8.7800000000000003E-2</v>
      </c>
      <c r="O101" s="492">
        <v>0.27939999999999998</v>
      </c>
      <c r="P101" s="490">
        <v>0</v>
      </c>
      <c r="Q101" s="493">
        <v>0</v>
      </c>
      <c r="R101" s="493">
        <v>0</v>
      </c>
      <c r="S101" s="494">
        <v>0</v>
      </c>
      <c r="T101" s="495">
        <v>0</v>
      </c>
      <c r="U101" s="495">
        <v>0</v>
      </c>
      <c r="V101" s="490">
        <v>0</v>
      </c>
      <c r="W101" s="495">
        <v>0</v>
      </c>
      <c r="X101" s="495">
        <v>0</v>
      </c>
      <c r="Y101" s="490">
        <v>0</v>
      </c>
      <c r="Z101" s="490">
        <v>0</v>
      </c>
      <c r="AA101" s="490">
        <v>0</v>
      </c>
      <c r="AB101" s="490">
        <v>0</v>
      </c>
      <c r="AC101" s="490">
        <v>86529.82</v>
      </c>
      <c r="AD101" s="490">
        <v>9.4499999999999993</v>
      </c>
      <c r="AE101" s="490">
        <v>83729.59</v>
      </c>
      <c r="AF101" s="339">
        <v>8860.2740740740737</v>
      </c>
      <c r="AG101" s="339">
        <v>9156.5947089947113</v>
      </c>
      <c r="AH101" s="496">
        <v>296.32</v>
      </c>
      <c r="AI101" s="490">
        <v>0</v>
      </c>
      <c r="AJ101" s="490">
        <v>0</v>
      </c>
      <c r="AK101" s="339">
        <v>0</v>
      </c>
      <c r="AL101" s="339">
        <v>0</v>
      </c>
      <c r="AM101" s="496">
        <v>0</v>
      </c>
      <c r="AN101" s="495">
        <v>0</v>
      </c>
      <c r="AO101" s="495">
        <v>0</v>
      </c>
      <c r="AP101" s="74"/>
      <c r="AQ101" s="303">
        <v>32526.010000000002</v>
      </c>
      <c r="AR101" s="303">
        <v>22155.84</v>
      </c>
      <c r="AS101" s="552">
        <v>13456.59</v>
      </c>
      <c r="AY101" s="67">
        <f t="shared" si="50"/>
        <v>0</v>
      </c>
      <c r="BA101" t="s">
        <v>848</v>
      </c>
      <c r="BB101" t="s">
        <v>223</v>
      </c>
      <c r="BC101" t="s">
        <v>944</v>
      </c>
      <c r="BD101" s="491">
        <v>8.7800000000000003E-2</v>
      </c>
      <c r="BE101" s="492">
        <v>0.27939999999999998</v>
      </c>
      <c r="BG101" s="510">
        <f t="shared" si="48"/>
        <v>0</v>
      </c>
      <c r="BH101" s="510">
        <f t="shared" si="49"/>
        <v>0</v>
      </c>
      <c r="BJ101" s="520">
        <f t="shared" si="51"/>
        <v>0</v>
      </c>
      <c r="BK101" s="520">
        <f t="shared" si="52"/>
        <v>0</v>
      </c>
      <c r="CB101" s="74"/>
      <c r="CC101" s="74"/>
      <c r="CD101" s="74"/>
      <c r="CE101" s="74"/>
      <c r="CF101" s="74"/>
    </row>
    <row r="102" spans="1:84">
      <c r="A102" s="283" t="s">
        <v>226</v>
      </c>
      <c r="B102" s="283" t="s">
        <v>225</v>
      </c>
      <c r="C102" s="283" t="str">
        <f t="shared" si="53"/>
        <v>20401 GLENWOOD SCHOOL DISTRICT</v>
      </c>
      <c r="D102" s="490">
        <v>0</v>
      </c>
      <c r="E102" s="490">
        <v>0</v>
      </c>
      <c r="F102" s="490">
        <v>0</v>
      </c>
      <c r="G102" s="490">
        <v>0</v>
      </c>
      <c r="H102" s="490">
        <v>0</v>
      </c>
      <c r="I102" s="490">
        <v>5267.11</v>
      </c>
      <c r="J102" s="490">
        <v>22788.3</v>
      </c>
      <c r="K102" s="490">
        <v>0</v>
      </c>
      <c r="L102" s="490">
        <v>0</v>
      </c>
      <c r="M102" s="490">
        <v>103393.54</v>
      </c>
      <c r="N102" s="300">
        <v>5.6500000000000002E-2</v>
      </c>
      <c r="O102" s="492">
        <v>0.42220000000000002</v>
      </c>
      <c r="P102" s="490">
        <v>0</v>
      </c>
      <c r="Q102" s="493">
        <v>0</v>
      </c>
      <c r="R102" s="493">
        <v>0</v>
      </c>
      <c r="S102" s="494">
        <v>0</v>
      </c>
      <c r="T102" s="495">
        <v>0</v>
      </c>
      <c r="U102" s="495">
        <v>0</v>
      </c>
      <c r="V102" s="490">
        <v>0</v>
      </c>
      <c r="W102" s="495">
        <v>0</v>
      </c>
      <c r="X102" s="495">
        <v>0</v>
      </c>
      <c r="Y102" s="490">
        <v>0</v>
      </c>
      <c r="Z102" s="490">
        <v>0</v>
      </c>
      <c r="AA102" s="490">
        <v>0</v>
      </c>
      <c r="AB102" s="490">
        <v>0</v>
      </c>
      <c r="AC102" s="490">
        <v>0</v>
      </c>
      <c r="AD102" s="490">
        <v>0</v>
      </c>
      <c r="AE102" s="490">
        <v>0</v>
      </c>
      <c r="AF102" s="339">
        <v>0</v>
      </c>
      <c r="AG102" s="339">
        <v>0</v>
      </c>
      <c r="AH102" s="496">
        <v>0</v>
      </c>
      <c r="AI102" s="490">
        <v>0</v>
      </c>
      <c r="AJ102" s="490">
        <v>0</v>
      </c>
      <c r="AK102" s="339">
        <v>0</v>
      </c>
      <c r="AL102" s="339">
        <v>0</v>
      </c>
      <c r="AM102" s="496">
        <v>0</v>
      </c>
      <c r="AN102" s="495">
        <v>0</v>
      </c>
      <c r="AO102" s="495">
        <v>0</v>
      </c>
      <c r="AP102" s="74"/>
      <c r="AQ102" s="303">
        <v>45889.259999999995</v>
      </c>
      <c r="AR102" s="303">
        <v>19869</v>
      </c>
      <c r="AS102" s="552"/>
      <c r="AY102" s="67">
        <f t="shared" si="50"/>
        <v>0</v>
      </c>
      <c r="BA102" t="s">
        <v>859</v>
      </c>
      <c r="BB102" t="s">
        <v>225</v>
      </c>
      <c r="BC102" t="s">
        <v>945</v>
      </c>
      <c r="BD102" s="491">
        <v>5.6500000000000002E-2</v>
      </c>
      <c r="BE102" s="492">
        <v>0.42220000000000002</v>
      </c>
      <c r="BG102" s="510">
        <f t="shared" si="48"/>
        <v>0</v>
      </c>
      <c r="BH102" s="510">
        <f t="shared" si="49"/>
        <v>0</v>
      </c>
      <c r="BJ102" s="520">
        <f t="shared" si="51"/>
        <v>0</v>
      </c>
      <c r="BK102" s="520">
        <f t="shared" si="52"/>
        <v>0</v>
      </c>
      <c r="CB102" s="74"/>
      <c r="CC102" s="74"/>
      <c r="CD102" s="74"/>
      <c r="CE102" s="74"/>
      <c r="CF102" s="74"/>
    </row>
    <row r="103" spans="1:84">
      <c r="A103" s="283" t="s">
        <v>228</v>
      </c>
      <c r="B103" s="283" t="s">
        <v>227</v>
      </c>
      <c r="C103" s="283" t="str">
        <f t="shared" si="53"/>
        <v>20404 GOLDENDALE SCHOOL DISTRICT</v>
      </c>
      <c r="D103" s="490">
        <v>0</v>
      </c>
      <c r="E103" s="490">
        <v>0</v>
      </c>
      <c r="F103" s="490">
        <v>0</v>
      </c>
      <c r="G103" s="490">
        <v>0</v>
      </c>
      <c r="H103" s="490">
        <v>0</v>
      </c>
      <c r="I103" s="490">
        <v>258071.2</v>
      </c>
      <c r="J103" s="490">
        <v>902729.68</v>
      </c>
      <c r="K103" s="490">
        <v>198434.32</v>
      </c>
      <c r="L103" s="490">
        <v>87789.92</v>
      </c>
      <c r="M103" s="490">
        <v>691514.24</v>
      </c>
      <c r="N103" s="300">
        <v>9.5600000000000004E-2</v>
      </c>
      <c r="O103" s="492">
        <v>8.4699999999999998E-2</v>
      </c>
      <c r="P103" s="490">
        <v>0</v>
      </c>
      <c r="Q103" s="493">
        <v>0</v>
      </c>
      <c r="R103" s="493">
        <v>0</v>
      </c>
      <c r="S103" s="494">
        <v>0</v>
      </c>
      <c r="T103" s="495">
        <v>0</v>
      </c>
      <c r="U103" s="495">
        <v>0</v>
      </c>
      <c r="V103" s="490">
        <v>0</v>
      </c>
      <c r="W103" s="495">
        <v>0</v>
      </c>
      <c r="X103" s="495">
        <v>0</v>
      </c>
      <c r="Y103" s="490">
        <v>0</v>
      </c>
      <c r="Z103" s="490">
        <v>19949.060000000001</v>
      </c>
      <c r="AA103" s="490">
        <v>60956.61</v>
      </c>
      <c r="AB103" s="490">
        <v>187520.85</v>
      </c>
      <c r="AC103" s="490">
        <v>823226.98</v>
      </c>
      <c r="AD103" s="490">
        <v>85.26</v>
      </c>
      <c r="AE103" s="490">
        <v>754318.41</v>
      </c>
      <c r="AF103" s="339">
        <v>8847.2719915552425</v>
      </c>
      <c r="AG103" s="339">
        <v>9655.4888576120102</v>
      </c>
      <c r="AH103" s="496">
        <v>808.22</v>
      </c>
      <c r="AI103" s="490">
        <v>20.440000000000001</v>
      </c>
      <c r="AJ103" s="490">
        <v>176349.31</v>
      </c>
      <c r="AK103" s="339">
        <v>8627.6570450097843</v>
      </c>
      <c r="AL103" s="339">
        <v>9174.2098825831708</v>
      </c>
      <c r="AM103" s="496">
        <v>546.54999999999995</v>
      </c>
      <c r="AN103" s="495">
        <v>0</v>
      </c>
      <c r="AO103" s="495">
        <v>0</v>
      </c>
      <c r="AP103" s="74"/>
      <c r="AQ103" s="303">
        <v>0</v>
      </c>
      <c r="AR103" s="303">
        <v>91773.540000000008</v>
      </c>
      <c r="AS103" s="552">
        <v>34835.11</v>
      </c>
      <c r="AY103" s="67">
        <f t="shared" si="50"/>
        <v>0</v>
      </c>
      <c r="BA103" t="s">
        <v>865</v>
      </c>
      <c r="BB103" t="s">
        <v>227</v>
      </c>
      <c r="BC103" t="s">
        <v>946</v>
      </c>
      <c r="BD103" s="491">
        <v>9.5600000000000004E-2</v>
      </c>
      <c r="BE103" s="492">
        <v>8.4699999999999998E-2</v>
      </c>
      <c r="BG103" s="510">
        <f t="shared" si="48"/>
        <v>0</v>
      </c>
      <c r="BH103" s="510">
        <f t="shared" si="49"/>
        <v>0</v>
      </c>
      <c r="BJ103" s="520">
        <f t="shared" si="51"/>
        <v>0</v>
      </c>
      <c r="BK103" s="520">
        <f t="shared" si="52"/>
        <v>0</v>
      </c>
      <c r="CB103" s="74"/>
      <c r="CC103" s="74"/>
      <c r="CD103" s="74"/>
      <c r="CE103" s="74"/>
      <c r="CF103" s="74"/>
    </row>
    <row r="104" spans="1:84">
      <c r="A104" s="283" t="s">
        <v>230</v>
      </c>
      <c r="B104" s="283" t="s">
        <v>229</v>
      </c>
      <c r="C104" s="283" t="str">
        <f t="shared" si="53"/>
        <v>13301 GRAND COULEE DAM SCHOOL DISTRICT</v>
      </c>
      <c r="D104" s="490">
        <v>0</v>
      </c>
      <c r="E104" s="490">
        <v>33618.379999999997</v>
      </c>
      <c r="F104" s="490">
        <v>14490.88</v>
      </c>
      <c r="G104" s="490">
        <v>1111062.19</v>
      </c>
      <c r="H104" s="490">
        <v>166502.89000000001</v>
      </c>
      <c r="I104" s="490">
        <v>222227.96</v>
      </c>
      <c r="J104" s="490">
        <v>355938.74</v>
      </c>
      <c r="K104" s="490">
        <v>0</v>
      </c>
      <c r="L104" s="490">
        <v>20986.46</v>
      </c>
      <c r="M104" s="490">
        <v>583617.53</v>
      </c>
      <c r="N104" s="300">
        <v>5.79E-2</v>
      </c>
      <c r="O104" s="492">
        <v>0.22620000000000001</v>
      </c>
      <c r="P104" s="490">
        <v>0</v>
      </c>
      <c r="Q104" s="493">
        <v>0</v>
      </c>
      <c r="R104" s="493">
        <v>0</v>
      </c>
      <c r="S104" s="494">
        <v>0</v>
      </c>
      <c r="T104" s="495">
        <v>0</v>
      </c>
      <c r="U104" s="495">
        <v>0</v>
      </c>
      <c r="V104" s="490">
        <v>0</v>
      </c>
      <c r="W104" s="495">
        <v>0</v>
      </c>
      <c r="X104" s="495">
        <v>0</v>
      </c>
      <c r="Y104" s="490">
        <v>0</v>
      </c>
      <c r="Z104" s="490">
        <v>10707.86</v>
      </c>
      <c r="AA104" s="490">
        <v>20837.77</v>
      </c>
      <c r="AB104" s="490">
        <v>93453.22</v>
      </c>
      <c r="AC104" s="490">
        <v>318696.37</v>
      </c>
      <c r="AD104" s="490">
        <v>33.35</v>
      </c>
      <c r="AE104" s="490">
        <v>295131.48</v>
      </c>
      <c r="AF104" s="339">
        <v>8849.5196401799094</v>
      </c>
      <c r="AG104" s="339">
        <v>9556.1130434782608</v>
      </c>
      <c r="AH104" s="496">
        <v>706.59</v>
      </c>
      <c r="AI104" s="490">
        <v>10.19</v>
      </c>
      <c r="AJ104" s="490">
        <v>87982.6</v>
      </c>
      <c r="AK104" s="339">
        <v>8634.2100098135434</v>
      </c>
      <c r="AL104" s="339">
        <v>9171.0716388616293</v>
      </c>
      <c r="AM104" s="496">
        <v>536.86</v>
      </c>
      <c r="AN104" s="495">
        <v>64.8</v>
      </c>
      <c r="AO104" s="495">
        <v>0</v>
      </c>
      <c r="AP104" s="74"/>
      <c r="AQ104" s="303">
        <v>0</v>
      </c>
      <c r="AR104" s="303">
        <v>72630.95</v>
      </c>
      <c r="AS104" s="552">
        <v>31552.809999999998</v>
      </c>
      <c r="AY104" s="67">
        <f t="shared" si="50"/>
        <v>0</v>
      </c>
      <c r="BA104" t="s">
        <v>871</v>
      </c>
      <c r="BB104" t="s">
        <v>229</v>
      </c>
      <c r="BC104" t="s">
        <v>947</v>
      </c>
      <c r="BD104" s="491">
        <v>5.79E-2</v>
      </c>
      <c r="BE104" s="492">
        <v>0.22620000000000001</v>
      </c>
      <c r="BG104" s="510">
        <f t="shared" si="48"/>
        <v>0</v>
      </c>
      <c r="BH104" s="510">
        <f t="shared" si="49"/>
        <v>0</v>
      </c>
      <c r="BJ104" s="520">
        <f t="shared" si="51"/>
        <v>0</v>
      </c>
      <c r="BK104" s="520">
        <f t="shared" si="52"/>
        <v>0</v>
      </c>
      <c r="CB104" s="74"/>
      <c r="CC104" s="74"/>
      <c r="CD104" s="74"/>
      <c r="CE104" s="74"/>
      <c r="CF104" s="74"/>
    </row>
    <row r="105" spans="1:84">
      <c r="A105" s="283" t="s">
        <v>232</v>
      </c>
      <c r="B105" s="283" t="s">
        <v>231</v>
      </c>
      <c r="C105" s="283" t="str">
        <f t="shared" si="53"/>
        <v>39200 GRANDVIEW SCHOOL DISTRICT</v>
      </c>
      <c r="D105" s="490">
        <v>0</v>
      </c>
      <c r="E105" s="490">
        <v>13643.9</v>
      </c>
      <c r="F105" s="490">
        <v>0</v>
      </c>
      <c r="G105" s="490">
        <v>6045039.25</v>
      </c>
      <c r="H105" s="490">
        <v>1512821.6</v>
      </c>
      <c r="I105" s="490">
        <v>1059297</v>
      </c>
      <c r="J105" s="490">
        <v>2030388.54</v>
      </c>
      <c r="K105" s="490">
        <v>1838681.6</v>
      </c>
      <c r="L105" s="490">
        <v>104516.75</v>
      </c>
      <c r="M105" s="490">
        <v>1367156.67</v>
      </c>
      <c r="N105" s="300">
        <v>6.5000000000000002E-2</v>
      </c>
      <c r="O105" s="492">
        <v>0.18410000000000001</v>
      </c>
      <c r="P105" s="490">
        <v>0</v>
      </c>
      <c r="Q105" s="493">
        <v>0</v>
      </c>
      <c r="R105" s="493">
        <v>0</v>
      </c>
      <c r="S105" s="494">
        <v>0</v>
      </c>
      <c r="T105" s="495">
        <v>0</v>
      </c>
      <c r="U105" s="495">
        <v>0</v>
      </c>
      <c r="V105" s="490">
        <v>0</v>
      </c>
      <c r="W105" s="495">
        <v>0</v>
      </c>
      <c r="X105" s="495">
        <v>0</v>
      </c>
      <c r="Y105" s="490">
        <v>0</v>
      </c>
      <c r="Z105" s="490">
        <v>40345.69</v>
      </c>
      <c r="AA105" s="490">
        <v>144896.98000000001</v>
      </c>
      <c r="AB105" s="490">
        <v>386971.66</v>
      </c>
      <c r="AC105" s="490">
        <v>2835130.63</v>
      </c>
      <c r="AD105" s="490">
        <v>299.08</v>
      </c>
      <c r="AE105" s="490">
        <v>2646205.2000000002</v>
      </c>
      <c r="AF105" s="339">
        <v>8847.8173064063139</v>
      </c>
      <c r="AG105" s="339">
        <v>9479.5059181489905</v>
      </c>
      <c r="AH105" s="496">
        <v>631.69000000000005</v>
      </c>
      <c r="AI105" s="490">
        <v>42.21</v>
      </c>
      <c r="AJ105" s="490">
        <v>364206.63</v>
      </c>
      <c r="AK105" s="339">
        <v>8628.4442075337593</v>
      </c>
      <c r="AL105" s="339">
        <v>9167.7720919213443</v>
      </c>
      <c r="AM105" s="496">
        <v>539.33000000000004</v>
      </c>
      <c r="AN105" s="495">
        <v>406.78</v>
      </c>
      <c r="AO105" s="495">
        <v>0</v>
      </c>
      <c r="AP105" s="74"/>
      <c r="AQ105" s="303">
        <v>0</v>
      </c>
      <c r="AR105" s="303">
        <v>411126.13999999996</v>
      </c>
      <c r="AS105" s="552">
        <v>114452.69</v>
      </c>
      <c r="AY105" s="67">
        <f t="shared" si="50"/>
        <v>0</v>
      </c>
      <c r="BA105" t="s">
        <v>865</v>
      </c>
      <c r="BB105" t="s">
        <v>231</v>
      </c>
      <c r="BC105" t="s">
        <v>948</v>
      </c>
      <c r="BD105" s="491">
        <v>6.5000000000000002E-2</v>
      </c>
      <c r="BE105" s="492">
        <v>0.18410000000000001</v>
      </c>
      <c r="BG105" s="510">
        <f t="shared" si="48"/>
        <v>0</v>
      </c>
      <c r="BH105" s="510">
        <f t="shared" si="49"/>
        <v>0</v>
      </c>
      <c r="BJ105" s="520">
        <f t="shared" si="51"/>
        <v>0</v>
      </c>
      <c r="BK105" s="520">
        <f t="shared" si="52"/>
        <v>0</v>
      </c>
      <c r="CB105" s="74"/>
      <c r="CC105" s="74"/>
      <c r="CD105" s="74"/>
      <c r="CE105" s="74"/>
      <c r="CF105" s="74"/>
    </row>
    <row r="106" spans="1:84">
      <c r="A106" s="283" t="s">
        <v>234</v>
      </c>
      <c r="B106" s="283" t="s">
        <v>233</v>
      </c>
      <c r="C106" s="283" t="str">
        <f t="shared" si="53"/>
        <v>39204 GRANGER SCHOOL DISTRICT</v>
      </c>
      <c r="D106" s="490">
        <v>111421.95</v>
      </c>
      <c r="E106" s="490">
        <v>0</v>
      </c>
      <c r="F106" s="490">
        <v>0</v>
      </c>
      <c r="G106" s="490">
        <v>2227415.77</v>
      </c>
      <c r="H106" s="490">
        <v>427529.53</v>
      </c>
      <c r="I106" s="490">
        <v>425443.45</v>
      </c>
      <c r="J106" s="490">
        <v>843510.44</v>
      </c>
      <c r="K106" s="490">
        <v>1123950.6299999999</v>
      </c>
      <c r="L106" s="490">
        <v>40726.22</v>
      </c>
      <c r="M106" s="490">
        <v>662588.6</v>
      </c>
      <c r="N106" s="300">
        <v>3.5999999999999997E-2</v>
      </c>
      <c r="O106" s="492">
        <v>0.13159999999999999</v>
      </c>
      <c r="P106" s="490">
        <v>0</v>
      </c>
      <c r="Q106" s="493">
        <v>0</v>
      </c>
      <c r="R106" s="493">
        <v>0</v>
      </c>
      <c r="S106" s="494">
        <v>0</v>
      </c>
      <c r="T106" s="495">
        <v>0</v>
      </c>
      <c r="U106" s="495">
        <v>0</v>
      </c>
      <c r="V106" s="490">
        <v>0</v>
      </c>
      <c r="W106" s="495">
        <v>0</v>
      </c>
      <c r="X106" s="495">
        <v>0</v>
      </c>
      <c r="Y106" s="490">
        <v>1571.38</v>
      </c>
      <c r="Z106" s="490">
        <v>0</v>
      </c>
      <c r="AA106" s="490">
        <v>0</v>
      </c>
      <c r="AB106" s="490">
        <v>271520.82</v>
      </c>
      <c r="AC106" s="490">
        <v>1222916.31</v>
      </c>
      <c r="AD106" s="490">
        <v>133.27000000000001</v>
      </c>
      <c r="AE106" s="490">
        <v>1179170.05</v>
      </c>
      <c r="AF106" s="339">
        <v>8847.9781646281972</v>
      </c>
      <c r="AG106" s="339">
        <v>9176.2310347415023</v>
      </c>
      <c r="AH106" s="496">
        <v>328.25</v>
      </c>
      <c r="AI106" s="490">
        <v>29.62</v>
      </c>
      <c r="AJ106" s="490">
        <v>255731.76</v>
      </c>
      <c r="AK106" s="339">
        <v>8633.7528696826466</v>
      </c>
      <c r="AL106" s="339">
        <v>9166.8068872383519</v>
      </c>
      <c r="AM106" s="496">
        <v>533.04999999999995</v>
      </c>
      <c r="AN106" s="495">
        <v>0</v>
      </c>
      <c r="AO106" s="495">
        <v>0</v>
      </c>
      <c r="AP106" s="74"/>
      <c r="AQ106" s="303">
        <v>71326.600000000006</v>
      </c>
      <c r="AR106" s="303">
        <v>168950.19</v>
      </c>
      <c r="AS106" s="552">
        <v>15880.47</v>
      </c>
      <c r="AY106" s="67">
        <f t="shared" si="50"/>
        <v>0</v>
      </c>
      <c r="BA106" t="s">
        <v>865</v>
      </c>
      <c r="BB106" t="s">
        <v>233</v>
      </c>
      <c r="BC106" t="s">
        <v>949</v>
      </c>
      <c r="BD106" s="491">
        <v>3.5999999999999997E-2</v>
      </c>
      <c r="BE106" s="492">
        <v>0.13159999999999999</v>
      </c>
      <c r="BG106" s="510">
        <f t="shared" si="48"/>
        <v>0</v>
      </c>
      <c r="BH106" s="510">
        <f t="shared" si="49"/>
        <v>0</v>
      </c>
      <c r="BJ106" s="520">
        <f t="shared" si="51"/>
        <v>0</v>
      </c>
      <c r="BK106" s="520">
        <f t="shared" si="52"/>
        <v>0</v>
      </c>
      <c r="CB106" s="74"/>
      <c r="CC106" s="74"/>
      <c r="CD106" s="74"/>
      <c r="CE106" s="74"/>
      <c r="CF106" s="74"/>
    </row>
    <row r="107" spans="1:84">
      <c r="A107" s="283" t="s">
        <v>236</v>
      </c>
      <c r="B107" s="283" t="s">
        <v>235</v>
      </c>
      <c r="C107" s="283" t="str">
        <f t="shared" si="53"/>
        <v>31332 GRANITE FALLS SCHOOL DISTRICT</v>
      </c>
      <c r="D107" s="490">
        <v>0</v>
      </c>
      <c r="E107" s="490">
        <v>41490.53</v>
      </c>
      <c r="F107" s="490">
        <v>0</v>
      </c>
      <c r="G107" s="490">
        <v>6123611.5499999998</v>
      </c>
      <c r="H107" s="490">
        <v>1001998.19</v>
      </c>
      <c r="I107" s="490">
        <v>85599.69</v>
      </c>
      <c r="J107" s="490">
        <v>695927.92</v>
      </c>
      <c r="K107" s="490">
        <v>168654.37</v>
      </c>
      <c r="L107" s="490">
        <v>74354.710000000006</v>
      </c>
      <c r="M107" s="490">
        <v>1602167.26</v>
      </c>
      <c r="N107" s="300">
        <v>4.2200000000000001E-2</v>
      </c>
      <c r="O107" s="492">
        <v>0.1646</v>
      </c>
      <c r="P107" s="490">
        <v>0</v>
      </c>
      <c r="Q107" s="493">
        <v>0</v>
      </c>
      <c r="R107" s="493">
        <v>0</v>
      </c>
      <c r="S107" s="494">
        <v>0</v>
      </c>
      <c r="T107" s="495">
        <v>0</v>
      </c>
      <c r="U107" s="495">
        <v>0</v>
      </c>
      <c r="V107" s="490">
        <v>0</v>
      </c>
      <c r="W107" s="495">
        <v>0</v>
      </c>
      <c r="X107" s="495">
        <v>0</v>
      </c>
      <c r="Y107" s="490">
        <v>2585.79</v>
      </c>
      <c r="Z107" s="490">
        <v>0</v>
      </c>
      <c r="AA107" s="490">
        <v>0</v>
      </c>
      <c r="AB107" s="490">
        <v>435661.45</v>
      </c>
      <c r="AC107" s="490">
        <v>875776.57</v>
      </c>
      <c r="AD107" s="490">
        <v>86.12</v>
      </c>
      <c r="AE107" s="490">
        <v>824768.78</v>
      </c>
      <c r="AF107" s="339">
        <v>9576.9714352066876</v>
      </c>
      <c r="AG107" s="339">
        <v>10169.258824895494</v>
      </c>
      <c r="AH107" s="496">
        <v>592.29</v>
      </c>
      <c r="AI107" s="490">
        <v>43.84</v>
      </c>
      <c r="AJ107" s="490">
        <v>410154.43</v>
      </c>
      <c r="AK107" s="339">
        <v>9355.7123631386858</v>
      </c>
      <c r="AL107" s="339">
        <v>9937.5330748175184</v>
      </c>
      <c r="AM107" s="496">
        <v>581.82000000000005</v>
      </c>
      <c r="AN107" s="495">
        <v>0</v>
      </c>
      <c r="AO107" s="495">
        <v>0</v>
      </c>
      <c r="AP107" s="74"/>
      <c r="AQ107" s="303">
        <v>0</v>
      </c>
      <c r="AR107" s="303">
        <v>242656.78</v>
      </c>
      <c r="AS107" s="552">
        <v>82413.959999999992</v>
      </c>
      <c r="AY107" s="67">
        <f t="shared" si="50"/>
        <v>0</v>
      </c>
      <c r="BA107" t="s">
        <v>850</v>
      </c>
      <c r="BB107" t="s">
        <v>235</v>
      </c>
      <c r="BC107" t="s">
        <v>950</v>
      </c>
      <c r="BD107" s="491">
        <v>4.2200000000000001E-2</v>
      </c>
      <c r="BE107" s="492">
        <v>0.1646</v>
      </c>
      <c r="BG107" s="510">
        <f t="shared" si="48"/>
        <v>0</v>
      </c>
      <c r="BH107" s="510">
        <f t="shared" si="49"/>
        <v>0</v>
      </c>
      <c r="BJ107" s="520">
        <f t="shared" si="51"/>
        <v>0</v>
      </c>
      <c r="BK107" s="520">
        <f t="shared" si="52"/>
        <v>0</v>
      </c>
      <c r="CB107" s="74"/>
      <c r="CC107" s="74"/>
      <c r="CD107" s="74"/>
      <c r="CE107" s="74"/>
      <c r="CF107" s="74"/>
    </row>
    <row r="108" spans="1:84">
      <c r="A108" s="283" t="s">
        <v>238</v>
      </c>
      <c r="B108" s="283" t="s">
        <v>237</v>
      </c>
      <c r="C108" s="283" t="str">
        <f t="shared" si="53"/>
        <v>23054 GRAPEVIEW SCHOOL DISTRICT</v>
      </c>
      <c r="D108" s="490">
        <v>0</v>
      </c>
      <c r="E108" s="490">
        <v>0</v>
      </c>
      <c r="F108" s="490">
        <v>0</v>
      </c>
      <c r="G108" s="490">
        <v>486370.16</v>
      </c>
      <c r="H108" s="490">
        <v>27630.54</v>
      </c>
      <c r="I108" s="490">
        <v>0</v>
      </c>
      <c r="J108" s="490">
        <v>78928.429999999993</v>
      </c>
      <c r="K108" s="490">
        <v>0</v>
      </c>
      <c r="L108" s="490">
        <v>6887.1</v>
      </c>
      <c r="M108" s="490">
        <v>189834.7</v>
      </c>
      <c r="N108" s="300">
        <v>9.1999999999999998E-2</v>
      </c>
      <c r="O108" s="492">
        <v>0.24579999999999999</v>
      </c>
      <c r="P108" s="490">
        <v>0</v>
      </c>
      <c r="Q108" s="493">
        <v>0</v>
      </c>
      <c r="R108" s="493">
        <v>0</v>
      </c>
      <c r="S108" s="494">
        <v>0</v>
      </c>
      <c r="T108" s="495">
        <v>0</v>
      </c>
      <c r="U108" s="495">
        <v>0</v>
      </c>
      <c r="V108" s="490">
        <v>0</v>
      </c>
      <c r="W108" s="495">
        <v>0</v>
      </c>
      <c r="X108" s="495">
        <v>0</v>
      </c>
      <c r="Y108" s="490">
        <v>269.54000000000002</v>
      </c>
      <c r="Z108" s="490">
        <v>0</v>
      </c>
      <c r="AA108" s="490">
        <v>0</v>
      </c>
      <c r="AB108" s="490">
        <v>0</v>
      </c>
      <c r="AC108" s="490">
        <v>0</v>
      </c>
      <c r="AD108" s="490">
        <v>0</v>
      </c>
      <c r="AE108" s="490">
        <v>0</v>
      </c>
      <c r="AF108" s="339">
        <v>0</v>
      </c>
      <c r="AG108" s="339">
        <v>0</v>
      </c>
      <c r="AH108" s="496">
        <v>0</v>
      </c>
      <c r="AI108" s="490">
        <v>0</v>
      </c>
      <c r="AJ108" s="490">
        <v>0</v>
      </c>
      <c r="AK108" s="339">
        <v>0</v>
      </c>
      <c r="AL108" s="339">
        <v>0</v>
      </c>
      <c r="AM108" s="496">
        <v>0</v>
      </c>
      <c r="AN108" s="495">
        <v>0</v>
      </c>
      <c r="AO108" s="495">
        <v>0</v>
      </c>
      <c r="AP108" s="74"/>
      <c r="AQ108" s="303">
        <v>0</v>
      </c>
      <c r="AR108" s="303">
        <v>23910.94</v>
      </c>
      <c r="AS108" s="552">
        <v>6747.49</v>
      </c>
      <c r="AY108" s="67">
        <f t="shared" si="50"/>
        <v>0</v>
      </c>
      <c r="BA108" t="s">
        <v>845</v>
      </c>
      <c r="BB108" t="s">
        <v>237</v>
      </c>
      <c r="BC108" t="s">
        <v>951</v>
      </c>
      <c r="BD108" s="491">
        <v>9.1999999999999998E-2</v>
      </c>
      <c r="BE108" s="492">
        <v>0.24579999999999999</v>
      </c>
      <c r="BG108" s="510">
        <f t="shared" si="48"/>
        <v>0</v>
      </c>
      <c r="BH108" s="510">
        <f t="shared" si="49"/>
        <v>0</v>
      </c>
      <c r="BJ108" s="520">
        <f t="shared" si="51"/>
        <v>0</v>
      </c>
      <c r="BK108" s="520">
        <f t="shared" si="52"/>
        <v>0</v>
      </c>
      <c r="CB108" s="74"/>
      <c r="CC108" s="74"/>
      <c r="CD108" s="74"/>
      <c r="CE108" s="74"/>
      <c r="CF108" s="74"/>
    </row>
    <row r="109" spans="1:84">
      <c r="A109" s="283" t="s">
        <v>240</v>
      </c>
      <c r="B109" s="283" t="s">
        <v>239</v>
      </c>
      <c r="C109" s="283" t="str">
        <f t="shared" si="53"/>
        <v>32312 GREAT NORTHERN SCHOOL DISTRICT</v>
      </c>
      <c r="D109" s="490">
        <v>0</v>
      </c>
      <c r="E109" s="490">
        <v>0</v>
      </c>
      <c r="F109" s="490">
        <v>0</v>
      </c>
      <c r="G109" s="490">
        <v>65571.59</v>
      </c>
      <c r="H109" s="490">
        <v>5655.56</v>
      </c>
      <c r="I109" s="490">
        <v>0</v>
      </c>
      <c r="J109" s="490">
        <v>10077.66</v>
      </c>
      <c r="K109" s="490">
        <v>0</v>
      </c>
      <c r="L109" s="490">
        <v>0</v>
      </c>
      <c r="M109" s="490">
        <v>106220.76</v>
      </c>
      <c r="N109" s="300">
        <v>7.0800000000000002E-2</v>
      </c>
      <c r="O109" s="492">
        <v>0.2009</v>
      </c>
      <c r="P109" s="490">
        <v>0</v>
      </c>
      <c r="Q109" s="493">
        <v>0</v>
      </c>
      <c r="R109" s="493">
        <v>0</v>
      </c>
      <c r="S109" s="494">
        <v>0</v>
      </c>
      <c r="T109" s="495">
        <v>0</v>
      </c>
      <c r="U109" s="495">
        <v>0</v>
      </c>
      <c r="V109" s="490">
        <v>0</v>
      </c>
      <c r="W109" s="495">
        <v>0</v>
      </c>
      <c r="X109" s="495">
        <v>0</v>
      </c>
      <c r="Y109" s="490">
        <v>0</v>
      </c>
      <c r="Z109" s="490">
        <v>0</v>
      </c>
      <c r="AA109" s="490">
        <v>0</v>
      </c>
      <c r="AB109" s="490">
        <v>0</v>
      </c>
      <c r="AC109" s="490">
        <v>0</v>
      </c>
      <c r="AD109" s="490">
        <v>0</v>
      </c>
      <c r="AE109" s="490">
        <v>0</v>
      </c>
      <c r="AF109" s="339">
        <v>0</v>
      </c>
      <c r="AG109" s="339">
        <v>0</v>
      </c>
      <c r="AH109" s="496">
        <v>0</v>
      </c>
      <c r="AI109" s="490">
        <v>0</v>
      </c>
      <c r="AJ109" s="490">
        <v>0</v>
      </c>
      <c r="AK109" s="339">
        <v>0</v>
      </c>
      <c r="AL109" s="339">
        <v>0</v>
      </c>
      <c r="AM109" s="496">
        <v>0</v>
      </c>
      <c r="AN109" s="495">
        <v>0</v>
      </c>
      <c r="AO109" s="495">
        <v>0</v>
      </c>
      <c r="AP109" s="74"/>
      <c r="AQ109" s="303">
        <v>5040.329999999999</v>
      </c>
      <c r="AR109" s="303">
        <v>4620.67</v>
      </c>
      <c r="AS109" s="552">
        <v>5764.95</v>
      </c>
      <c r="AY109" s="67">
        <f t="shared" si="50"/>
        <v>0</v>
      </c>
      <c r="BA109" t="s">
        <v>848</v>
      </c>
      <c r="BB109" t="s">
        <v>239</v>
      </c>
      <c r="BC109" t="s">
        <v>952</v>
      </c>
      <c r="BD109" s="491">
        <v>7.0800000000000002E-2</v>
      </c>
      <c r="BE109" s="492">
        <v>0.2009</v>
      </c>
      <c r="BG109" s="510">
        <f t="shared" si="48"/>
        <v>0</v>
      </c>
      <c r="BH109" s="510">
        <f t="shared" si="49"/>
        <v>0</v>
      </c>
      <c r="BJ109" s="520">
        <f t="shared" si="51"/>
        <v>0</v>
      </c>
      <c r="BK109" s="520">
        <f t="shared" si="52"/>
        <v>0</v>
      </c>
      <c r="CB109" s="74"/>
      <c r="CC109" s="74"/>
      <c r="CD109" s="74"/>
      <c r="CE109" s="74"/>
      <c r="CF109" s="74"/>
    </row>
    <row r="110" spans="1:84">
      <c r="A110" s="283" t="s">
        <v>242</v>
      </c>
      <c r="B110" s="283" t="s">
        <v>241</v>
      </c>
      <c r="C110" s="283" t="str">
        <f t="shared" si="53"/>
        <v>06103 GREEN MOUNTAIN SCHOOL DISTRICT</v>
      </c>
      <c r="D110" s="490">
        <v>0</v>
      </c>
      <c r="E110" s="490">
        <v>0</v>
      </c>
      <c r="F110" s="490">
        <v>0</v>
      </c>
      <c r="G110" s="490">
        <v>0</v>
      </c>
      <c r="H110" s="490">
        <v>0</v>
      </c>
      <c r="I110" s="490">
        <v>0</v>
      </c>
      <c r="J110" s="490">
        <v>43618.35</v>
      </c>
      <c r="K110" s="490">
        <v>0</v>
      </c>
      <c r="L110" s="490">
        <v>5247.32</v>
      </c>
      <c r="M110" s="490">
        <v>181750.89</v>
      </c>
      <c r="N110" s="300">
        <v>6.6199999999999995E-2</v>
      </c>
      <c r="O110" s="492">
        <v>0.24010000000000001</v>
      </c>
      <c r="P110" s="490">
        <v>0</v>
      </c>
      <c r="Q110" s="493">
        <v>0</v>
      </c>
      <c r="R110" s="493">
        <v>0</v>
      </c>
      <c r="S110" s="494">
        <v>0</v>
      </c>
      <c r="T110" s="495">
        <v>0</v>
      </c>
      <c r="U110" s="495">
        <v>0</v>
      </c>
      <c r="V110" s="490">
        <v>0</v>
      </c>
      <c r="W110" s="495">
        <v>0</v>
      </c>
      <c r="X110" s="495">
        <v>0</v>
      </c>
      <c r="Y110" s="490">
        <v>189.01</v>
      </c>
      <c r="Z110" s="490">
        <v>0</v>
      </c>
      <c r="AA110" s="490">
        <v>0</v>
      </c>
      <c r="AB110" s="490">
        <v>0</v>
      </c>
      <c r="AC110" s="490">
        <v>0</v>
      </c>
      <c r="AD110" s="490">
        <v>0</v>
      </c>
      <c r="AE110" s="490">
        <v>0</v>
      </c>
      <c r="AF110" s="339">
        <v>0</v>
      </c>
      <c r="AG110" s="339">
        <v>0</v>
      </c>
      <c r="AH110" s="496">
        <v>0</v>
      </c>
      <c r="AI110" s="490">
        <v>0</v>
      </c>
      <c r="AJ110" s="490">
        <v>0</v>
      </c>
      <c r="AK110" s="339">
        <v>0</v>
      </c>
      <c r="AL110" s="339">
        <v>0</v>
      </c>
      <c r="AM110" s="496">
        <v>0</v>
      </c>
      <c r="AN110" s="495">
        <v>0</v>
      </c>
      <c r="AO110" s="495">
        <v>0</v>
      </c>
      <c r="AP110" s="74"/>
      <c r="AQ110" s="303">
        <v>1979.6999999999989</v>
      </c>
      <c r="AR110" s="303">
        <v>17268.3</v>
      </c>
      <c r="AS110" s="552">
        <v>8759.16</v>
      </c>
      <c r="AY110" s="67">
        <f t="shared" si="50"/>
        <v>0</v>
      </c>
      <c r="BA110" t="s">
        <v>859</v>
      </c>
      <c r="BB110" t="s">
        <v>241</v>
      </c>
      <c r="BC110" t="s">
        <v>953</v>
      </c>
      <c r="BD110" s="491">
        <v>6.6199999999999995E-2</v>
      </c>
      <c r="BE110" s="492">
        <v>0.24010000000000001</v>
      </c>
      <c r="BG110" s="510">
        <f t="shared" si="48"/>
        <v>0</v>
      </c>
      <c r="BH110" s="510">
        <f t="shared" si="49"/>
        <v>0</v>
      </c>
      <c r="BJ110" s="520">
        <f t="shared" si="51"/>
        <v>0</v>
      </c>
      <c r="BK110" s="520">
        <f t="shared" si="52"/>
        <v>0</v>
      </c>
      <c r="CB110" s="74"/>
      <c r="CC110" s="74"/>
      <c r="CD110" s="74"/>
      <c r="CE110" s="74"/>
      <c r="CF110" s="74"/>
    </row>
    <row r="111" spans="1:84">
      <c r="A111" s="283" t="s">
        <v>244</v>
      </c>
      <c r="B111" s="283" t="s">
        <v>243</v>
      </c>
      <c r="C111" s="283" t="str">
        <f t="shared" si="53"/>
        <v>34324 GRIFFIN SCHOOL DISTRICT</v>
      </c>
      <c r="D111" s="490">
        <v>0</v>
      </c>
      <c r="E111" s="490">
        <v>0</v>
      </c>
      <c r="F111" s="490">
        <v>0</v>
      </c>
      <c r="G111" s="490">
        <v>1267629.98</v>
      </c>
      <c r="H111" s="490">
        <v>119923.13</v>
      </c>
      <c r="I111" s="490">
        <v>0</v>
      </c>
      <c r="J111" s="490">
        <v>84049.76</v>
      </c>
      <c r="K111" s="490">
        <v>0</v>
      </c>
      <c r="L111" s="490">
        <v>16519.060000000001</v>
      </c>
      <c r="M111" s="490">
        <v>688043.45</v>
      </c>
      <c r="N111" s="300">
        <v>5.7299999999999997E-2</v>
      </c>
      <c r="O111" s="492">
        <v>0.1968</v>
      </c>
      <c r="P111" s="490">
        <v>0</v>
      </c>
      <c r="Q111" s="493">
        <v>0</v>
      </c>
      <c r="R111" s="493">
        <v>0</v>
      </c>
      <c r="S111" s="494">
        <v>0</v>
      </c>
      <c r="T111" s="495">
        <v>0</v>
      </c>
      <c r="U111" s="495">
        <v>0</v>
      </c>
      <c r="V111" s="490">
        <v>0</v>
      </c>
      <c r="W111" s="495">
        <v>0</v>
      </c>
      <c r="X111" s="495">
        <v>0</v>
      </c>
      <c r="Y111" s="490">
        <v>646.45000000000005</v>
      </c>
      <c r="Z111" s="490">
        <v>0</v>
      </c>
      <c r="AA111" s="490">
        <v>0</v>
      </c>
      <c r="AB111" s="490">
        <v>0</v>
      </c>
      <c r="AC111" s="490">
        <v>0</v>
      </c>
      <c r="AD111" s="490">
        <v>0</v>
      </c>
      <c r="AE111" s="490">
        <v>0</v>
      </c>
      <c r="AF111" s="339">
        <v>0</v>
      </c>
      <c r="AG111" s="339">
        <v>0</v>
      </c>
      <c r="AH111" s="496">
        <v>0</v>
      </c>
      <c r="AI111" s="490">
        <v>0</v>
      </c>
      <c r="AJ111" s="490">
        <v>0</v>
      </c>
      <c r="AK111" s="339">
        <v>0</v>
      </c>
      <c r="AL111" s="339">
        <v>0</v>
      </c>
      <c r="AM111" s="496">
        <v>0</v>
      </c>
      <c r="AN111" s="495">
        <v>1212.9100000000001</v>
      </c>
      <c r="AO111" s="495">
        <v>891.36</v>
      </c>
      <c r="AP111" s="74"/>
      <c r="AQ111" s="303">
        <v>0</v>
      </c>
      <c r="AR111" s="303">
        <v>57803.459999999992</v>
      </c>
      <c r="AS111" s="552">
        <v>27195.769999999997</v>
      </c>
      <c r="AY111" s="67">
        <f t="shared" si="50"/>
        <v>0</v>
      </c>
      <c r="BA111" t="s">
        <v>845</v>
      </c>
      <c r="BB111" t="s">
        <v>243</v>
      </c>
      <c r="BC111" t="s">
        <v>954</v>
      </c>
      <c r="BD111" s="491">
        <v>5.7299999999999997E-2</v>
      </c>
      <c r="BE111" s="492">
        <v>0.1968</v>
      </c>
      <c r="BG111" s="510">
        <f t="shared" si="48"/>
        <v>0</v>
      </c>
      <c r="BH111" s="510">
        <f t="shared" si="49"/>
        <v>0</v>
      </c>
      <c r="BJ111" s="520">
        <f t="shared" si="51"/>
        <v>0</v>
      </c>
      <c r="BK111" s="520">
        <f t="shared" si="52"/>
        <v>0</v>
      </c>
      <c r="CB111" s="74"/>
      <c r="CC111" s="74"/>
      <c r="CD111" s="74"/>
      <c r="CE111" s="74"/>
      <c r="CF111" s="74"/>
    </row>
    <row r="112" spans="1:84">
      <c r="A112" s="283" t="s">
        <v>246</v>
      </c>
      <c r="B112" s="283" t="s">
        <v>245</v>
      </c>
      <c r="C112" s="283" t="str">
        <f t="shared" si="53"/>
        <v>22204 HARRINGTON SCHOOL DISTRICT</v>
      </c>
      <c r="D112" s="490">
        <v>0</v>
      </c>
      <c r="E112" s="490">
        <v>0</v>
      </c>
      <c r="F112" s="490">
        <v>0</v>
      </c>
      <c r="G112" s="490">
        <v>218422.39</v>
      </c>
      <c r="H112" s="490">
        <v>30825.5</v>
      </c>
      <c r="I112" s="490">
        <v>41169.42</v>
      </c>
      <c r="J112" s="490">
        <v>46651.5</v>
      </c>
      <c r="K112" s="490">
        <v>0</v>
      </c>
      <c r="L112" s="490">
        <v>0</v>
      </c>
      <c r="M112" s="490">
        <v>301522.67</v>
      </c>
      <c r="N112" s="300">
        <v>4.7600000000000003E-2</v>
      </c>
      <c r="O112" s="492">
        <v>0.18129999999999999</v>
      </c>
      <c r="P112" s="490">
        <v>0</v>
      </c>
      <c r="Q112" s="493">
        <v>0</v>
      </c>
      <c r="R112" s="493">
        <v>0</v>
      </c>
      <c r="S112" s="494">
        <v>0</v>
      </c>
      <c r="T112" s="495">
        <v>0</v>
      </c>
      <c r="U112" s="495">
        <v>0</v>
      </c>
      <c r="V112" s="490">
        <v>0</v>
      </c>
      <c r="W112" s="495">
        <v>0</v>
      </c>
      <c r="X112" s="495">
        <v>0</v>
      </c>
      <c r="Y112" s="490">
        <v>0</v>
      </c>
      <c r="Z112" s="490">
        <v>0</v>
      </c>
      <c r="AA112" s="490">
        <v>0</v>
      </c>
      <c r="AB112" s="490">
        <v>27270.16</v>
      </c>
      <c r="AC112" s="490">
        <v>28869.32</v>
      </c>
      <c r="AD112" s="490">
        <v>3.09</v>
      </c>
      <c r="AE112" s="490">
        <v>27942.86</v>
      </c>
      <c r="AF112" s="339">
        <v>9042.9967637540467</v>
      </c>
      <c r="AG112" s="339">
        <v>9342.8220064724919</v>
      </c>
      <c r="AH112" s="496">
        <v>299.83</v>
      </c>
      <c r="AI112" s="490">
        <v>2.91</v>
      </c>
      <c r="AJ112" s="490">
        <v>25681.63</v>
      </c>
      <c r="AK112" s="339">
        <v>8825.3024054982816</v>
      </c>
      <c r="AL112" s="339">
        <v>9371.189003436426</v>
      </c>
      <c r="AM112" s="496">
        <v>545.89</v>
      </c>
      <c r="AN112" s="495">
        <v>613.65</v>
      </c>
      <c r="AO112" s="495">
        <v>0</v>
      </c>
      <c r="AP112" s="74"/>
      <c r="AQ112" s="303">
        <v>69510.37</v>
      </c>
      <c r="AR112" s="303">
        <v>25061.57</v>
      </c>
      <c r="AS112" s="552">
        <v>14327.99</v>
      </c>
      <c r="AY112" s="67">
        <f t="shared" si="50"/>
        <v>0</v>
      </c>
      <c r="BA112" t="s">
        <v>848</v>
      </c>
      <c r="BB112" t="s">
        <v>245</v>
      </c>
      <c r="BC112" t="s">
        <v>955</v>
      </c>
      <c r="BD112" s="491">
        <v>4.7600000000000003E-2</v>
      </c>
      <c r="BE112" s="492">
        <v>0.18129999999999999</v>
      </c>
      <c r="BG112" s="510">
        <f t="shared" si="48"/>
        <v>0</v>
      </c>
      <c r="BH112" s="510">
        <f t="shared" si="49"/>
        <v>0</v>
      </c>
      <c r="BJ112" s="520">
        <f t="shared" si="51"/>
        <v>0</v>
      </c>
      <c r="BK112" s="520">
        <f t="shared" si="52"/>
        <v>0</v>
      </c>
      <c r="CB112" s="74"/>
      <c r="CC112" s="74"/>
      <c r="CD112" s="74"/>
      <c r="CE112" s="74"/>
      <c r="CF112" s="74"/>
    </row>
    <row r="113" spans="1:84">
      <c r="A113" s="283" t="s">
        <v>248</v>
      </c>
      <c r="B113" s="283" t="s">
        <v>247</v>
      </c>
      <c r="C113" s="283" t="str">
        <f t="shared" si="53"/>
        <v>39203 HIGHLAND SCHOOL DISTRICT</v>
      </c>
      <c r="D113" s="490">
        <v>0</v>
      </c>
      <c r="E113" s="490">
        <v>10955.42</v>
      </c>
      <c r="F113" s="490">
        <v>27001.919999999998</v>
      </c>
      <c r="G113" s="490">
        <v>1725793.87</v>
      </c>
      <c r="H113" s="490">
        <v>242750.99</v>
      </c>
      <c r="I113" s="490">
        <v>324043.49</v>
      </c>
      <c r="J113" s="490">
        <v>570790.30000000005</v>
      </c>
      <c r="K113" s="490">
        <v>540590.54</v>
      </c>
      <c r="L113" s="490">
        <v>31479.7</v>
      </c>
      <c r="M113" s="490">
        <v>851422.01</v>
      </c>
      <c r="N113" s="300">
        <v>4.3499999999999997E-2</v>
      </c>
      <c r="O113" s="492">
        <v>0.19489999999999999</v>
      </c>
      <c r="P113" s="490">
        <v>0</v>
      </c>
      <c r="Q113" s="493">
        <v>0</v>
      </c>
      <c r="R113" s="493">
        <v>0</v>
      </c>
      <c r="S113" s="494">
        <v>0</v>
      </c>
      <c r="T113" s="495">
        <v>0</v>
      </c>
      <c r="U113" s="495">
        <v>0</v>
      </c>
      <c r="V113" s="490">
        <v>0</v>
      </c>
      <c r="W113" s="495">
        <v>0</v>
      </c>
      <c r="X113" s="495">
        <v>0</v>
      </c>
      <c r="Y113" s="490">
        <v>1231.3800000000001</v>
      </c>
      <c r="Z113" s="490">
        <v>0</v>
      </c>
      <c r="AA113" s="490">
        <v>0</v>
      </c>
      <c r="AB113" s="490">
        <v>0</v>
      </c>
      <c r="AC113" s="490">
        <v>460632.38</v>
      </c>
      <c r="AD113" s="490">
        <v>50.11</v>
      </c>
      <c r="AE113" s="490">
        <v>443365.76</v>
      </c>
      <c r="AF113" s="339">
        <v>8847.8499301536631</v>
      </c>
      <c r="AG113" s="339">
        <v>9192.4242666134505</v>
      </c>
      <c r="AH113" s="496">
        <v>344.57</v>
      </c>
      <c r="AI113" s="490">
        <v>0</v>
      </c>
      <c r="AJ113" s="490">
        <v>0</v>
      </c>
      <c r="AK113" s="339">
        <v>0</v>
      </c>
      <c r="AL113" s="339">
        <v>0</v>
      </c>
      <c r="AM113" s="496">
        <v>0</v>
      </c>
      <c r="AN113" s="495">
        <v>17237.48</v>
      </c>
      <c r="AO113" s="495">
        <v>0</v>
      </c>
      <c r="AP113" s="74"/>
      <c r="AQ113" s="303">
        <v>49882.849999999991</v>
      </c>
      <c r="AR113" s="303">
        <v>120118.32</v>
      </c>
      <c r="AS113" s="552">
        <v>40847.82</v>
      </c>
      <c r="AY113" s="67">
        <f t="shared" si="50"/>
        <v>0</v>
      </c>
      <c r="BA113" t="s">
        <v>865</v>
      </c>
      <c r="BB113" t="s">
        <v>247</v>
      </c>
      <c r="BC113" t="s">
        <v>956</v>
      </c>
      <c r="BD113" s="491">
        <v>4.3499999999999997E-2</v>
      </c>
      <c r="BE113" s="492">
        <v>0.19489999999999999</v>
      </c>
      <c r="BG113" s="510">
        <f t="shared" si="48"/>
        <v>0</v>
      </c>
      <c r="BH113" s="510">
        <f t="shared" si="49"/>
        <v>0</v>
      </c>
      <c r="BJ113" s="520">
        <f t="shared" si="51"/>
        <v>0</v>
      </c>
      <c r="BK113" s="520">
        <f t="shared" si="52"/>
        <v>0</v>
      </c>
      <c r="CB113" s="74"/>
      <c r="CC113" s="74"/>
      <c r="CD113" s="74"/>
      <c r="CE113" s="74"/>
      <c r="CF113" s="74"/>
    </row>
    <row r="114" spans="1:84">
      <c r="A114" s="283" t="s">
        <v>250</v>
      </c>
      <c r="B114" s="283" t="s">
        <v>249</v>
      </c>
      <c r="C114" s="283" t="str">
        <f t="shared" si="53"/>
        <v>17401 HIGHLINE SCHOOL DISTRICT</v>
      </c>
      <c r="D114" s="490">
        <v>0</v>
      </c>
      <c r="E114" s="490">
        <v>947035.53</v>
      </c>
      <c r="F114" s="490">
        <v>480079.32</v>
      </c>
      <c r="G114" s="490">
        <v>37146753.350000001</v>
      </c>
      <c r="H114" s="490">
        <v>6403492.29</v>
      </c>
      <c r="I114" s="490">
        <v>4997177.59</v>
      </c>
      <c r="J114" s="490">
        <v>9564744.9900000002</v>
      </c>
      <c r="K114" s="490">
        <v>11948096.41</v>
      </c>
      <c r="L114" s="490">
        <v>607342.63</v>
      </c>
      <c r="M114" s="490">
        <v>8756086.9399999995</v>
      </c>
      <c r="N114" s="300">
        <v>3.1600000000000003E-2</v>
      </c>
      <c r="O114" s="492">
        <v>0.12379999999999999</v>
      </c>
      <c r="P114" s="490">
        <v>0</v>
      </c>
      <c r="Q114" s="493">
        <v>0</v>
      </c>
      <c r="R114" s="493">
        <v>0</v>
      </c>
      <c r="S114" s="494">
        <v>0</v>
      </c>
      <c r="T114" s="495">
        <v>0</v>
      </c>
      <c r="U114" s="495">
        <v>0</v>
      </c>
      <c r="V114" s="490">
        <v>0</v>
      </c>
      <c r="W114" s="495">
        <v>0</v>
      </c>
      <c r="X114" s="495">
        <v>0</v>
      </c>
      <c r="Y114" s="490">
        <v>19950.41</v>
      </c>
      <c r="Z114" s="490">
        <v>0</v>
      </c>
      <c r="AA114" s="490">
        <v>750875.56</v>
      </c>
      <c r="AB114" s="490">
        <v>1030225.71</v>
      </c>
      <c r="AC114" s="490">
        <v>7158526.5899999999</v>
      </c>
      <c r="AD114" s="490">
        <v>653.75</v>
      </c>
      <c r="AE114" s="490">
        <v>6499420.0199999996</v>
      </c>
      <c r="AF114" s="339">
        <v>9941.7514646271502</v>
      </c>
      <c r="AG114" s="339">
        <v>10949.945070745698</v>
      </c>
      <c r="AH114" s="496">
        <v>1008.19</v>
      </c>
      <c r="AI114" s="490">
        <v>99.81</v>
      </c>
      <c r="AJ114" s="490">
        <v>970366.51</v>
      </c>
      <c r="AK114" s="339">
        <v>9722.1371606051489</v>
      </c>
      <c r="AL114" s="339">
        <v>10321.868650435827</v>
      </c>
      <c r="AM114" s="496">
        <v>599.73</v>
      </c>
      <c r="AN114" s="495">
        <v>0</v>
      </c>
      <c r="AO114" s="495">
        <v>0</v>
      </c>
      <c r="AP114" s="74"/>
      <c r="AQ114" s="303">
        <v>0</v>
      </c>
      <c r="AR114" s="303">
        <v>2363697.7799999998</v>
      </c>
      <c r="AS114" s="552">
        <v>133537.69</v>
      </c>
      <c r="AY114" s="67">
        <f t="shared" si="50"/>
        <v>0</v>
      </c>
      <c r="BA114" t="s">
        <v>856</v>
      </c>
      <c r="BB114" t="s">
        <v>249</v>
      </c>
      <c r="BC114" t="s">
        <v>957</v>
      </c>
      <c r="BD114" s="491">
        <v>3.1600000000000003E-2</v>
      </c>
      <c r="BE114" s="492">
        <v>0.12379999999999999</v>
      </c>
      <c r="BG114" s="510">
        <f t="shared" si="48"/>
        <v>0</v>
      </c>
      <c r="BH114" s="510">
        <f t="shared" si="49"/>
        <v>0</v>
      </c>
      <c r="BJ114" s="520">
        <f t="shared" si="51"/>
        <v>0</v>
      </c>
      <c r="BK114" s="520">
        <f t="shared" si="52"/>
        <v>0</v>
      </c>
      <c r="CB114" s="74"/>
      <c r="CC114" s="74"/>
      <c r="CD114" s="74"/>
      <c r="CE114" s="74"/>
      <c r="CF114" s="74"/>
    </row>
    <row r="115" spans="1:84">
      <c r="A115" s="283" t="s">
        <v>252</v>
      </c>
      <c r="B115" s="283" t="s">
        <v>251</v>
      </c>
      <c r="C115" s="283" t="str">
        <f t="shared" si="53"/>
        <v>06098 HOCKINSON SCHOOL DISTRICT</v>
      </c>
      <c r="D115" s="490">
        <v>0</v>
      </c>
      <c r="E115" s="490">
        <v>0</v>
      </c>
      <c r="F115" s="490">
        <v>0</v>
      </c>
      <c r="G115" s="490">
        <v>2849344.9</v>
      </c>
      <c r="H115" s="490">
        <v>433296.08</v>
      </c>
      <c r="I115" s="490">
        <v>0</v>
      </c>
      <c r="J115" s="490">
        <v>319758.53000000003</v>
      </c>
      <c r="K115" s="490">
        <v>148542.59</v>
      </c>
      <c r="L115" s="490">
        <v>62202.61</v>
      </c>
      <c r="M115" s="490">
        <v>1746718.7</v>
      </c>
      <c r="N115" s="300">
        <v>5.5800000000000002E-2</v>
      </c>
      <c r="O115" s="492">
        <v>0.14549999999999999</v>
      </c>
      <c r="P115" s="490">
        <v>0</v>
      </c>
      <c r="Q115" s="493">
        <v>0</v>
      </c>
      <c r="R115" s="493">
        <v>0</v>
      </c>
      <c r="S115" s="494">
        <v>0</v>
      </c>
      <c r="T115" s="495">
        <v>0</v>
      </c>
      <c r="U115" s="495">
        <v>0</v>
      </c>
      <c r="V115" s="490">
        <v>0</v>
      </c>
      <c r="W115" s="495">
        <v>0</v>
      </c>
      <c r="X115" s="495">
        <v>0</v>
      </c>
      <c r="Y115" s="490">
        <v>2322.96</v>
      </c>
      <c r="Z115" s="490">
        <v>8381.02</v>
      </c>
      <c r="AA115" s="490">
        <v>51334.53</v>
      </c>
      <c r="AB115" s="490">
        <v>110456.77</v>
      </c>
      <c r="AC115" s="490">
        <v>711244.32</v>
      </c>
      <c r="AD115" s="490">
        <v>72.510000000000005</v>
      </c>
      <c r="AE115" s="490">
        <v>668152.18000000005</v>
      </c>
      <c r="AF115" s="339">
        <v>9214.6211557026618</v>
      </c>
      <c r="AG115" s="339">
        <v>9808.9135291683888</v>
      </c>
      <c r="AH115" s="496">
        <v>594.29</v>
      </c>
      <c r="AI115" s="490">
        <v>11.56</v>
      </c>
      <c r="AJ115" s="490">
        <v>103901.54</v>
      </c>
      <c r="AK115" s="339">
        <v>8988.0224913494803</v>
      </c>
      <c r="AL115" s="339">
        <v>9555.083910034602</v>
      </c>
      <c r="AM115" s="496">
        <v>567.05999999999995</v>
      </c>
      <c r="AN115" s="495">
        <v>0</v>
      </c>
      <c r="AO115" s="495">
        <v>0</v>
      </c>
      <c r="AP115" s="74"/>
      <c r="AQ115" s="303">
        <v>6206.2900000000081</v>
      </c>
      <c r="AR115" s="303">
        <v>193242.3</v>
      </c>
      <c r="AS115" s="552">
        <v>68878.09</v>
      </c>
      <c r="AY115" s="67">
        <f t="shared" si="50"/>
        <v>0</v>
      </c>
      <c r="BA115" t="s">
        <v>859</v>
      </c>
      <c r="BB115" t="s">
        <v>251</v>
      </c>
      <c r="BC115" t="s">
        <v>958</v>
      </c>
      <c r="BD115" s="491">
        <v>5.5800000000000002E-2</v>
      </c>
      <c r="BE115" s="492">
        <v>0.14549999999999999</v>
      </c>
      <c r="BG115" s="510">
        <f t="shared" si="48"/>
        <v>0</v>
      </c>
      <c r="BH115" s="510">
        <f t="shared" si="49"/>
        <v>0</v>
      </c>
      <c r="BJ115" s="520">
        <f t="shared" si="51"/>
        <v>0</v>
      </c>
      <c r="BK115" s="520">
        <f t="shared" si="52"/>
        <v>0</v>
      </c>
      <c r="CB115" s="74"/>
      <c r="CC115" s="74"/>
      <c r="CD115" s="74"/>
      <c r="CE115" s="74"/>
      <c r="CF115" s="74"/>
    </row>
    <row r="116" spans="1:84">
      <c r="A116" s="283" t="s">
        <v>254</v>
      </c>
      <c r="B116" s="283" t="s">
        <v>253</v>
      </c>
      <c r="C116" s="283" t="str">
        <f t="shared" si="53"/>
        <v>23404 HOOD CANAL SCHOOL DISTRICT</v>
      </c>
      <c r="D116" s="490">
        <v>0</v>
      </c>
      <c r="E116" s="490">
        <v>0</v>
      </c>
      <c r="F116" s="490">
        <v>0</v>
      </c>
      <c r="G116" s="490">
        <v>646344.28</v>
      </c>
      <c r="H116" s="490">
        <v>53332.14</v>
      </c>
      <c r="I116" s="490">
        <v>99529.86</v>
      </c>
      <c r="J116" s="490">
        <v>169969.58</v>
      </c>
      <c r="K116" s="490">
        <v>0</v>
      </c>
      <c r="L116" s="490">
        <v>9246.52</v>
      </c>
      <c r="M116" s="490">
        <v>613584.49</v>
      </c>
      <c r="N116" s="300">
        <v>6.3899999999999998E-2</v>
      </c>
      <c r="O116" s="492">
        <v>0.25269999999999998</v>
      </c>
      <c r="P116" s="490">
        <v>0</v>
      </c>
      <c r="Q116" s="493">
        <v>0</v>
      </c>
      <c r="R116" s="493">
        <v>0</v>
      </c>
      <c r="S116" s="494">
        <v>0</v>
      </c>
      <c r="T116" s="495">
        <v>0</v>
      </c>
      <c r="U116" s="495">
        <v>0</v>
      </c>
      <c r="V116" s="490">
        <v>0</v>
      </c>
      <c r="W116" s="495">
        <v>0</v>
      </c>
      <c r="X116" s="495">
        <v>0</v>
      </c>
      <c r="Y116" s="490">
        <v>374.67</v>
      </c>
      <c r="Z116" s="490">
        <v>0</v>
      </c>
      <c r="AA116" s="490">
        <v>0</v>
      </c>
      <c r="AB116" s="490">
        <v>0</v>
      </c>
      <c r="AC116" s="490">
        <v>0</v>
      </c>
      <c r="AD116" s="490">
        <v>0</v>
      </c>
      <c r="AE116" s="490">
        <v>0</v>
      </c>
      <c r="AF116" s="339">
        <v>0</v>
      </c>
      <c r="AG116" s="339">
        <v>0</v>
      </c>
      <c r="AH116" s="496">
        <v>0</v>
      </c>
      <c r="AI116" s="490">
        <v>0</v>
      </c>
      <c r="AJ116" s="490">
        <v>0</v>
      </c>
      <c r="AK116" s="339">
        <v>0</v>
      </c>
      <c r="AL116" s="339">
        <v>0</v>
      </c>
      <c r="AM116" s="496">
        <v>0</v>
      </c>
      <c r="AN116" s="495">
        <v>1044.43</v>
      </c>
      <c r="AO116" s="495">
        <v>0</v>
      </c>
      <c r="AP116" s="74"/>
      <c r="AQ116" s="303">
        <v>10334.580000000002</v>
      </c>
      <c r="AR116" s="303">
        <v>37463.919999999998</v>
      </c>
      <c r="AS116" s="552">
        <v>20021.190000000002</v>
      </c>
      <c r="AY116" s="67">
        <f t="shared" si="50"/>
        <v>0</v>
      </c>
      <c r="BA116" t="s">
        <v>845</v>
      </c>
      <c r="BB116" t="s">
        <v>253</v>
      </c>
      <c r="BC116" t="s">
        <v>959</v>
      </c>
      <c r="BD116" s="491">
        <v>6.3899999999999998E-2</v>
      </c>
      <c r="BE116" s="492">
        <v>0.25269999999999998</v>
      </c>
      <c r="BG116" s="510">
        <f t="shared" si="48"/>
        <v>0</v>
      </c>
      <c r="BH116" s="510">
        <f t="shared" si="49"/>
        <v>0</v>
      </c>
      <c r="BJ116" s="520">
        <f t="shared" si="51"/>
        <v>0</v>
      </c>
      <c r="BK116" s="520">
        <f t="shared" si="52"/>
        <v>0</v>
      </c>
      <c r="CB116" s="74"/>
      <c r="CC116" s="74"/>
      <c r="CD116" s="74"/>
      <c r="CE116" s="74"/>
      <c r="CF116" s="74"/>
    </row>
    <row r="117" spans="1:84">
      <c r="A117" s="283" t="s">
        <v>256</v>
      </c>
      <c r="B117" s="283" t="s">
        <v>255</v>
      </c>
      <c r="C117" s="283" t="str">
        <f t="shared" si="53"/>
        <v>14028 HOQUIAM SCHOOL DISTRICT</v>
      </c>
      <c r="D117" s="490">
        <v>0</v>
      </c>
      <c r="E117" s="490">
        <v>76568.710000000006</v>
      </c>
      <c r="F117" s="490">
        <v>43185.18</v>
      </c>
      <c r="G117" s="490">
        <v>2678020.08</v>
      </c>
      <c r="H117" s="490">
        <v>483290.85</v>
      </c>
      <c r="I117" s="490">
        <v>493389.71</v>
      </c>
      <c r="J117" s="490">
        <v>736084.68</v>
      </c>
      <c r="K117" s="490">
        <v>199250.9</v>
      </c>
      <c r="L117" s="490">
        <v>47167.61</v>
      </c>
      <c r="M117" s="490">
        <v>1245693.73</v>
      </c>
      <c r="N117" s="300">
        <v>3.3399999999999999E-2</v>
      </c>
      <c r="O117" s="492">
        <v>0.1817</v>
      </c>
      <c r="P117" s="490">
        <v>0</v>
      </c>
      <c r="Q117" s="493">
        <v>0</v>
      </c>
      <c r="R117" s="493">
        <v>0</v>
      </c>
      <c r="S117" s="494">
        <v>0</v>
      </c>
      <c r="T117" s="495">
        <v>0</v>
      </c>
      <c r="U117" s="495">
        <v>0</v>
      </c>
      <c r="V117" s="490">
        <v>0</v>
      </c>
      <c r="W117" s="495">
        <v>0</v>
      </c>
      <c r="X117" s="495">
        <v>0</v>
      </c>
      <c r="Y117" s="490">
        <v>0</v>
      </c>
      <c r="Z117" s="490">
        <v>11505.01</v>
      </c>
      <c r="AA117" s="490">
        <v>42632.58</v>
      </c>
      <c r="AB117" s="490">
        <v>110851.13</v>
      </c>
      <c r="AC117" s="490">
        <v>1074731.77</v>
      </c>
      <c r="AD117" s="490">
        <v>115.02</v>
      </c>
      <c r="AE117" s="490">
        <v>1017694.86</v>
      </c>
      <c r="AF117" s="339">
        <v>8847.9817423056866</v>
      </c>
      <c r="AG117" s="339">
        <v>9343.8686315423402</v>
      </c>
      <c r="AH117" s="496">
        <v>495.89</v>
      </c>
      <c r="AI117" s="490">
        <v>12.09</v>
      </c>
      <c r="AJ117" s="490">
        <v>104411.8</v>
      </c>
      <c r="AK117" s="339">
        <v>8636.2117452440034</v>
      </c>
      <c r="AL117" s="339">
        <v>9168.8279569892475</v>
      </c>
      <c r="AM117" s="496">
        <v>532.62</v>
      </c>
      <c r="AN117" s="495">
        <v>1394.58</v>
      </c>
      <c r="AO117" s="495">
        <v>1120.02</v>
      </c>
      <c r="AP117" s="74"/>
      <c r="AQ117" s="303">
        <v>0</v>
      </c>
      <c r="AR117" s="303">
        <v>164723.54</v>
      </c>
      <c r="AS117" s="552">
        <v>57636.94</v>
      </c>
      <c r="AY117" s="67">
        <f t="shared" si="50"/>
        <v>0</v>
      </c>
      <c r="BA117" t="s">
        <v>845</v>
      </c>
      <c r="BB117" t="s">
        <v>255</v>
      </c>
      <c r="BC117" t="s">
        <v>960</v>
      </c>
      <c r="BD117" s="491">
        <v>3.3399999999999999E-2</v>
      </c>
      <c r="BE117" s="492">
        <v>0.1817</v>
      </c>
      <c r="BG117" s="510">
        <f t="shared" si="48"/>
        <v>0</v>
      </c>
      <c r="BH117" s="510">
        <f t="shared" si="49"/>
        <v>0</v>
      </c>
      <c r="BJ117" s="520">
        <f t="shared" si="51"/>
        <v>0</v>
      </c>
      <c r="BK117" s="520">
        <f t="shared" si="52"/>
        <v>0</v>
      </c>
      <c r="CB117" s="74"/>
      <c r="CC117" s="74"/>
      <c r="CD117" s="74"/>
      <c r="CE117" s="74"/>
      <c r="CF117" s="74"/>
    </row>
    <row r="118" spans="1:84">
      <c r="A118" s="283" t="s">
        <v>258</v>
      </c>
      <c r="B118" s="354" t="s">
        <v>257</v>
      </c>
      <c r="C118" s="353" t="str">
        <f>CONCATENATE(B118," ",A118," CHARTER")</f>
        <v>17919 IMPACT BLACK RIVER CHARTER</v>
      </c>
      <c r="D118" s="490">
        <v>0</v>
      </c>
      <c r="E118" s="490">
        <v>0</v>
      </c>
      <c r="F118" s="490">
        <v>0</v>
      </c>
      <c r="G118" s="490">
        <v>199998.37</v>
      </c>
      <c r="H118" s="490">
        <v>46026.55</v>
      </c>
      <c r="I118" s="490">
        <v>0</v>
      </c>
      <c r="J118" s="490">
        <v>61527.39</v>
      </c>
      <c r="K118" s="490">
        <v>38135.879999999997</v>
      </c>
      <c r="L118" s="490">
        <v>4326.1400000000003</v>
      </c>
      <c r="M118" s="490">
        <v>52965.55</v>
      </c>
      <c r="N118" s="300">
        <v>3.7100000000000001E-2</v>
      </c>
      <c r="O118" s="540">
        <v>0.14399999999999999</v>
      </c>
      <c r="P118" s="490">
        <v>0</v>
      </c>
      <c r="Q118" s="493">
        <v>0</v>
      </c>
      <c r="R118" s="493">
        <v>0</v>
      </c>
      <c r="S118" s="494">
        <v>0</v>
      </c>
      <c r="T118" s="495">
        <v>0</v>
      </c>
      <c r="U118" s="495">
        <v>0</v>
      </c>
      <c r="V118" s="490">
        <v>0</v>
      </c>
      <c r="W118" s="495">
        <v>0</v>
      </c>
      <c r="X118" s="495">
        <v>0</v>
      </c>
      <c r="Y118" s="490">
        <v>0</v>
      </c>
      <c r="Z118" s="490">
        <v>0</v>
      </c>
      <c r="AA118" s="490">
        <v>0</v>
      </c>
      <c r="AB118" s="490">
        <v>0</v>
      </c>
      <c r="AC118" s="490">
        <v>0</v>
      </c>
      <c r="AD118" s="490">
        <v>0</v>
      </c>
      <c r="AE118" s="490">
        <v>0</v>
      </c>
      <c r="AF118" s="339">
        <v>0</v>
      </c>
      <c r="AG118" s="339">
        <v>0</v>
      </c>
      <c r="AH118" s="496">
        <v>0</v>
      </c>
      <c r="AI118" s="490">
        <v>0</v>
      </c>
      <c r="AJ118" s="490">
        <v>0</v>
      </c>
      <c r="AK118" s="339">
        <v>0</v>
      </c>
      <c r="AL118" s="339">
        <v>0</v>
      </c>
      <c r="AM118" s="496">
        <v>0</v>
      </c>
      <c r="AN118" s="495">
        <v>0</v>
      </c>
      <c r="AO118" s="495">
        <v>0</v>
      </c>
      <c r="AP118" s="74"/>
      <c r="AQ118" s="303">
        <v>0</v>
      </c>
      <c r="AR118" s="303">
        <v>20265.169999999998</v>
      </c>
      <c r="AS118" s="552">
        <v>7731.95</v>
      </c>
      <c r="AY118" s="67">
        <f t="shared" si="50"/>
        <v>0</v>
      </c>
      <c r="BB118" s="354" t="s">
        <v>257</v>
      </c>
      <c r="BD118" s="491">
        <v>3.7100000000000001E-2</v>
      </c>
      <c r="BE118" s="492">
        <v>0.12909999999999999</v>
      </c>
      <c r="BG118" s="510">
        <f t="shared" si="48"/>
        <v>0</v>
      </c>
      <c r="BH118" s="518">
        <f t="shared" si="49"/>
        <v>1.4899999999999997E-2</v>
      </c>
      <c r="BJ118" s="520">
        <f t="shared" si="51"/>
        <v>0</v>
      </c>
      <c r="BK118" s="520">
        <f t="shared" si="52"/>
        <v>1.4899999999999997E-2</v>
      </c>
      <c r="CB118" s="74"/>
      <c r="CC118" s="74"/>
      <c r="CD118" s="74"/>
      <c r="CE118" s="74"/>
      <c r="CF118" s="74"/>
    </row>
    <row r="119" spans="1:84">
      <c r="A119" s="283" t="s">
        <v>262</v>
      </c>
      <c r="B119" s="353" t="s">
        <v>261</v>
      </c>
      <c r="C119" s="353" t="str">
        <f>CONCATENATE(B119," ",A119," CHARTER")</f>
        <v>17911 IMPACT PUGET SOUND CHARTER</v>
      </c>
      <c r="D119" s="490">
        <v>0</v>
      </c>
      <c r="E119" s="490">
        <v>0</v>
      </c>
      <c r="F119" s="490">
        <v>0</v>
      </c>
      <c r="G119" s="490">
        <v>727741.66</v>
      </c>
      <c r="H119" s="490">
        <v>46078.23</v>
      </c>
      <c r="I119" s="490">
        <v>209337.32</v>
      </c>
      <c r="J119" s="490">
        <v>281439.74</v>
      </c>
      <c r="K119" s="490">
        <v>213466.39</v>
      </c>
      <c r="L119" s="490">
        <v>16703.72</v>
      </c>
      <c r="M119" s="490">
        <v>251833.44</v>
      </c>
      <c r="N119" s="300">
        <v>5.8400000000000001E-2</v>
      </c>
      <c r="O119" s="492">
        <v>0.34110000000000001</v>
      </c>
      <c r="P119" s="490">
        <v>0</v>
      </c>
      <c r="Q119" s="493">
        <v>0</v>
      </c>
      <c r="R119" s="493">
        <v>0</v>
      </c>
      <c r="S119" s="494">
        <v>0</v>
      </c>
      <c r="T119" s="495">
        <v>0</v>
      </c>
      <c r="U119" s="495">
        <v>0</v>
      </c>
      <c r="V119" s="490">
        <v>0</v>
      </c>
      <c r="W119" s="495">
        <v>0</v>
      </c>
      <c r="X119" s="495">
        <v>0</v>
      </c>
      <c r="Y119" s="490">
        <v>0</v>
      </c>
      <c r="Z119" s="490">
        <v>0</v>
      </c>
      <c r="AA119" s="490">
        <v>0</v>
      </c>
      <c r="AB119" s="490">
        <v>0</v>
      </c>
      <c r="AC119" s="490">
        <v>0</v>
      </c>
      <c r="AD119" s="490">
        <v>0</v>
      </c>
      <c r="AE119" s="490">
        <v>0</v>
      </c>
      <c r="AF119" s="339">
        <v>0</v>
      </c>
      <c r="AG119" s="339">
        <v>0</v>
      </c>
      <c r="AH119" s="496">
        <v>0</v>
      </c>
      <c r="AI119" s="490">
        <v>0</v>
      </c>
      <c r="AJ119" s="490">
        <v>0</v>
      </c>
      <c r="AK119" s="339">
        <v>0</v>
      </c>
      <c r="AL119" s="339">
        <v>0</v>
      </c>
      <c r="AM119" s="496">
        <v>0</v>
      </c>
      <c r="AN119" s="495">
        <v>0</v>
      </c>
      <c r="AO119" s="495">
        <v>0</v>
      </c>
      <c r="AP119" s="74"/>
      <c r="AQ119" s="303">
        <v>132751.62</v>
      </c>
      <c r="AR119" s="303">
        <v>39797.53</v>
      </c>
      <c r="AS119" s="552">
        <v>27747.67</v>
      </c>
      <c r="AY119" s="67">
        <f t="shared" si="50"/>
        <v>0</v>
      </c>
      <c r="BA119" t="s">
        <v>882</v>
      </c>
      <c r="BB119" t="s">
        <v>261</v>
      </c>
      <c r="BC119" t="s">
        <v>961</v>
      </c>
      <c r="BD119" s="491">
        <v>5.8400000000000001E-2</v>
      </c>
      <c r="BE119" s="492">
        <v>0.34110000000000001</v>
      </c>
      <c r="BG119" s="510">
        <f t="shared" si="48"/>
        <v>0</v>
      </c>
      <c r="BH119" s="510">
        <f t="shared" si="49"/>
        <v>0</v>
      </c>
      <c r="BJ119" s="520">
        <f t="shared" si="51"/>
        <v>0</v>
      </c>
      <c r="BK119" s="520">
        <f t="shared" si="52"/>
        <v>0</v>
      </c>
      <c r="CB119" s="74"/>
      <c r="CC119" s="74"/>
      <c r="CD119" s="74"/>
      <c r="CE119" s="74"/>
      <c r="CF119" s="74"/>
    </row>
    <row r="120" spans="1:84">
      <c r="A120" s="283" t="s">
        <v>264</v>
      </c>
      <c r="B120" s="353" t="s">
        <v>263</v>
      </c>
      <c r="C120" s="353" t="str">
        <f>CONCATENATE(B120," ",A120," CHARTER")</f>
        <v>17916 IMPACT SALISH SEA CHARTER</v>
      </c>
      <c r="D120" s="490">
        <v>0</v>
      </c>
      <c r="E120" s="490">
        <v>0</v>
      </c>
      <c r="F120" s="490">
        <v>0</v>
      </c>
      <c r="G120" s="490">
        <v>252048.82</v>
      </c>
      <c r="H120" s="490">
        <v>15811.68</v>
      </c>
      <c r="I120" s="490">
        <v>117286.58</v>
      </c>
      <c r="J120" s="490">
        <v>147088.92000000001</v>
      </c>
      <c r="K120" s="490">
        <v>97405.85</v>
      </c>
      <c r="L120" s="490">
        <v>10815.36</v>
      </c>
      <c r="M120" s="490">
        <v>120442.08</v>
      </c>
      <c r="N120" s="300">
        <v>3.7100000000000001E-2</v>
      </c>
      <c r="O120" s="492">
        <v>0.14399999999999999</v>
      </c>
      <c r="P120" s="490">
        <v>0</v>
      </c>
      <c r="Q120" s="493">
        <v>0</v>
      </c>
      <c r="R120" s="493">
        <v>0</v>
      </c>
      <c r="S120" s="494">
        <v>0</v>
      </c>
      <c r="T120" s="495">
        <v>0</v>
      </c>
      <c r="U120" s="495">
        <v>0</v>
      </c>
      <c r="V120" s="490">
        <v>0</v>
      </c>
      <c r="W120" s="495">
        <v>0</v>
      </c>
      <c r="X120" s="495">
        <v>0</v>
      </c>
      <c r="Y120" s="490">
        <v>0</v>
      </c>
      <c r="Z120" s="490">
        <v>0</v>
      </c>
      <c r="AA120" s="490">
        <v>0</v>
      </c>
      <c r="AB120" s="490">
        <v>0</v>
      </c>
      <c r="AC120" s="490">
        <v>0</v>
      </c>
      <c r="AD120" s="490">
        <v>0</v>
      </c>
      <c r="AE120" s="490">
        <v>0</v>
      </c>
      <c r="AF120" s="339">
        <v>0</v>
      </c>
      <c r="AG120" s="339">
        <v>0</v>
      </c>
      <c r="AH120" s="496">
        <v>0</v>
      </c>
      <c r="AI120" s="490">
        <v>0</v>
      </c>
      <c r="AJ120" s="490">
        <v>0</v>
      </c>
      <c r="AK120" s="339">
        <v>0</v>
      </c>
      <c r="AL120" s="339">
        <v>0</v>
      </c>
      <c r="AM120" s="496">
        <v>0</v>
      </c>
      <c r="AN120" s="495">
        <v>0</v>
      </c>
      <c r="AO120" s="495">
        <v>0</v>
      </c>
      <c r="AP120" s="74"/>
      <c r="AQ120" s="303">
        <v>38392.349999999991</v>
      </c>
      <c r="AR120" s="303">
        <v>72810.13</v>
      </c>
      <c r="AS120" s="552">
        <v>19817.86</v>
      </c>
      <c r="AY120" s="67">
        <f t="shared" si="50"/>
        <v>0</v>
      </c>
      <c r="BA120" t="s">
        <v>882</v>
      </c>
      <c r="BB120" t="s">
        <v>263</v>
      </c>
      <c r="BC120" s="11" t="s">
        <v>962</v>
      </c>
      <c r="BD120" s="491">
        <v>3.7100000000000001E-2</v>
      </c>
      <c r="BE120" s="492">
        <v>0.14399999999999999</v>
      </c>
      <c r="BG120" s="510">
        <f t="shared" si="48"/>
        <v>0</v>
      </c>
      <c r="BH120" s="510">
        <f t="shared" si="49"/>
        <v>0</v>
      </c>
      <c r="BJ120" s="520">
        <f t="shared" si="51"/>
        <v>0</v>
      </c>
      <c r="BK120" s="520">
        <f t="shared" si="52"/>
        <v>0</v>
      </c>
      <c r="CB120" s="74"/>
      <c r="CC120" s="74"/>
      <c r="CD120" s="74"/>
      <c r="CE120" s="74"/>
      <c r="CF120" s="74"/>
    </row>
    <row r="121" spans="1:84">
      <c r="A121" s="283" t="s">
        <v>963</v>
      </c>
      <c r="B121" s="353" t="s">
        <v>259</v>
      </c>
      <c r="C121" s="353" t="str">
        <f>CONCATENATE(B121," ",A121," CHARTER")</f>
        <v>27902 IMPACT TACOMA CHARTER</v>
      </c>
      <c r="D121" s="490">
        <v>0</v>
      </c>
      <c r="E121" s="490">
        <v>0</v>
      </c>
      <c r="F121" s="490">
        <v>0</v>
      </c>
      <c r="G121" s="490">
        <v>526372.71</v>
      </c>
      <c r="H121" s="490">
        <v>32115.51</v>
      </c>
      <c r="I121" s="490">
        <v>109581.4</v>
      </c>
      <c r="J121" s="490">
        <v>145726.04999999999</v>
      </c>
      <c r="K121" s="490">
        <v>30213.5</v>
      </c>
      <c r="L121" s="490">
        <v>8261.64</v>
      </c>
      <c r="M121" s="490">
        <v>189835.7</v>
      </c>
      <c r="N121" s="300">
        <v>3.7100000000000001E-2</v>
      </c>
      <c r="O121" s="492">
        <v>0.14399999999999999</v>
      </c>
      <c r="P121" s="490">
        <v>0</v>
      </c>
      <c r="Q121" s="493">
        <v>0</v>
      </c>
      <c r="R121" s="493">
        <v>0</v>
      </c>
      <c r="S121" s="494">
        <v>0</v>
      </c>
      <c r="T121" s="495">
        <v>0</v>
      </c>
      <c r="U121" s="495">
        <v>0</v>
      </c>
      <c r="V121" s="490">
        <v>0</v>
      </c>
      <c r="W121" s="495">
        <v>0</v>
      </c>
      <c r="X121" s="495">
        <v>0</v>
      </c>
      <c r="Y121" s="490">
        <v>0</v>
      </c>
      <c r="Z121" s="490">
        <v>0</v>
      </c>
      <c r="AA121" s="490">
        <v>0</v>
      </c>
      <c r="AB121" s="490">
        <v>0</v>
      </c>
      <c r="AC121" s="490">
        <v>0</v>
      </c>
      <c r="AD121" s="490">
        <v>0</v>
      </c>
      <c r="AE121" s="490">
        <v>0</v>
      </c>
      <c r="AF121" s="339">
        <v>0</v>
      </c>
      <c r="AG121" s="339">
        <v>0</v>
      </c>
      <c r="AH121" s="496">
        <v>0</v>
      </c>
      <c r="AI121" s="490">
        <v>0</v>
      </c>
      <c r="AJ121" s="490">
        <v>0</v>
      </c>
      <c r="AK121" s="339">
        <v>0</v>
      </c>
      <c r="AL121" s="339">
        <v>0</v>
      </c>
      <c r="AM121" s="496">
        <v>0</v>
      </c>
      <c r="AN121" s="495">
        <v>0</v>
      </c>
      <c r="AO121" s="495">
        <v>0</v>
      </c>
      <c r="AP121" s="74"/>
      <c r="AQ121" s="303">
        <v>16332.719999999994</v>
      </c>
      <c r="AR121" s="303">
        <v>46742.939999999995</v>
      </c>
      <c r="AS121" s="552">
        <v>19556.439999999999</v>
      </c>
      <c r="AY121" s="67">
        <f t="shared" si="50"/>
        <v>0</v>
      </c>
      <c r="BA121" t="s">
        <v>882</v>
      </c>
      <c r="BB121" t="s">
        <v>259</v>
      </c>
      <c r="BC121" s="11" t="s">
        <v>964</v>
      </c>
      <c r="BD121" s="491">
        <v>3.7100000000000001E-2</v>
      </c>
      <c r="BE121" s="492">
        <v>0.14399999999999999</v>
      </c>
      <c r="BG121" s="510">
        <f t="shared" si="48"/>
        <v>0</v>
      </c>
      <c r="BH121" s="510">
        <f t="shared" si="49"/>
        <v>0</v>
      </c>
      <c r="BJ121" s="520">
        <f t="shared" si="51"/>
        <v>0</v>
      </c>
      <c r="BK121" s="520">
        <f t="shared" si="52"/>
        <v>0</v>
      </c>
      <c r="CB121" s="74"/>
      <c r="CC121" s="74"/>
      <c r="CD121" s="74"/>
      <c r="CE121" s="74"/>
      <c r="CF121" s="74"/>
    </row>
    <row r="122" spans="1:84">
      <c r="A122" s="283" t="s">
        <v>266</v>
      </c>
      <c r="B122" s="283" t="s">
        <v>265</v>
      </c>
      <c r="C122" s="283" t="str">
        <f t="shared" ref="C122:C147" si="54">CONCATENATE(B122," ",A122," SCHOOL DISTRICT")</f>
        <v>10070 INCHELIUM SCHOOL DISTRICT</v>
      </c>
      <c r="D122" s="490">
        <v>0</v>
      </c>
      <c r="E122" s="490">
        <v>0</v>
      </c>
      <c r="F122" s="490">
        <v>0</v>
      </c>
      <c r="G122" s="490">
        <v>297986.59999999998</v>
      </c>
      <c r="H122" s="490">
        <v>32098.59</v>
      </c>
      <c r="I122" s="490">
        <v>60569.85</v>
      </c>
      <c r="J122" s="490">
        <v>108776.38</v>
      </c>
      <c r="K122" s="490">
        <v>0</v>
      </c>
      <c r="L122" s="490">
        <v>0</v>
      </c>
      <c r="M122" s="490">
        <v>0</v>
      </c>
      <c r="N122" s="300">
        <v>9.5200000000000007E-2</v>
      </c>
      <c r="O122" s="492">
        <v>0.31990000000000002</v>
      </c>
      <c r="P122" s="490">
        <v>0</v>
      </c>
      <c r="Q122" s="493">
        <v>0</v>
      </c>
      <c r="R122" s="493">
        <v>0</v>
      </c>
      <c r="S122" s="494">
        <v>0</v>
      </c>
      <c r="T122" s="495">
        <v>0</v>
      </c>
      <c r="U122" s="495">
        <v>0</v>
      </c>
      <c r="V122" s="490">
        <v>0</v>
      </c>
      <c r="W122" s="495">
        <v>0</v>
      </c>
      <c r="X122" s="495">
        <v>0</v>
      </c>
      <c r="Y122" s="490">
        <v>0</v>
      </c>
      <c r="Z122" s="490">
        <v>0</v>
      </c>
      <c r="AA122" s="490">
        <v>0</v>
      </c>
      <c r="AB122" s="490">
        <v>0</v>
      </c>
      <c r="AC122" s="490">
        <v>6436.41</v>
      </c>
      <c r="AD122" s="490">
        <v>0</v>
      </c>
      <c r="AE122" s="490">
        <v>0</v>
      </c>
      <c r="AF122" s="339">
        <v>0</v>
      </c>
      <c r="AG122" s="339">
        <v>0</v>
      </c>
      <c r="AH122" s="496">
        <v>0</v>
      </c>
      <c r="AI122" s="490">
        <v>0</v>
      </c>
      <c r="AJ122" s="490">
        <v>0</v>
      </c>
      <c r="AK122" s="339">
        <v>0</v>
      </c>
      <c r="AL122" s="339">
        <v>0</v>
      </c>
      <c r="AM122" s="496">
        <v>0</v>
      </c>
      <c r="AN122" s="495">
        <v>1400</v>
      </c>
      <c r="AO122" s="495">
        <v>0</v>
      </c>
      <c r="AP122" s="74"/>
      <c r="AQ122" s="303">
        <v>15706.140000000007</v>
      </c>
      <c r="AR122" s="303">
        <v>29507.91</v>
      </c>
      <c r="AS122" s="552">
        <v>15838.43</v>
      </c>
      <c r="AY122" s="67">
        <f t="shared" si="50"/>
        <v>0</v>
      </c>
      <c r="BA122" t="s">
        <v>848</v>
      </c>
      <c r="BB122" t="s">
        <v>265</v>
      </c>
      <c r="BC122" t="s">
        <v>965</v>
      </c>
      <c r="BD122" s="491">
        <v>9.5200000000000007E-2</v>
      </c>
      <c r="BE122" s="492">
        <v>0.31990000000000002</v>
      </c>
      <c r="BG122" s="510">
        <f t="shared" si="48"/>
        <v>0</v>
      </c>
      <c r="BH122" s="510">
        <f t="shared" si="49"/>
        <v>0</v>
      </c>
      <c r="BJ122" s="520">
        <f t="shared" si="51"/>
        <v>0</v>
      </c>
      <c r="BK122" s="520">
        <f t="shared" si="52"/>
        <v>0</v>
      </c>
      <c r="CB122" s="74"/>
      <c r="CC122" s="74"/>
      <c r="CD122" s="74"/>
      <c r="CE122" s="74"/>
      <c r="CF122" s="74"/>
    </row>
    <row r="123" spans="1:84">
      <c r="A123" s="283" t="s">
        <v>268</v>
      </c>
      <c r="B123" s="283" t="s">
        <v>267</v>
      </c>
      <c r="C123" s="283" t="str">
        <f t="shared" si="54"/>
        <v>31063 INDEX SCHOOL DISTRICT</v>
      </c>
      <c r="D123" s="490">
        <v>0</v>
      </c>
      <c r="E123" s="490">
        <v>0</v>
      </c>
      <c r="F123" s="490">
        <v>0</v>
      </c>
      <c r="G123" s="490">
        <v>44984.84</v>
      </c>
      <c r="H123" s="490">
        <v>4810.58</v>
      </c>
      <c r="I123" s="490">
        <v>0</v>
      </c>
      <c r="J123" s="490">
        <v>7690.93</v>
      </c>
      <c r="K123" s="490">
        <v>0</v>
      </c>
      <c r="L123" s="490">
        <v>0</v>
      </c>
      <c r="M123" s="490">
        <v>129166.69</v>
      </c>
      <c r="N123" s="300">
        <v>0.1938</v>
      </c>
      <c r="O123" s="492">
        <v>0.44629999999999997</v>
      </c>
      <c r="P123" s="490">
        <v>0</v>
      </c>
      <c r="Q123" s="493">
        <v>0</v>
      </c>
      <c r="R123" s="493">
        <v>0</v>
      </c>
      <c r="S123" s="494">
        <v>0</v>
      </c>
      <c r="T123" s="495">
        <v>0</v>
      </c>
      <c r="U123" s="495">
        <v>0</v>
      </c>
      <c r="V123" s="490">
        <v>0</v>
      </c>
      <c r="W123" s="495">
        <v>0</v>
      </c>
      <c r="X123" s="495">
        <v>0</v>
      </c>
      <c r="Y123" s="490">
        <v>25.72</v>
      </c>
      <c r="Z123" s="490">
        <v>0</v>
      </c>
      <c r="AA123" s="490">
        <v>0</v>
      </c>
      <c r="AB123" s="490">
        <v>0</v>
      </c>
      <c r="AC123" s="490">
        <v>0</v>
      </c>
      <c r="AD123" s="490">
        <v>0</v>
      </c>
      <c r="AE123" s="490">
        <v>0</v>
      </c>
      <c r="AF123" s="339">
        <v>0</v>
      </c>
      <c r="AG123" s="339">
        <v>0</v>
      </c>
      <c r="AH123" s="496">
        <v>0</v>
      </c>
      <c r="AI123" s="490">
        <v>0</v>
      </c>
      <c r="AJ123" s="490">
        <v>0</v>
      </c>
      <c r="AK123" s="339">
        <v>0</v>
      </c>
      <c r="AL123" s="339">
        <v>0</v>
      </c>
      <c r="AM123" s="496">
        <v>0</v>
      </c>
      <c r="AN123" s="495">
        <v>0</v>
      </c>
      <c r="AO123" s="495">
        <v>0</v>
      </c>
      <c r="AP123" s="74"/>
      <c r="AQ123" s="303">
        <v>9.0949470177292824E-13</v>
      </c>
      <c r="AR123" s="303">
        <v>6777.36</v>
      </c>
      <c r="AS123" s="552">
        <v>10580.939999999999</v>
      </c>
      <c r="AY123" s="67">
        <f t="shared" si="50"/>
        <v>0</v>
      </c>
      <c r="BA123" t="s">
        <v>850</v>
      </c>
      <c r="BB123" t="s">
        <v>267</v>
      </c>
      <c r="BC123" t="s">
        <v>966</v>
      </c>
      <c r="BD123" s="491">
        <v>0.1938</v>
      </c>
      <c r="BE123" s="492">
        <v>0.44629999999999997</v>
      </c>
      <c r="BG123" s="510">
        <f t="shared" si="48"/>
        <v>0</v>
      </c>
      <c r="BH123" s="510">
        <f t="shared" si="49"/>
        <v>0</v>
      </c>
      <c r="BJ123" s="520">
        <f t="shared" si="51"/>
        <v>0</v>
      </c>
      <c r="BK123" s="520">
        <f t="shared" si="52"/>
        <v>0</v>
      </c>
      <c r="CB123" s="74"/>
      <c r="CC123" s="74"/>
      <c r="CD123" s="74"/>
      <c r="CE123" s="74"/>
      <c r="CF123" s="74"/>
    </row>
    <row r="124" spans="1:84">
      <c r="A124" s="283" t="s">
        <v>270</v>
      </c>
      <c r="B124" s="283" t="s">
        <v>269</v>
      </c>
      <c r="C124" s="283" t="str">
        <f t="shared" si="54"/>
        <v>17411 ISSAQUAH SCHOOL DISTRICT</v>
      </c>
      <c r="D124" s="490">
        <v>0</v>
      </c>
      <c r="E124" s="490">
        <v>0</v>
      </c>
      <c r="F124" s="490">
        <v>0</v>
      </c>
      <c r="G124" s="490">
        <v>29329790.68</v>
      </c>
      <c r="H124" s="490">
        <v>4164129.28</v>
      </c>
      <c r="I124" s="490">
        <v>0</v>
      </c>
      <c r="J124" s="490">
        <v>1773839.41</v>
      </c>
      <c r="K124" s="490">
        <v>2912375.81</v>
      </c>
      <c r="L124" s="490">
        <v>659376.53</v>
      </c>
      <c r="M124" s="490">
        <v>14494010.48</v>
      </c>
      <c r="N124" s="300">
        <v>1.4500000000000001E-2</v>
      </c>
      <c r="O124" s="492">
        <v>9.9299999999999999E-2</v>
      </c>
      <c r="P124" s="490">
        <v>0</v>
      </c>
      <c r="Q124" s="493">
        <v>0</v>
      </c>
      <c r="R124" s="493">
        <v>0</v>
      </c>
      <c r="S124" s="494">
        <v>2254075.65</v>
      </c>
      <c r="T124" s="495">
        <v>0</v>
      </c>
      <c r="U124" s="495">
        <v>73635.08</v>
      </c>
      <c r="V124" s="490">
        <v>0</v>
      </c>
      <c r="W124" s="495">
        <v>0</v>
      </c>
      <c r="X124" s="495">
        <v>0</v>
      </c>
      <c r="Y124" s="490">
        <v>16674.55</v>
      </c>
      <c r="Z124" s="490">
        <v>27139.97</v>
      </c>
      <c r="AA124" s="490">
        <v>193125.46</v>
      </c>
      <c r="AB124" s="490">
        <v>611069.80000000005</v>
      </c>
      <c r="AC124" s="490">
        <v>11424301.58</v>
      </c>
      <c r="AD124" s="490">
        <v>1017.86</v>
      </c>
      <c r="AE124" s="490">
        <v>10119401.029999999</v>
      </c>
      <c r="AF124" s="339">
        <v>9941.8397716778327</v>
      </c>
      <c r="AG124" s="339">
        <v>11223.843730964965</v>
      </c>
      <c r="AH124" s="496">
        <v>1282</v>
      </c>
      <c r="AI124" s="490">
        <v>59.19</v>
      </c>
      <c r="AJ124" s="490">
        <v>575409.98</v>
      </c>
      <c r="AK124" s="339">
        <v>9721.4053049501599</v>
      </c>
      <c r="AL124" s="339">
        <v>10323.868896773105</v>
      </c>
      <c r="AM124" s="496">
        <v>602.46</v>
      </c>
      <c r="AN124" s="495">
        <v>26310.78</v>
      </c>
      <c r="AO124" s="495">
        <v>0</v>
      </c>
      <c r="AP124" s="74"/>
      <c r="AQ124" s="303">
        <v>392848.27000000095</v>
      </c>
      <c r="AR124" s="303">
        <v>2082691.46</v>
      </c>
      <c r="AS124" s="552">
        <v>574410.54999999993</v>
      </c>
      <c r="AY124" s="67">
        <f t="shared" si="50"/>
        <v>0</v>
      </c>
      <c r="BA124" t="s">
        <v>856</v>
      </c>
      <c r="BB124" t="s">
        <v>269</v>
      </c>
      <c r="BC124" t="s">
        <v>967</v>
      </c>
      <c r="BD124" s="491">
        <v>1.4500000000000001E-2</v>
      </c>
      <c r="BE124" s="492">
        <v>9.9299999999999999E-2</v>
      </c>
      <c r="BG124" s="510">
        <f t="shared" si="48"/>
        <v>0</v>
      </c>
      <c r="BH124" s="510">
        <f t="shared" si="49"/>
        <v>0</v>
      </c>
      <c r="BJ124" s="520">
        <f t="shared" si="51"/>
        <v>0</v>
      </c>
      <c r="BK124" s="520">
        <f t="shared" si="52"/>
        <v>0</v>
      </c>
      <c r="CB124" s="74"/>
      <c r="CC124" s="74"/>
      <c r="CD124" s="74"/>
      <c r="CE124" s="74"/>
      <c r="CF124" s="74"/>
    </row>
    <row r="125" spans="1:84">
      <c r="A125" s="283" t="s">
        <v>272</v>
      </c>
      <c r="B125" s="283" t="s">
        <v>271</v>
      </c>
      <c r="C125" s="283" t="str">
        <f t="shared" si="54"/>
        <v>11056 KAHLOTUS SCHOOL DISTRICT</v>
      </c>
      <c r="D125" s="490">
        <v>0</v>
      </c>
      <c r="E125" s="490">
        <v>0</v>
      </c>
      <c r="F125" s="490">
        <v>0</v>
      </c>
      <c r="G125" s="490">
        <v>0</v>
      </c>
      <c r="H125" s="490">
        <v>0</v>
      </c>
      <c r="I125" s="490">
        <v>15114.05</v>
      </c>
      <c r="J125" s="490">
        <v>22406.84</v>
      </c>
      <c r="K125" s="490">
        <v>0</v>
      </c>
      <c r="L125" s="490">
        <v>1479.7</v>
      </c>
      <c r="M125" s="490">
        <v>97517.81</v>
      </c>
      <c r="N125" s="300">
        <v>4.3999999999999997E-2</v>
      </c>
      <c r="O125" s="492">
        <v>0.46110000000000001</v>
      </c>
      <c r="P125" s="490">
        <v>0</v>
      </c>
      <c r="Q125" s="493">
        <v>0</v>
      </c>
      <c r="R125" s="493">
        <v>0</v>
      </c>
      <c r="S125" s="494">
        <v>0</v>
      </c>
      <c r="T125" s="495">
        <v>0</v>
      </c>
      <c r="U125" s="495">
        <v>0</v>
      </c>
      <c r="V125" s="490">
        <v>0</v>
      </c>
      <c r="W125" s="495">
        <v>0</v>
      </c>
      <c r="X125" s="495">
        <v>0</v>
      </c>
      <c r="Y125" s="490">
        <v>0</v>
      </c>
      <c r="Z125" s="490">
        <v>0</v>
      </c>
      <c r="AA125" s="490">
        <v>0</v>
      </c>
      <c r="AB125" s="490">
        <v>6097.59</v>
      </c>
      <c r="AC125" s="490">
        <v>20281.82</v>
      </c>
      <c r="AD125" s="490">
        <v>2.0099999999999998</v>
      </c>
      <c r="AE125" s="490">
        <v>17968.98</v>
      </c>
      <c r="AF125" s="339">
        <v>8939.7910447761205</v>
      </c>
      <c r="AG125" s="339">
        <v>10090.457711442787</v>
      </c>
      <c r="AH125" s="496">
        <v>1150.67</v>
      </c>
      <c r="AI125" s="490">
        <v>0.66</v>
      </c>
      <c r="AJ125" s="490">
        <v>5846.79</v>
      </c>
      <c r="AK125" s="339">
        <v>8858.7727272727261</v>
      </c>
      <c r="AL125" s="339">
        <v>9238.7727272727279</v>
      </c>
      <c r="AM125" s="496">
        <v>380</v>
      </c>
      <c r="AN125" s="495">
        <v>0</v>
      </c>
      <c r="AO125" s="495">
        <v>27.01</v>
      </c>
      <c r="AP125" s="74"/>
      <c r="AQ125" s="303">
        <v>114.77000000000044</v>
      </c>
      <c r="AR125" s="303">
        <v>19348.5</v>
      </c>
      <c r="AS125" s="552">
        <v>11539.5</v>
      </c>
      <c r="AY125" s="67">
        <f t="shared" si="50"/>
        <v>0</v>
      </c>
      <c r="BA125" t="s">
        <v>854</v>
      </c>
      <c r="BB125" t="s">
        <v>271</v>
      </c>
      <c r="BC125" t="s">
        <v>968</v>
      </c>
      <c r="BD125" s="491">
        <v>4.3999999999999997E-2</v>
      </c>
      <c r="BE125" s="492">
        <v>0.46110000000000001</v>
      </c>
      <c r="BG125" s="510">
        <f t="shared" si="48"/>
        <v>0</v>
      </c>
      <c r="BH125" s="510">
        <f t="shared" si="49"/>
        <v>0</v>
      </c>
      <c r="BJ125" s="520">
        <f t="shared" si="51"/>
        <v>0</v>
      </c>
      <c r="BK125" s="520">
        <f t="shared" si="52"/>
        <v>0</v>
      </c>
      <c r="CB125" s="74"/>
      <c r="CC125" s="74"/>
      <c r="CD125" s="74"/>
      <c r="CE125" s="74"/>
      <c r="CF125" s="74"/>
    </row>
    <row r="126" spans="1:84">
      <c r="A126" s="283" t="s">
        <v>274</v>
      </c>
      <c r="B126" s="283" t="s">
        <v>273</v>
      </c>
      <c r="C126" s="283" t="str">
        <f t="shared" si="54"/>
        <v>08402 KALAMA SCHOOL DISTRICT</v>
      </c>
      <c r="D126" s="490">
        <v>0</v>
      </c>
      <c r="E126" s="490">
        <v>21051.9</v>
      </c>
      <c r="F126" s="490">
        <v>0</v>
      </c>
      <c r="G126" s="490">
        <v>0</v>
      </c>
      <c r="H126" s="490">
        <v>0</v>
      </c>
      <c r="I126" s="490">
        <v>0</v>
      </c>
      <c r="J126" s="490">
        <v>278953.76</v>
      </c>
      <c r="K126" s="490">
        <v>0</v>
      </c>
      <c r="L126" s="490">
        <v>33038.089999999997</v>
      </c>
      <c r="M126" s="490">
        <v>0</v>
      </c>
      <c r="N126" s="300">
        <v>0</v>
      </c>
      <c r="O126" s="492">
        <v>0.19919999999999999</v>
      </c>
      <c r="P126" s="490">
        <v>0</v>
      </c>
      <c r="Q126" s="493">
        <v>0</v>
      </c>
      <c r="R126" s="493">
        <v>0</v>
      </c>
      <c r="S126" s="494">
        <v>0</v>
      </c>
      <c r="T126" s="495">
        <v>0</v>
      </c>
      <c r="U126" s="495">
        <v>0</v>
      </c>
      <c r="V126" s="490">
        <v>0</v>
      </c>
      <c r="W126" s="495">
        <v>0</v>
      </c>
      <c r="X126" s="495">
        <v>0</v>
      </c>
      <c r="Y126" s="490">
        <v>1288.42</v>
      </c>
      <c r="Z126" s="490">
        <v>0</v>
      </c>
      <c r="AA126" s="490">
        <v>35868.36</v>
      </c>
      <c r="AB126" s="490">
        <v>135935.89000000001</v>
      </c>
      <c r="AC126" s="490">
        <v>416346.16</v>
      </c>
      <c r="AD126" s="490">
        <v>42.9</v>
      </c>
      <c r="AE126" s="490">
        <v>379388.88</v>
      </c>
      <c r="AF126" s="339">
        <v>8843.5636363636368</v>
      </c>
      <c r="AG126" s="339">
        <v>9705.0386946386952</v>
      </c>
      <c r="AH126" s="496">
        <v>861.48</v>
      </c>
      <c r="AI126" s="490">
        <v>14.82</v>
      </c>
      <c r="AJ126" s="490">
        <v>127829.8</v>
      </c>
      <c r="AK126" s="339">
        <v>8625.4925775978409</v>
      </c>
      <c r="AL126" s="339">
        <v>9172.4622132253717</v>
      </c>
      <c r="AM126" s="496">
        <v>546.97</v>
      </c>
      <c r="AN126" s="495">
        <v>0</v>
      </c>
      <c r="AO126" s="495">
        <v>0</v>
      </c>
      <c r="AP126" s="74"/>
      <c r="AQ126" s="303">
        <v>120547.33</v>
      </c>
      <c r="AR126" s="303">
        <v>90776.569999999992</v>
      </c>
      <c r="AS126" s="552">
        <v>13471.38</v>
      </c>
      <c r="AY126" s="67">
        <f t="shared" si="50"/>
        <v>0</v>
      </c>
      <c r="BA126" t="s">
        <v>859</v>
      </c>
      <c r="BB126" t="s">
        <v>273</v>
      </c>
      <c r="BC126" t="s">
        <v>969</v>
      </c>
      <c r="BD126" s="491">
        <v>0</v>
      </c>
      <c r="BE126" s="492">
        <v>0.19919999999999999</v>
      </c>
      <c r="BG126" s="510">
        <f t="shared" si="48"/>
        <v>0</v>
      </c>
      <c r="BH126" s="510">
        <f t="shared" si="49"/>
        <v>0</v>
      </c>
      <c r="BJ126" s="520">
        <f t="shared" si="51"/>
        <v>0</v>
      </c>
      <c r="BK126" s="520">
        <f t="shared" si="52"/>
        <v>0</v>
      </c>
      <c r="CB126" s="74"/>
      <c r="CC126" s="74"/>
      <c r="CD126" s="74"/>
      <c r="CE126" s="74"/>
      <c r="CF126" s="74"/>
    </row>
    <row r="127" spans="1:84">
      <c r="A127" s="283" t="s">
        <v>276</v>
      </c>
      <c r="B127" s="283" t="s">
        <v>275</v>
      </c>
      <c r="C127" s="283" t="str">
        <f t="shared" si="54"/>
        <v>10003 KELLER SCHOOL DISTRICT</v>
      </c>
      <c r="D127" s="490">
        <v>5735.52</v>
      </c>
      <c r="E127" s="490">
        <v>0</v>
      </c>
      <c r="F127" s="490">
        <v>0</v>
      </c>
      <c r="G127" s="490">
        <v>59085.82</v>
      </c>
      <c r="H127" s="490">
        <v>3176.94</v>
      </c>
      <c r="I127" s="490">
        <v>10285.450000000001</v>
      </c>
      <c r="J127" s="490">
        <v>20155.32</v>
      </c>
      <c r="K127" s="490">
        <v>0</v>
      </c>
      <c r="L127" s="490">
        <v>1350.61</v>
      </c>
      <c r="M127" s="490">
        <v>170909</v>
      </c>
      <c r="N127" s="300">
        <v>8.3699999999999997E-2</v>
      </c>
      <c r="O127" s="492">
        <v>0.33129999999999998</v>
      </c>
      <c r="P127" s="490">
        <v>0</v>
      </c>
      <c r="Q127" s="493">
        <v>0</v>
      </c>
      <c r="R127" s="493">
        <v>0</v>
      </c>
      <c r="S127" s="494">
        <v>0</v>
      </c>
      <c r="T127" s="495">
        <v>0</v>
      </c>
      <c r="U127" s="495">
        <v>0</v>
      </c>
      <c r="V127" s="490">
        <v>0</v>
      </c>
      <c r="W127" s="495">
        <v>0</v>
      </c>
      <c r="X127" s="495">
        <v>0</v>
      </c>
      <c r="Y127" s="490">
        <v>0</v>
      </c>
      <c r="Z127" s="490">
        <v>0</v>
      </c>
      <c r="AA127" s="490">
        <v>0</v>
      </c>
      <c r="AB127" s="490">
        <v>0</v>
      </c>
      <c r="AC127" s="490">
        <v>0</v>
      </c>
      <c r="AD127" s="490">
        <v>0</v>
      </c>
      <c r="AE127" s="490">
        <v>0</v>
      </c>
      <c r="AF127" s="339">
        <v>0</v>
      </c>
      <c r="AG127" s="339">
        <v>0</v>
      </c>
      <c r="AH127" s="496">
        <v>0</v>
      </c>
      <c r="AI127" s="490">
        <v>0</v>
      </c>
      <c r="AJ127" s="490">
        <v>0</v>
      </c>
      <c r="AK127" s="339">
        <v>0</v>
      </c>
      <c r="AL127" s="339">
        <v>0</v>
      </c>
      <c r="AM127" s="496">
        <v>0</v>
      </c>
      <c r="AN127" s="495">
        <v>148.82</v>
      </c>
      <c r="AO127" s="495">
        <v>0</v>
      </c>
      <c r="AP127" s="74"/>
      <c r="AQ127" s="303">
        <v>10450.99</v>
      </c>
      <c r="AR127" s="303">
        <v>5119.9400000000005</v>
      </c>
      <c r="AS127" s="552">
        <v>10987.59</v>
      </c>
      <c r="AY127" s="67">
        <f t="shared" si="50"/>
        <v>0</v>
      </c>
      <c r="BA127" t="s">
        <v>848</v>
      </c>
      <c r="BB127" t="s">
        <v>275</v>
      </c>
      <c r="BC127" t="s">
        <v>970</v>
      </c>
      <c r="BD127" s="491">
        <v>8.3699999999999997E-2</v>
      </c>
      <c r="BE127" s="492">
        <v>0.33129999999999998</v>
      </c>
      <c r="BG127" s="510">
        <f t="shared" si="48"/>
        <v>0</v>
      </c>
      <c r="BH127" s="510">
        <f t="shared" si="49"/>
        <v>0</v>
      </c>
      <c r="BJ127" s="520">
        <f t="shared" si="51"/>
        <v>0</v>
      </c>
      <c r="BK127" s="520">
        <f t="shared" si="52"/>
        <v>0</v>
      </c>
      <c r="CB127" s="74"/>
      <c r="CC127" s="74"/>
      <c r="CD127" s="74"/>
      <c r="CE127" s="74"/>
      <c r="CF127" s="74"/>
    </row>
    <row r="128" spans="1:84">
      <c r="A128" s="283" t="s">
        <v>278</v>
      </c>
      <c r="B128" s="283" t="s">
        <v>277</v>
      </c>
      <c r="C128" s="283" t="str">
        <f t="shared" si="54"/>
        <v>08458 KELSO SCHOOL DISTRICT</v>
      </c>
      <c r="D128" s="490">
        <v>0</v>
      </c>
      <c r="E128" s="490">
        <v>140344.76</v>
      </c>
      <c r="F128" s="490">
        <v>102594.6</v>
      </c>
      <c r="G128" s="490">
        <v>9576214.8900000006</v>
      </c>
      <c r="H128" s="490">
        <v>1821581.81</v>
      </c>
      <c r="I128" s="490">
        <v>1435910.55</v>
      </c>
      <c r="J128" s="490">
        <v>2086594.86</v>
      </c>
      <c r="K128" s="490">
        <v>572642.19999999995</v>
      </c>
      <c r="L128" s="490">
        <v>146905.26</v>
      </c>
      <c r="M128" s="490">
        <v>2816793.18</v>
      </c>
      <c r="N128" s="300">
        <v>4.5199999999999997E-2</v>
      </c>
      <c r="O128" s="492">
        <v>0.1736</v>
      </c>
      <c r="P128" s="490">
        <v>0</v>
      </c>
      <c r="Q128" s="493">
        <v>0</v>
      </c>
      <c r="R128" s="493">
        <v>0</v>
      </c>
      <c r="S128" s="494">
        <v>0</v>
      </c>
      <c r="T128" s="495">
        <v>0</v>
      </c>
      <c r="U128" s="495">
        <v>0</v>
      </c>
      <c r="V128" s="490">
        <v>0</v>
      </c>
      <c r="W128" s="495">
        <v>0</v>
      </c>
      <c r="X128" s="495">
        <v>0</v>
      </c>
      <c r="Y128" s="490">
        <v>4622.4399999999996</v>
      </c>
      <c r="Z128" s="490">
        <v>2874.24</v>
      </c>
      <c r="AA128" s="490">
        <v>33070.06</v>
      </c>
      <c r="AB128" s="490">
        <v>566304.68000000005</v>
      </c>
      <c r="AC128" s="490">
        <v>3555230.56</v>
      </c>
      <c r="AD128" s="490">
        <v>379.51</v>
      </c>
      <c r="AE128" s="490">
        <v>3357630.29</v>
      </c>
      <c r="AF128" s="339">
        <v>8847.2775157439864</v>
      </c>
      <c r="AG128" s="339">
        <v>9367.9496192458701</v>
      </c>
      <c r="AH128" s="496">
        <v>520.66999999999996</v>
      </c>
      <c r="AI128" s="490">
        <v>61.78</v>
      </c>
      <c r="AJ128" s="490">
        <v>533110.86</v>
      </c>
      <c r="AK128" s="339">
        <v>8629.1819359015863</v>
      </c>
      <c r="AL128" s="339">
        <v>9166.4726448688907</v>
      </c>
      <c r="AM128" s="496">
        <v>537.29</v>
      </c>
      <c r="AN128" s="495">
        <v>0</v>
      </c>
      <c r="AO128" s="495">
        <v>0</v>
      </c>
      <c r="AP128" s="74"/>
      <c r="AQ128" s="303">
        <v>0</v>
      </c>
      <c r="AR128" s="303">
        <v>520177.08999999997</v>
      </c>
      <c r="AS128" s="552">
        <v>150151.35</v>
      </c>
      <c r="AY128" s="67">
        <f t="shared" si="50"/>
        <v>0</v>
      </c>
      <c r="BA128" t="s">
        <v>859</v>
      </c>
      <c r="BB128" t="s">
        <v>277</v>
      </c>
      <c r="BC128" t="s">
        <v>971</v>
      </c>
      <c r="BD128" s="491">
        <v>4.5199999999999997E-2</v>
      </c>
      <c r="BE128" s="492">
        <v>0.1736</v>
      </c>
      <c r="BG128" s="510">
        <f t="shared" si="48"/>
        <v>0</v>
      </c>
      <c r="BH128" s="510">
        <f t="shared" si="49"/>
        <v>0</v>
      </c>
      <c r="BJ128" s="520">
        <f t="shared" si="51"/>
        <v>0</v>
      </c>
      <c r="BK128" s="520">
        <f t="shared" si="52"/>
        <v>0</v>
      </c>
      <c r="CB128" s="74"/>
      <c r="CC128" s="74"/>
      <c r="CD128" s="74"/>
      <c r="CE128" s="74"/>
      <c r="CF128" s="74"/>
    </row>
    <row r="129" spans="1:84">
      <c r="A129" s="283" t="s">
        <v>280</v>
      </c>
      <c r="B129" s="283" t="s">
        <v>279</v>
      </c>
      <c r="C129" s="283" t="str">
        <f t="shared" si="54"/>
        <v>03017 KENNEWICK SCHOOL DISTRICT</v>
      </c>
      <c r="D129" s="490">
        <v>0</v>
      </c>
      <c r="E129" s="490">
        <v>706468.84</v>
      </c>
      <c r="F129" s="490">
        <v>86899.19</v>
      </c>
      <c r="G129" s="490">
        <v>28419669.719999999</v>
      </c>
      <c r="H129" s="490">
        <v>6459778.4500000002</v>
      </c>
      <c r="I129" s="490">
        <v>3892365.88</v>
      </c>
      <c r="J129" s="490">
        <v>7300796.3399999999</v>
      </c>
      <c r="K129" s="490">
        <v>5322101.7699999996</v>
      </c>
      <c r="L129" s="490">
        <v>561128.21</v>
      </c>
      <c r="M129" s="490">
        <v>10766763.1</v>
      </c>
      <c r="N129" s="300">
        <v>4.1500000000000002E-2</v>
      </c>
      <c r="O129" s="492">
        <v>0.1245</v>
      </c>
      <c r="P129" s="490">
        <v>0</v>
      </c>
      <c r="Q129" s="493">
        <v>16113.393999999998</v>
      </c>
      <c r="R129" s="493">
        <v>0</v>
      </c>
      <c r="S129" s="494">
        <v>529152.76</v>
      </c>
      <c r="T129" s="495">
        <v>0</v>
      </c>
      <c r="U129" s="495">
        <v>16926.02</v>
      </c>
      <c r="V129" s="490">
        <v>0</v>
      </c>
      <c r="W129" s="495">
        <v>0</v>
      </c>
      <c r="X129" s="495">
        <v>0</v>
      </c>
      <c r="Y129" s="490">
        <v>599.47</v>
      </c>
      <c r="Z129" s="490">
        <v>44763.519999999997</v>
      </c>
      <c r="AA129" s="490">
        <v>0</v>
      </c>
      <c r="AB129" s="490">
        <v>1231887.71</v>
      </c>
      <c r="AC129" s="490">
        <v>8689286.3599999994</v>
      </c>
      <c r="AD129" s="490">
        <v>907.33</v>
      </c>
      <c r="AE129" s="490">
        <v>8027731.8399999999</v>
      </c>
      <c r="AF129" s="339">
        <v>8847.6429083134026</v>
      </c>
      <c r="AG129" s="339">
        <v>9576.7651901733643</v>
      </c>
      <c r="AH129" s="496">
        <v>729.12</v>
      </c>
      <c r="AI129" s="490">
        <v>134.38</v>
      </c>
      <c r="AJ129" s="490">
        <v>1159714.6000000001</v>
      </c>
      <c r="AK129" s="339">
        <v>8630.1131120702503</v>
      </c>
      <c r="AL129" s="339">
        <v>9167.1953415686858</v>
      </c>
      <c r="AM129" s="496">
        <v>537.08000000000004</v>
      </c>
      <c r="AN129" s="495">
        <v>0</v>
      </c>
      <c r="AO129" s="495">
        <v>0</v>
      </c>
      <c r="AP129" s="74"/>
      <c r="AQ129" s="303">
        <v>69138.759999999776</v>
      </c>
      <c r="AR129" s="303">
        <v>1992067.66</v>
      </c>
      <c r="AS129" s="552">
        <v>549430.21</v>
      </c>
      <c r="AY129" s="67">
        <f t="shared" si="50"/>
        <v>0</v>
      </c>
      <c r="BA129" t="s">
        <v>854</v>
      </c>
      <c r="BB129" t="s">
        <v>279</v>
      </c>
      <c r="BC129" t="s">
        <v>972</v>
      </c>
      <c r="BD129" s="491">
        <v>4.1500000000000002E-2</v>
      </c>
      <c r="BE129" s="492">
        <v>0.1245</v>
      </c>
      <c r="BG129" s="510">
        <f t="shared" si="48"/>
        <v>0</v>
      </c>
      <c r="BH129" s="510">
        <f t="shared" si="49"/>
        <v>0</v>
      </c>
      <c r="BJ129" s="520">
        <f t="shared" si="51"/>
        <v>0</v>
      </c>
      <c r="BK129" s="520">
        <f t="shared" si="52"/>
        <v>0</v>
      </c>
      <c r="CB129" s="74"/>
      <c r="CC129" s="74"/>
      <c r="CD129" s="74"/>
      <c r="CE129" s="74"/>
      <c r="CF129" s="74"/>
    </row>
    <row r="130" spans="1:84">
      <c r="A130" s="283" t="s">
        <v>282</v>
      </c>
      <c r="B130" s="283" t="s">
        <v>281</v>
      </c>
      <c r="C130" s="283" t="str">
        <f t="shared" si="54"/>
        <v>17415 KENT SCHOOL DISTRICT</v>
      </c>
      <c r="D130" s="490">
        <v>0</v>
      </c>
      <c r="E130" s="490">
        <v>989195.2</v>
      </c>
      <c r="F130" s="490">
        <v>404428.97</v>
      </c>
      <c r="G130" s="490">
        <v>49544960.020000003</v>
      </c>
      <c r="H130" s="490">
        <v>8774553.0500000007</v>
      </c>
      <c r="I130" s="490">
        <v>4384307.12</v>
      </c>
      <c r="J130" s="490">
        <v>10918587.880000001</v>
      </c>
      <c r="K130" s="490">
        <v>13333030.470000001</v>
      </c>
      <c r="L130" s="490">
        <v>877125.8</v>
      </c>
      <c r="M130" s="490">
        <v>16550264.59</v>
      </c>
      <c r="N130" s="300">
        <v>4.5100000000000001E-2</v>
      </c>
      <c r="O130" s="492">
        <v>0.14430000000000001</v>
      </c>
      <c r="P130" s="490">
        <v>0</v>
      </c>
      <c r="Q130" s="493">
        <v>0</v>
      </c>
      <c r="R130" s="493">
        <v>0</v>
      </c>
      <c r="S130" s="494">
        <v>0</v>
      </c>
      <c r="T130" s="495">
        <v>0</v>
      </c>
      <c r="U130" s="495">
        <v>0</v>
      </c>
      <c r="V130" s="490">
        <v>0</v>
      </c>
      <c r="W130" s="495">
        <v>0</v>
      </c>
      <c r="X130" s="495">
        <v>0</v>
      </c>
      <c r="Y130" s="490">
        <v>28801.66</v>
      </c>
      <c r="Z130" s="490">
        <v>68741.460000000006</v>
      </c>
      <c r="AA130" s="490">
        <v>1022054.14</v>
      </c>
      <c r="AB130" s="490">
        <v>2980322.34</v>
      </c>
      <c r="AC130" s="490">
        <v>16727027.890000001</v>
      </c>
      <c r="AD130" s="490">
        <v>1527.33</v>
      </c>
      <c r="AE130" s="490">
        <v>15184683.08</v>
      </c>
      <c r="AF130" s="339">
        <v>9941.97919244695</v>
      </c>
      <c r="AG130" s="339">
        <v>10951.809949388804</v>
      </c>
      <c r="AH130" s="496">
        <v>1009.83</v>
      </c>
      <c r="AI130" s="490">
        <v>288.69</v>
      </c>
      <c r="AJ130" s="490">
        <v>2806620.04</v>
      </c>
      <c r="AK130" s="339">
        <v>9721.9163808929989</v>
      </c>
      <c r="AL130" s="339">
        <v>10323.607814610828</v>
      </c>
      <c r="AM130" s="496">
        <v>601.69000000000005</v>
      </c>
      <c r="AN130" s="495">
        <v>0</v>
      </c>
      <c r="AO130" s="495">
        <v>0</v>
      </c>
      <c r="AP130" s="74"/>
      <c r="AQ130" s="303">
        <v>0</v>
      </c>
      <c r="AR130" s="303">
        <v>3188226.73</v>
      </c>
      <c r="AS130" s="552"/>
      <c r="AY130" s="67">
        <f t="shared" si="50"/>
        <v>0</v>
      </c>
      <c r="BA130" t="s">
        <v>856</v>
      </c>
      <c r="BB130" t="s">
        <v>281</v>
      </c>
      <c r="BC130" t="s">
        <v>973</v>
      </c>
      <c r="BD130" s="491">
        <v>4.5100000000000001E-2</v>
      </c>
      <c r="BE130" s="492">
        <v>0.14430000000000001</v>
      </c>
      <c r="BG130" s="510">
        <f t="shared" si="48"/>
        <v>0</v>
      </c>
      <c r="BH130" s="510">
        <f t="shared" si="49"/>
        <v>0</v>
      </c>
      <c r="BJ130" s="520">
        <f t="shared" si="51"/>
        <v>0</v>
      </c>
      <c r="BK130" s="520">
        <f t="shared" si="52"/>
        <v>0</v>
      </c>
      <c r="CB130" s="74"/>
      <c r="CC130" s="74"/>
      <c r="CD130" s="74"/>
      <c r="CE130" s="74"/>
      <c r="CF130" s="74"/>
    </row>
    <row r="131" spans="1:84">
      <c r="A131" s="283" t="s">
        <v>284</v>
      </c>
      <c r="B131" s="283" t="s">
        <v>283</v>
      </c>
      <c r="C131" s="283" t="str">
        <f t="shared" si="54"/>
        <v>33212 KETTLE FALLS SCHOOL DISTRICT</v>
      </c>
      <c r="D131" s="490">
        <v>0</v>
      </c>
      <c r="E131" s="490">
        <v>38287.33</v>
      </c>
      <c r="F131" s="490">
        <v>2608.12</v>
      </c>
      <c r="G131" s="490">
        <v>1509467.08</v>
      </c>
      <c r="H131" s="490">
        <v>212224.86</v>
      </c>
      <c r="I131" s="490">
        <v>239076.81</v>
      </c>
      <c r="J131" s="490">
        <v>390005.95</v>
      </c>
      <c r="K131" s="490">
        <v>0</v>
      </c>
      <c r="L131" s="490">
        <v>32870.42</v>
      </c>
      <c r="M131" s="490">
        <v>973177.78</v>
      </c>
      <c r="N131" s="300">
        <v>3.6499999999999998E-2</v>
      </c>
      <c r="O131" s="492">
        <v>0.20169999999999999</v>
      </c>
      <c r="P131" s="490">
        <v>0</v>
      </c>
      <c r="Q131" s="493">
        <v>0</v>
      </c>
      <c r="R131" s="493">
        <v>0</v>
      </c>
      <c r="S131" s="494">
        <v>0</v>
      </c>
      <c r="T131" s="495">
        <v>0</v>
      </c>
      <c r="U131" s="495">
        <v>0</v>
      </c>
      <c r="V131" s="490">
        <v>0</v>
      </c>
      <c r="W131" s="495">
        <v>0</v>
      </c>
      <c r="X131" s="495">
        <v>0</v>
      </c>
      <c r="Y131" s="490">
        <v>0</v>
      </c>
      <c r="Z131" s="490">
        <v>0</v>
      </c>
      <c r="AA131" s="490">
        <v>22358.38</v>
      </c>
      <c r="AB131" s="490">
        <v>0</v>
      </c>
      <c r="AC131" s="490">
        <v>316805.26</v>
      </c>
      <c r="AD131" s="490">
        <v>31.91</v>
      </c>
      <c r="AE131" s="490">
        <v>285079.40999999997</v>
      </c>
      <c r="AF131" s="339">
        <v>8933.858038232529</v>
      </c>
      <c r="AG131" s="339">
        <v>9928.0871200250713</v>
      </c>
      <c r="AH131" s="496">
        <v>994.23</v>
      </c>
      <c r="AI131" s="490">
        <v>0</v>
      </c>
      <c r="AJ131" s="490">
        <v>0</v>
      </c>
      <c r="AK131" s="339">
        <v>0</v>
      </c>
      <c r="AL131" s="339">
        <v>0</v>
      </c>
      <c r="AM131" s="496">
        <v>0</v>
      </c>
      <c r="AN131" s="495">
        <v>0</v>
      </c>
      <c r="AO131" s="495">
        <v>0</v>
      </c>
      <c r="AP131" s="74"/>
      <c r="AQ131" s="303">
        <v>21257.150000000009</v>
      </c>
      <c r="AR131" s="303">
        <v>82637.209999999992</v>
      </c>
      <c r="AS131" s="552"/>
      <c r="AY131" s="67">
        <f t="shared" si="50"/>
        <v>0</v>
      </c>
      <c r="BA131" t="s">
        <v>848</v>
      </c>
      <c r="BB131" t="s">
        <v>283</v>
      </c>
      <c r="BC131" t="s">
        <v>974</v>
      </c>
      <c r="BD131" s="491">
        <v>3.6499999999999998E-2</v>
      </c>
      <c r="BE131" s="492">
        <v>0.20169999999999999</v>
      </c>
      <c r="BG131" s="510">
        <f t="shared" si="48"/>
        <v>0</v>
      </c>
      <c r="BH131" s="510">
        <f t="shared" si="49"/>
        <v>0</v>
      </c>
      <c r="BJ131" s="520">
        <f t="shared" si="51"/>
        <v>0</v>
      </c>
      <c r="BK131" s="520">
        <f t="shared" si="52"/>
        <v>0</v>
      </c>
      <c r="CB131" s="74"/>
      <c r="CC131" s="74"/>
      <c r="CD131" s="74"/>
      <c r="CE131" s="74"/>
      <c r="CF131" s="74"/>
    </row>
    <row r="132" spans="1:84">
      <c r="A132" s="283" t="s">
        <v>286</v>
      </c>
      <c r="B132" s="283" t="s">
        <v>285</v>
      </c>
      <c r="C132" s="283" t="str">
        <f t="shared" si="54"/>
        <v>03052 KIONA BENTON SCHOOL DISTRICT</v>
      </c>
      <c r="D132" s="490">
        <v>0</v>
      </c>
      <c r="E132" s="490">
        <v>65245.38</v>
      </c>
      <c r="F132" s="490">
        <v>42443.13</v>
      </c>
      <c r="G132" s="490">
        <v>2085922.39</v>
      </c>
      <c r="H132" s="490">
        <v>335668.93</v>
      </c>
      <c r="I132" s="490">
        <v>436524.79</v>
      </c>
      <c r="J132" s="490">
        <v>800170.07</v>
      </c>
      <c r="K132" s="490">
        <v>563961.88</v>
      </c>
      <c r="L132" s="490">
        <v>41599.379999999997</v>
      </c>
      <c r="M132" s="490">
        <v>818400.64</v>
      </c>
      <c r="N132" s="300">
        <v>6.8900000000000003E-2</v>
      </c>
      <c r="O132" s="492">
        <v>0.19320000000000001</v>
      </c>
      <c r="P132" s="490">
        <v>0</v>
      </c>
      <c r="Q132" s="493">
        <v>0</v>
      </c>
      <c r="R132" s="493">
        <v>0</v>
      </c>
      <c r="S132" s="494">
        <v>0</v>
      </c>
      <c r="T132" s="495">
        <v>0</v>
      </c>
      <c r="U132" s="495">
        <v>0</v>
      </c>
      <c r="V132" s="490">
        <v>0</v>
      </c>
      <c r="W132" s="495">
        <v>0</v>
      </c>
      <c r="X132" s="495">
        <v>0</v>
      </c>
      <c r="Y132" s="490">
        <v>1602.7</v>
      </c>
      <c r="Z132" s="490">
        <v>0</v>
      </c>
      <c r="AA132" s="490">
        <v>33753.120000000003</v>
      </c>
      <c r="AB132" s="490">
        <v>35017.21</v>
      </c>
      <c r="AC132" s="490">
        <v>896468.64</v>
      </c>
      <c r="AD132" s="490">
        <v>93.88</v>
      </c>
      <c r="AE132" s="490">
        <v>847002.55</v>
      </c>
      <c r="AF132" s="339">
        <v>9022.1831060928853</v>
      </c>
      <c r="AG132" s="339">
        <v>9549.0907541542401</v>
      </c>
      <c r="AH132" s="496">
        <v>526.91</v>
      </c>
      <c r="AI132" s="490">
        <v>3.73</v>
      </c>
      <c r="AJ132" s="490">
        <v>32860.57</v>
      </c>
      <c r="AK132" s="339">
        <v>8809.8042895442359</v>
      </c>
      <c r="AL132" s="339">
        <v>9387.9919571045575</v>
      </c>
      <c r="AM132" s="496">
        <v>578.19000000000005</v>
      </c>
      <c r="AN132" s="495">
        <v>0</v>
      </c>
      <c r="AO132" s="495">
        <v>0</v>
      </c>
      <c r="AP132" s="74"/>
      <c r="AQ132" s="303">
        <v>0</v>
      </c>
      <c r="AR132" s="303">
        <v>159327.16</v>
      </c>
      <c r="AS132" s="552">
        <v>49387.61</v>
      </c>
      <c r="AY132" s="67">
        <f t="shared" si="50"/>
        <v>0</v>
      </c>
      <c r="BA132" t="s">
        <v>854</v>
      </c>
      <c r="BB132" t="s">
        <v>285</v>
      </c>
      <c r="BC132" t="s">
        <v>975</v>
      </c>
      <c r="BD132" s="491">
        <v>6.8900000000000003E-2</v>
      </c>
      <c r="BE132" s="492">
        <v>0.19320000000000001</v>
      </c>
      <c r="BG132" s="518">
        <f t="shared" si="48"/>
        <v>0</v>
      </c>
      <c r="BH132" s="510">
        <f t="shared" si="49"/>
        <v>0</v>
      </c>
      <c r="BJ132" s="520">
        <f t="shared" si="51"/>
        <v>0</v>
      </c>
      <c r="BK132" s="520">
        <f t="shared" si="52"/>
        <v>0</v>
      </c>
      <c r="CB132" s="74"/>
      <c r="CC132" s="74"/>
      <c r="CD132" s="74"/>
      <c r="CE132" s="74"/>
      <c r="CF132" s="74"/>
    </row>
    <row r="133" spans="1:84">
      <c r="A133" s="283" t="s">
        <v>288</v>
      </c>
      <c r="B133" s="283" t="s">
        <v>287</v>
      </c>
      <c r="C133" s="283" t="str">
        <f t="shared" si="54"/>
        <v>19403 KITTITAS SCHOOL DISTRICT</v>
      </c>
      <c r="D133" s="490">
        <v>0</v>
      </c>
      <c r="E133" s="490">
        <v>17890.5</v>
      </c>
      <c r="F133" s="490">
        <v>0</v>
      </c>
      <c r="G133" s="490">
        <v>801316.51</v>
      </c>
      <c r="H133" s="490">
        <v>136556.95000000001</v>
      </c>
      <c r="I133" s="490">
        <v>100049.33</v>
      </c>
      <c r="J133" s="490">
        <v>202176.54</v>
      </c>
      <c r="K133" s="490">
        <v>65430.239999999998</v>
      </c>
      <c r="L133" s="490">
        <v>16415.150000000001</v>
      </c>
      <c r="M133" s="490">
        <v>420326.71</v>
      </c>
      <c r="N133" s="300">
        <v>9.5600000000000004E-2</v>
      </c>
      <c r="O133" s="492">
        <v>0.26379999999999998</v>
      </c>
      <c r="P133" s="490">
        <v>0</v>
      </c>
      <c r="Q133" s="493">
        <v>0</v>
      </c>
      <c r="R133" s="493">
        <v>0</v>
      </c>
      <c r="S133" s="494">
        <v>188175.69</v>
      </c>
      <c r="T133" s="495">
        <v>18583.064999999999</v>
      </c>
      <c r="U133" s="495">
        <v>5843.07</v>
      </c>
      <c r="V133" s="490">
        <v>0</v>
      </c>
      <c r="W133" s="495">
        <v>0</v>
      </c>
      <c r="X133" s="495">
        <v>0</v>
      </c>
      <c r="Y133" s="490">
        <v>636.38</v>
      </c>
      <c r="Z133" s="490">
        <v>63.35</v>
      </c>
      <c r="AA133" s="490">
        <v>0</v>
      </c>
      <c r="AB133" s="490">
        <v>256250.44</v>
      </c>
      <c r="AC133" s="490">
        <v>488204.37</v>
      </c>
      <c r="AD133" s="490">
        <v>53.24</v>
      </c>
      <c r="AE133" s="490">
        <v>471149.95</v>
      </c>
      <c r="AF133" s="339">
        <v>8849.5482719759584</v>
      </c>
      <c r="AG133" s="339">
        <v>9169.8792261457547</v>
      </c>
      <c r="AH133" s="496">
        <v>320.33</v>
      </c>
      <c r="AI133" s="490">
        <v>27.95</v>
      </c>
      <c r="AJ133" s="490">
        <v>241282.4</v>
      </c>
      <c r="AK133" s="339">
        <v>8632.6440071556353</v>
      </c>
      <c r="AL133" s="339">
        <v>9168.173166368515</v>
      </c>
      <c r="AM133" s="496">
        <v>535.53</v>
      </c>
      <c r="AN133" s="495">
        <v>0</v>
      </c>
      <c r="AO133" s="495">
        <v>100000</v>
      </c>
      <c r="AP133" s="74"/>
      <c r="AQ133" s="303">
        <v>59412.36</v>
      </c>
      <c r="AR133" s="303">
        <v>60816.579999999987</v>
      </c>
      <c r="AS133" s="552">
        <v>27602.43</v>
      </c>
      <c r="AY133" s="67">
        <f t="shared" si="50"/>
        <v>0</v>
      </c>
      <c r="BA133" t="s">
        <v>865</v>
      </c>
      <c r="BB133" t="s">
        <v>287</v>
      </c>
      <c r="BC133" t="s">
        <v>976</v>
      </c>
      <c r="BD133" s="491">
        <v>9.5600000000000004E-2</v>
      </c>
      <c r="BE133" s="492">
        <v>0.26379999999999998</v>
      </c>
      <c r="BG133" s="510">
        <f t="shared" si="48"/>
        <v>0</v>
      </c>
      <c r="BH133" s="510">
        <f t="shared" si="49"/>
        <v>0</v>
      </c>
      <c r="BJ133" s="520">
        <f t="shared" si="51"/>
        <v>0</v>
      </c>
      <c r="BK133" s="520">
        <f t="shared" si="52"/>
        <v>0</v>
      </c>
      <c r="CB133" s="74"/>
      <c r="CC133" s="74"/>
      <c r="CD133" s="74"/>
      <c r="CE133" s="74"/>
      <c r="CF133" s="74"/>
    </row>
    <row r="134" spans="1:84">
      <c r="A134" s="283" t="s">
        <v>290</v>
      </c>
      <c r="B134" s="283" t="s">
        <v>289</v>
      </c>
      <c r="C134" s="283" t="str">
        <f t="shared" si="54"/>
        <v>20402 KLICKITAT SCHOOL DISTRICT</v>
      </c>
      <c r="D134" s="490">
        <v>0</v>
      </c>
      <c r="E134" s="490">
        <v>0</v>
      </c>
      <c r="F134" s="490">
        <v>0</v>
      </c>
      <c r="G134" s="490">
        <v>0</v>
      </c>
      <c r="H134" s="490">
        <v>0</v>
      </c>
      <c r="I134" s="490">
        <v>0</v>
      </c>
      <c r="J134" s="490">
        <v>31710.12</v>
      </c>
      <c r="K134" s="490">
        <v>0</v>
      </c>
      <c r="L134" s="490">
        <v>0</v>
      </c>
      <c r="M134" s="490">
        <v>0</v>
      </c>
      <c r="N134" s="300">
        <v>3.3599999999999998E-2</v>
      </c>
      <c r="O134" s="492">
        <v>0.30470000000000003</v>
      </c>
      <c r="P134" s="490">
        <v>0</v>
      </c>
      <c r="Q134" s="493">
        <v>0</v>
      </c>
      <c r="R134" s="493">
        <v>0</v>
      </c>
      <c r="S134" s="494">
        <v>0</v>
      </c>
      <c r="T134" s="495">
        <v>0</v>
      </c>
      <c r="U134" s="495">
        <v>0</v>
      </c>
      <c r="V134" s="490">
        <v>0</v>
      </c>
      <c r="W134" s="495">
        <v>0</v>
      </c>
      <c r="X134" s="495">
        <v>0</v>
      </c>
      <c r="Y134" s="490">
        <v>93.95</v>
      </c>
      <c r="Z134" s="490">
        <v>0</v>
      </c>
      <c r="AA134" s="490">
        <v>0</v>
      </c>
      <c r="AB134" s="490">
        <v>0</v>
      </c>
      <c r="AC134" s="490">
        <v>0</v>
      </c>
      <c r="AD134" s="490">
        <v>0</v>
      </c>
      <c r="AE134" s="490">
        <v>0</v>
      </c>
      <c r="AF134" s="339">
        <v>0</v>
      </c>
      <c r="AG134" s="339">
        <v>0</v>
      </c>
      <c r="AH134" s="496">
        <v>0</v>
      </c>
      <c r="AI134" s="490">
        <v>0</v>
      </c>
      <c r="AJ134" s="490">
        <v>0</v>
      </c>
      <c r="AK134" s="339">
        <v>0</v>
      </c>
      <c r="AL134" s="339">
        <v>0</v>
      </c>
      <c r="AM134" s="496">
        <v>0</v>
      </c>
      <c r="AN134" s="495">
        <v>0</v>
      </c>
      <c r="AO134" s="495">
        <v>0</v>
      </c>
      <c r="AP134" s="74"/>
      <c r="AQ134" s="303">
        <v>31038.800000000003</v>
      </c>
      <c r="AR134" s="303">
        <v>20310.73</v>
      </c>
      <c r="AS134" s="552">
        <v>12962.78</v>
      </c>
      <c r="AY134" s="67">
        <f t="shared" si="50"/>
        <v>0</v>
      </c>
      <c r="BA134" t="s">
        <v>859</v>
      </c>
      <c r="BB134" t="s">
        <v>289</v>
      </c>
      <c r="BC134" t="s">
        <v>977</v>
      </c>
      <c r="BD134" s="491">
        <v>3.3599999999999998E-2</v>
      </c>
      <c r="BE134" s="492">
        <v>0.30470000000000003</v>
      </c>
      <c r="BG134" s="510">
        <f t="shared" si="48"/>
        <v>0</v>
      </c>
      <c r="BH134" s="510">
        <f t="shared" si="49"/>
        <v>0</v>
      </c>
      <c r="BJ134" s="520">
        <f t="shared" si="51"/>
        <v>0</v>
      </c>
      <c r="BK134" s="520">
        <f t="shared" si="52"/>
        <v>0</v>
      </c>
      <c r="CB134" s="74"/>
      <c r="CC134" s="74"/>
      <c r="CD134" s="74"/>
      <c r="CE134" s="74"/>
      <c r="CF134" s="74"/>
    </row>
    <row r="135" spans="1:84">
      <c r="A135" s="283" t="s">
        <v>292</v>
      </c>
      <c r="B135" s="283" t="s">
        <v>291</v>
      </c>
      <c r="C135" s="283" t="str">
        <f t="shared" si="54"/>
        <v>29311 LA CONNER SCHOOL DISTRICT</v>
      </c>
      <c r="D135" s="490">
        <v>0</v>
      </c>
      <c r="E135" s="490">
        <v>20319.099999999999</v>
      </c>
      <c r="F135" s="490">
        <v>18593.39</v>
      </c>
      <c r="G135" s="490">
        <v>1241693.76</v>
      </c>
      <c r="H135" s="490">
        <v>141288.53</v>
      </c>
      <c r="I135" s="490">
        <v>181692.41</v>
      </c>
      <c r="J135" s="490">
        <v>221433.97</v>
      </c>
      <c r="K135" s="490">
        <v>16145.16</v>
      </c>
      <c r="L135" s="490">
        <v>16898.91</v>
      </c>
      <c r="M135" s="490">
        <v>468784.8</v>
      </c>
      <c r="N135" s="300">
        <v>4.5400000000000003E-2</v>
      </c>
      <c r="O135" s="492">
        <v>0.2016</v>
      </c>
      <c r="P135" s="490">
        <v>0</v>
      </c>
      <c r="Q135" s="493">
        <v>0</v>
      </c>
      <c r="R135" s="493">
        <v>0</v>
      </c>
      <c r="S135" s="494">
        <v>0</v>
      </c>
      <c r="T135" s="495">
        <v>0</v>
      </c>
      <c r="U135" s="495">
        <v>0</v>
      </c>
      <c r="V135" s="490">
        <v>0</v>
      </c>
      <c r="W135" s="495">
        <v>0</v>
      </c>
      <c r="X135" s="495">
        <v>0</v>
      </c>
      <c r="Y135" s="490">
        <v>0</v>
      </c>
      <c r="Z135" s="490">
        <v>0</v>
      </c>
      <c r="AA135" s="490">
        <v>0</v>
      </c>
      <c r="AB135" s="490">
        <v>12812.59</v>
      </c>
      <c r="AC135" s="490">
        <v>229430.78</v>
      </c>
      <c r="AD135" s="490">
        <v>22.55</v>
      </c>
      <c r="AE135" s="490">
        <v>218161.66</v>
      </c>
      <c r="AF135" s="339">
        <v>9674.5747228381369</v>
      </c>
      <c r="AG135" s="339">
        <v>10174.313968957871</v>
      </c>
      <c r="AH135" s="496">
        <v>499.74</v>
      </c>
      <c r="AI135" s="490">
        <v>1.28</v>
      </c>
      <c r="AJ135" s="490">
        <v>12031.76</v>
      </c>
      <c r="AK135" s="339">
        <v>9399.8125</v>
      </c>
      <c r="AL135" s="339">
        <v>10009.8359375</v>
      </c>
      <c r="AM135" s="496">
        <v>610.02</v>
      </c>
      <c r="AN135" s="495">
        <v>0</v>
      </c>
      <c r="AO135" s="495">
        <v>0</v>
      </c>
      <c r="AP135" s="74"/>
      <c r="AQ135" s="303">
        <v>0</v>
      </c>
      <c r="AR135" s="303">
        <v>66043.25</v>
      </c>
      <c r="AS135" s="552">
        <v>25598.190000000002</v>
      </c>
      <c r="AY135" s="67">
        <f t="shared" si="50"/>
        <v>0</v>
      </c>
      <c r="BA135" t="s">
        <v>850</v>
      </c>
      <c r="BB135" t="s">
        <v>291</v>
      </c>
      <c r="BC135" t="s">
        <v>978</v>
      </c>
      <c r="BD135" s="491">
        <v>4.5400000000000003E-2</v>
      </c>
      <c r="BE135" s="492">
        <v>0.2016</v>
      </c>
      <c r="BG135" s="510">
        <f t="shared" ref="BG135:BG198" si="55">+N135-BD135</f>
        <v>0</v>
      </c>
      <c r="BH135" s="510">
        <f t="shared" ref="BH135:BH198" si="56">+O135-BE135</f>
        <v>0</v>
      </c>
      <c r="BJ135" s="520">
        <f t="shared" si="51"/>
        <v>0</v>
      </c>
      <c r="BK135" s="520">
        <f t="shared" si="52"/>
        <v>0</v>
      </c>
      <c r="CB135" s="74"/>
      <c r="CC135" s="74"/>
      <c r="CD135" s="74"/>
      <c r="CE135" s="74"/>
      <c r="CF135" s="74"/>
    </row>
    <row r="136" spans="1:84">
      <c r="A136" s="283" t="s">
        <v>294</v>
      </c>
      <c r="B136" s="283" t="s">
        <v>293</v>
      </c>
      <c r="C136" s="283" t="str">
        <f t="shared" si="54"/>
        <v>06101 LACENTER SCHOOL DISTRICT</v>
      </c>
      <c r="D136" s="490">
        <v>0</v>
      </c>
      <c r="E136" s="490">
        <v>0</v>
      </c>
      <c r="F136" s="490">
        <v>0</v>
      </c>
      <c r="G136" s="490">
        <v>3452204.86</v>
      </c>
      <c r="H136" s="490">
        <v>556640.96</v>
      </c>
      <c r="I136" s="490">
        <v>0</v>
      </c>
      <c r="J136" s="490">
        <v>340785.66</v>
      </c>
      <c r="K136" s="490">
        <v>91415.93</v>
      </c>
      <c r="L136" s="490">
        <v>57926.79</v>
      </c>
      <c r="M136" s="490">
        <v>0</v>
      </c>
      <c r="N136" s="300">
        <v>2.5899999999999999E-2</v>
      </c>
      <c r="O136" s="492">
        <v>0.17330000000000001</v>
      </c>
      <c r="P136" s="490">
        <v>0</v>
      </c>
      <c r="Q136" s="493">
        <v>0</v>
      </c>
      <c r="R136" s="493">
        <v>0</v>
      </c>
      <c r="S136" s="494">
        <v>0</v>
      </c>
      <c r="T136" s="495">
        <v>0</v>
      </c>
      <c r="U136" s="495">
        <v>0</v>
      </c>
      <c r="V136" s="490">
        <v>0</v>
      </c>
      <c r="W136" s="495">
        <v>0</v>
      </c>
      <c r="X136" s="495">
        <v>0</v>
      </c>
      <c r="Y136" s="490">
        <v>2047.83</v>
      </c>
      <c r="Z136" s="490">
        <v>0</v>
      </c>
      <c r="AA136" s="490">
        <v>0</v>
      </c>
      <c r="AB136" s="490">
        <v>0</v>
      </c>
      <c r="AC136" s="490">
        <v>485447.7</v>
      </c>
      <c r="AD136" s="490">
        <v>47.81</v>
      </c>
      <c r="AE136" s="490">
        <v>448872.99</v>
      </c>
      <c r="AF136" s="339">
        <v>9388.684166492365</v>
      </c>
      <c r="AG136" s="339">
        <v>10153.685421459946</v>
      </c>
      <c r="AH136" s="496">
        <v>765</v>
      </c>
      <c r="AI136" s="490">
        <v>0</v>
      </c>
      <c r="AJ136" s="490">
        <v>0</v>
      </c>
      <c r="AK136" s="339">
        <v>0</v>
      </c>
      <c r="AL136" s="339">
        <v>0</v>
      </c>
      <c r="AM136" s="496">
        <v>0</v>
      </c>
      <c r="AN136" s="495">
        <v>0</v>
      </c>
      <c r="AO136" s="495">
        <v>0</v>
      </c>
      <c r="AP136" s="74"/>
      <c r="AQ136" s="303">
        <v>0</v>
      </c>
      <c r="AR136" s="303">
        <v>192932.13</v>
      </c>
      <c r="AS136" s="552">
        <v>61238.75</v>
      </c>
      <c r="AY136" s="67">
        <f t="shared" ref="AY136:AY199" si="57">+BB136-B136</f>
        <v>0</v>
      </c>
      <c r="BA136" t="s">
        <v>859</v>
      </c>
      <c r="BB136" t="s">
        <v>293</v>
      </c>
      <c r="BC136" t="s">
        <v>979</v>
      </c>
      <c r="BD136" s="491">
        <v>2.5899999999999999E-2</v>
      </c>
      <c r="BE136" s="492">
        <v>0.17330000000000001</v>
      </c>
      <c r="BG136" s="510">
        <f t="shared" si="55"/>
        <v>0</v>
      </c>
      <c r="BH136" s="510">
        <f t="shared" si="56"/>
        <v>0</v>
      </c>
      <c r="BJ136" s="520">
        <f t="shared" ref="BJ136:BJ199" si="58">+BG136-0</f>
        <v>0</v>
      </c>
      <c r="BK136" s="520">
        <f t="shared" ref="BK136:BK199" si="59">+BH136-0</f>
        <v>0</v>
      </c>
      <c r="CB136" s="74"/>
      <c r="CC136" s="74"/>
      <c r="CD136" s="74"/>
      <c r="CE136" s="74"/>
      <c r="CF136" s="74"/>
    </row>
    <row r="137" spans="1:84">
      <c r="A137" s="283" t="s">
        <v>296</v>
      </c>
      <c r="B137" s="283" t="s">
        <v>295</v>
      </c>
      <c r="C137" s="283" t="str">
        <f t="shared" si="54"/>
        <v>38126 LACROSSE JOINT SCHOOL DISTRICT</v>
      </c>
      <c r="D137" s="490">
        <v>0</v>
      </c>
      <c r="E137" s="490">
        <v>0</v>
      </c>
      <c r="F137" s="490">
        <v>0</v>
      </c>
      <c r="G137" s="490">
        <v>127960.35</v>
      </c>
      <c r="H137" s="490">
        <v>14722.16</v>
      </c>
      <c r="I137" s="490">
        <v>13211.58</v>
      </c>
      <c r="J137" s="490">
        <v>30650.880000000001</v>
      </c>
      <c r="K137" s="490">
        <v>0</v>
      </c>
      <c r="L137" s="490">
        <v>2219.5300000000002</v>
      </c>
      <c r="M137" s="490">
        <v>298475.12</v>
      </c>
      <c r="N137" s="300">
        <v>6.8000000000000005E-2</v>
      </c>
      <c r="O137" s="492">
        <v>0.25090000000000001</v>
      </c>
      <c r="P137" s="490">
        <v>0</v>
      </c>
      <c r="Q137" s="493">
        <v>0</v>
      </c>
      <c r="R137" s="493">
        <v>0</v>
      </c>
      <c r="S137" s="494">
        <v>0</v>
      </c>
      <c r="T137" s="495">
        <v>0</v>
      </c>
      <c r="U137" s="495">
        <v>0</v>
      </c>
      <c r="V137" s="490">
        <v>0</v>
      </c>
      <c r="W137" s="495">
        <v>0</v>
      </c>
      <c r="X137" s="495">
        <v>0</v>
      </c>
      <c r="Y137" s="490">
        <v>0</v>
      </c>
      <c r="Z137" s="490">
        <v>0</v>
      </c>
      <c r="AA137" s="490">
        <v>0</v>
      </c>
      <c r="AB137" s="490">
        <v>5883.22</v>
      </c>
      <c r="AC137" s="490">
        <v>49251.5</v>
      </c>
      <c r="AD137" s="490">
        <v>5.33</v>
      </c>
      <c r="AE137" s="490">
        <v>47793.31</v>
      </c>
      <c r="AF137" s="339">
        <v>8966.8499061913699</v>
      </c>
      <c r="AG137" s="339">
        <v>9240.4315196998123</v>
      </c>
      <c r="AH137" s="496">
        <v>273.58</v>
      </c>
      <c r="AI137" s="490">
        <v>0.64</v>
      </c>
      <c r="AJ137" s="490">
        <v>5625.56</v>
      </c>
      <c r="AK137" s="339">
        <v>8789.9375</v>
      </c>
      <c r="AL137" s="339">
        <v>9192.53125</v>
      </c>
      <c r="AM137" s="496">
        <v>402.59</v>
      </c>
      <c r="AN137" s="495">
        <v>0</v>
      </c>
      <c r="AO137" s="495">
        <v>0</v>
      </c>
      <c r="AP137" s="74"/>
      <c r="AQ137" s="303">
        <v>27952.449999999997</v>
      </c>
      <c r="AR137" s="303">
        <v>20931.87</v>
      </c>
      <c r="AS137" s="303"/>
      <c r="AY137" s="67">
        <f t="shared" si="57"/>
        <v>0</v>
      </c>
      <c r="BA137" t="s">
        <v>848</v>
      </c>
      <c r="BB137" t="s">
        <v>295</v>
      </c>
      <c r="BC137" t="s">
        <v>980</v>
      </c>
      <c r="BD137" s="491">
        <v>6.8000000000000005E-2</v>
      </c>
      <c r="BE137" s="492">
        <v>0.25090000000000001</v>
      </c>
      <c r="BG137" s="510">
        <f t="shared" si="55"/>
        <v>0</v>
      </c>
      <c r="BH137" s="510">
        <f t="shared" si="56"/>
        <v>0</v>
      </c>
      <c r="BJ137" s="520">
        <f t="shared" si="58"/>
        <v>0</v>
      </c>
      <c r="BK137" s="520">
        <f t="shared" si="59"/>
        <v>0</v>
      </c>
      <c r="CB137" s="74"/>
      <c r="CC137" s="74"/>
      <c r="CD137" s="74"/>
      <c r="CE137" s="74"/>
      <c r="CF137" s="74"/>
    </row>
    <row r="138" spans="1:84">
      <c r="A138" s="283" t="s">
        <v>298</v>
      </c>
      <c r="B138" s="283" t="s">
        <v>297</v>
      </c>
      <c r="C138" s="283" t="str">
        <f t="shared" si="54"/>
        <v>04129 LAKE CHELAN SCHOOL DISTRICT</v>
      </c>
      <c r="D138" s="490">
        <v>0</v>
      </c>
      <c r="E138" s="490">
        <v>15581.54</v>
      </c>
      <c r="F138" s="490">
        <v>27611.69</v>
      </c>
      <c r="G138" s="490">
        <v>1564799.16</v>
      </c>
      <c r="H138" s="490">
        <v>180738.57</v>
      </c>
      <c r="I138" s="490">
        <v>384821.13</v>
      </c>
      <c r="J138" s="490">
        <v>509804.87</v>
      </c>
      <c r="K138" s="490">
        <v>588565.92000000004</v>
      </c>
      <c r="L138" s="490">
        <v>38024.980000000003</v>
      </c>
      <c r="M138" s="490">
        <v>1016274.42</v>
      </c>
      <c r="N138" s="300">
        <v>4.36E-2</v>
      </c>
      <c r="O138" s="492">
        <v>0.1855</v>
      </c>
      <c r="P138" s="490">
        <v>0</v>
      </c>
      <c r="Q138" s="493">
        <v>0</v>
      </c>
      <c r="R138" s="493">
        <v>0</v>
      </c>
      <c r="S138" s="494">
        <v>0</v>
      </c>
      <c r="T138" s="495">
        <v>0</v>
      </c>
      <c r="U138" s="495">
        <v>0</v>
      </c>
      <c r="V138" s="490">
        <v>0</v>
      </c>
      <c r="W138" s="495">
        <v>0</v>
      </c>
      <c r="X138" s="495">
        <v>0</v>
      </c>
      <c r="Y138" s="490">
        <v>1453.95</v>
      </c>
      <c r="Z138" s="490">
        <v>3762.8</v>
      </c>
      <c r="AA138" s="490">
        <v>14276.12</v>
      </c>
      <c r="AB138" s="490">
        <v>108872.09</v>
      </c>
      <c r="AC138" s="490">
        <v>1202865.73</v>
      </c>
      <c r="AD138" s="490">
        <v>128.99</v>
      </c>
      <c r="AE138" s="490">
        <v>1141172.9099999999</v>
      </c>
      <c r="AF138" s="339">
        <v>8846.9874408868891</v>
      </c>
      <c r="AG138" s="339">
        <v>9325.2634312737409</v>
      </c>
      <c r="AH138" s="496">
        <v>478.28</v>
      </c>
      <c r="AI138" s="490">
        <v>11.89</v>
      </c>
      <c r="AJ138" s="490">
        <v>102581.62</v>
      </c>
      <c r="AK138" s="339">
        <v>8627.5542472666093</v>
      </c>
      <c r="AL138" s="339">
        <v>9156.6097560975595</v>
      </c>
      <c r="AM138" s="496">
        <v>529.05999999999995</v>
      </c>
      <c r="AN138" s="495">
        <v>4794.58</v>
      </c>
      <c r="AO138" s="495">
        <v>0</v>
      </c>
      <c r="AP138" s="74"/>
      <c r="AQ138" s="303">
        <v>0</v>
      </c>
      <c r="AR138" s="303">
        <v>139279.35</v>
      </c>
      <c r="AS138" s="552">
        <v>48661.440000000002</v>
      </c>
      <c r="AY138" s="67">
        <f t="shared" si="57"/>
        <v>0</v>
      </c>
      <c r="BA138" t="s">
        <v>871</v>
      </c>
      <c r="BB138" t="s">
        <v>297</v>
      </c>
      <c r="BC138" t="s">
        <v>981</v>
      </c>
      <c r="BD138" s="491">
        <v>4.36E-2</v>
      </c>
      <c r="BE138" s="492">
        <v>0.1855</v>
      </c>
      <c r="BG138" s="510">
        <f t="shared" si="55"/>
        <v>0</v>
      </c>
      <c r="BH138" s="510">
        <f t="shared" si="56"/>
        <v>0</v>
      </c>
      <c r="BJ138" s="520">
        <f t="shared" si="58"/>
        <v>0</v>
      </c>
      <c r="BK138" s="520">
        <f t="shared" si="59"/>
        <v>0</v>
      </c>
      <c r="CB138" s="74"/>
      <c r="CC138" s="74"/>
      <c r="CD138" s="74"/>
      <c r="CE138" s="74"/>
      <c r="CF138" s="74"/>
    </row>
    <row r="139" spans="1:84">
      <c r="A139" s="283" t="s">
        <v>300</v>
      </c>
      <c r="B139" s="283" t="s">
        <v>299</v>
      </c>
      <c r="C139" s="283" t="str">
        <f t="shared" si="54"/>
        <v>31004 LAKE STEVENS SCHOOL DISTRICT</v>
      </c>
      <c r="D139" s="490">
        <v>0</v>
      </c>
      <c r="E139" s="490">
        <v>145022.13</v>
      </c>
      <c r="F139" s="490">
        <v>0</v>
      </c>
      <c r="G139" s="490">
        <v>21261888.260000002</v>
      </c>
      <c r="H139" s="490">
        <v>3885750.02</v>
      </c>
      <c r="I139" s="490">
        <v>0</v>
      </c>
      <c r="J139" s="490">
        <v>2060206.16</v>
      </c>
      <c r="K139" s="490">
        <v>1351993.17</v>
      </c>
      <c r="L139" s="490">
        <v>326143.23</v>
      </c>
      <c r="M139" s="490">
        <v>6585553.25</v>
      </c>
      <c r="N139" s="300">
        <v>0.04</v>
      </c>
      <c r="O139" s="492">
        <v>0.13489999999999999</v>
      </c>
      <c r="P139" s="490">
        <v>0</v>
      </c>
      <c r="Q139" s="493">
        <v>0</v>
      </c>
      <c r="R139" s="493">
        <v>0</v>
      </c>
      <c r="S139" s="494">
        <v>0</v>
      </c>
      <c r="T139" s="495">
        <v>0</v>
      </c>
      <c r="U139" s="495">
        <v>0</v>
      </c>
      <c r="V139" s="490">
        <v>0</v>
      </c>
      <c r="W139" s="495">
        <v>0</v>
      </c>
      <c r="X139" s="495">
        <v>0</v>
      </c>
      <c r="Y139" s="490">
        <v>10740.21</v>
      </c>
      <c r="Z139" s="490">
        <v>0</v>
      </c>
      <c r="AA139" s="490">
        <v>309027.34999999998</v>
      </c>
      <c r="AB139" s="490">
        <v>1165070.8</v>
      </c>
      <c r="AC139" s="490">
        <v>4663960.66</v>
      </c>
      <c r="AD139" s="490">
        <v>438.13</v>
      </c>
      <c r="AE139" s="490">
        <v>4355964.8600000003</v>
      </c>
      <c r="AF139" s="339">
        <v>9942.1743774678762</v>
      </c>
      <c r="AG139" s="339">
        <v>10645.152488987287</v>
      </c>
      <c r="AH139" s="496">
        <v>702.98</v>
      </c>
      <c r="AI139" s="490">
        <v>112.85</v>
      </c>
      <c r="AJ139" s="490">
        <v>1097023.69</v>
      </c>
      <c r="AK139" s="339">
        <v>9721.0783340717771</v>
      </c>
      <c r="AL139" s="339">
        <v>10324.065573770493</v>
      </c>
      <c r="AM139" s="496">
        <v>602.99</v>
      </c>
      <c r="AN139" s="495">
        <v>0</v>
      </c>
      <c r="AO139" s="495">
        <v>0</v>
      </c>
      <c r="AP139" s="74"/>
      <c r="AQ139" s="303">
        <v>0</v>
      </c>
      <c r="AR139" s="303">
        <v>1140421.96</v>
      </c>
      <c r="AS139" s="552">
        <v>291609.81</v>
      </c>
      <c r="AY139" s="67">
        <f t="shared" si="57"/>
        <v>0</v>
      </c>
      <c r="BA139" t="s">
        <v>850</v>
      </c>
      <c r="BB139" t="s">
        <v>299</v>
      </c>
      <c r="BC139" t="s">
        <v>982</v>
      </c>
      <c r="BD139" s="491">
        <v>0.04</v>
      </c>
      <c r="BE139" s="492">
        <v>0.13489999999999999</v>
      </c>
      <c r="BG139" s="510">
        <f t="shared" si="55"/>
        <v>0</v>
      </c>
      <c r="BH139" s="510">
        <f t="shared" si="56"/>
        <v>0</v>
      </c>
      <c r="BJ139" s="520">
        <f t="shared" si="58"/>
        <v>0</v>
      </c>
      <c r="BK139" s="520">
        <f t="shared" si="59"/>
        <v>0</v>
      </c>
      <c r="CB139" s="74"/>
      <c r="CC139" s="74"/>
      <c r="CD139" s="74"/>
      <c r="CE139" s="74"/>
      <c r="CF139" s="74"/>
    </row>
    <row r="140" spans="1:84">
      <c r="A140" s="283" t="s">
        <v>302</v>
      </c>
      <c r="B140" s="283" t="s">
        <v>301</v>
      </c>
      <c r="C140" s="283" t="str">
        <f t="shared" si="54"/>
        <v>17414 LAKE WASHINGTON SCHOOL DISTRICT</v>
      </c>
      <c r="D140" s="490">
        <v>0</v>
      </c>
      <c r="E140" s="490">
        <v>215628.29</v>
      </c>
      <c r="F140" s="490">
        <v>0</v>
      </c>
      <c r="G140" s="490">
        <v>47636057.840000004</v>
      </c>
      <c r="H140" s="490">
        <v>5718921.8899999997</v>
      </c>
      <c r="I140" s="490">
        <v>0</v>
      </c>
      <c r="J140" s="490">
        <v>2833985.17</v>
      </c>
      <c r="K140" s="490">
        <v>7676407.25</v>
      </c>
      <c r="L140" s="490">
        <v>1060866.78</v>
      </c>
      <c r="M140" s="490">
        <v>17267469.18</v>
      </c>
      <c r="N140" s="300">
        <v>3.4799999999999998E-2</v>
      </c>
      <c r="O140" s="492">
        <v>0.1157</v>
      </c>
      <c r="P140" s="490">
        <v>0</v>
      </c>
      <c r="Q140" s="493">
        <v>0</v>
      </c>
      <c r="R140" s="493">
        <v>0</v>
      </c>
      <c r="S140" s="494">
        <v>0</v>
      </c>
      <c r="T140" s="495">
        <v>0</v>
      </c>
      <c r="U140" s="495">
        <v>0</v>
      </c>
      <c r="V140" s="490">
        <v>0</v>
      </c>
      <c r="W140" s="495">
        <v>0</v>
      </c>
      <c r="X140" s="495">
        <v>0</v>
      </c>
      <c r="Y140" s="490">
        <v>12084.55</v>
      </c>
      <c r="Z140" s="490">
        <v>180669.69</v>
      </c>
      <c r="AA140" s="490">
        <v>246622.78</v>
      </c>
      <c r="AB140" s="490">
        <v>3427762</v>
      </c>
      <c r="AC140" s="490">
        <v>18538452.280000001</v>
      </c>
      <c r="AD140" s="490">
        <v>1727.91</v>
      </c>
      <c r="AE140" s="490">
        <v>17179017.34</v>
      </c>
      <c r="AF140" s="339">
        <v>9942.0787772511303</v>
      </c>
      <c r="AG140" s="339">
        <v>10728.829788588526</v>
      </c>
      <c r="AH140" s="496">
        <v>786.75</v>
      </c>
      <c r="AI140" s="490">
        <v>332.02</v>
      </c>
      <c r="AJ140" s="490">
        <v>3227824.03</v>
      </c>
      <c r="AK140" s="339">
        <v>9721.7758869947593</v>
      </c>
      <c r="AL140" s="339">
        <v>10323.962411902898</v>
      </c>
      <c r="AM140" s="496">
        <v>602.19000000000005</v>
      </c>
      <c r="AN140" s="495">
        <v>0</v>
      </c>
      <c r="AO140" s="495">
        <v>0</v>
      </c>
      <c r="AP140" s="74"/>
      <c r="AQ140" s="303">
        <v>10212.909999999683</v>
      </c>
      <c r="AR140" s="303">
        <v>3464127.06</v>
      </c>
      <c r="AS140" s="552">
        <v>221811.18</v>
      </c>
      <c r="AY140" s="67">
        <f t="shared" si="57"/>
        <v>0</v>
      </c>
      <c r="BA140" t="s">
        <v>856</v>
      </c>
      <c r="BB140" t="s">
        <v>301</v>
      </c>
      <c r="BC140" t="s">
        <v>983</v>
      </c>
      <c r="BD140" s="491">
        <v>3.4799999999999998E-2</v>
      </c>
      <c r="BE140" s="492">
        <v>0.1157</v>
      </c>
      <c r="BG140" s="510">
        <f t="shared" si="55"/>
        <v>0</v>
      </c>
      <c r="BH140" s="510">
        <f t="shared" si="56"/>
        <v>0</v>
      </c>
      <c r="BJ140" s="520">
        <f t="shared" si="58"/>
        <v>0</v>
      </c>
      <c r="BK140" s="520">
        <f t="shared" si="59"/>
        <v>0</v>
      </c>
      <c r="CB140" s="74"/>
      <c r="CC140" s="74"/>
      <c r="CD140" s="74"/>
      <c r="CE140" s="74"/>
      <c r="CF140" s="74"/>
    </row>
    <row r="141" spans="1:84">
      <c r="A141" s="283" t="s">
        <v>304</v>
      </c>
      <c r="B141" s="283" t="s">
        <v>303</v>
      </c>
      <c r="C141" s="283" t="str">
        <f t="shared" si="54"/>
        <v>31306 LAKEWOOD SCHOOL DISTRICT</v>
      </c>
      <c r="D141" s="490">
        <v>0</v>
      </c>
      <c r="E141" s="490">
        <v>16325.5</v>
      </c>
      <c r="F141" s="490">
        <v>0</v>
      </c>
      <c r="G141" s="490">
        <v>5570537.9699999997</v>
      </c>
      <c r="H141" s="490">
        <v>1113707.48</v>
      </c>
      <c r="I141" s="490">
        <v>0</v>
      </c>
      <c r="J141" s="490">
        <v>828034.89</v>
      </c>
      <c r="K141" s="490">
        <v>498141.87</v>
      </c>
      <c r="L141" s="490">
        <v>85915.01</v>
      </c>
      <c r="M141" s="490">
        <v>2461095.0099999998</v>
      </c>
      <c r="N141" s="300">
        <v>4.6600000000000003E-2</v>
      </c>
      <c r="O141" s="492">
        <v>0.1772</v>
      </c>
      <c r="P141" s="490">
        <v>0</v>
      </c>
      <c r="Q141" s="493">
        <v>0</v>
      </c>
      <c r="R141" s="493">
        <v>0</v>
      </c>
      <c r="S141" s="494">
        <v>0</v>
      </c>
      <c r="T141" s="495">
        <v>0</v>
      </c>
      <c r="U141" s="495">
        <v>0</v>
      </c>
      <c r="V141" s="490">
        <v>0</v>
      </c>
      <c r="W141" s="495">
        <v>0</v>
      </c>
      <c r="X141" s="495">
        <v>0</v>
      </c>
      <c r="Y141" s="490">
        <v>3009.67</v>
      </c>
      <c r="Z141" s="490">
        <v>0</v>
      </c>
      <c r="AA141" s="490">
        <v>416.96</v>
      </c>
      <c r="AB141" s="490">
        <v>211072.69</v>
      </c>
      <c r="AC141" s="490">
        <v>1255610.98</v>
      </c>
      <c r="AD141" s="490">
        <v>120.86</v>
      </c>
      <c r="AE141" s="490">
        <v>1168546.3600000001</v>
      </c>
      <c r="AF141" s="339">
        <v>9668.5947377130578</v>
      </c>
      <c r="AG141" s="339">
        <v>10388.970544431573</v>
      </c>
      <c r="AH141" s="496">
        <v>720.38</v>
      </c>
      <c r="AI141" s="490">
        <v>21.03</v>
      </c>
      <c r="AJ141" s="490">
        <v>198773.62</v>
      </c>
      <c r="AK141" s="339">
        <v>9451.9077508321443</v>
      </c>
      <c r="AL141" s="339">
        <v>10036.742272943413</v>
      </c>
      <c r="AM141" s="496">
        <v>584.83000000000004</v>
      </c>
      <c r="AN141" s="495">
        <v>0</v>
      </c>
      <c r="AO141" s="495">
        <v>0</v>
      </c>
      <c r="AP141" s="74"/>
      <c r="AQ141" s="303">
        <v>177489.43</v>
      </c>
      <c r="AR141" s="303">
        <v>301825.95999999996</v>
      </c>
      <c r="AS141" s="552">
        <v>87148.6</v>
      </c>
      <c r="AY141" s="67">
        <f t="shared" si="57"/>
        <v>0</v>
      </c>
      <c r="BA141" t="s">
        <v>850</v>
      </c>
      <c r="BB141" t="s">
        <v>303</v>
      </c>
      <c r="BC141" t="s">
        <v>984</v>
      </c>
      <c r="BD141" s="491">
        <v>4.6600000000000003E-2</v>
      </c>
      <c r="BE141" s="492">
        <v>0.1772</v>
      </c>
      <c r="BG141" s="510">
        <f t="shared" si="55"/>
        <v>0</v>
      </c>
      <c r="BH141" s="510">
        <f t="shared" si="56"/>
        <v>0</v>
      </c>
      <c r="BJ141" s="520">
        <f t="shared" si="58"/>
        <v>0</v>
      </c>
      <c r="BK141" s="520">
        <f t="shared" si="59"/>
        <v>0</v>
      </c>
      <c r="CB141" s="74"/>
      <c r="CC141" s="74"/>
      <c r="CD141" s="74"/>
      <c r="CE141" s="74"/>
      <c r="CF141" s="74"/>
    </row>
    <row r="142" spans="1:84">
      <c r="A142" s="283" t="s">
        <v>306</v>
      </c>
      <c r="B142" s="283" t="s">
        <v>305</v>
      </c>
      <c r="C142" s="283" t="str">
        <f t="shared" si="54"/>
        <v>38264 LAMONT SCHOOL DISTRICT</v>
      </c>
      <c r="D142" s="490">
        <v>0</v>
      </c>
      <c r="E142" s="490">
        <v>0</v>
      </c>
      <c r="F142" s="490">
        <v>266.02999999999997</v>
      </c>
      <c r="G142" s="490">
        <v>34501.629999999997</v>
      </c>
      <c r="H142" s="490">
        <v>8526.65</v>
      </c>
      <c r="I142" s="490">
        <v>8415.3700000000008</v>
      </c>
      <c r="J142" s="490">
        <v>11843.85</v>
      </c>
      <c r="K142" s="490">
        <v>0</v>
      </c>
      <c r="L142" s="490">
        <v>727.26</v>
      </c>
      <c r="M142" s="490">
        <v>70241.02</v>
      </c>
      <c r="N142" s="300">
        <v>2.2200000000000001E-2</v>
      </c>
      <c r="O142" s="492">
        <v>0.2974</v>
      </c>
      <c r="P142" s="490">
        <v>0</v>
      </c>
      <c r="Q142" s="493">
        <v>0</v>
      </c>
      <c r="R142" s="493">
        <v>0</v>
      </c>
      <c r="S142" s="494">
        <v>0</v>
      </c>
      <c r="T142" s="495">
        <v>0</v>
      </c>
      <c r="U142" s="495">
        <v>0</v>
      </c>
      <c r="V142" s="490">
        <v>0</v>
      </c>
      <c r="W142" s="495">
        <v>0</v>
      </c>
      <c r="X142" s="495">
        <v>0</v>
      </c>
      <c r="Y142" s="490">
        <v>30.2</v>
      </c>
      <c r="Z142" s="490">
        <v>0</v>
      </c>
      <c r="AA142" s="490">
        <v>0</v>
      </c>
      <c r="AB142" s="490">
        <v>0</v>
      </c>
      <c r="AC142" s="490">
        <v>0</v>
      </c>
      <c r="AD142" s="490">
        <v>0</v>
      </c>
      <c r="AE142" s="490">
        <v>0</v>
      </c>
      <c r="AF142" s="339">
        <v>0</v>
      </c>
      <c r="AG142" s="339">
        <v>0</v>
      </c>
      <c r="AH142" s="496">
        <v>0</v>
      </c>
      <c r="AI142" s="490">
        <v>0</v>
      </c>
      <c r="AJ142" s="490">
        <v>0</v>
      </c>
      <c r="AK142" s="339">
        <v>0</v>
      </c>
      <c r="AL142" s="339">
        <v>0</v>
      </c>
      <c r="AM142" s="496">
        <v>0</v>
      </c>
      <c r="AN142" s="495">
        <v>0</v>
      </c>
      <c r="AO142" s="495">
        <v>0</v>
      </c>
      <c r="AP142" s="74"/>
      <c r="AQ142" s="303">
        <v>194.5</v>
      </c>
      <c r="AR142" s="303">
        <v>5908.39</v>
      </c>
      <c r="AS142" s="552">
        <v>10871.41</v>
      </c>
      <c r="AY142" s="67">
        <f t="shared" si="57"/>
        <v>0</v>
      </c>
      <c r="BA142" t="s">
        <v>848</v>
      </c>
      <c r="BB142" t="s">
        <v>305</v>
      </c>
      <c r="BC142" t="s">
        <v>985</v>
      </c>
      <c r="BD142" s="491">
        <v>2.2200000000000001E-2</v>
      </c>
      <c r="BE142" s="492">
        <v>0.2974</v>
      </c>
      <c r="BG142" s="510">
        <f t="shared" si="55"/>
        <v>0</v>
      </c>
      <c r="BH142" s="510">
        <f t="shared" si="56"/>
        <v>0</v>
      </c>
      <c r="BJ142" s="520">
        <f t="shared" si="58"/>
        <v>0</v>
      </c>
      <c r="BK142" s="520">
        <f t="shared" si="59"/>
        <v>0</v>
      </c>
      <c r="CB142" s="74"/>
      <c r="CC142" s="74"/>
      <c r="CD142" s="74"/>
      <c r="CE142" s="74"/>
      <c r="CF142" s="74"/>
    </row>
    <row r="143" spans="1:84">
      <c r="A143" s="283" t="s">
        <v>308</v>
      </c>
      <c r="B143" s="283" t="s">
        <v>307</v>
      </c>
      <c r="C143" s="283" t="str">
        <f t="shared" si="54"/>
        <v>32362 LIBERTY SCHOOL DISTRICT</v>
      </c>
      <c r="D143" s="490">
        <v>0</v>
      </c>
      <c r="E143" s="490">
        <v>6003.42</v>
      </c>
      <c r="F143" s="490">
        <v>0</v>
      </c>
      <c r="G143" s="490">
        <v>682710.06</v>
      </c>
      <c r="H143" s="490">
        <v>125995.9</v>
      </c>
      <c r="I143" s="490">
        <v>0</v>
      </c>
      <c r="J143" s="490">
        <v>155736.20000000001</v>
      </c>
      <c r="K143" s="490">
        <v>0</v>
      </c>
      <c r="L143" s="490">
        <v>17765.77</v>
      </c>
      <c r="M143" s="490">
        <v>791184.8</v>
      </c>
      <c r="N143" s="300">
        <v>2.0500000000000001E-2</v>
      </c>
      <c r="O143" s="492">
        <v>0.20730000000000001</v>
      </c>
      <c r="P143" s="490">
        <v>0</v>
      </c>
      <c r="Q143" s="493">
        <v>0</v>
      </c>
      <c r="R143" s="493">
        <v>0</v>
      </c>
      <c r="S143" s="494">
        <v>0</v>
      </c>
      <c r="T143" s="495">
        <v>0</v>
      </c>
      <c r="U143" s="495">
        <v>0</v>
      </c>
      <c r="V143" s="490">
        <v>0</v>
      </c>
      <c r="W143" s="495">
        <v>0</v>
      </c>
      <c r="X143" s="495">
        <v>0</v>
      </c>
      <c r="Y143" s="490">
        <v>0</v>
      </c>
      <c r="Z143" s="490">
        <v>0</v>
      </c>
      <c r="AA143" s="490">
        <v>0</v>
      </c>
      <c r="AB143" s="490">
        <v>0</v>
      </c>
      <c r="AC143" s="490">
        <v>231369.11</v>
      </c>
      <c r="AD143" s="490">
        <v>24.22</v>
      </c>
      <c r="AE143" s="490">
        <v>214248.57</v>
      </c>
      <c r="AF143" s="339">
        <v>8845.9360033030553</v>
      </c>
      <c r="AG143" s="339">
        <v>9552.8121387283227</v>
      </c>
      <c r="AH143" s="496">
        <v>706.88</v>
      </c>
      <c r="AI143" s="490">
        <v>0</v>
      </c>
      <c r="AJ143" s="490">
        <v>0</v>
      </c>
      <c r="AK143" s="339">
        <v>0</v>
      </c>
      <c r="AL143" s="339">
        <v>0</v>
      </c>
      <c r="AM143" s="496">
        <v>0</v>
      </c>
      <c r="AN143" s="495">
        <v>0</v>
      </c>
      <c r="AO143" s="495">
        <v>0</v>
      </c>
      <c r="AP143" s="74"/>
      <c r="AQ143" s="303">
        <v>19712.719999999994</v>
      </c>
      <c r="AR143" s="303">
        <v>60802.829999999994</v>
      </c>
      <c r="AS143" s="552">
        <v>27311.96</v>
      </c>
      <c r="AY143" s="67">
        <f t="shared" si="57"/>
        <v>0</v>
      </c>
      <c r="BA143" t="s">
        <v>848</v>
      </c>
      <c r="BB143" t="s">
        <v>307</v>
      </c>
      <c r="BC143" t="s">
        <v>986</v>
      </c>
      <c r="BD143" s="491">
        <v>2.0500000000000001E-2</v>
      </c>
      <c r="BE143" s="492">
        <v>0.20730000000000001</v>
      </c>
      <c r="BG143" s="510">
        <f t="shared" si="55"/>
        <v>0</v>
      </c>
      <c r="BH143" s="510">
        <f t="shared" si="56"/>
        <v>0</v>
      </c>
      <c r="BJ143" s="520">
        <f t="shared" si="58"/>
        <v>0</v>
      </c>
      <c r="BK143" s="520">
        <f t="shared" si="59"/>
        <v>0</v>
      </c>
      <c r="CB143" s="74"/>
      <c r="CC143" s="74"/>
      <c r="CD143" s="74"/>
      <c r="CE143" s="74"/>
      <c r="CF143" s="74"/>
    </row>
    <row r="144" spans="1:84">
      <c r="A144" s="283" t="s">
        <v>310</v>
      </c>
      <c r="B144" s="283" t="s">
        <v>309</v>
      </c>
      <c r="C144" s="283" t="str">
        <f t="shared" si="54"/>
        <v>01158 LIND SCHOOL DISTRICT</v>
      </c>
      <c r="D144" s="490">
        <v>0</v>
      </c>
      <c r="E144" s="490">
        <v>6596.22</v>
      </c>
      <c r="F144" s="490">
        <v>0</v>
      </c>
      <c r="G144" s="490">
        <v>196086.95</v>
      </c>
      <c r="H144" s="490">
        <v>22810.61</v>
      </c>
      <c r="I144" s="490">
        <v>61712.68</v>
      </c>
      <c r="J144" s="490">
        <v>99322.08</v>
      </c>
      <c r="K144" s="490">
        <v>41952.93</v>
      </c>
      <c r="L144" s="490">
        <v>5194.67</v>
      </c>
      <c r="M144" s="490">
        <v>967167.15</v>
      </c>
      <c r="N144" s="300">
        <v>4.8599999999999997E-2</v>
      </c>
      <c r="O144" s="492">
        <v>0.18890000000000001</v>
      </c>
      <c r="P144" s="490">
        <v>0</v>
      </c>
      <c r="Q144" s="493">
        <v>0</v>
      </c>
      <c r="R144" s="493">
        <v>0</v>
      </c>
      <c r="S144" s="494">
        <v>0</v>
      </c>
      <c r="T144" s="495">
        <v>0</v>
      </c>
      <c r="U144" s="495">
        <v>0</v>
      </c>
      <c r="V144" s="490">
        <v>0</v>
      </c>
      <c r="W144" s="495">
        <v>0</v>
      </c>
      <c r="X144" s="495">
        <v>0</v>
      </c>
      <c r="Y144" s="490">
        <v>0</v>
      </c>
      <c r="Z144" s="490">
        <v>0</v>
      </c>
      <c r="AA144" s="490">
        <v>0</v>
      </c>
      <c r="AB144" s="490">
        <v>47526.26</v>
      </c>
      <c r="AC144" s="490">
        <v>110654.9</v>
      </c>
      <c r="AD144" s="490">
        <v>12.08</v>
      </c>
      <c r="AE144" s="490">
        <v>106831.54</v>
      </c>
      <c r="AF144" s="339">
        <v>8843.6705298013239</v>
      </c>
      <c r="AG144" s="339">
        <v>9160.1738410596026</v>
      </c>
      <c r="AH144" s="496">
        <v>316.5</v>
      </c>
      <c r="AI144" s="490">
        <v>5.17</v>
      </c>
      <c r="AJ144" s="490">
        <v>44659.78</v>
      </c>
      <c r="AK144" s="339">
        <v>8638.2553191489369</v>
      </c>
      <c r="AL144" s="339">
        <v>9192.7001934235977</v>
      </c>
      <c r="AM144" s="496">
        <v>554.44000000000005</v>
      </c>
      <c r="AN144" s="495">
        <v>0</v>
      </c>
      <c r="AO144" s="495">
        <v>0</v>
      </c>
      <c r="AP144" s="74"/>
      <c r="AQ144" s="303">
        <v>0</v>
      </c>
      <c r="AR144" s="303">
        <v>29636.07</v>
      </c>
      <c r="AS144" s="552">
        <v>16303.18</v>
      </c>
      <c r="AY144" s="67">
        <f t="shared" si="57"/>
        <v>0</v>
      </c>
      <c r="BA144" t="s">
        <v>848</v>
      </c>
      <c r="BB144" t="s">
        <v>309</v>
      </c>
      <c r="BC144" t="s">
        <v>987</v>
      </c>
      <c r="BD144" s="491">
        <v>4.8599999999999997E-2</v>
      </c>
      <c r="BE144" s="492">
        <v>0.18890000000000001</v>
      </c>
      <c r="BG144" s="510">
        <f t="shared" si="55"/>
        <v>0</v>
      </c>
      <c r="BH144" s="510">
        <f t="shared" si="56"/>
        <v>0</v>
      </c>
      <c r="BJ144" s="520">
        <f t="shared" si="58"/>
        <v>0</v>
      </c>
      <c r="BK144" s="520">
        <f t="shared" si="59"/>
        <v>0</v>
      </c>
      <c r="CB144" s="74"/>
      <c r="CC144" s="74"/>
      <c r="CD144" s="74"/>
      <c r="CE144" s="74"/>
      <c r="CF144" s="74"/>
    </row>
    <row r="145" spans="1:84">
      <c r="A145" s="283" t="s">
        <v>312</v>
      </c>
      <c r="B145" s="283" t="s">
        <v>311</v>
      </c>
      <c r="C145" s="283" t="str">
        <f t="shared" si="54"/>
        <v>08122 LONGVIEW SCHOOL DISTRICT</v>
      </c>
      <c r="D145" s="490">
        <v>0</v>
      </c>
      <c r="E145" s="490">
        <v>126367.1</v>
      </c>
      <c r="F145" s="490">
        <v>46885.15</v>
      </c>
      <c r="G145" s="490">
        <v>11900084.689999999</v>
      </c>
      <c r="H145" s="490">
        <v>2373189.3199999998</v>
      </c>
      <c r="I145" s="490">
        <v>1470091.48</v>
      </c>
      <c r="J145" s="490">
        <v>2717954.99</v>
      </c>
      <c r="K145" s="490">
        <v>742087.11</v>
      </c>
      <c r="L145" s="490">
        <v>183164.05</v>
      </c>
      <c r="M145" s="490">
        <v>3357596.01</v>
      </c>
      <c r="N145" s="300">
        <v>5.0099999999999999E-2</v>
      </c>
      <c r="O145" s="492">
        <v>0.153</v>
      </c>
      <c r="P145" s="490">
        <v>0</v>
      </c>
      <c r="Q145" s="493">
        <v>0</v>
      </c>
      <c r="R145" s="493">
        <v>0</v>
      </c>
      <c r="S145" s="494">
        <v>0</v>
      </c>
      <c r="T145" s="495">
        <v>0</v>
      </c>
      <c r="U145" s="495">
        <v>0</v>
      </c>
      <c r="V145" s="490">
        <v>0</v>
      </c>
      <c r="W145" s="495">
        <v>0</v>
      </c>
      <c r="X145" s="495">
        <v>0</v>
      </c>
      <c r="Y145" s="490">
        <v>477.57</v>
      </c>
      <c r="Z145" s="490">
        <v>0</v>
      </c>
      <c r="AA145" s="490">
        <v>235458.9</v>
      </c>
      <c r="AB145" s="490">
        <v>464333.03</v>
      </c>
      <c r="AC145" s="490">
        <v>3434090.28</v>
      </c>
      <c r="AD145" s="490">
        <v>361.78</v>
      </c>
      <c r="AE145" s="490">
        <v>3200895.62</v>
      </c>
      <c r="AF145" s="339">
        <v>8847.630106694678</v>
      </c>
      <c r="AG145" s="339">
        <v>9492.2059815357406</v>
      </c>
      <c r="AH145" s="496">
        <v>644.58000000000004</v>
      </c>
      <c r="AI145" s="490">
        <v>50.63</v>
      </c>
      <c r="AJ145" s="490">
        <v>437001.7</v>
      </c>
      <c r="AK145" s="339">
        <v>8631.2798735927317</v>
      </c>
      <c r="AL145" s="339">
        <v>9171.1046810191583</v>
      </c>
      <c r="AM145" s="496">
        <v>539.82000000000005</v>
      </c>
      <c r="AN145" s="495">
        <v>0</v>
      </c>
      <c r="AO145" s="495">
        <v>541.85</v>
      </c>
      <c r="AP145" s="74"/>
      <c r="AQ145" s="303">
        <v>0</v>
      </c>
      <c r="AR145" s="303">
        <v>664436.69999999995</v>
      </c>
      <c r="AS145" s="552">
        <v>189742.29</v>
      </c>
      <c r="AY145" s="67">
        <f t="shared" si="57"/>
        <v>0</v>
      </c>
      <c r="BA145" t="s">
        <v>859</v>
      </c>
      <c r="BB145" t="s">
        <v>311</v>
      </c>
      <c r="BC145" t="s">
        <v>988</v>
      </c>
      <c r="BD145" s="491">
        <v>5.0099999999999999E-2</v>
      </c>
      <c r="BE145" s="492">
        <v>0.153</v>
      </c>
      <c r="BG145" s="510">
        <f t="shared" si="55"/>
        <v>0</v>
      </c>
      <c r="BH145" s="510">
        <f t="shared" si="56"/>
        <v>0</v>
      </c>
      <c r="BJ145" s="520">
        <f t="shared" si="58"/>
        <v>0</v>
      </c>
      <c r="BK145" s="520">
        <f t="shared" si="59"/>
        <v>0</v>
      </c>
      <c r="CB145" s="74"/>
      <c r="CC145" s="74"/>
      <c r="CD145" s="74"/>
      <c r="CE145" s="74"/>
      <c r="CF145" s="74"/>
    </row>
    <row r="146" spans="1:84">
      <c r="A146" s="283" t="s">
        <v>314</v>
      </c>
      <c r="B146" s="283" t="s">
        <v>313</v>
      </c>
      <c r="C146" s="283" t="str">
        <f t="shared" si="54"/>
        <v>33183 LOON LAKE SCHOOL DISTRICT</v>
      </c>
      <c r="D146" s="490">
        <v>0</v>
      </c>
      <c r="E146" s="490">
        <v>0</v>
      </c>
      <c r="F146" s="490">
        <v>0</v>
      </c>
      <c r="G146" s="490">
        <v>175221.19</v>
      </c>
      <c r="H146" s="490">
        <v>39332.19</v>
      </c>
      <c r="I146" s="490">
        <v>32622.54</v>
      </c>
      <c r="J146" s="490">
        <v>83841.960000000006</v>
      </c>
      <c r="K146" s="490">
        <v>0</v>
      </c>
      <c r="L146" s="490">
        <v>7376.44</v>
      </c>
      <c r="M146" s="490">
        <v>0</v>
      </c>
      <c r="N146" s="300">
        <v>9.0499999999999997E-2</v>
      </c>
      <c r="O146" s="492">
        <v>0.2944</v>
      </c>
      <c r="P146" s="490">
        <v>0</v>
      </c>
      <c r="Q146" s="493">
        <v>0</v>
      </c>
      <c r="R146" s="493">
        <v>0</v>
      </c>
      <c r="S146" s="494">
        <v>0</v>
      </c>
      <c r="T146" s="495">
        <v>0</v>
      </c>
      <c r="U146" s="495">
        <v>0</v>
      </c>
      <c r="V146" s="490">
        <v>0</v>
      </c>
      <c r="W146" s="495">
        <v>0</v>
      </c>
      <c r="X146" s="495">
        <v>0</v>
      </c>
      <c r="Y146" s="490">
        <v>304.20999999999998</v>
      </c>
      <c r="Z146" s="490">
        <v>0</v>
      </c>
      <c r="AA146" s="490">
        <v>0</v>
      </c>
      <c r="AB146" s="490">
        <v>0</v>
      </c>
      <c r="AC146" s="490">
        <v>0</v>
      </c>
      <c r="AD146" s="490">
        <v>0</v>
      </c>
      <c r="AE146" s="490">
        <v>0</v>
      </c>
      <c r="AF146" s="339">
        <v>0</v>
      </c>
      <c r="AG146" s="339">
        <v>0</v>
      </c>
      <c r="AH146" s="496">
        <v>0</v>
      </c>
      <c r="AI146" s="490">
        <v>0</v>
      </c>
      <c r="AJ146" s="490">
        <v>0</v>
      </c>
      <c r="AK146" s="339">
        <v>0</v>
      </c>
      <c r="AL146" s="339">
        <v>0</v>
      </c>
      <c r="AM146" s="496">
        <v>0</v>
      </c>
      <c r="AN146" s="495">
        <v>0</v>
      </c>
      <c r="AO146" s="495">
        <v>0</v>
      </c>
      <c r="AP146" s="74"/>
      <c r="AQ146" s="303">
        <v>0</v>
      </c>
      <c r="AR146" s="303">
        <v>12298.34</v>
      </c>
      <c r="AS146" s="552">
        <v>14037.52</v>
      </c>
      <c r="AY146" s="67">
        <f t="shared" si="57"/>
        <v>0</v>
      </c>
      <c r="BA146" t="s">
        <v>848</v>
      </c>
      <c r="BB146" t="s">
        <v>313</v>
      </c>
      <c r="BC146" t="s">
        <v>989</v>
      </c>
      <c r="BD146" s="491">
        <v>9.0499999999999997E-2</v>
      </c>
      <c r="BE146" s="492">
        <v>0.2944</v>
      </c>
      <c r="BG146" s="510">
        <f t="shared" si="55"/>
        <v>0</v>
      </c>
      <c r="BH146" s="510">
        <f t="shared" si="56"/>
        <v>0</v>
      </c>
      <c r="BJ146" s="520">
        <f t="shared" si="58"/>
        <v>0</v>
      </c>
      <c r="BK146" s="520">
        <f t="shared" si="59"/>
        <v>0</v>
      </c>
      <c r="CB146" s="74"/>
      <c r="CC146" s="74"/>
      <c r="CD146" s="74"/>
      <c r="CE146" s="74"/>
      <c r="CF146" s="74"/>
    </row>
    <row r="147" spans="1:84">
      <c r="A147" s="283" t="s">
        <v>316</v>
      </c>
      <c r="B147" s="283" t="s">
        <v>315</v>
      </c>
      <c r="C147" s="283" t="str">
        <f t="shared" si="54"/>
        <v>28144 LOPEZ SCHOOL DISTRICT</v>
      </c>
      <c r="D147" s="490">
        <v>0</v>
      </c>
      <c r="E147" s="490">
        <v>7775.42</v>
      </c>
      <c r="F147" s="490">
        <v>0</v>
      </c>
      <c r="G147" s="490">
        <v>547942.02</v>
      </c>
      <c r="H147" s="490">
        <v>56451.68</v>
      </c>
      <c r="I147" s="490">
        <v>43947.3</v>
      </c>
      <c r="J147" s="490">
        <v>99024.87</v>
      </c>
      <c r="K147" s="490">
        <v>35061.17</v>
      </c>
      <c r="L147" s="490">
        <v>7228.91</v>
      </c>
      <c r="M147" s="490">
        <v>189597.64</v>
      </c>
      <c r="N147" s="300">
        <v>9.01E-2</v>
      </c>
      <c r="O147" s="492">
        <v>0.2641</v>
      </c>
      <c r="P147" s="490">
        <v>0</v>
      </c>
      <c r="Q147" s="493">
        <v>0</v>
      </c>
      <c r="R147" s="493">
        <v>0</v>
      </c>
      <c r="S147" s="494">
        <v>0</v>
      </c>
      <c r="T147" s="495">
        <v>0</v>
      </c>
      <c r="U147" s="495">
        <v>0</v>
      </c>
      <c r="V147" s="490">
        <v>0</v>
      </c>
      <c r="W147" s="495">
        <v>0</v>
      </c>
      <c r="X147" s="495">
        <v>0</v>
      </c>
      <c r="Y147" s="490">
        <v>0</v>
      </c>
      <c r="Z147" s="490">
        <v>0</v>
      </c>
      <c r="AA147" s="490">
        <v>0</v>
      </c>
      <c r="AB147" s="490">
        <v>8229.56</v>
      </c>
      <c r="AC147" s="490">
        <v>87793.37</v>
      </c>
      <c r="AD147" s="490">
        <v>8.3000000000000007</v>
      </c>
      <c r="AE147" s="490">
        <v>79560.3</v>
      </c>
      <c r="AF147" s="339">
        <v>9585.5783132530123</v>
      </c>
      <c r="AG147" s="339">
        <v>10577.514457831323</v>
      </c>
      <c r="AH147" s="496">
        <v>991.94</v>
      </c>
      <c r="AI147" s="490">
        <v>0.82</v>
      </c>
      <c r="AJ147" s="490">
        <v>7673.44</v>
      </c>
      <c r="AK147" s="339">
        <v>9357.8536585365855</v>
      </c>
      <c r="AL147" s="339">
        <v>10036.048780487805</v>
      </c>
      <c r="AM147" s="496">
        <v>678.2</v>
      </c>
      <c r="AN147" s="495">
        <v>0</v>
      </c>
      <c r="AO147" s="495">
        <v>0</v>
      </c>
      <c r="AP147" s="74"/>
      <c r="AQ147" s="303">
        <v>34486.370000000003</v>
      </c>
      <c r="AR147" s="303">
        <v>36481.96</v>
      </c>
      <c r="AS147" s="552">
        <v>10332.76</v>
      </c>
      <c r="AY147" s="67">
        <f t="shared" si="57"/>
        <v>0</v>
      </c>
      <c r="BA147" t="s">
        <v>850</v>
      </c>
      <c r="BB147" t="s">
        <v>315</v>
      </c>
      <c r="BC147" t="s">
        <v>990</v>
      </c>
      <c r="BD147" s="491">
        <v>9.01E-2</v>
      </c>
      <c r="BE147" s="492">
        <v>0.2641</v>
      </c>
      <c r="BG147" s="510">
        <f t="shared" si="55"/>
        <v>0</v>
      </c>
      <c r="BH147" s="510">
        <f t="shared" si="56"/>
        <v>0</v>
      </c>
      <c r="BJ147" s="520">
        <f t="shared" si="58"/>
        <v>0</v>
      </c>
      <c r="BK147" s="520">
        <f t="shared" si="59"/>
        <v>0</v>
      </c>
      <c r="CB147" s="74"/>
      <c r="CC147" s="74"/>
      <c r="CD147" s="74"/>
      <c r="CE147" s="74"/>
      <c r="CF147" s="74"/>
    </row>
    <row r="148" spans="1:84">
      <c r="A148" s="283" t="s">
        <v>318</v>
      </c>
      <c r="B148" s="355" t="s">
        <v>317</v>
      </c>
      <c r="C148" s="353" t="str">
        <f>CONCATENATE(B148," ",A148," CHARTER")</f>
        <v>32903 LUMEN CHARTER</v>
      </c>
      <c r="D148" s="490">
        <v>0</v>
      </c>
      <c r="E148" s="490">
        <v>0</v>
      </c>
      <c r="F148" s="490">
        <v>0</v>
      </c>
      <c r="G148" s="490">
        <v>18105.21</v>
      </c>
      <c r="H148" s="490">
        <v>1840.78</v>
      </c>
      <c r="I148" s="490">
        <v>10630.23</v>
      </c>
      <c r="J148" s="490">
        <v>21681.46</v>
      </c>
      <c r="K148" s="490">
        <v>0</v>
      </c>
      <c r="L148" s="490">
        <v>0</v>
      </c>
      <c r="M148" s="490">
        <v>2638.45</v>
      </c>
      <c r="N148" s="300">
        <v>3.7100000000000001E-2</v>
      </c>
      <c r="O148" s="492">
        <v>0.14399999999999999</v>
      </c>
      <c r="P148" s="490">
        <v>0</v>
      </c>
      <c r="Q148" s="493">
        <v>0</v>
      </c>
      <c r="R148" s="493">
        <v>0</v>
      </c>
      <c r="S148" s="494">
        <v>0</v>
      </c>
      <c r="T148" s="495">
        <v>0</v>
      </c>
      <c r="U148" s="495">
        <v>0</v>
      </c>
      <c r="V148" s="490">
        <v>0</v>
      </c>
      <c r="W148" s="495">
        <v>0</v>
      </c>
      <c r="X148" s="495">
        <v>0</v>
      </c>
      <c r="Y148" s="490">
        <v>0</v>
      </c>
      <c r="Z148" s="490">
        <v>0</v>
      </c>
      <c r="AA148" s="490">
        <v>0</v>
      </c>
      <c r="AB148" s="490">
        <v>0</v>
      </c>
      <c r="AC148" s="490">
        <v>0</v>
      </c>
      <c r="AD148" s="490">
        <v>0</v>
      </c>
      <c r="AE148" s="490">
        <v>0</v>
      </c>
      <c r="AF148" s="339">
        <v>0</v>
      </c>
      <c r="AG148" s="339">
        <v>0</v>
      </c>
      <c r="AH148" s="496">
        <v>0</v>
      </c>
      <c r="AI148" s="490">
        <v>0</v>
      </c>
      <c r="AJ148" s="490">
        <v>0</v>
      </c>
      <c r="AK148" s="339">
        <v>0</v>
      </c>
      <c r="AL148" s="339">
        <v>0</v>
      </c>
      <c r="AM148" s="496">
        <v>0</v>
      </c>
      <c r="AN148" s="495">
        <v>0</v>
      </c>
      <c r="AO148" s="495">
        <v>0</v>
      </c>
      <c r="AP148" s="74"/>
      <c r="AQ148" s="303">
        <v>0</v>
      </c>
      <c r="AR148" s="303">
        <v>14090.960000000001</v>
      </c>
      <c r="AS148" s="552">
        <v>11016.65</v>
      </c>
      <c r="AY148" s="67">
        <f t="shared" si="57"/>
        <v>0</v>
      </c>
      <c r="BA148" t="s">
        <v>882</v>
      </c>
      <c r="BB148" t="s">
        <v>317</v>
      </c>
      <c r="BC148" s="11" t="s">
        <v>991</v>
      </c>
      <c r="BD148" s="491">
        <v>3.7100000000000001E-2</v>
      </c>
      <c r="BE148" s="492">
        <v>0.14399999999999999</v>
      </c>
      <c r="BG148" s="510">
        <f t="shared" si="55"/>
        <v>0</v>
      </c>
      <c r="BH148" s="510">
        <f t="shared" si="56"/>
        <v>0</v>
      </c>
      <c r="BJ148" s="520">
        <f t="shared" si="58"/>
        <v>0</v>
      </c>
      <c r="BK148" s="520">
        <f t="shared" si="59"/>
        <v>0</v>
      </c>
      <c r="CB148" s="74"/>
      <c r="CC148" s="74"/>
      <c r="CD148" s="74"/>
      <c r="CE148" s="74"/>
      <c r="CF148" s="74"/>
    </row>
    <row r="149" spans="1:84">
      <c r="A149" s="283" t="s">
        <v>992</v>
      </c>
      <c r="B149" s="283" t="s">
        <v>319</v>
      </c>
      <c r="C149" s="286" t="str">
        <f>CONCATENATE(B149," ",A149," TRIBAL COMPACT")</f>
        <v>37903 LUMMI TRIBAL COMPACT</v>
      </c>
      <c r="D149" s="490">
        <v>0</v>
      </c>
      <c r="E149" s="490">
        <v>0</v>
      </c>
      <c r="F149" s="490">
        <v>0</v>
      </c>
      <c r="G149" s="490">
        <v>855614.48</v>
      </c>
      <c r="H149" s="490">
        <v>240405.34</v>
      </c>
      <c r="I149" s="490">
        <v>125506.12</v>
      </c>
      <c r="J149" s="490">
        <v>254000.49</v>
      </c>
      <c r="K149" s="490">
        <v>0</v>
      </c>
      <c r="L149" s="490">
        <v>0</v>
      </c>
      <c r="M149" s="490">
        <v>557791.43999999994</v>
      </c>
      <c r="N149" s="300">
        <v>0</v>
      </c>
      <c r="O149" s="492">
        <v>0</v>
      </c>
      <c r="P149" s="490">
        <v>0</v>
      </c>
      <c r="Q149" s="493">
        <v>0</v>
      </c>
      <c r="R149" s="493">
        <v>0</v>
      </c>
      <c r="S149" s="494">
        <v>0</v>
      </c>
      <c r="T149" s="495">
        <v>0</v>
      </c>
      <c r="U149" s="495">
        <v>0</v>
      </c>
      <c r="V149" s="490">
        <v>0</v>
      </c>
      <c r="W149" s="495">
        <v>0</v>
      </c>
      <c r="X149" s="495">
        <v>0</v>
      </c>
      <c r="Y149" s="490">
        <v>0</v>
      </c>
      <c r="Z149" s="490">
        <v>0</v>
      </c>
      <c r="AA149" s="490">
        <v>0</v>
      </c>
      <c r="AB149" s="490">
        <v>0</v>
      </c>
      <c r="AC149" s="490">
        <v>65508.79</v>
      </c>
      <c r="AD149" s="490">
        <v>6.78</v>
      </c>
      <c r="AE149" s="490">
        <v>62933.61</v>
      </c>
      <c r="AF149" s="339">
        <v>9282.2433628318577</v>
      </c>
      <c r="AG149" s="339">
        <v>9662.0634218289088</v>
      </c>
      <c r="AH149" s="496">
        <v>379.82</v>
      </c>
      <c r="AI149" s="490">
        <v>0</v>
      </c>
      <c r="AJ149" s="490">
        <v>0</v>
      </c>
      <c r="AK149" s="339">
        <v>0</v>
      </c>
      <c r="AL149" s="339">
        <v>0</v>
      </c>
      <c r="AM149" s="496">
        <v>0</v>
      </c>
      <c r="AN149" s="495">
        <v>0</v>
      </c>
      <c r="AO149" s="495">
        <v>0</v>
      </c>
      <c r="AP149" s="74"/>
      <c r="AQ149" s="303">
        <v>149113.64000000001</v>
      </c>
      <c r="AR149" s="303">
        <v>53903.25</v>
      </c>
      <c r="AS149" s="552">
        <v>21299.239999999998</v>
      </c>
      <c r="AY149" s="67">
        <f t="shared" si="57"/>
        <v>0</v>
      </c>
      <c r="BA149" t="s">
        <v>882</v>
      </c>
      <c r="BB149" t="s">
        <v>319</v>
      </c>
      <c r="BC149" t="s">
        <v>993</v>
      </c>
      <c r="BD149" s="491">
        <v>0</v>
      </c>
      <c r="BE149" s="492">
        <v>0</v>
      </c>
      <c r="BG149" s="510">
        <f t="shared" si="55"/>
        <v>0</v>
      </c>
      <c r="BH149" s="510">
        <f t="shared" si="56"/>
        <v>0</v>
      </c>
      <c r="BJ149" s="520">
        <f t="shared" si="58"/>
        <v>0</v>
      </c>
      <c r="BK149" s="520">
        <f t="shared" si="59"/>
        <v>0</v>
      </c>
      <c r="CB149" s="74"/>
      <c r="CC149" s="74"/>
      <c r="CD149" s="74"/>
      <c r="CE149" s="74"/>
      <c r="CF149" s="74"/>
    </row>
    <row r="150" spans="1:84">
      <c r="A150" s="283" t="s">
        <v>322</v>
      </c>
      <c r="B150" s="283" t="s">
        <v>321</v>
      </c>
      <c r="C150" s="283" t="str">
        <f t="shared" ref="C150:C173" si="60">CONCATENATE(B150," ",A150," SCHOOL DISTRICT")</f>
        <v>20406 LYLE SCHOOL DISTRICT</v>
      </c>
      <c r="D150" s="490">
        <v>0</v>
      </c>
      <c r="E150" s="490">
        <v>12041.48</v>
      </c>
      <c r="F150" s="490">
        <v>6227.64</v>
      </c>
      <c r="G150" s="490">
        <v>0</v>
      </c>
      <c r="H150" s="490">
        <v>0</v>
      </c>
      <c r="I150" s="490">
        <v>62128.25</v>
      </c>
      <c r="J150" s="490">
        <v>107321.87</v>
      </c>
      <c r="K150" s="490">
        <v>0</v>
      </c>
      <c r="L150" s="490">
        <v>5818.02</v>
      </c>
      <c r="M150" s="490">
        <v>0</v>
      </c>
      <c r="N150" s="300">
        <v>1.72E-2</v>
      </c>
      <c r="O150" s="492">
        <v>0.16400000000000001</v>
      </c>
      <c r="P150" s="490">
        <v>0</v>
      </c>
      <c r="Q150" s="493">
        <v>0</v>
      </c>
      <c r="R150" s="493">
        <v>0</v>
      </c>
      <c r="S150" s="494">
        <v>0</v>
      </c>
      <c r="T150" s="495">
        <v>0</v>
      </c>
      <c r="U150" s="495">
        <v>0</v>
      </c>
      <c r="V150" s="490">
        <v>0</v>
      </c>
      <c r="W150" s="495">
        <v>0</v>
      </c>
      <c r="X150" s="495">
        <v>0</v>
      </c>
      <c r="Y150" s="490">
        <v>0</v>
      </c>
      <c r="Z150" s="490">
        <v>0</v>
      </c>
      <c r="AA150" s="490">
        <v>0</v>
      </c>
      <c r="AB150" s="490">
        <v>0</v>
      </c>
      <c r="AC150" s="490">
        <v>0</v>
      </c>
      <c r="AD150" s="490">
        <v>0</v>
      </c>
      <c r="AE150" s="490">
        <v>0</v>
      </c>
      <c r="AF150" s="339">
        <v>0</v>
      </c>
      <c r="AG150" s="339">
        <v>0</v>
      </c>
      <c r="AH150" s="496">
        <v>0</v>
      </c>
      <c r="AI150" s="490">
        <v>0</v>
      </c>
      <c r="AJ150" s="490">
        <v>0</v>
      </c>
      <c r="AK150" s="339">
        <v>0</v>
      </c>
      <c r="AL150" s="339">
        <v>0</v>
      </c>
      <c r="AM150" s="496">
        <v>0</v>
      </c>
      <c r="AN150" s="495">
        <v>0</v>
      </c>
      <c r="AO150" s="495">
        <v>0</v>
      </c>
      <c r="AP150" s="74"/>
      <c r="AQ150" s="303">
        <v>44087.290000000008</v>
      </c>
      <c r="AR150" s="303">
        <v>28158.71</v>
      </c>
      <c r="AS150" s="552"/>
      <c r="AY150" s="67">
        <f t="shared" si="57"/>
        <v>0</v>
      </c>
      <c r="BA150" t="s">
        <v>859</v>
      </c>
      <c r="BB150" t="s">
        <v>321</v>
      </c>
      <c r="BC150" t="s">
        <v>994</v>
      </c>
      <c r="BD150" s="491">
        <v>1.72E-2</v>
      </c>
      <c r="BE150" s="492">
        <v>0.16400000000000001</v>
      </c>
      <c r="BG150" s="510">
        <f t="shared" si="55"/>
        <v>0</v>
      </c>
      <c r="BH150" s="510">
        <f t="shared" si="56"/>
        <v>0</v>
      </c>
      <c r="BJ150" s="520">
        <f t="shared" si="58"/>
        <v>0</v>
      </c>
      <c r="BK150" s="520">
        <f t="shared" si="59"/>
        <v>0</v>
      </c>
      <c r="CB150" s="74"/>
      <c r="CC150" s="74"/>
      <c r="CD150" s="74"/>
      <c r="CE150" s="74"/>
      <c r="CF150" s="74"/>
    </row>
    <row r="151" spans="1:84">
      <c r="A151" s="283" t="s">
        <v>324</v>
      </c>
      <c r="B151" s="283" t="s">
        <v>323</v>
      </c>
      <c r="C151" s="283" t="str">
        <f t="shared" si="60"/>
        <v>37504 LYNDEN SCHOOL DISTRICT</v>
      </c>
      <c r="D151" s="490">
        <v>0</v>
      </c>
      <c r="E151" s="490">
        <v>19865.63</v>
      </c>
      <c r="F151" s="490">
        <v>0</v>
      </c>
      <c r="G151" s="490">
        <v>6482878.2400000002</v>
      </c>
      <c r="H151" s="490">
        <v>786934.23</v>
      </c>
      <c r="I151" s="490">
        <v>0</v>
      </c>
      <c r="J151" s="490">
        <v>1032015.8</v>
      </c>
      <c r="K151" s="490">
        <v>829856.17</v>
      </c>
      <c r="L151" s="490">
        <v>113482.74</v>
      </c>
      <c r="M151" s="490">
        <v>1965090.99</v>
      </c>
      <c r="N151" s="300">
        <v>9.4000000000000004E-3</v>
      </c>
      <c r="O151" s="492">
        <v>0.14910000000000001</v>
      </c>
      <c r="P151" s="490">
        <v>0</v>
      </c>
      <c r="Q151" s="493">
        <v>0</v>
      </c>
      <c r="R151" s="493">
        <v>0</v>
      </c>
      <c r="S151" s="494">
        <v>0</v>
      </c>
      <c r="T151" s="495">
        <v>0</v>
      </c>
      <c r="U151" s="495">
        <v>0</v>
      </c>
      <c r="V151" s="490">
        <v>0</v>
      </c>
      <c r="W151" s="495">
        <v>0</v>
      </c>
      <c r="X151" s="495">
        <v>0</v>
      </c>
      <c r="Y151" s="490">
        <v>0</v>
      </c>
      <c r="Z151" s="490">
        <v>3248.72</v>
      </c>
      <c r="AA151" s="490">
        <v>0</v>
      </c>
      <c r="AB151" s="490">
        <v>162726.51</v>
      </c>
      <c r="AC151" s="490">
        <v>1869093.18</v>
      </c>
      <c r="AD151" s="490">
        <v>168.25</v>
      </c>
      <c r="AE151" s="490">
        <v>1611323.11</v>
      </c>
      <c r="AF151" s="339">
        <v>9576.9575631500757</v>
      </c>
      <c r="AG151" s="339">
        <v>11109.023358098068</v>
      </c>
      <c r="AH151" s="496">
        <v>1532.07</v>
      </c>
      <c r="AI151" s="490">
        <v>16.37</v>
      </c>
      <c r="AJ151" s="490">
        <v>153218.31</v>
      </c>
      <c r="AK151" s="339">
        <v>9359.7012828344523</v>
      </c>
      <c r="AL151" s="339">
        <v>9940.5320708613308</v>
      </c>
      <c r="AM151" s="496">
        <v>580.83000000000004</v>
      </c>
      <c r="AN151" s="495">
        <v>0</v>
      </c>
      <c r="AO151" s="495">
        <v>0</v>
      </c>
      <c r="AP151" s="74"/>
      <c r="AQ151" s="303">
        <v>87124.690000000061</v>
      </c>
      <c r="AR151" s="303">
        <v>359121.2</v>
      </c>
      <c r="AS151" s="552">
        <v>99174</v>
      </c>
      <c r="AY151" s="67">
        <f t="shared" si="57"/>
        <v>0</v>
      </c>
      <c r="BA151" t="s">
        <v>850</v>
      </c>
      <c r="BB151" t="s">
        <v>323</v>
      </c>
      <c r="BC151" t="s">
        <v>995</v>
      </c>
      <c r="BD151" s="491">
        <v>9.4000000000000004E-3</v>
      </c>
      <c r="BE151" s="492">
        <v>0.14910000000000001</v>
      </c>
      <c r="BG151" s="510">
        <f t="shared" si="55"/>
        <v>0</v>
      </c>
      <c r="BH151" s="510">
        <f t="shared" si="56"/>
        <v>0</v>
      </c>
      <c r="BJ151" s="520">
        <f t="shared" si="58"/>
        <v>0</v>
      </c>
      <c r="BK151" s="520">
        <f t="shared" si="59"/>
        <v>0</v>
      </c>
      <c r="CB151" s="74"/>
      <c r="CC151" s="74"/>
      <c r="CD151" s="74"/>
      <c r="CE151" s="74"/>
      <c r="CF151" s="74"/>
    </row>
    <row r="152" spans="1:84">
      <c r="A152" s="283" t="s">
        <v>326</v>
      </c>
      <c r="B152" s="283" t="s">
        <v>325</v>
      </c>
      <c r="C152" s="283" t="str">
        <f t="shared" si="60"/>
        <v>39120 MABTON SCHOOL DISTRICT</v>
      </c>
      <c r="D152" s="490">
        <v>0</v>
      </c>
      <c r="E152" s="490">
        <v>52728.03</v>
      </c>
      <c r="F152" s="490">
        <v>0</v>
      </c>
      <c r="G152" s="490">
        <v>942632.09</v>
      </c>
      <c r="H152" s="490">
        <v>173940.25</v>
      </c>
      <c r="I152" s="490">
        <v>234487.37</v>
      </c>
      <c r="J152" s="490">
        <v>506480.29</v>
      </c>
      <c r="K152" s="490">
        <v>482713.88</v>
      </c>
      <c r="L152" s="490">
        <v>21402.03</v>
      </c>
      <c r="M152" s="490">
        <v>249025.01</v>
      </c>
      <c r="N152" s="300">
        <v>7.7799999999999994E-2</v>
      </c>
      <c r="O152" s="492">
        <v>0.21229999999999999</v>
      </c>
      <c r="P152" s="490">
        <v>0</v>
      </c>
      <c r="Q152" s="493">
        <v>0</v>
      </c>
      <c r="R152" s="493">
        <v>0</v>
      </c>
      <c r="S152" s="494">
        <v>0</v>
      </c>
      <c r="T152" s="495">
        <v>0</v>
      </c>
      <c r="U152" s="495">
        <v>0</v>
      </c>
      <c r="V152" s="490">
        <v>0</v>
      </c>
      <c r="W152" s="495">
        <v>0</v>
      </c>
      <c r="X152" s="495">
        <v>0</v>
      </c>
      <c r="Y152" s="490">
        <v>0</v>
      </c>
      <c r="Z152" s="490">
        <v>0</v>
      </c>
      <c r="AA152" s="490">
        <v>64455.78</v>
      </c>
      <c r="AB152" s="490">
        <v>123665.83</v>
      </c>
      <c r="AC152" s="490">
        <v>525742.22</v>
      </c>
      <c r="AD152" s="490">
        <v>52.57</v>
      </c>
      <c r="AE152" s="490">
        <v>465107.66</v>
      </c>
      <c r="AF152" s="339">
        <v>8847.3969944835444</v>
      </c>
      <c r="AG152" s="339">
        <v>10000.803119649991</v>
      </c>
      <c r="AH152" s="496">
        <v>1153.4100000000001</v>
      </c>
      <c r="AI152" s="490">
        <v>13.5</v>
      </c>
      <c r="AJ152" s="490">
        <v>116397.51</v>
      </c>
      <c r="AK152" s="339">
        <v>8622.0377777777776</v>
      </c>
      <c r="AL152" s="339">
        <v>9160.4318518518521</v>
      </c>
      <c r="AM152" s="496">
        <v>538.39</v>
      </c>
      <c r="AN152" s="495">
        <v>2216.2199999999998</v>
      </c>
      <c r="AO152" s="495">
        <v>0</v>
      </c>
      <c r="AP152" s="74"/>
      <c r="AQ152" s="303">
        <v>135130.35999999999</v>
      </c>
      <c r="AR152" s="303">
        <v>83690.959999999992</v>
      </c>
      <c r="AS152" s="552"/>
      <c r="AY152" s="67">
        <f t="shared" si="57"/>
        <v>0</v>
      </c>
      <c r="BA152" t="s">
        <v>865</v>
      </c>
      <c r="BB152" t="s">
        <v>325</v>
      </c>
      <c r="BC152" t="s">
        <v>996</v>
      </c>
      <c r="BD152" s="491">
        <v>7.7799999999999994E-2</v>
      </c>
      <c r="BE152" s="492">
        <v>0.21229999999999999</v>
      </c>
      <c r="BG152" s="510">
        <f t="shared" si="55"/>
        <v>0</v>
      </c>
      <c r="BH152" s="510">
        <f t="shared" si="56"/>
        <v>0</v>
      </c>
      <c r="BJ152" s="520">
        <f t="shared" si="58"/>
        <v>0</v>
      </c>
      <c r="BK152" s="520">
        <f t="shared" si="59"/>
        <v>0</v>
      </c>
      <c r="CB152" s="74"/>
      <c r="CC152" s="74"/>
      <c r="CD152" s="74"/>
      <c r="CE152" s="74"/>
      <c r="CF152" s="74"/>
    </row>
    <row r="153" spans="1:84">
      <c r="A153" s="283" t="s">
        <v>328</v>
      </c>
      <c r="B153" s="283" t="s">
        <v>327</v>
      </c>
      <c r="C153" s="283" t="str">
        <f t="shared" si="60"/>
        <v>09207 MANSFIELD SCHOOL DISTRICT</v>
      </c>
      <c r="D153" s="490">
        <v>0</v>
      </c>
      <c r="E153" s="490">
        <v>3879.34</v>
      </c>
      <c r="F153" s="490">
        <v>2720.54</v>
      </c>
      <c r="G153" s="490">
        <v>0</v>
      </c>
      <c r="H153" s="490">
        <v>0</v>
      </c>
      <c r="I153" s="490">
        <v>29921.3</v>
      </c>
      <c r="J153" s="490">
        <v>44985.83</v>
      </c>
      <c r="K153" s="490">
        <v>0</v>
      </c>
      <c r="L153" s="490">
        <v>0</v>
      </c>
      <c r="M153" s="490">
        <v>148619.82999999999</v>
      </c>
      <c r="N153" s="300">
        <v>5.2299999999999999E-2</v>
      </c>
      <c r="O153" s="492">
        <v>0.34100000000000003</v>
      </c>
      <c r="P153" s="490">
        <v>0</v>
      </c>
      <c r="Q153" s="493">
        <v>0</v>
      </c>
      <c r="R153" s="493">
        <v>0</v>
      </c>
      <c r="S153" s="494">
        <v>0</v>
      </c>
      <c r="T153" s="495">
        <v>0</v>
      </c>
      <c r="U153" s="495">
        <v>0</v>
      </c>
      <c r="V153" s="490">
        <v>0</v>
      </c>
      <c r="W153" s="495">
        <v>0</v>
      </c>
      <c r="X153" s="495">
        <v>0</v>
      </c>
      <c r="Y153" s="490">
        <v>121.91</v>
      </c>
      <c r="Z153" s="490">
        <v>0</v>
      </c>
      <c r="AA153" s="490">
        <v>0</v>
      </c>
      <c r="AB153" s="490">
        <v>0</v>
      </c>
      <c r="AC153" s="490">
        <v>24527.38</v>
      </c>
      <c r="AD153" s="490">
        <v>2.67</v>
      </c>
      <c r="AE153" s="490">
        <v>23379.15</v>
      </c>
      <c r="AF153" s="339">
        <v>8756.2359550561814</v>
      </c>
      <c r="AG153" s="339">
        <v>9186.2846441947568</v>
      </c>
      <c r="AH153" s="496">
        <v>430.05</v>
      </c>
      <c r="AI153" s="490">
        <v>0</v>
      </c>
      <c r="AJ153" s="490">
        <v>0</v>
      </c>
      <c r="AK153" s="339">
        <v>0</v>
      </c>
      <c r="AL153" s="339">
        <v>0</v>
      </c>
      <c r="AM153" s="496">
        <v>0</v>
      </c>
      <c r="AN153" s="495">
        <v>0</v>
      </c>
      <c r="AO153" s="495">
        <v>0</v>
      </c>
      <c r="AP153" s="74"/>
      <c r="AQ153" s="303">
        <v>17410.139999999992</v>
      </c>
      <c r="AR153" s="303">
        <v>20982.25</v>
      </c>
      <c r="AS153" s="552">
        <v>13049.93</v>
      </c>
      <c r="AY153" s="67">
        <f t="shared" si="57"/>
        <v>0</v>
      </c>
      <c r="BA153" t="s">
        <v>871</v>
      </c>
      <c r="BB153" t="s">
        <v>327</v>
      </c>
      <c r="BC153" t="s">
        <v>997</v>
      </c>
      <c r="BD153" s="491">
        <v>5.2299999999999999E-2</v>
      </c>
      <c r="BE153" s="492">
        <v>0.34100000000000003</v>
      </c>
      <c r="BG153" s="510">
        <f t="shared" si="55"/>
        <v>0</v>
      </c>
      <c r="BH153" s="510">
        <f t="shared" si="56"/>
        <v>0</v>
      </c>
      <c r="BJ153" s="520">
        <f t="shared" si="58"/>
        <v>0</v>
      </c>
      <c r="BK153" s="520">
        <f t="shared" si="59"/>
        <v>0</v>
      </c>
      <c r="CB153" s="74"/>
      <c r="CC153" s="74"/>
      <c r="CD153" s="74"/>
      <c r="CE153" s="74"/>
      <c r="CF153" s="74"/>
    </row>
    <row r="154" spans="1:84">
      <c r="A154" s="283" t="s">
        <v>330</v>
      </c>
      <c r="B154" s="283" t="s">
        <v>329</v>
      </c>
      <c r="C154" s="283" t="str">
        <f t="shared" si="60"/>
        <v>04019 MANSON SCHOOL DISTRICT</v>
      </c>
      <c r="D154" s="490">
        <v>0</v>
      </c>
      <c r="E154" s="490">
        <v>7985.64</v>
      </c>
      <c r="F154" s="490">
        <v>8465.4599999999991</v>
      </c>
      <c r="G154" s="490">
        <v>938444.01</v>
      </c>
      <c r="H154" s="490">
        <v>109823.57</v>
      </c>
      <c r="I154" s="490">
        <v>187735.35</v>
      </c>
      <c r="J154" s="490">
        <v>269499.45</v>
      </c>
      <c r="K154" s="490">
        <v>371247.71</v>
      </c>
      <c r="L154" s="490">
        <v>19428.080000000002</v>
      </c>
      <c r="M154" s="490">
        <v>448882.66</v>
      </c>
      <c r="N154" s="300">
        <v>2.8500000000000001E-2</v>
      </c>
      <c r="O154" s="492">
        <v>0.1157</v>
      </c>
      <c r="P154" s="490">
        <v>0</v>
      </c>
      <c r="Q154" s="493">
        <v>0</v>
      </c>
      <c r="R154" s="493">
        <v>0</v>
      </c>
      <c r="S154" s="494">
        <v>0</v>
      </c>
      <c r="T154" s="495">
        <v>0</v>
      </c>
      <c r="U154" s="495">
        <v>0</v>
      </c>
      <c r="V154" s="490">
        <v>0</v>
      </c>
      <c r="W154" s="495">
        <v>0</v>
      </c>
      <c r="X154" s="495">
        <v>0</v>
      </c>
      <c r="Y154" s="490">
        <v>772.83</v>
      </c>
      <c r="Z154" s="490">
        <v>0</v>
      </c>
      <c r="AA154" s="490">
        <v>42431.37</v>
      </c>
      <c r="AB154" s="490">
        <v>42466.239999999998</v>
      </c>
      <c r="AC154" s="490">
        <v>497915.49</v>
      </c>
      <c r="AD154" s="490">
        <v>54.31</v>
      </c>
      <c r="AE154" s="490">
        <v>480513.01</v>
      </c>
      <c r="AF154" s="339">
        <v>8847.5973117289632</v>
      </c>
      <c r="AG154" s="339">
        <v>9168.0259620695997</v>
      </c>
      <c r="AH154" s="496">
        <v>320.43</v>
      </c>
      <c r="AI154" s="490">
        <v>4.62</v>
      </c>
      <c r="AJ154" s="490">
        <v>39728.26</v>
      </c>
      <c r="AK154" s="339">
        <v>8599.1904761904771</v>
      </c>
      <c r="AL154" s="339">
        <v>9191.8268398268392</v>
      </c>
      <c r="AM154" s="496">
        <v>592.64</v>
      </c>
      <c r="AN154" s="495">
        <v>0</v>
      </c>
      <c r="AO154" s="495">
        <v>0</v>
      </c>
      <c r="AP154" s="74"/>
      <c r="AQ154" s="303">
        <v>0</v>
      </c>
      <c r="AR154" s="303">
        <v>75654.19</v>
      </c>
      <c r="AS154" s="552">
        <v>28067.18</v>
      </c>
      <c r="AY154" s="67">
        <f t="shared" si="57"/>
        <v>0</v>
      </c>
      <c r="BA154" t="s">
        <v>871</v>
      </c>
      <c r="BB154" t="s">
        <v>329</v>
      </c>
      <c r="BC154" t="s">
        <v>998</v>
      </c>
      <c r="BD154" s="522">
        <v>2.8500000000000001E-2</v>
      </c>
      <c r="BE154" s="492">
        <v>0.1157</v>
      </c>
      <c r="BG154" s="518">
        <f t="shared" si="55"/>
        <v>0</v>
      </c>
      <c r="BH154" s="510">
        <f t="shared" si="56"/>
        <v>0</v>
      </c>
      <c r="BJ154" s="520">
        <f t="shared" si="58"/>
        <v>0</v>
      </c>
      <c r="BK154" s="520">
        <f t="shared" si="59"/>
        <v>0</v>
      </c>
      <c r="CB154" s="74"/>
      <c r="CC154" s="74"/>
      <c r="CD154" s="74"/>
      <c r="CE154" s="74"/>
      <c r="CF154" s="74"/>
    </row>
    <row r="155" spans="1:84">
      <c r="A155" s="283" t="s">
        <v>332</v>
      </c>
      <c r="B155" s="283" t="s">
        <v>331</v>
      </c>
      <c r="C155" s="283" t="str">
        <f t="shared" si="60"/>
        <v>23311 MARY M KNIGHT SCHOOL DISTRICT</v>
      </c>
      <c r="D155" s="490">
        <v>15774.47</v>
      </c>
      <c r="E155" s="490">
        <v>0</v>
      </c>
      <c r="F155" s="490">
        <v>0</v>
      </c>
      <c r="G155" s="490">
        <v>1345919.9</v>
      </c>
      <c r="H155" s="490">
        <v>260845.25</v>
      </c>
      <c r="I155" s="490">
        <v>52362.28</v>
      </c>
      <c r="J155" s="490">
        <v>183060.15</v>
      </c>
      <c r="K155" s="490">
        <v>22762.799999999999</v>
      </c>
      <c r="L155" s="490">
        <v>26181.13</v>
      </c>
      <c r="M155" s="490">
        <v>322550.38</v>
      </c>
      <c r="N155" s="300">
        <v>1.3299999999999999E-2</v>
      </c>
      <c r="O155" s="492">
        <v>5.7500000000000002E-2</v>
      </c>
      <c r="P155" s="490">
        <v>0</v>
      </c>
      <c r="Q155" s="493">
        <v>0</v>
      </c>
      <c r="R155" s="493">
        <v>0</v>
      </c>
      <c r="S155" s="494">
        <v>0</v>
      </c>
      <c r="T155" s="495">
        <v>0</v>
      </c>
      <c r="U155" s="495">
        <v>0</v>
      </c>
      <c r="V155" s="490">
        <v>0</v>
      </c>
      <c r="W155" s="495">
        <v>0</v>
      </c>
      <c r="X155" s="495">
        <v>0</v>
      </c>
      <c r="Y155" s="490">
        <v>210.26</v>
      </c>
      <c r="Z155" s="490">
        <v>0</v>
      </c>
      <c r="AA155" s="490">
        <v>0</v>
      </c>
      <c r="AB155" s="490">
        <v>51913.29</v>
      </c>
      <c r="AC155" s="490">
        <v>162438.93</v>
      </c>
      <c r="AD155" s="490">
        <v>17.329999999999998</v>
      </c>
      <c r="AE155" s="490">
        <v>153372.94</v>
      </c>
      <c r="AF155" s="339">
        <v>8850.1407963069832</v>
      </c>
      <c r="AG155" s="339">
        <v>9373.279284477785</v>
      </c>
      <c r="AH155" s="496">
        <v>523.14</v>
      </c>
      <c r="AI155" s="490">
        <v>5.65</v>
      </c>
      <c r="AJ155" s="490">
        <v>48857.9</v>
      </c>
      <c r="AK155" s="339">
        <v>8647.4159292035401</v>
      </c>
      <c r="AL155" s="339">
        <v>9188.1929203539821</v>
      </c>
      <c r="AM155" s="496">
        <v>540.78</v>
      </c>
      <c r="AN155" s="495">
        <v>0</v>
      </c>
      <c r="AO155" s="495">
        <v>0</v>
      </c>
      <c r="AP155" s="74"/>
      <c r="AQ155" s="303">
        <v>67795.09</v>
      </c>
      <c r="AR155" s="303">
        <v>40115.919999999998</v>
      </c>
      <c r="AS155" s="552">
        <v>14850.829999999998</v>
      </c>
      <c r="AY155" s="67">
        <f t="shared" si="57"/>
        <v>0</v>
      </c>
      <c r="BA155" t="s">
        <v>845</v>
      </c>
      <c r="BB155" t="s">
        <v>331</v>
      </c>
      <c r="BC155" t="s">
        <v>999</v>
      </c>
      <c r="BD155" s="491">
        <v>1.3299999999999999E-2</v>
      </c>
      <c r="BE155" s="492">
        <v>5.7500000000000002E-2</v>
      </c>
      <c r="BG155" s="510">
        <f t="shared" si="55"/>
        <v>0</v>
      </c>
      <c r="BH155" s="510">
        <f t="shared" si="56"/>
        <v>0</v>
      </c>
      <c r="BJ155" s="520">
        <f t="shared" si="58"/>
        <v>0</v>
      </c>
      <c r="BK155" s="520">
        <f t="shared" si="59"/>
        <v>0</v>
      </c>
      <c r="CB155" s="74"/>
      <c r="CC155" s="74"/>
      <c r="CD155" s="74"/>
      <c r="CE155" s="74"/>
      <c r="CF155" s="74"/>
    </row>
    <row r="156" spans="1:84">
      <c r="A156" s="283" t="s">
        <v>334</v>
      </c>
      <c r="B156" s="283" t="s">
        <v>333</v>
      </c>
      <c r="C156" s="283" t="str">
        <f t="shared" si="60"/>
        <v>33207 MARY WALKER SCHOOL DISTRICT</v>
      </c>
      <c r="D156" s="490">
        <v>66110.899999999994</v>
      </c>
      <c r="E156" s="490">
        <v>0</v>
      </c>
      <c r="F156" s="490">
        <v>12653.26</v>
      </c>
      <c r="G156" s="490">
        <v>836650.46</v>
      </c>
      <c r="H156" s="490">
        <v>132294.6</v>
      </c>
      <c r="I156" s="490">
        <v>149814.28</v>
      </c>
      <c r="J156" s="490">
        <v>255889.42</v>
      </c>
      <c r="K156" s="490">
        <v>0</v>
      </c>
      <c r="L156" s="490">
        <v>0</v>
      </c>
      <c r="M156" s="490">
        <v>355236.48</v>
      </c>
      <c r="N156" s="300">
        <v>1.04E-2</v>
      </c>
      <c r="O156" s="492">
        <v>0.25159999999999999</v>
      </c>
      <c r="P156" s="490">
        <v>0</v>
      </c>
      <c r="Q156" s="493">
        <v>0</v>
      </c>
      <c r="R156" s="493">
        <v>0</v>
      </c>
      <c r="S156" s="494">
        <v>0</v>
      </c>
      <c r="T156" s="495">
        <v>0</v>
      </c>
      <c r="U156" s="495">
        <v>0</v>
      </c>
      <c r="V156" s="490">
        <v>0</v>
      </c>
      <c r="W156" s="495">
        <v>0</v>
      </c>
      <c r="X156" s="495">
        <v>0</v>
      </c>
      <c r="Y156" s="490">
        <v>563.67999999999995</v>
      </c>
      <c r="Z156" s="490">
        <v>0</v>
      </c>
      <c r="AA156" s="490">
        <v>0</v>
      </c>
      <c r="AB156" s="490">
        <v>0</v>
      </c>
      <c r="AC156" s="490">
        <v>248116.09</v>
      </c>
      <c r="AD156" s="490">
        <v>26.52</v>
      </c>
      <c r="AE156" s="490">
        <v>234567.11</v>
      </c>
      <c r="AF156" s="339">
        <v>8844.9136500754139</v>
      </c>
      <c r="AG156" s="339">
        <v>9355.8103318250378</v>
      </c>
      <c r="AH156" s="496">
        <v>510.9</v>
      </c>
      <c r="AI156" s="490">
        <v>0</v>
      </c>
      <c r="AJ156" s="490">
        <v>0</v>
      </c>
      <c r="AK156" s="339">
        <v>0</v>
      </c>
      <c r="AL156" s="339">
        <v>0</v>
      </c>
      <c r="AM156" s="496">
        <v>0</v>
      </c>
      <c r="AN156" s="495">
        <v>0</v>
      </c>
      <c r="AO156" s="495">
        <v>0</v>
      </c>
      <c r="AP156" s="74"/>
      <c r="AQ156" s="303">
        <v>31463.990000000005</v>
      </c>
      <c r="AR156" s="303">
        <v>50752.47</v>
      </c>
      <c r="AS156" s="552">
        <v>22490.17</v>
      </c>
      <c r="AY156" s="67">
        <f t="shared" si="57"/>
        <v>0</v>
      </c>
      <c r="BA156" t="s">
        <v>848</v>
      </c>
      <c r="BB156" t="s">
        <v>333</v>
      </c>
      <c r="BC156" t="s">
        <v>1000</v>
      </c>
      <c r="BD156" s="491">
        <v>1.04E-2</v>
      </c>
      <c r="BE156" s="492">
        <v>0.25159999999999999</v>
      </c>
      <c r="BG156" s="510">
        <f t="shared" si="55"/>
        <v>0</v>
      </c>
      <c r="BH156" s="510">
        <f t="shared" si="56"/>
        <v>0</v>
      </c>
      <c r="BJ156" s="520">
        <f t="shared" si="58"/>
        <v>0</v>
      </c>
      <c r="BK156" s="520">
        <f t="shared" si="59"/>
        <v>0</v>
      </c>
      <c r="CB156" s="74"/>
      <c r="CC156" s="74"/>
      <c r="CD156" s="74"/>
      <c r="CE156" s="74"/>
      <c r="CF156" s="74"/>
    </row>
    <row r="157" spans="1:84">
      <c r="A157" s="283" t="s">
        <v>336</v>
      </c>
      <c r="B157" s="283" t="s">
        <v>335</v>
      </c>
      <c r="C157" s="283" t="str">
        <f t="shared" si="60"/>
        <v>31025 MARYSVILLE SCHOOL DISTRICT</v>
      </c>
      <c r="D157" s="490">
        <v>0</v>
      </c>
      <c r="E157" s="490">
        <v>0</v>
      </c>
      <c r="F157" s="490">
        <v>124742.19</v>
      </c>
      <c r="G157" s="490">
        <v>21650882.850000001</v>
      </c>
      <c r="H157" s="490">
        <v>4422694.41</v>
      </c>
      <c r="I157" s="490">
        <v>2181097.85</v>
      </c>
      <c r="J157" s="490">
        <v>4127742.72</v>
      </c>
      <c r="K157" s="490">
        <v>1912696.63</v>
      </c>
      <c r="L157" s="490">
        <v>326864.24</v>
      </c>
      <c r="M157" s="490">
        <v>8653318.4499999993</v>
      </c>
      <c r="N157" s="300">
        <v>4.1399999999999999E-2</v>
      </c>
      <c r="O157" s="492">
        <v>0.1419</v>
      </c>
      <c r="P157" s="490">
        <v>0</v>
      </c>
      <c r="Q157" s="493">
        <v>0</v>
      </c>
      <c r="R157" s="493">
        <v>0</v>
      </c>
      <c r="S157" s="494">
        <v>0</v>
      </c>
      <c r="T157" s="495">
        <v>0</v>
      </c>
      <c r="U157" s="495">
        <v>0</v>
      </c>
      <c r="V157" s="490">
        <v>0</v>
      </c>
      <c r="W157" s="495">
        <v>0</v>
      </c>
      <c r="X157" s="495">
        <v>0</v>
      </c>
      <c r="Y157" s="490">
        <v>11198.76</v>
      </c>
      <c r="Z157" s="490">
        <v>191572.28</v>
      </c>
      <c r="AA157" s="490">
        <v>535764.36</v>
      </c>
      <c r="AB157" s="490">
        <v>2067305.71</v>
      </c>
      <c r="AC157" s="490">
        <v>6052268.7800000003</v>
      </c>
      <c r="AD157" s="490">
        <v>572.69000000000005</v>
      </c>
      <c r="AE157" s="490">
        <v>5693642.7699999996</v>
      </c>
      <c r="AF157" s="339">
        <v>9941.9280413487213</v>
      </c>
      <c r="AG157" s="339">
        <v>10568.141193315754</v>
      </c>
      <c r="AH157" s="496">
        <v>626.21</v>
      </c>
      <c r="AI157" s="490">
        <v>200.26</v>
      </c>
      <c r="AJ157" s="490">
        <v>1946743.32</v>
      </c>
      <c r="AK157" s="339">
        <v>9721.079197043844</v>
      </c>
      <c r="AL157" s="339">
        <v>10323.10850893838</v>
      </c>
      <c r="AM157" s="496">
        <v>602.03</v>
      </c>
      <c r="AN157" s="495">
        <v>0</v>
      </c>
      <c r="AO157" s="495">
        <v>0</v>
      </c>
      <c r="AP157" s="74"/>
      <c r="AQ157" s="303">
        <v>0</v>
      </c>
      <c r="AR157" s="303">
        <v>1191812.83</v>
      </c>
      <c r="AS157" s="552">
        <v>294078.80000000005</v>
      </c>
      <c r="AY157" s="67">
        <f t="shared" si="57"/>
        <v>0</v>
      </c>
      <c r="BA157" t="s">
        <v>850</v>
      </c>
      <c r="BB157" t="s">
        <v>335</v>
      </c>
      <c r="BC157" t="s">
        <v>1001</v>
      </c>
      <c r="BD157" s="491">
        <v>4.1399999999999999E-2</v>
      </c>
      <c r="BE157" s="492">
        <v>0.1419</v>
      </c>
      <c r="BG157" s="510">
        <f t="shared" si="55"/>
        <v>0</v>
      </c>
      <c r="BH157" s="510">
        <f t="shared" si="56"/>
        <v>0</v>
      </c>
      <c r="BJ157" s="520">
        <f t="shared" si="58"/>
        <v>0</v>
      </c>
      <c r="BK157" s="520">
        <f t="shared" si="59"/>
        <v>0</v>
      </c>
      <c r="CB157" s="74"/>
      <c r="CC157" s="74"/>
      <c r="CD157" s="74"/>
      <c r="CE157" s="74"/>
      <c r="CF157" s="74"/>
    </row>
    <row r="158" spans="1:84">
      <c r="A158" s="283" t="s">
        <v>338</v>
      </c>
      <c r="B158" s="283" t="s">
        <v>337</v>
      </c>
      <c r="C158" s="283" t="str">
        <f t="shared" si="60"/>
        <v>14065 MC CLEARY SCHOOL DISTRICT</v>
      </c>
      <c r="D158" s="490">
        <v>0</v>
      </c>
      <c r="E158" s="490">
        <v>0</v>
      </c>
      <c r="F158" s="490">
        <v>0</v>
      </c>
      <c r="G158" s="490">
        <v>617902.76</v>
      </c>
      <c r="H158" s="490">
        <v>87429.32</v>
      </c>
      <c r="I158" s="490">
        <v>92776.8</v>
      </c>
      <c r="J158" s="490">
        <v>126853.83</v>
      </c>
      <c r="K158" s="490">
        <v>6839.04</v>
      </c>
      <c r="L158" s="490">
        <v>9558.19</v>
      </c>
      <c r="M158" s="490">
        <v>180883.51</v>
      </c>
      <c r="N158" s="300">
        <v>4.6899999999999997E-2</v>
      </c>
      <c r="O158" s="492">
        <v>0.22869999999999999</v>
      </c>
      <c r="P158" s="490">
        <v>0</v>
      </c>
      <c r="Q158" s="493">
        <v>0</v>
      </c>
      <c r="R158" s="493">
        <v>0</v>
      </c>
      <c r="S158" s="494">
        <v>0</v>
      </c>
      <c r="T158" s="495">
        <v>0</v>
      </c>
      <c r="U158" s="495">
        <v>0</v>
      </c>
      <c r="V158" s="490">
        <v>0</v>
      </c>
      <c r="W158" s="495">
        <v>0</v>
      </c>
      <c r="X158" s="495">
        <v>0</v>
      </c>
      <c r="Y158" s="490">
        <v>391.45</v>
      </c>
      <c r="Z158" s="490">
        <v>0</v>
      </c>
      <c r="AA158" s="490">
        <v>0</v>
      </c>
      <c r="AB158" s="490">
        <v>0</v>
      </c>
      <c r="AC158" s="490">
        <v>0</v>
      </c>
      <c r="AD158" s="490">
        <v>0</v>
      </c>
      <c r="AE158" s="490">
        <v>0</v>
      </c>
      <c r="AF158" s="339">
        <v>0</v>
      </c>
      <c r="AG158" s="339">
        <v>0</v>
      </c>
      <c r="AH158" s="496">
        <v>0</v>
      </c>
      <c r="AI158" s="490">
        <v>0</v>
      </c>
      <c r="AJ158" s="490">
        <v>0</v>
      </c>
      <c r="AK158" s="339">
        <v>0</v>
      </c>
      <c r="AL158" s="339">
        <v>0</v>
      </c>
      <c r="AM158" s="496">
        <v>0</v>
      </c>
      <c r="AN158" s="495">
        <v>0</v>
      </c>
      <c r="AO158" s="495">
        <v>0</v>
      </c>
      <c r="AP158" s="74"/>
      <c r="AQ158" s="303">
        <v>0</v>
      </c>
      <c r="AR158" s="303">
        <v>36816.57</v>
      </c>
      <c r="AS158" s="552">
        <v>18888.349999999999</v>
      </c>
      <c r="AY158" s="67">
        <f t="shared" si="57"/>
        <v>0</v>
      </c>
      <c r="BA158" t="s">
        <v>845</v>
      </c>
      <c r="BB158" t="s">
        <v>337</v>
      </c>
      <c r="BC158" t="s">
        <v>1002</v>
      </c>
      <c r="BD158" s="491">
        <v>4.6899999999999997E-2</v>
      </c>
      <c r="BE158" s="492">
        <v>0.22869999999999999</v>
      </c>
      <c r="BG158" s="510">
        <f t="shared" si="55"/>
        <v>0</v>
      </c>
      <c r="BH158" s="510">
        <f t="shared" si="56"/>
        <v>0</v>
      </c>
      <c r="BJ158" s="520">
        <f t="shared" si="58"/>
        <v>0</v>
      </c>
      <c r="BK158" s="520">
        <f t="shared" si="59"/>
        <v>0</v>
      </c>
      <c r="CB158" s="74"/>
      <c r="CC158" s="74"/>
      <c r="CD158" s="74"/>
      <c r="CE158" s="74"/>
      <c r="CF158" s="74"/>
    </row>
    <row r="159" spans="1:84">
      <c r="A159" s="283" t="s">
        <v>340</v>
      </c>
      <c r="B159" s="283" t="s">
        <v>339</v>
      </c>
      <c r="C159" s="283" t="str">
        <f t="shared" si="60"/>
        <v>32354 MEAD SCHOOL DISTRICT</v>
      </c>
      <c r="D159" s="490">
        <v>0</v>
      </c>
      <c r="E159" s="490">
        <v>17233.55</v>
      </c>
      <c r="F159" s="490">
        <v>11021.21</v>
      </c>
      <c r="G159" s="490">
        <v>18097900.59</v>
      </c>
      <c r="H159" s="490">
        <v>4297261.62</v>
      </c>
      <c r="I159" s="490">
        <v>130611.2</v>
      </c>
      <c r="J159" s="490">
        <v>2211467.98</v>
      </c>
      <c r="K159" s="490">
        <v>664652.17000000004</v>
      </c>
      <c r="L159" s="490">
        <v>313574.38</v>
      </c>
      <c r="M159" s="490">
        <v>6256553.7300000004</v>
      </c>
      <c r="N159" s="300">
        <v>2.7699999999999999E-2</v>
      </c>
      <c r="O159" s="492">
        <v>0.1285</v>
      </c>
      <c r="P159" s="490">
        <v>0</v>
      </c>
      <c r="Q159" s="493">
        <v>0</v>
      </c>
      <c r="R159" s="493">
        <v>0</v>
      </c>
      <c r="S159" s="494">
        <v>0</v>
      </c>
      <c r="T159" s="495">
        <v>0</v>
      </c>
      <c r="U159" s="495">
        <v>0</v>
      </c>
      <c r="V159" s="490">
        <v>0</v>
      </c>
      <c r="W159" s="495">
        <v>0</v>
      </c>
      <c r="X159" s="495">
        <v>0</v>
      </c>
      <c r="Y159" s="490">
        <v>11159.61</v>
      </c>
      <c r="Z159" s="490">
        <v>256504.15</v>
      </c>
      <c r="AA159" s="490">
        <v>6914.93</v>
      </c>
      <c r="AB159" s="490">
        <v>3176642.03</v>
      </c>
      <c r="AC159" s="490">
        <v>3913494.97</v>
      </c>
      <c r="AD159" s="490">
        <v>394.24</v>
      </c>
      <c r="AE159" s="490">
        <v>3567086.94</v>
      </c>
      <c r="AF159" s="339">
        <v>9048.0086749188304</v>
      </c>
      <c r="AG159" s="339">
        <v>9926.681640625</v>
      </c>
      <c r="AH159" s="496">
        <v>878.67</v>
      </c>
      <c r="AI159" s="490">
        <v>338.53</v>
      </c>
      <c r="AJ159" s="490">
        <v>2989137.96</v>
      </c>
      <c r="AK159" s="339">
        <v>8829.757953504859</v>
      </c>
      <c r="AL159" s="339">
        <v>9383.6352169674774</v>
      </c>
      <c r="AM159" s="496">
        <v>553.88</v>
      </c>
      <c r="AN159" s="495">
        <v>0</v>
      </c>
      <c r="AO159" s="495">
        <v>0</v>
      </c>
      <c r="AP159" s="74"/>
      <c r="AQ159" s="303">
        <v>4786.3299999998417</v>
      </c>
      <c r="AR159" s="303">
        <v>991374.97</v>
      </c>
      <c r="AS159" s="552">
        <v>314818.3</v>
      </c>
      <c r="AY159" s="67">
        <f t="shared" si="57"/>
        <v>0</v>
      </c>
      <c r="BA159" t="s">
        <v>848</v>
      </c>
      <c r="BB159" t="s">
        <v>339</v>
      </c>
      <c r="BC159" t="s">
        <v>1003</v>
      </c>
      <c r="BD159" s="491">
        <v>2.7699999999999999E-2</v>
      </c>
      <c r="BE159" s="492">
        <v>0.1285</v>
      </c>
      <c r="BG159" s="510">
        <f t="shared" si="55"/>
        <v>0</v>
      </c>
      <c r="BH159" s="510">
        <f t="shared" si="56"/>
        <v>0</v>
      </c>
      <c r="BJ159" s="520">
        <f t="shared" si="58"/>
        <v>0</v>
      </c>
      <c r="BK159" s="520">
        <f t="shared" si="59"/>
        <v>0</v>
      </c>
      <c r="CB159" s="74"/>
      <c r="CC159" s="74"/>
      <c r="CD159" s="74"/>
      <c r="CE159" s="74"/>
      <c r="CF159" s="74"/>
    </row>
    <row r="160" spans="1:84">
      <c r="A160" s="283" t="s">
        <v>342</v>
      </c>
      <c r="B160" s="283" t="s">
        <v>341</v>
      </c>
      <c r="C160" s="283" t="str">
        <f t="shared" si="60"/>
        <v>32326 MEDICAL LAKE SCHOOL DISTRICT</v>
      </c>
      <c r="D160" s="490">
        <v>0</v>
      </c>
      <c r="E160" s="490">
        <v>0</v>
      </c>
      <c r="F160" s="490">
        <v>0</v>
      </c>
      <c r="G160" s="490">
        <v>2628100.37</v>
      </c>
      <c r="H160" s="490">
        <v>315482.76</v>
      </c>
      <c r="I160" s="490">
        <v>0</v>
      </c>
      <c r="J160" s="490">
        <v>453079.07</v>
      </c>
      <c r="K160" s="490">
        <v>24395.99</v>
      </c>
      <c r="L160" s="490">
        <v>51115.56</v>
      </c>
      <c r="M160" s="490">
        <v>1338261.24</v>
      </c>
      <c r="N160" s="300">
        <v>4.6199999999999998E-2</v>
      </c>
      <c r="O160" s="492">
        <v>0.1762</v>
      </c>
      <c r="P160" s="490">
        <v>0</v>
      </c>
      <c r="Q160" s="493">
        <v>0</v>
      </c>
      <c r="R160" s="493">
        <v>0</v>
      </c>
      <c r="S160" s="494">
        <v>0</v>
      </c>
      <c r="T160" s="495">
        <v>0</v>
      </c>
      <c r="U160" s="495">
        <v>0</v>
      </c>
      <c r="V160" s="490">
        <v>219451.15</v>
      </c>
      <c r="W160" s="495">
        <v>0</v>
      </c>
      <c r="X160" s="495">
        <v>9208.5400000000009</v>
      </c>
      <c r="Y160" s="490">
        <v>0</v>
      </c>
      <c r="Z160" s="490">
        <v>0</v>
      </c>
      <c r="AA160" s="490">
        <v>0</v>
      </c>
      <c r="AB160" s="490">
        <v>0</v>
      </c>
      <c r="AC160" s="490">
        <v>1062069.3999999999</v>
      </c>
      <c r="AD160" s="490">
        <v>114.68</v>
      </c>
      <c r="AE160" s="490">
        <v>1014539.91</v>
      </c>
      <c r="AF160" s="339">
        <v>8846.7030868503662</v>
      </c>
      <c r="AG160" s="339">
        <v>9261.1562608998938</v>
      </c>
      <c r="AH160" s="496">
        <v>414.45</v>
      </c>
      <c r="AI160" s="490">
        <v>0</v>
      </c>
      <c r="AJ160" s="490">
        <v>0</v>
      </c>
      <c r="AK160" s="339">
        <v>0</v>
      </c>
      <c r="AL160" s="339">
        <v>0</v>
      </c>
      <c r="AM160" s="496">
        <v>0</v>
      </c>
      <c r="AN160" s="495">
        <v>0</v>
      </c>
      <c r="AO160" s="495">
        <v>0</v>
      </c>
      <c r="AP160" s="74"/>
      <c r="AQ160" s="303">
        <v>38430.71000000005</v>
      </c>
      <c r="AR160" s="303">
        <v>169847.85</v>
      </c>
      <c r="AS160" s="552">
        <v>65421.51</v>
      </c>
      <c r="AY160" s="67">
        <f t="shared" si="57"/>
        <v>0</v>
      </c>
      <c r="BA160" t="s">
        <v>848</v>
      </c>
      <c r="BB160" t="s">
        <v>341</v>
      </c>
      <c r="BC160" t="s">
        <v>1004</v>
      </c>
      <c r="BD160" s="491">
        <v>4.6199999999999998E-2</v>
      </c>
      <c r="BE160" s="492">
        <v>0.1762</v>
      </c>
      <c r="BG160" s="510">
        <f t="shared" si="55"/>
        <v>0</v>
      </c>
      <c r="BH160" s="510">
        <f t="shared" si="56"/>
        <v>0</v>
      </c>
      <c r="BJ160" s="520">
        <f t="shared" si="58"/>
        <v>0</v>
      </c>
      <c r="BK160" s="520">
        <f t="shared" si="59"/>
        <v>0</v>
      </c>
      <c r="CB160" s="74"/>
      <c r="CC160" s="74"/>
      <c r="CD160" s="74"/>
      <c r="CE160" s="74"/>
      <c r="CF160" s="74"/>
    </row>
    <row r="161" spans="1:84">
      <c r="A161" s="283" t="s">
        <v>344</v>
      </c>
      <c r="B161" s="283" t="s">
        <v>343</v>
      </c>
      <c r="C161" s="283" t="str">
        <f t="shared" si="60"/>
        <v>17400 MERCER ISLAND SCHOOL DISTRICT</v>
      </c>
      <c r="D161" s="490">
        <v>0</v>
      </c>
      <c r="E161" s="490">
        <v>0</v>
      </c>
      <c r="F161" s="490">
        <v>0</v>
      </c>
      <c r="G161" s="490">
        <v>7719426.8899999997</v>
      </c>
      <c r="H161" s="490">
        <v>758553.77</v>
      </c>
      <c r="I161" s="490">
        <v>0</v>
      </c>
      <c r="J161" s="490">
        <v>156342.06</v>
      </c>
      <c r="K161" s="490">
        <v>347709.35</v>
      </c>
      <c r="L161" s="490">
        <v>135913.03</v>
      </c>
      <c r="M161" s="490">
        <v>1812202.26</v>
      </c>
      <c r="N161" s="300">
        <v>2.98E-2</v>
      </c>
      <c r="O161" s="492">
        <v>0.15229999999999999</v>
      </c>
      <c r="P161" s="490">
        <v>0</v>
      </c>
      <c r="Q161" s="493">
        <v>0</v>
      </c>
      <c r="R161" s="493">
        <v>0</v>
      </c>
      <c r="S161" s="494">
        <v>0</v>
      </c>
      <c r="T161" s="495">
        <v>0</v>
      </c>
      <c r="U161" s="495">
        <v>0</v>
      </c>
      <c r="V161" s="490">
        <v>0</v>
      </c>
      <c r="W161" s="495">
        <v>0</v>
      </c>
      <c r="X161" s="495">
        <v>0</v>
      </c>
      <c r="Y161" s="490">
        <v>0</v>
      </c>
      <c r="Z161" s="490">
        <v>16546.78</v>
      </c>
      <c r="AA161" s="490">
        <v>26556.39</v>
      </c>
      <c r="AB161" s="490">
        <v>152520.68</v>
      </c>
      <c r="AC161" s="490">
        <v>3051638.34</v>
      </c>
      <c r="AD161" s="490">
        <v>290.60000000000002</v>
      </c>
      <c r="AE161" s="490">
        <v>2889189.95</v>
      </c>
      <c r="AF161" s="339">
        <v>9942.1539917412247</v>
      </c>
      <c r="AG161" s="339">
        <v>10501.164280798346</v>
      </c>
      <c r="AH161" s="496">
        <v>559.01</v>
      </c>
      <c r="AI161" s="490">
        <v>14.78</v>
      </c>
      <c r="AJ161" s="490">
        <v>143596.87</v>
      </c>
      <c r="AK161" s="339">
        <v>9715.6204330175915</v>
      </c>
      <c r="AL161" s="339">
        <v>10319.39648173207</v>
      </c>
      <c r="AM161" s="496">
        <v>603.78</v>
      </c>
      <c r="AN161" s="495">
        <v>0</v>
      </c>
      <c r="AO161" s="495">
        <v>0</v>
      </c>
      <c r="AP161" s="74"/>
      <c r="AQ161" s="303">
        <v>0</v>
      </c>
      <c r="AR161" s="303">
        <v>434207.62999999995</v>
      </c>
      <c r="AS161" s="552">
        <v>83082.03</v>
      </c>
      <c r="AY161" s="67">
        <f t="shared" si="57"/>
        <v>0</v>
      </c>
      <c r="BA161" t="s">
        <v>856</v>
      </c>
      <c r="BB161" t="s">
        <v>343</v>
      </c>
      <c r="BC161" t="s">
        <v>1005</v>
      </c>
      <c r="BD161" s="491">
        <v>2.98E-2</v>
      </c>
      <c r="BE161" s="492">
        <v>0.15229999999999999</v>
      </c>
      <c r="BG161" s="510">
        <f t="shared" si="55"/>
        <v>0</v>
      </c>
      <c r="BH161" s="510">
        <f t="shared" si="56"/>
        <v>0</v>
      </c>
      <c r="BJ161" s="520">
        <f t="shared" si="58"/>
        <v>0</v>
      </c>
      <c r="BK161" s="520">
        <f t="shared" si="59"/>
        <v>0</v>
      </c>
      <c r="CB161" s="74"/>
      <c r="CC161" s="74"/>
      <c r="CD161" s="74"/>
      <c r="CE161" s="74"/>
      <c r="CF161" s="74"/>
    </row>
    <row r="162" spans="1:84">
      <c r="A162" s="283" t="s">
        <v>346</v>
      </c>
      <c r="B162" s="283" t="s">
        <v>345</v>
      </c>
      <c r="C162" s="283" t="str">
        <f t="shared" si="60"/>
        <v>37505 MERIDIAN SCHOOL DISTRICT</v>
      </c>
      <c r="D162" s="490">
        <v>0</v>
      </c>
      <c r="E162" s="490">
        <v>29390.19</v>
      </c>
      <c r="F162" s="490">
        <v>0</v>
      </c>
      <c r="G162" s="490">
        <v>2947063.29</v>
      </c>
      <c r="H162" s="490">
        <v>365040.33</v>
      </c>
      <c r="I162" s="490">
        <v>0</v>
      </c>
      <c r="J162" s="490">
        <v>496730.75</v>
      </c>
      <c r="K162" s="490">
        <v>406980.15</v>
      </c>
      <c r="L162" s="490">
        <v>60011.59</v>
      </c>
      <c r="M162" s="490">
        <v>1319192.98</v>
      </c>
      <c r="N162" s="300">
        <v>5.5800000000000002E-2</v>
      </c>
      <c r="O162" s="492">
        <v>0.26550000000000001</v>
      </c>
      <c r="P162" s="490">
        <v>0</v>
      </c>
      <c r="Q162" s="493">
        <v>0</v>
      </c>
      <c r="R162" s="493">
        <v>0</v>
      </c>
      <c r="S162" s="494">
        <v>0</v>
      </c>
      <c r="T162" s="495">
        <v>0</v>
      </c>
      <c r="U162" s="495">
        <v>0</v>
      </c>
      <c r="V162" s="490">
        <v>0</v>
      </c>
      <c r="W162" s="495">
        <v>0</v>
      </c>
      <c r="X162" s="495">
        <v>0</v>
      </c>
      <c r="Y162" s="490">
        <v>2119.41</v>
      </c>
      <c r="Z162" s="490">
        <v>0</v>
      </c>
      <c r="AA162" s="490">
        <v>0</v>
      </c>
      <c r="AB162" s="490">
        <v>0</v>
      </c>
      <c r="AC162" s="490">
        <v>677492.67</v>
      </c>
      <c r="AD162" s="490">
        <v>64.66</v>
      </c>
      <c r="AE162" s="490">
        <v>619325.19999999995</v>
      </c>
      <c r="AF162" s="339">
        <v>9578.1812557995672</v>
      </c>
      <c r="AG162" s="339">
        <v>10477.770955768638</v>
      </c>
      <c r="AH162" s="496">
        <v>899.59</v>
      </c>
      <c r="AI162" s="490">
        <v>0</v>
      </c>
      <c r="AJ162" s="490">
        <v>0</v>
      </c>
      <c r="AK162" s="339">
        <v>0</v>
      </c>
      <c r="AL162" s="339">
        <v>0</v>
      </c>
      <c r="AM162" s="496">
        <v>0</v>
      </c>
      <c r="AN162" s="495">
        <v>0</v>
      </c>
      <c r="AO162" s="495">
        <v>0</v>
      </c>
      <c r="AP162" s="74"/>
      <c r="AQ162" s="303">
        <v>0</v>
      </c>
      <c r="AR162" s="303">
        <v>177146.85</v>
      </c>
      <c r="AS162" s="552">
        <v>61209.710000000006</v>
      </c>
      <c r="AY162" s="67">
        <f t="shared" si="57"/>
        <v>0</v>
      </c>
      <c r="BA162" t="s">
        <v>850</v>
      </c>
      <c r="BB162" t="s">
        <v>345</v>
      </c>
      <c r="BC162" t="s">
        <v>1006</v>
      </c>
      <c r="BD162" s="491">
        <v>5.5800000000000002E-2</v>
      </c>
      <c r="BE162" s="492">
        <v>0.26550000000000001</v>
      </c>
      <c r="BG162" s="510">
        <f t="shared" si="55"/>
        <v>0</v>
      </c>
      <c r="BH162" s="510">
        <f t="shared" si="56"/>
        <v>0</v>
      </c>
      <c r="BJ162" s="520">
        <f t="shared" si="58"/>
        <v>0</v>
      </c>
      <c r="BK162" s="520">
        <f t="shared" si="59"/>
        <v>0</v>
      </c>
      <c r="CB162" s="74"/>
      <c r="CC162" s="74"/>
      <c r="CD162" s="74"/>
      <c r="CE162" s="74"/>
      <c r="CF162" s="74"/>
    </row>
    <row r="163" spans="1:84">
      <c r="A163" s="283" t="s">
        <v>348</v>
      </c>
      <c r="B163" s="283" t="s">
        <v>347</v>
      </c>
      <c r="C163" s="283" t="str">
        <f t="shared" si="60"/>
        <v>24350 METHOW VALLEY SCHOOL DISTRICT</v>
      </c>
      <c r="D163" s="490">
        <v>0</v>
      </c>
      <c r="E163" s="490">
        <v>0</v>
      </c>
      <c r="F163" s="490">
        <v>0</v>
      </c>
      <c r="G163" s="490">
        <v>0</v>
      </c>
      <c r="H163" s="490">
        <v>0</v>
      </c>
      <c r="I163" s="490">
        <v>10804.93</v>
      </c>
      <c r="J163" s="490">
        <v>173190.27</v>
      </c>
      <c r="K163" s="490">
        <v>44198.58</v>
      </c>
      <c r="L163" s="490">
        <v>22440.959999999999</v>
      </c>
      <c r="M163" s="490">
        <v>848301.47</v>
      </c>
      <c r="N163" s="300">
        <v>2.9700000000000001E-2</v>
      </c>
      <c r="O163" s="492">
        <v>0.21049999999999999</v>
      </c>
      <c r="P163" s="490">
        <v>0</v>
      </c>
      <c r="Q163" s="493">
        <v>0</v>
      </c>
      <c r="R163" s="493">
        <v>0</v>
      </c>
      <c r="S163" s="494">
        <v>0</v>
      </c>
      <c r="T163" s="495">
        <v>0</v>
      </c>
      <c r="U163" s="495">
        <v>0</v>
      </c>
      <c r="V163" s="490">
        <v>0</v>
      </c>
      <c r="W163" s="495">
        <v>0</v>
      </c>
      <c r="X163" s="495">
        <v>0</v>
      </c>
      <c r="Y163" s="490">
        <v>0</v>
      </c>
      <c r="Z163" s="490">
        <v>0</v>
      </c>
      <c r="AA163" s="490">
        <v>0</v>
      </c>
      <c r="AB163" s="490">
        <v>89790.080000000002</v>
      </c>
      <c r="AC163" s="490">
        <v>412834.76</v>
      </c>
      <c r="AD163" s="490">
        <v>44.23</v>
      </c>
      <c r="AE163" s="490">
        <v>391498.03</v>
      </c>
      <c r="AF163" s="339">
        <v>8851.4137463260249</v>
      </c>
      <c r="AG163" s="339">
        <v>9333.817770743839</v>
      </c>
      <c r="AH163" s="496">
        <v>482.4</v>
      </c>
      <c r="AI163" s="490">
        <v>9.8000000000000007</v>
      </c>
      <c r="AJ163" s="490">
        <v>84672.14</v>
      </c>
      <c r="AK163" s="339">
        <v>8640.0142857142855</v>
      </c>
      <c r="AL163" s="339">
        <v>9162.25306122449</v>
      </c>
      <c r="AM163" s="496">
        <v>522.24</v>
      </c>
      <c r="AN163" s="495">
        <v>0</v>
      </c>
      <c r="AO163" s="495">
        <v>0</v>
      </c>
      <c r="AP163" s="74"/>
      <c r="AQ163" s="303">
        <v>0</v>
      </c>
      <c r="AR163" s="303">
        <v>66405.180000000008</v>
      </c>
      <c r="AS163" s="552">
        <v>31088.059999999998</v>
      </c>
      <c r="AY163" s="67">
        <f t="shared" si="57"/>
        <v>0</v>
      </c>
      <c r="BA163" t="s">
        <v>871</v>
      </c>
      <c r="BB163" t="s">
        <v>347</v>
      </c>
      <c r="BC163" t="s">
        <v>1007</v>
      </c>
      <c r="BD163" s="491">
        <v>2.9700000000000001E-2</v>
      </c>
      <c r="BE163" s="492">
        <v>0.21049999999999999</v>
      </c>
      <c r="BG163" s="510">
        <f t="shared" si="55"/>
        <v>0</v>
      </c>
      <c r="BH163" s="510">
        <f t="shared" si="56"/>
        <v>0</v>
      </c>
      <c r="BJ163" s="520">
        <f t="shared" si="58"/>
        <v>0</v>
      </c>
      <c r="BK163" s="520">
        <f t="shared" si="59"/>
        <v>0</v>
      </c>
      <c r="CB163" s="74"/>
      <c r="CC163" s="74"/>
      <c r="CD163" s="74"/>
      <c r="CE163" s="74"/>
      <c r="CF163" s="74"/>
    </row>
    <row r="164" spans="1:84">
      <c r="A164" s="283" t="s">
        <v>350</v>
      </c>
      <c r="B164" s="283" t="s">
        <v>349</v>
      </c>
      <c r="C164" s="283" t="str">
        <f t="shared" si="60"/>
        <v>30031 MILL A SCHOOL DISTRICT</v>
      </c>
      <c r="D164" s="490">
        <v>0</v>
      </c>
      <c r="E164" s="490">
        <v>0</v>
      </c>
      <c r="F164" s="490">
        <v>0</v>
      </c>
      <c r="G164" s="490">
        <v>0</v>
      </c>
      <c r="H164" s="490">
        <v>0</v>
      </c>
      <c r="I164" s="490">
        <v>11947.74</v>
      </c>
      <c r="J164" s="490">
        <v>23168.240000000002</v>
      </c>
      <c r="K164" s="490">
        <v>0</v>
      </c>
      <c r="L164" s="490">
        <v>0</v>
      </c>
      <c r="M164" s="490">
        <v>114099.6</v>
      </c>
      <c r="N164" s="300">
        <v>6.8400000000000002E-2</v>
      </c>
      <c r="O164" s="492">
        <v>0.26869999999999999</v>
      </c>
      <c r="P164" s="490">
        <v>0</v>
      </c>
      <c r="Q164" s="493">
        <v>0</v>
      </c>
      <c r="R164" s="493">
        <v>0</v>
      </c>
      <c r="S164" s="494">
        <v>0</v>
      </c>
      <c r="T164" s="495">
        <v>0</v>
      </c>
      <c r="U164" s="495">
        <v>0</v>
      </c>
      <c r="V164" s="490">
        <v>0</v>
      </c>
      <c r="W164" s="495">
        <v>0</v>
      </c>
      <c r="X164" s="495">
        <v>0</v>
      </c>
      <c r="Y164" s="490">
        <v>0</v>
      </c>
      <c r="Z164" s="490">
        <v>0</v>
      </c>
      <c r="AA164" s="490">
        <v>0</v>
      </c>
      <c r="AB164" s="490">
        <v>0</v>
      </c>
      <c r="AC164" s="490">
        <v>0</v>
      </c>
      <c r="AD164" s="490">
        <v>0</v>
      </c>
      <c r="AE164" s="490">
        <v>0</v>
      </c>
      <c r="AF164" s="339">
        <v>0</v>
      </c>
      <c r="AG164" s="339">
        <v>0</v>
      </c>
      <c r="AH164" s="496">
        <v>0</v>
      </c>
      <c r="AI164" s="490">
        <v>0</v>
      </c>
      <c r="AJ164" s="490">
        <v>0</v>
      </c>
      <c r="AK164" s="339">
        <v>0</v>
      </c>
      <c r="AL164" s="339">
        <v>0</v>
      </c>
      <c r="AM164" s="496">
        <v>0</v>
      </c>
      <c r="AN164" s="495">
        <v>0</v>
      </c>
      <c r="AO164" s="495">
        <v>0</v>
      </c>
      <c r="AP164" s="74"/>
      <c r="AQ164" s="303">
        <v>55622.670000000013</v>
      </c>
      <c r="AR164" s="303">
        <v>19199.190000000002</v>
      </c>
      <c r="AS164" s="552">
        <v>12062.34</v>
      </c>
      <c r="AY164" s="67">
        <f t="shared" si="57"/>
        <v>0</v>
      </c>
      <c r="BA164" t="s">
        <v>859</v>
      </c>
      <c r="BB164" t="s">
        <v>349</v>
      </c>
      <c r="BC164" t="s">
        <v>1008</v>
      </c>
      <c r="BD164" s="491">
        <v>6.8400000000000002E-2</v>
      </c>
      <c r="BE164" s="492">
        <v>0.26869999999999999</v>
      </c>
      <c r="BG164" s="510">
        <f t="shared" si="55"/>
        <v>0</v>
      </c>
      <c r="BH164" s="510">
        <f t="shared" si="56"/>
        <v>0</v>
      </c>
      <c r="BJ164" s="520">
        <f t="shared" si="58"/>
        <v>0</v>
      </c>
      <c r="BK164" s="520">
        <f t="shared" si="59"/>
        <v>0</v>
      </c>
      <c r="CB164" s="74"/>
      <c r="CC164" s="74"/>
      <c r="CD164" s="74"/>
      <c r="CE164" s="74"/>
      <c r="CF164" s="74"/>
    </row>
    <row r="165" spans="1:84">
      <c r="A165" s="283" t="s">
        <v>352</v>
      </c>
      <c r="B165" s="283" t="s">
        <v>351</v>
      </c>
      <c r="C165" s="283" t="str">
        <f t="shared" si="60"/>
        <v>31103 MONROE SCHOOL DISTRICT</v>
      </c>
      <c r="D165" s="490">
        <v>0</v>
      </c>
      <c r="E165" s="490">
        <v>0</v>
      </c>
      <c r="F165" s="490">
        <v>0</v>
      </c>
      <c r="G165" s="490">
        <v>11469807.810000001</v>
      </c>
      <c r="H165" s="490">
        <v>1393610.15</v>
      </c>
      <c r="I165" s="490">
        <v>223277.11</v>
      </c>
      <c r="J165" s="490">
        <v>1411524.82</v>
      </c>
      <c r="K165" s="490">
        <v>1477262.98</v>
      </c>
      <c r="L165" s="490">
        <v>188547.79</v>
      </c>
      <c r="M165" s="490">
        <v>4165018.83</v>
      </c>
      <c r="N165" s="300">
        <v>5.5800000000000002E-2</v>
      </c>
      <c r="O165" s="492">
        <v>0.1762</v>
      </c>
      <c r="P165" s="490">
        <v>0</v>
      </c>
      <c r="Q165" s="493">
        <v>0</v>
      </c>
      <c r="R165" s="493">
        <v>0</v>
      </c>
      <c r="S165" s="494">
        <v>0</v>
      </c>
      <c r="T165" s="495">
        <v>0</v>
      </c>
      <c r="U165" s="495">
        <v>0</v>
      </c>
      <c r="V165" s="490">
        <v>0</v>
      </c>
      <c r="W165" s="495">
        <v>0</v>
      </c>
      <c r="X165" s="495">
        <v>0</v>
      </c>
      <c r="Y165" s="490">
        <v>6367.18</v>
      </c>
      <c r="Z165" s="490">
        <v>74334.850000000006</v>
      </c>
      <c r="AA165" s="490">
        <v>148941.12</v>
      </c>
      <c r="AB165" s="490">
        <v>854945.11</v>
      </c>
      <c r="AC165" s="490">
        <v>3721759.97</v>
      </c>
      <c r="AD165" s="490">
        <v>347.97</v>
      </c>
      <c r="AE165" s="490">
        <v>3459373.53</v>
      </c>
      <c r="AF165" s="339">
        <v>9941.5855677213531</v>
      </c>
      <c r="AG165" s="339">
        <v>10695.634594936344</v>
      </c>
      <c r="AH165" s="496">
        <v>754.05</v>
      </c>
      <c r="AI165" s="490">
        <v>82.82</v>
      </c>
      <c r="AJ165" s="490">
        <v>805065.2</v>
      </c>
      <c r="AK165" s="339">
        <v>9720.6616759236895</v>
      </c>
      <c r="AL165" s="339">
        <v>10322.930572325526</v>
      </c>
      <c r="AM165" s="496">
        <v>602.27</v>
      </c>
      <c r="AN165" s="495">
        <v>0</v>
      </c>
      <c r="AO165" s="495">
        <v>0</v>
      </c>
      <c r="AP165" s="74"/>
      <c r="AQ165" s="303">
        <v>0</v>
      </c>
      <c r="AR165" s="303">
        <v>584414.21</v>
      </c>
      <c r="AS165" s="552">
        <v>151923.21000000002</v>
      </c>
      <c r="AY165" s="67">
        <f t="shared" si="57"/>
        <v>0</v>
      </c>
      <c r="BA165" t="s">
        <v>850</v>
      </c>
      <c r="BB165" t="s">
        <v>351</v>
      </c>
      <c r="BC165" t="s">
        <v>1009</v>
      </c>
      <c r="BD165" s="491">
        <v>5.5800000000000002E-2</v>
      </c>
      <c r="BE165" s="492">
        <v>0.1762</v>
      </c>
      <c r="BG165" s="510">
        <f t="shared" si="55"/>
        <v>0</v>
      </c>
      <c r="BH165" s="510">
        <f t="shared" si="56"/>
        <v>0</v>
      </c>
      <c r="BJ165" s="520">
        <f t="shared" si="58"/>
        <v>0</v>
      </c>
      <c r="BK165" s="520">
        <f t="shared" si="59"/>
        <v>0</v>
      </c>
      <c r="CB165" s="74"/>
      <c r="CC165" s="74"/>
      <c r="CD165" s="74"/>
      <c r="CE165" s="74"/>
      <c r="CF165" s="74"/>
    </row>
    <row r="166" spans="1:84">
      <c r="A166" s="283" t="s">
        <v>354</v>
      </c>
      <c r="B166" s="283" t="s">
        <v>353</v>
      </c>
      <c r="C166" s="283" t="str">
        <f t="shared" si="60"/>
        <v>14066 MONTESANO SCHOOL DISTRICT</v>
      </c>
      <c r="D166" s="490">
        <v>0</v>
      </c>
      <c r="E166" s="490">
        <v>0</v>
      </c>
      <c r="F166" s="490">
        <v>0</v>
      </c>
      <c r="G166" s="490">
        <v>2553972.16</v>
      </c>
      <c r="H166" s="490">
        <v>485434.8</v>
      </c>
      <c r="I166" s="490">
        <v>0</v>
      </c>
      <c r="J166" s="490">
        <v>357840.71</v>
      </c>
      <c r="K166" s="490">
        <v>63577.72</v>
      </c>
      <c r="L166" s="490">
        <v>43749.22</v>
      </c>
      <c r="M166" s="490">
        <v>570786.54</v>
      </c>
      <c r="N166" s="300">
        <v>3.0800000000000001E-2</v>
      </c>
      <c r="O166" s="492">
        <v>0.1234</v>
      </c>
      <c r="P166" s="490">
        <v>0</v>
      </c>
      <c r="Q166" s="493">
        <v>0</v>
      </c>
      <c r="R166" s="493">
        <v>0</v>
      </c>
      <c r="S166" s="494">
        <v>0</v>
      </c>
      <c r="T166" s="495">
        <v>0</v>
      </c>
      <c r="U166" s="495">
        <v>0</v>
      </c>
      <c r="V166" s="490">
        <v>0</v>
      </c>
      <c r="W166" s="495">
        <v>0</v>
      </c>
      <c r="X166" s="495">
        <v>0</v>
      </c>
      <c r="Y166" s="490">
        <v>0</v>
      </c>
      <c r="Z166" s="490">
        <v>16068.53</v>
      </c>
      <c r="AA166" s="490">
        <v>18163.02</v>
      </c>
      <c r="AB166" s="490">
        <v>278113.06</v>
      </c>
      <c r="AC166" s="490">
        <v>1205469.8700000001</v>
      </c>
      <c r="AD166" s="490">
        <v>122.62</v>
      </c>
      <c r="AE166" s="490">
        <v>1106337.43</v>
      </c>
      <c r="AF166" s="339">
        <v>9022.4876039797746</v>
      </c>
      <c r="AG166" s="339">
        <v>9830.9400587179916</v>
      </c>
      <c r="AH166" s="496">
        <v>808.45</v>
      </c>
      <c r="AI166" s="490">
        <v>29.72</v>
      </c>
      <c r="AJ166" s="490">
        <v>261755.73</v>
      </c>
      <c r="AK166" s="339">
        <v>8807.3933378196507</v>
      </c>
      <c r="AL166" s="339">
        <v>9357.774562584118</v>
      </c>
      <c r="AM166" s="496">
        <v>550.38</v>
      </c>
      <c r="AN166" s="495">
        <v>2886.05</v>
      </c>
      <c r="AO166" s="495">
        <v>0</v>
      </c>
      <c r="AP166" s="74"/>
      <c r="AQ166" s="303">
        <v>0</v>
      </c>
      <c r="AR166" s="303">
        <v>144944.43</v>
      </c>
      <c r="AS166" s="552">
        <v>51711.369999999995</v>
      </c>
      <c r="AY166" s="67">
        <f t="shared" si="57"/>
        <v>0</v>
      </c>
      <c r="BA166" t="s">
        <v>845</v>
      </c>
      <c r="BB166" t="s">
        <v>353</v>
      </c>
      <c r="BC166" t="s">
        <v>1010</v>
      </c>
      <c r="BD166" s="491">
        <v>3.0800000000000001E-2</v>
      </c>
      <c r="BE166" s="492">
        <v>0.1234</v>
      </c>
      <c r="BG166" s="510">
        <f t="shared" si="55"/>
        <v>0</v>
      </c>
      <c r="BH166" s="510">
        <f t="shared" si="56"/>
        <v>0</v>
      </c>
      <c r="BJ166" s="520">
        <f t="shared" si="58"/>
        <v>0</v>
      </c>
      <c r="BK166" s="520">
        <f t="shared" si="59"/>
        <v>0</v>
      </c>
      <c r="CB166" s="74"/>
      <c r="CC166" s="74"/>
      <c r="CD166" s="74"/>
      <c r="CE166" s="74"/>
      <c r="CF166" s="74"/>
    </row>
    <row r="167" spans="1:84">
      <c r="A167" s="283" t="s">
        <v>356</v>
      </c>
      <c r="B167" s="283" t="s">
        <v>355</v>
      </c>
      <c r="C167" s="283" t="str">
        <f t="shared" si="60"/>
        <v>21214 MORTON SCHOOL DISTRICT</v>
      </c>
      <c r="D167" s="490">
        <v>0</v>
      </c>
      <c r="E167" s="490">
        <v>0</v>
      </c>
      <c r="F167" s="490">
        <v>0</v>
      </c>
      <c r="G167" s="490">
        <v>642885.85</v>
      </c>
      <c r="H167" s="490">
        <v>141418.79</v>
      </c>
      <c r="I167" s="490">
        <v>125918.8</v>
      </c>
      <c r="J167" s="490">
        <v>160723.07</v>
      </c>
      <c r="K167" s="490">
        <v>0</v>
      </c>
      <c r="L167" s="490">
        <v>11947.74</v>
      </c>
      <c r="M167" s="490">
        <v>423432.7</v>
      </c>
      <c r="N167" s="300">
        <v>1.32E-2</v>
      </c>
      <c r="O167" s="492">
        <v>0.21790000000000001</v>
      </c>
      <c r="P167" s="490">
        <v>0</v>
      </c>
      <c r="Q167" s="493">
        <v>0</v>
      </c>
      <c r="R167" s="493">
        <v>0</v>
      </c>
      <c r="S167" s="494">
        <v>0</v>
      </c>
      <c r="T167" s="495">
        <v>0</v>
      </c>
      <c r="U167" s="495">
        <v>0</v>
      </c>
      <c r="V167" s="490">
        <v>0</v>
      </c>
      <c r="W167" s="495">
        <v>0</v>
      </c>
      <c r="X167" s="495">
        <v>0</v>
      </c>
      <c r="Y167" s="490">
        <v>546.91</v>
      </c>
      <c r="Z167" s="490">
        <v>13128.54</v>
      </c>
      <c r="AA167" s="490">
        <v>0</v>
      </c>
      <c r="AB167" s="490">
        <v>338952.3</v>
      </c>
      <c r="AC167" s="490">
        <v>707236.25</v>
      </c>
      <c r="AD167" s="490">
        <v>74.78</v>
      </c>
      <c r="AE167" s="490">
        <v>661563.59</v>
      </c>
      <c r="AF167" s="339">
        <v>8846.7984755282159</v>
      </c>
      <c r="AG167" s="339">
        <v>9457.5588392618338</v>
      </c>
      <c r="AH167" s="496">
        <v>610.76</v>
      </c>
      <c r="AI167" s="490">
        <v>36.97</v>
      </c>
      <c r="AJ167" s="490">
        <v>319043.19</v>
      </c>
      <c r="AK167" s="339">
        <v>8629.7860427373544</v>
      </c>
      <c r="AL167" s="339">
        <v>9168.3067351906957</v>
      </c>
      <c r="AM167" s="496">
        <v>538.52</v>
      </c>
      <c r="AN167" s="495">
        <v>0</v>
      </c>
      <c r="AO167" s="495">
        <v>0</v>
      </c>
      <c r="AP167" s="74"/>
      <c r="AQ167" s="303">
        <v>0</v>
      </c>
      <c r="AR167" s="303">
        <v>49444.759999999995</v>
      </c>
      <c r="AS167" s="552">
        <v>8013.16</v>
      </c>
      <c r="AY167" s="67">
        <f t="shared" si="57"/>
        <v>0</v>
      </c>
      <c r="BA167" t="s">
        <v>845</v>
      </c>
      <c r="BB167" t="s">
        <v>355</v>
      </c>
      <c r="BC167" t="s">
        <v>1011</v>
      </c>
      <c r="BD167" s="491">
        <v>1.32E-2</v>
      </c>
      <c r="BE167" s="492">
        <v>0.21790000000000001</v>
      </c>
      <c r="BG167" s="510">
        <f t="shared" si="55"/>
        <v>0</v>
      </c>
      <c r="BH167" s="510">
        <f t="shared" si="56"/>
        <v>0</v>
      </c>
      <c r="BJ167" s="520">
        <f t="shared" si="58"/>
        <v>0</v>
      </c>
      <c r="BK167" s="520">
        <f t="shared" si="59"/>
        <v>0</v>
      </c>
      <c r="CB167" s="74"/>
      <c r="CC167" s="74"/>
      <c r="CD167" s="74"/>
      <c r="CE167" s="74"/>
      <c r="CF167" s="74"/>
    </row>
    <row r="168" spans="1:84">
      <c r="A168" s="283" t="s">
        <v>358</v>
      </c>
      <c r="B168" s="283" t="s">
        <v>357</v>
      </c>
      <c r="C168" s="283" t="str">
        <f t="shared" si="60"/>
        <v>13161 MOSES LAKE SCHOOL DISTRICT</v>
      </c>
      <c r="D168" s="490">
        <v>0</v>
      </c>
      <c r="E168" s="490">
        <v>286463.14</v>
      </c>
      <c r="F168" s="490">
        <v>226901</v>
      </c>
      <c r="G168" s="490">
        <v>15145926.960000001</v>
      </c>
      <c r="H168" s="490">
        <v>2822040.99</v>
      </c>
      <c r="I168" s="490">
        <v>2316127.7799999998</v>
      </c>
      <c r="J168" s="490">
        <v>3718792.29</v>
      </c>
      <c r="K168" s="490">
        <v>2061127.44</v>
      </c>
      <c r="L168" s="490">
        <v>260388.09</v>
      </c>
      <c r="M168" s="490">
        <v>5439703.5800000001</v>
      </c>
      <c r="N168" s="300">
        <v>4.5400000000000003E-2</v>
      </c>
      <c r="O168" s="492">
        <v>0.1615</v>
      </c>
      <c r="P168" s="490">
        <v>0</v>
      </c>
      <c r="Q168" s="493">
        <v>0</v>
      </c>
      <c r="R168" s="493">
        <v>0</v>
      </c>
      <c r="S168" s="494">
        <v>0</v>
      </c>
      <c r="T168" s="495">
        <v>0</v>
      </c>
      <c r="U168" s="495">
        <v>0</v>
      </c>
      <c r="V168" s="490">
        <v>0</v>
      </c>
      <c r="W168" s="495">
        <v>0</v>
      </c>
      <c r="X168" s="495">
        <v>0</v>
      </c>
      <c r="Y168" s="490">
        <v>671.05</v>
      </c>
      <c r="Z168" s="490">
        <v>0</v>
      </c>
      <c r="AA168" s="490">
        <v>0</v>
      </c>
      <c r="AB168" s="490">
        <v>462769.63</v>
      </c>
      <c r="AC168" s="490">
        <v>4660870.17</v>
      </c>
      <c r="AD168" s="490">
        <v>482.98</v>
      </c>
      <c r="AE168" s="490">
        <v>4317105.54</v>
      </c>
      <c r="AF168" s="339">
        <v>8938.4768313387722</v>
      </c>
      <c r="AG168" s="339">
        <v>9650.23431612075</v>
      </c>
      <c r="AH168" s="496">
        <v>711.76</v>
      </c>
      <c r="AI168" s="490">
        <v>49.97</v>
      </c>
      <c r="AJ168" s="490">
        <v>435904.92</v>
      </c>
      <c r="AK168" s="339">
        <v>8723.3323994396633</v>
      </c>
      <c r="AL168" s="339">
        <v>9260.9491695017005</v>
      </c>
      <c r="AM168" s="496">
        <v>537.62</v>
      </c>
      <c r="AN168" s="495">
        <v>2678.37</v>
      </c>
      <c r="AO168" s="495">
        <v>0</v>
      </c>
      <c r="AP168" s="74"/>
      <c r="AQ168" s="303">
        <v>97277.14000000013</v>
      </c>
      <c r="AR168" s="303">
        <v>944313.54</v>
      </c>
      <c r="AS168" s="552">
        <v>258118.73</v>
      </c>
      <c r="AY168" s="67">
        <f t="shared" si="57"/>
        <v>0</v>
      </c>
      <c r="BA168" t="s">
        <v>871</v>
      </c>
      <c r="BB168" t="s">
        <v>357</v>
      </c>
      <c r="BC168" t="s">
        <v>1012</v>
      </c>
      <c r="BD168" s="491">
        <v>4.5400000000000003E-2</v>
      </c>
      <c r="BE168" s="492">
        <v>0.1615</v>
      </c>
      <c r="BG168" s="510">
        <f t="shared" si="55"/>
        <v>0</v>
      </c>
      <c r="BH168" s="510">
        <f t="shared" si="56"/>
        <v>0</v>
      </c>
      <c r="BJ168" s="520">
        <f t="shared" si="58"/>
        <v>0</v>
      </c>
      <c r="BK168" s="520">
        <f t="shared" si="59"/>
        <v>0</v>
      </c>
      <c r="CB168" s="74"/>
      <c r="CC168" s="74"/>
      <c r="CD168" s="74"/>
      <c r="CE168" s="74"/>
      <c r="CF168" s="74"/>
    </row>
    <row r="169" spans="1:84">
      <c r="A169" s="283" t="s">
        <v>360</v>
      </c>
      <c r="B169" s="283" t="s">
        <v>359</v>
      </c>
      <c r="C169" s="283" t="str">
        <f t="shared" si="60"/>
        <v>21206 MOSSYROCK SCHOOL DISTRICT</v>
      </c>
      <c r="D169" s="490">
        <v>0</v>
      </c>
      <c r="E169" s="490">
        <v>17477.849999999999</v>
      </c>
      <c r="F169" s="490">
        <v>15522.49</v>
      </c>
      <c r="G169" s="490">
        <v>1293091.6000000001</v>
      </c>
      <c r="H169" s="490">
        <v>294838.93</v>
      </c>
      <c r="I169" s="490">
        <v>182021.23</v>
      </c>
      <c r="J169" s="490">
        <v>237292.52</v>
      </c>
      <c r="K169" s="490">
        <v>97788.09</v>
      </c>
      <c r="L169" s="490">
        <v>18493.009999999998</v>
      </c>
      <c r="M169" s="490">
        <v>512857.51</v>
      </c>
      <c r="N169" s="300">
        <v>6.6299999999999998E-2</v>
      </c>
      <c r="O169" s="492">
        <v>0.1779</v>
      </c>
      <c r="P169" s="490">
        <v>0</v>
      </c>
      <c r="Q169" s="493">
        <v>0</v>
      </c>
      <c r="R169" s="493">
        <v>0</v>
      </c>
      <c r="S169" s="494">
        <v>0</v>
      </c>
      <c r="T169" s="495">
        <v>0</v>
      </c>
      <c r="U169" s="495">
        <v>0</v>
      </c>
      <c r="V169" s="490">
        <v>0</v>
      </c>
      <c r="W169" s="495">
        <v>0</v>
      </c>
      <c r="X169" s="495">
        <v>0</v>
      </c>
      <c r="Y169" s="490">
        <v>678.88</v>
      </c>
      <c r="Z169" s="490">
        <v>14624.2</v>
      </c>
      <c r="AA169" s="490">
        <v>40932.080000000002</v>
      </c>
      <c r="AB169" s="490">
        <v>142450.35</v>
      </c>
      <c r="AC169" s="490">
        <v>421917.8</v>
      </c>
      <c r="AD169" s="490">
        <v>44.62</v>
      </c>
      <c r="AE169" s="490">
        <v>394886</v>
      </c>
      <c r="AF169" s="339">
        <v>8849.9775885253257</v>
      </c>
      <c r="AG169" s="339">
        <v>9455.8000896458998</v>
      </c>
      <c r="AH169" s="496">
        <v>605.82000000000005</v>
      </c>
      <c r="AI169" s="490">
        <v>15.53</v>
      </c>
      <c r="AJ169" s="490">
        <v>134048.73000000001</v>
      </c>
      <c r="AK169" s="339">
        <v>8631.5988409529946</v>
      </c>
      <c r="AL169" s="339">
        <v>9172.5917578879598</v>
      </c>
      <c r="AM169" s="496">
        <v>540.99</v>
      </c>
      <c r="AN169" s="495">
        <v>0</v>
      </c>
      <c r="AO169" s="495">
        <v>0</v>
      </c>
      <c r="AP169" s="74"/>
      <c r="AQ169" s="303">
        <v>0</v>
      </c>
      <c r="AR169" s="303">
        <v>68914.959999999992</v>
      </c>
      <c r="AS169" s="552">
        <v>27950.989999999998</v>
      </c>
      <c r="AY169" s="67">
        <f t="shared" si="57"/>
        <v>0</v>
      </c>
      <c r="BA169" t="s">
        <v>845</v>
      </c>
      <c r="BB169" t="s">
        <v>359</v>
      </c>
      <c r="BC169" t="s">
        <v>1013</v>
      </c>
      <c r="BD169" s="491">
        <v>6.6299999999999998E-2</v>
      </c>
      <c r="BE169" s="492">
        <v>0.1779</v>
      </c>
      <c r="BG169" s="510">
        <f t="shared" si="55"/>
        <v>0</v>
      </c>
      <c r="BH169" s="510">
        <f t="shared" si="56"/>
        <v>0</v>
      </c>
      <c r="BJ169" s="520">
        <f t="shared" si="58"/>
        <v>0</v>
      </c>
      <c r="BK169" s="520">
        <f t="shared" si="59"/>
        <v>0</v>
      </c>
      <c r="CB169" s="74"/>
      <c r="CC169" s="74"/>
      <c r="CD169" s="74"/>
      <c r="CE169" s="74"/>
      <c r="CF169" s="74"/>
    </row>
    <row r="170" spans="1:84">
      <c r="A170" s="283" t="s">
        <v>362</v>
      </c>
      <c r="B170" s="283" t="s">
        <v>361</v>
      </c>
      <c r="C170" s="283" t="str">
        <f t="shared" si="60"/>
        <v>39209 MOUNT ADAMS SCHOOL DISTRICT</v>
      </c>
      <c r="D170" s="490">
        <v>0</v>
      </c>
      <c r="E170" s="490">
        <v>0</v>
      </c>
      <c r="F170" s="490">
        <v>0</v>
      </c>
      <c r="G170" s="490">
        <v>1337324.32</v>
      </c>
      <c r="H170" s="490">
        <v>189729.81</v>
      </c>
      <c r="I170" s="490">
        <v>269603.34999999998</v>
      </c>
      <c r="J170" s="490">
        <v>585335.36</v>
      </c>
      <c r="K170" s="490">
        <v>205171.27</v>
      </c>
      <c r="L170" s="490">
        <v>26077.23</v>
      </c>
      <c r="M170" s="490">
        <v>1010288.29</v>
      </c>
      <c r="N170" s="300">
        <v>5.8099999999999999E-2</v>
      </c>
      <c r="O170" s="492">
        <v>0.23930000000000001</v>
      </c>
      <c r="P170" s="490">
        <v>0</v>
      </c>
      <c r="Q170" s="493">
        <v>0</v>
      </c>
      <c r="R170" s="493">
        <v>0</v>
      </c>
      <c r="S170" s="494">
        <v>0</v>
      </c>
      <c r="T170" s="495">
        <v>0</v>
      </c>
      <c r="U170" s="495">
        <v>0</v>
      </c>
      <c r="V170" s="490">
        <v>0</v>
      </c>
      <c r="W170" s="495">
        <v>0</v>
      </c>
      <c r="X170" s="495">
        <v>0</v>
      </c>
      <c r="Y170" s="490">
        <v>985.33</v>
      </c>
      <c r="Z170" s="490">
        <v>0</v>
      </c>
      <c r="AA170" s="490">
        <v>0</v>
      </c>
      <c r="AB170" s="490">
        <v>0</v>
      </c>
      <c r="AC170" s="490">
        <v>614837.16</v>
      </c>
      <c r="AD170" s="490">
        <v>67.069999999999993</v>
      </c>
      <c r="AE170" s="490">
        <v>593403.9</v>
      </c>
      <c r="AF170" s="339">
        <v>8847.5309378261536</v>
      </c>
      <c r="AG170" s="339">
        <v>9167.0964663784125</v>
      </c>
      <c r="AH170" s="496">
        <v>319.57</v>
      </c>
      <c r="AI170" s="490">
        <v>0</v>
      </c>
      <c r="AJ170" s="490">
        <v>0</v>
      </c>
      <c r="AK170" s="339">
        <v>0</v>
      </c>
      <c r="AL170" s="339">
        <v>0</v>
      </c>
      <c r="AM170" s="496">
        <v>0</v>
      </c>
      <c r="AN170" s="495">
        <v>2850.61</v>
      </c>
      <c r="AO170" s="495">
        <v>0</v>
      </c>
      <c r="AP170" s="74"/>
      <c r="AQ170" s="303">
        <v>7115.699999999968</v>
      </c>
      <c r="AR170" s="303">
        <v>99115.1</v>
      </c>
      <c r="AS170" s="553">
        <v>35735.56</v>
      </c>
      <c r="AY170" s="67">
        <f t="shared" si="57"/>
        <v>0</v>
      </c>
      <c r="BA170" t="s">
        <v>865</v>
      </c>
      <c r="BB170" t="s">
        <v>361</v>
      </c>
      <c r="BC170" t="s">
        <v>1014</v>
      </c>
      <c r="BD170" s="491">
        <v>5.8099999999999999E-2</v>
      </c>
      <c r="BE170" s="492">
        <v>0.23930000000000001</v>
      </c>
      <c r="BG170" s="510">
        <f t="shared" si="55"/>
        <v>0</v>
      </c>
      <c r="BH170" s="510">
        <f t="shared" si="56"/>
        <v>0</v>
      </c>
      <c r="BJ170" s="520">
        <f t="shared" si="58"/>
        <v>0</v>
      </c>
      <c r="BK170" s="520">
        <f t="shared" si="59"/>
        <v>0</v>
      </c>
      <c r="CB170" s="74"/>
      <c r="CC170" s="74"/>
      <c r="CD170" s="74"/>
      <c r="CE170" s="74"/>
      <c r="CF170" s="74"/>
    </row>
    <row r="171" spans="1:84">
      <c r="A171" s="283" t="s">
        <v>364</v>
      </c>
      <c r="B171" s="283" t="s">
        <v>363</v>
      </c>
      <c r="C171" s="283" t="str">
        <f t="shared" si="60"/>
        <v>37507 MOUNT BAKER SCHOOL DISTRICT</v>
      </c>
      <c r="D171" s="490">
        <v>0</v>
      </c>
      <c r="E171" s="490">
        <v>38972.99</v>
      </c>
      <c r="F171" s="490">
        <v>0</v>
      </c>
      <c r="G171" s="490">
        <v>3602574.58</v>
      </c>
      <c r="H171" s="490">
        <v>506965.06</v>
      </c>
      <c r="I171" s="490">
        <v>273806.28999999998</v>
      </c>
      <c r="J171" s="490">
        <v>621329.65</v>
      </c>
      <c r="K171" s="490">
        <v>162575.57</v>
      </c>
      <c r="L171" s="490">
        <v>50414.42</v>
      </c>
      <c r="M171" s="490">
        <v>2149363.9700000002</v>
      </c>
      <c r="N171" s="300">
        <v>2.3699999999999999E-2</v>
      </c>
      <c r="O171" s="492">
        <v>0.1431</v>
      </c>
      <c r="P171" s="490">
        <v>0</v>
      </c>
      <c r="Q171" s="493">
        <v>0</v>
      </c>
      <c r="R171" s="493">
        <v>0</v>
      </c>
      <c r="S171" s="494">
        <v>0</v>
      </c>
      <c r="T171" s="495">
        <v>0</v>
      </c>
      <c r="U171" s="495">
        <v>0</v>
      </c>
      <c r="V171" s="490">
        <v>0</v>
      </c>
      <c r="W171" s="495">
        <v>0</v>
      </c>
      <c r="X171" s="495">
        <v>0</v>
      </c>
      <c r="Y171" s="490">
        <v>1797.3</v>
      </c>
      <c r="Z171" s="490">
        <v>7270.2</v>
      </c>
      <c r="AA171" s="490">
        <v>0</v>
      </c>
      <c r="AB171" s="490">
        <v>113398.51</v>
      </c>
      <c r="AC171" s="490">
        <v>845814.66</v>
      </c>
      <c r="AD171" s="490">
        <v>83.24</v>
      </c>
      <c r="AE171" s="490">
        <v>782057.57</v>
      </c>
      <c r="AF171" s="339">
        <v>9395.2134790965883</v>
      </c>
      <c r="AG171" s="339">
        <v>10161.156415185009</v>
      </c>
      <c r="AH171" s="496">
        <v>765.94</v>
      </c>
      <c r="AI171" s="490">
        <v>11.63</v>
      </c>
      <c r="AJ171" s="490">
        <v>106627.55</v>
      </c>
      <c r="AK171" s="339">
        <v>9168.3190025795357</v>
      </c>
      <c r="AL171" s="339">
        <v>9750.5167669819421</v>
      </c>
      <c r="AM171" s="496">
        <v>582.20000000000005</v>
      </c>
      <c r="AN171" s="495">
        <v>0</v>
      </c>
      <c r="AO171" s="495">
        <v>0</v>
      </c>
      <c r="AP171" s="74"/>
      <c r="AQ171" s="303">
        <v>363320.32000000001</v>
      </c>
      <c r="AR171" s="303">
        <v>178840.65999999997</v>
      </c>
      <c r="AS171" s="552">
        <v>58159.78</v>
      </c>
      <c r="AY171" s="67">
        <f t="shared" si="57"/>
        <v>0</v>
      </c>
      <c r="BA171" t="s">
        <v>850</v>
      </c>
      <c r="BB171" t="s">
        <v>363</v>
      </c>
      <c r="BC171" t="s">
        <v>1015</v>
      </c>
      <c r="BD171" s="491">
        <v>2.3699999999999999E-2</v>
      </c>
      <c r="BE171" s="492">
        <v>0.1431</v>
      </c>
      <c r="BG171" s="510">
        <f t="shared" si="55"/>
        <v>0</v>
      </c>
      <c r="BH171" s="510">
        <f t="shared" si="56"/>
        <v>0</v>
      </c>
      <c r="BJ171" s="520">
        <f t="shared" si="58"/>
        <v>0</v>
      </c>
      <c r="BK171" s="520">
        <f t="shared" si="59"/>
        <v>0</v>
      </c>
      <c r="CB171" s="74"/>
      <c r="CC171" s="74"/>
      <c r="CD171" s="74"/>
      <c r="CE171" s="74"/>
      <c r="CF171" s="74"/>
    </row>
    <row r="172" spans="1:84">
      <c r="A172" s="283" t="s">
        <v>366</v>
      </c>
      <c r="B172" s="283" t="s">
        <v>365</v>
      </c>
      <c r="C172" s="283" t="str">
        <f t="shared" si="60"/>
        <v>30029 MOUNT PLEASANT SCHOOL DISTRICT</v>
      </c>
      <c r="D172" s="490">
        <v>0</v>
      </c>
      <c r="E172" s="490">
        <v>0</v>
      </c>
      <c r="F172" s="490">
        <v>0</v>
      </c>
      <c r="G172" s="490">
        <v>0</v>
      </c>
      <c r="H172" s="490">
        <v>0</v>
      </c>
      <c r="I172" s="490">
        <v>0</v>
      </c>
      <c r="J172" s="490">
        <v>15523.33</v>
      </c>
      <c r="K172" s="490">
        <v>0</v>
      </c>
      <c r="L172" s="490">
        <v>2077.0700000000002</v>
      </c>
      <c r="M172" s="490">
        <v>78091.179999999993</v>
      </c>
      <c r="N172" s="300">
        <v>2.5100000000000001E-2</v>
      </c>
      <c r="O172" s="492">
        <v>0.36559999999999998</v>
      </c>
      <c r="P172" s="490">
        <v>0</v>
      </c>
      <c r="Q172" s="493">
        <v>0</v>
      </c>
      <c r="R172" s="493">
        <v>0</v>
      </c>
      <c r="S172" s="494">
        <v>0</v>
      </c>
      <c r="T172" s="495">
        <v>0</v>
      </c>
      <c r="U172" s="495">
        <v>0</v>
      </c>
      <c r="V172" s="490">
        <v>0</v>
      </c>
      <c r="W172" s="495">
        <v>0</v>
      </c>
      <c r="X172" s="495">
        <v>0</v>
      </c>
      <c r="Y172" s="490">
        <v>0</v>
      </c>
      <c r="Z172" s="490">
        <v>0</v>
      </c>
      <c r="AA172" s="490">
        <v>0</v>
      </c>
      <c r="AB172" s="490">
        <v>0</v>
      </c>
      <c r="AC172" s="490">
        <v>0</v>
      </c>
      <c r="AD172" s="490">
        <v>0</v>
      </c>
      <c r="AE172" s="490">
        <v>0</v>
      </c>
      <c r="AF172" s="339">
        <v>0</v>
      </c>
      <c r="AG172" s="339">
        <v>0</v>
      </c>
      <c r="AH172" s="496">
        <v>0</v>
      </c>
      <c r="AI172" s="490">
        <v>0</v>
      </c>
      <c r="AJ172" s="490">
        <v>0</v>
      </c>
      <c r="AK172" s="339">
        <v>0</v>
      </c>
      <c r="AL172" s="339">
        <v>0</v>
      </c>
      <c r="AM172" s="496">
        <v>0</v>
      </c>
      <c r="AN172" s="495">
        <v>0</v>
      </c>
      <c r="AO172" s="495">
        <v>0</v>
      </c>
      <c r="AP172" s="74"/>
      <c r="AQ172" s="303">
        <v>0</v>
      </c>
      <c r="AR172" s="303">
        <v>7100.55</v>
      </c>
      <c r="AS172" s="552"/>
      <c r="AY172" s="67">
        <f t="shared" si="57"/>
        <v>0</v>
      </c>
      <c r="BA172" t="s">
        <v>859</v>
      </c>
      <c r="BB172" t="s">
        <v>365</v>
      </c>
      <c r="BC172" t="s">
        <v>1016</v>
      </c>
      <c r="BD172" s="491">
        <v>2.5100000000000001E-2</v>
      </c>
      <c r="BE172" s="492">
        <v>0.36559999999999998</v>
      </c>
      <c r="BG172" s="510">
        <f t="shared" si="55"/>
        <v>0</v>
      </c>
      <c r="BH172" s="510">
        <f t="shared" si="56"/>
        <v>0</v>
      </c>
      <c r="BJ172" s="520">
        <f t="shared" si="58"/>
        <v>0</v>
      </c>
      <c r="BK172" s="520">
        <f t="shared" si="59"/>
        <v>0</v>
      </c>
      <c r="CB172" s="74"/>
      <c r="CC172" s="74"/>
      <c r="CD172" s="74"/>
      <c r="CE172" s="74"/>
      <c r="CF172" s="74"/>
    </row>
    <row r="173" spans="1:84">
      <c r="A173" s="283" t="s">
        <v>368</v>
      </c>
      <c r="B173" s="283" t="s">
        <v>367</v>
      </c>
      <c r="C173" s="283" t="str">
        <f t="shared" si="60"/>
        <v>29320 MT VERNON SCHOOL DISTRICT</v>
      </c>
      <c r="D173" s="490">
        <v>0</v>
      </c>
      <c r="E173" s="490">
        <v>301263.03999999998</v>
      </c>
      <c r="F173" s="490">
        <v>71212.34</v>
      </c>
      <c r="G173" s="490">
        <v>13672457.58</v>
      </c>
      <c r="H173" s="490">
        <v>2535729.46</v>
      </c>
      <c r="I173" s="490">
        <v>2043033.25</v>
      </c>
      <c r="J173" s="490">
        <v>3180270.12</v>
      </c>
      <c r="K173" s="490">
        <v>3152461.42</v>
      </c>
      <c r="L173" s="490">
        <v>215146.73</v>
      </c>
      <c r="M173" s="490">
        <v>4476178.49</v>
      </c>
      <c r="N173" s="300">
        <v>1.1999999999999999E-3</v>
      </c>
      <c r="O173" s="492">
        <v>0.10639999999999999</v>
      </c>
      <c r="P173" s="490">
        <v>0</v>
      </c>
      <c r="Q173" s="493">
        <v>0</v>
      </c>
      <c r="R173" s="493">
        <v>0</v>
      </c>
      <c r="S173" s="494">
        <v>0</v>
      </c>
      <c r="T173" s="495">
        <v>0</v>
      </c>
      <c r="U173" s="495">
        <v>0</v>
      </c>
      <c r="V173" s="490">
        <v>0</v>
      </c>
      <c r="W173" s="495">
        <v>0</v>
      </c>
      <c r="X173" s="495">
        <v>0</v>
      </c>
      <c r="Y173" s="490">
        <v>0</v>
      </c>
      <c r="Z173" s="490">
        <v>0</v>
      </c>
      <c r="AA173" s="490">
        <v>113537.60000000001</v>
      </c>
      <c r="AB173" s="490">
        <v>0</v>
      </c>
      <c r="AC173" s="490">
        <v>4394882.6900000004</v>
      </c>
      <c r="AD173" s="490">
        <v>433.41</v>
      </c>
      <c r="AE173" s="490">
        <v>4150908.28</v>
      </c>
      <c r="AF173" s="339">
        <v>9577.3246579451315</v>
      </c>
      <c r="AG173" s="339">
        <v>10140.242933942456</v>
      </c>
      <c r="AH173" s="496">
        <v>562.91999999999996</v>
      </c>
      <c r="AI173" s="490">
        <v>0</v>
      </c>
      <c r="AJ173" s="490">
        <v>0</v>
      </c>
      <c r="AK173" s="339">
        <v>0</v>
      </c>
      <c r="AL173" s="339">
        <v>0</v>
      </c>
      <c r="AM173" s="496">
        <v>0</v>
      </c>
      <c r="AN173" s="495">
        <v>0</v>
      </c>
      <c r="AO173" s="495">
        <v>0</v>
      </c>
      <c r="AP173" s="74"/>
      <c r="AQ173" s="303">
        <v>0</v>
      </c>
      <c r="AR173" s="303">
        <v>804636.49</v>
      </c>
      <c r="AS173" s="552">
        <v>183177.69</v>
      </c>
      <c r="AY173" s="67">
        <f t="shared" si="57"/>
        <v>0</v>
      </c>
      <c r="BA173" t="s">
        <v>850</v>
      </c>
      <c r="BB173" t="s">
        <v>367</v>
      </c>
      <c r="BC173" t="s">
        <v>1017</v>
      </c>
      <c r="BD173" s="491">
        <v>1.1999999999999999E-3</v>
      </c>
      <c r="BE173" s="492">
        <v>0.10639999999999999</v>
      </c>
      <c r="BG173" s="510">
        <f t="shared" si="55"/>
        <v>0</v>
      </c>
      <c r="BH173" s="510">
        <f t="shared" si="56"/>
        <v>0</v>
      </c>
      <c r="BJ173" s="520">
        <f t="shared" si="58"/>
        <v>0</v>
      </c>
      <c r="BK173" s="520">
        <f t="shared" si="59"/>
        <v>0</v>
      </c>
      <c r="CB173" s="74"/>
      <c r="CC173" s="74"/>
      <c r="CD173" s="74"/>
      <c r="CE173" s="74"/>
      <c r="CF173" s="74"/>
    </row>
    <row r="174" spans="1:84">
      <c r="A174" s="283" t="s">
        <v>1018</v>
      </c>
      <c r="B174" s="283" t="s">
        <v>369</v>
      </c>
      <c r="C174" s="286" t="str">
        <f>CONCATENATE(B174," ",A174," TRIBAL COMPACT")</f>
        <v>17903 MUCKLESHOOT TRIBAL COMPACT</v>
      </c>
      <c r="D174" s="490">
        <v>78369.72</v>
      </c>
      <c r="E174" s="490">
        <v>25673.279999999999</v>
      </c>
      <c r="F174" s="490">
        <v>0</v>
      </c>
      <c r="G174" s="490">
        <v>947352.56</v>
      </c>
      <c r="H174" s="490">
        <v>202567.65</v>
      </c>
      <c r="I174" s="490">
        <v>189811.8</v>
      </c>
      <c r="J174" s="490">
        <v>282251.09999999998</v>
      </c>
      <c r="K174" s="490">
        <v>0</v>
      </c>
      <c r="L174" s="490">
        <v>0</v>
      </c>
      <c r="M174" s="490">
        <v>540679.35</v>
      </c>
      <c r="N174" s="300">
        <v>0</v>
      </c>
      <c r="O174" s="492">
        <v>3.2800000000000003E-2</v>
      </c>
      <c r="P174" s="490">
        <v>0</v>
      </c>
      <c r="Q174" s="493">
        <v>0</v>
      </c>
      <c r="R174" s="493">
        <v>0</v>
      </c>
      <c r="S174" s="494">
        <v>0</v>
      </c>
      <c r="T174" s="495">
        <v>0</v>
      </c>
      <c r="U174" s="495">
        <v>0</v>
      </c>
      <c r="V174" s="490">
        <v>0</v>
      </c>
      <c r="W174" s="495">
        <v>0</v>
      </c>
      <c r="X174" s="495">
        <v>0</v>
      </c>
      <c r="Y174" s="490">
        <v>0</v>
      </c>
      <c r="Z174" s="490">
        <v>0</v>
      </c>
      <c r="AA174" s="490">
        <v>0</v>
      </c>
      <c r="AB174" s="490">
        <v>24580.78</v>
      </c>
      <c r="AC174" s="490">
        <v>290182.32</v>
      </c>
      <c r="AD174" s="490">
        <v>28.48</v>
      </c>
      <c r="AE174" s="490">
        <v>277835.86</v>
      </c>
      <c r="AF174" s="339">
        <v>9755.4726123595501</v>
      </c>
      <c r="AG174" s="339">
        <v>10188.98595505618</v>
      </c>
      <c r="AH174" s="496">
        <v>433.51</v>
      </c>
      <c r="AI174" s="490">
        <v>2.4300000000000002</v>
      </c>
      <c r="AJ174" s="490">
        <v>23210.06</v>
      </c>
      <c r="AK174" s="339">
        <v>9551.4650205761318</v>
      </c>
      <c r="AL174" s="339">
        <v>10115.54732510288</v>
      </c>
      <c r="AM174" s="496">
        <v>564.08000000000004</v>
      </c>
      <c r="AN174" s="495">
        <v>0</v>
      </c>
      <c r="AO174" s="495">
        <v>0</v>
      </c>
      <c r="AP174" s="74"/>
      <c r="AQ174" s="303">
        <v>96711</v>
      </c>
      <c r="AR174" s="303">
        <v>72589.05</v>
      </c>
      <c r="AS174" s="552"/>
      <c r="AY174" s="67">
        <f t="shared" si="57"/>
        <v>0</v>
      </c>
      <c r="BA174" t="s">
        <v>882</v>
      </c>
      <c r="BB174" t="s">
        <v>369</v>
      </c>
      <c r="BC174" t="s">
        <v>1019</v>
      </c>
      <c r="BD174" s="491">
        <v>0</v>
      </c>
      <c r="BE174" s="492">
        <v>3.2800000000000003E-2</v>
      </c>
      <c r="BG174" s="510">
        <f t="shared" si="55"/>
        <v>0</v>
      </c>
      <c r="BH174" s="510">
        <f t="shared" si="56"/>
        <v>0</v>
      </c>
      <c r="BJ174" s="520">
        <f t="shared" si="58"/>
        <v>0</v>
      </c>
      <c r="BK174" s="520">
        <f t="shared" si="59"/>
        <v>0</v>
      </c>
      <c r="CB174" s="74"/>
      <c r="CC174" s="74"/>
      <c r="CD174" s="74"/>
      <c r="CE174" s="74"/>
      <c r="CF174" s="74"/>
    </row>
    <row r="175" spans="1:84">
      <c r="A175" s="283" t="s">
        <v>372</v>
      </c>
      <c r="B175" s="283" t="s">
        <v>371</v>
      </c>
      <c r="C175" s="283" t="str">
        <f t="shared" ref="C175:C216" si="61">CONCATENATE(B175," ",A175," SCHOOL DISTRICT")</f>
        <v>31006 MUKILTEO SCHOOL DISTRICT</v>
      </c>
      <c r="D175" s="490">
        <v>0</v>
      </c>
      <c r="E175" s="490">
        <v>572806.13</v>
      </c>
      <c r="F175" s="490">
        <v>0</v>
      </c>
      <c r="G175" s="490">
        <v>31412557.43</v>
      </c>
      <c r="H175" s="490">
        <v>5303132.1600000001</v>
      </c>
      <c r="I175" s="490">
        <v>2927838.48</v>
      </c>
      <c r="J175" s="490">
        <v>5803763.2000000002</v>
      </c>
      <c r="K175" s="490">
        <v>7378050.2000000002</v>
      </c>
      <c r="L175" s="490">
        <v>528029.98</v>
      </c>
      <c r="M175" s="490">
        <v>11296126.65</v>
      </c>
      <c r="N175" s="300">
        <v>4.4499999999999998E-2</v>
      </c>
      <c r="O175" s="492">
        <v>0.12859999999999999</v>
      </c>
      <c r="P175" s="490">
        <v>0</v>
      </c>
      <c r="Q175" s="493">
        <v>0</v>
      </c>
      <c r="R175" s="493">
        <v>0</v>
      </c>
      <c r="S175" s="494">
        <v>0</v>
      </c>
      <c r="T175" s="495">
        <v>0</v>
      </c>
      <c r="U175" s="495">
        <v>0</v>
      </c>
      <c r="V175" s="490">
        <v>0</v>
      </c>
      <c r="W175" s="495">
        <v>0</v>
      </c>
      <c r="X175" s="495">
        <v>0</v>
      </c>
      <c r="Y175" s="490">
        <v>8357.9699999999993</v>
      </c>
      <c r="Z175" s="490">
        <v>115916.75</v>
      </c>
      <c r="AA175" s="490">
        <v>357802</v>
      </c>
      <c r="AB175" s="490">
        <v>1794887.8</v>
      </c>
      <c r="AC175" s="490">
        <v>5831667.8700000001</v>
      </c>
      <c r="AD175" s="490">
        <v>526.5</v>
      </c>
      <c r="AE175" s="490">
        <v>5234531.09</v>
      </c>
      <c r="AF175" s="339">
        <v>9942.1293257359921</v>
      </c>
      <c r="AG175" s="339">
        <v>11076.292250712251</v>
      </c>
      <c r="AH175" s="496">
        <v>1134.1600000000001</v>
      </c>
      <c r="AI175" s="490">
        <v>173.86</v>
      </c>
      <c r="AJ175" s="490">
        <v>1690411.49</v>
      </c>
      <c r="AK175" s="339">
        <v>9722.8315311169899</v>
      </c>
      <c r="AL175" s="339">
        <v>10323.753594846428</v>
      </c>
      <c r="AM175" s="496">
        <v>600.91999999999996</v>
      </c>
      <c r="AN175" s="495">
        <v>6600</v>
      </c>
      <c r="AO175" s="495">
        <v>0</v>
      </c>
      <c r="AP175" s="74"/>
      <c r="AQ175" s="303">
        <v>0</v>
      </c>
      <c r="AR175" s="303">
        <v>1969463.99</v>
      </c>
      <c r="AS175" s="552">
        <v>447766.01999999996</v>
      </c>
      <c r="AY175" s="67">
        <f t="shared" si="57"/>
        <v>0</v>
      </c>
      <c r="BA175" t="s">
        <v>850</v>
      </c>
      <c r="BB175" t="s">
        <v>371</v>
      </c>
      <c r="BC175" t="s">
        <v>1020</v>
      </c>
      <c r="BD175" s="491">
        <v>4.4499999999999998E-2</v>
      </c>
      <c r="BE175" s="492">
        <v>0.12859999999999999</v>
      </c>
      <c r="BG175" s="510">
        <f t="shared" si="55"/>
        <v>0</v>
      </c>
      <c r="BH175" s="510">
        <f t="shared" si="56"/>
        <v>0</v>
      </c>
      <c r="BJ175" s="520">
        <f t="shared" si="58"/>
        <v>0</v>
      </c>
      <c r="BK175" s="520">
        <f t="shared" si="59"/>
        <v>0</v>
      </c>
      <c r="CB175" s="74"/>
      <c r="CC175" s="74"/>
      <c r="CD175" s="74"/>
      <c r="CE175" s="74"/>
      <c r="CF175" s="74"/>
    </row>
    <row r="176" spans="1:84">
      <c r="A176" s="283" t="s">
        <v>374</v>
      </c>
      <c r="B176" s="283" t="s">
        <v>373</v>
      </c>
      <c r="C176" s="283" t="str">
        <f t="shared" si="61"/>
        <v>39003 NACHES VALLEY SCHOOL DISTRICT</v>
      </c>
      <c r="D176" s="490">
        <v>0</v>
      </c>
      <c r="E176" s="490">
        <v>42776.22</v>
      </c>
      <c r="F176" s="490">
        <v>25862.29</v>
      </c>
      <c r="G176" s="490">
        <v>2180803.87</v>
      </c>
      <c r="H176" s="490">
        <v>237367.92</v>
      </c>
      <c r="I176" s="490">
        <v>392301.44</v>
      </c>
      <c r="J176" s="490">
        <v>465961.86</v>
      </c>
      <c r="K176" s="490">
        <v>114018.05</v>
      </c>
      <c r="L176" s="490">
        <v>38232.76</v>
      </c>
      <c r="M176" s="490">
        <v>1088693.49</v>
      </c>
      <c r="N176" s="300">
        <v>5.6599999999999998E-2</v>
      </c>
      <c r="O176" s="492">
        <v>0.27160000000000001</v>
      </c>
      <c r="P176" s="490">
        <v>0</v>
      </c>
      <c r="Q176" s="493">
        <v>0</v>
      </c>
      <c r="R176" s="493">
        <v>0</v>
      </c>
      <c r="S176" s="494">
        <v>0</v>
      </c>
      <c r="T176" s="495">
        <v>0</v>
      </c>
      <c r="U176" s="495">
        <v>0</v>
      </c>
      <c r="V176" s="490">
        <v>0</v>
      </c>
      <c r="W176" s="495">
        <v>0</v>
      </c>
      <c r="X176" s="495">
        <v>0</v>
      </c>
      <c r="Y176" s="490">
        <v>0</v>
      </c>
      <c r="Z176" s="490">
        <v>0</v>
      </c>
      <c r="AA176" s="490">
        <v>33532.46</v>
      </c>
      <c r="AB176" s="490">
        <v>630574.55000000005</v>
      </c>
      <c r="AC176" s="490">
        <v>926009.69</v>
      </c>
      <c r="AD176" s="490">
        <v>99.44</v>
      </c>
      <c r="AE176" s="490">
        <v>879829.19</v>
      </c>
      <c r="AF176" s="339">
        <v>8847.8398028962183</v>
      </c>
      <c r="AG176" s="339">
        <v>9312.2454746580843</v>
      </c>
      <c r="AH176" s="496">
        <v>464.41</v>
      </c>
      <c r="AI176" s="490">
        <v>68.78</v>
      </c>
      <c r="AJ176" s="490">
        <v>593526.49</v>
      </c>
      <c r="AK176" s="339">
        <v>8629.3470485606285</v>
      </c>
      <c r="AL176" s="339">
        <v>9167.9928758360002</v>
      </c>
      <c r="AM176" s="496">
        <v>538.65</v>
      </c>
      <c r="AN176" s="495">
        <v>120000</v>
      </c>
      <c r="AO176" s="495">
        <v>0</v>
      </c>
      <c r="AP176" s="74"/>
      <c r="AQ176" s="303">
        <v>38980.84000000004</v>
      </c>
      <c r="AR176" s="303">
        <v>136319.87</v>
      </c>
      <c r="AS176" s="552">
        <v>48893.82</v>
      </c>
      <c r="AY176" s="67">
        <f t="shared" si="57"/>
        <v>0</v>
      </c>
      <c r="BA176" t="s">
        <v>865</v>
      </c>
      <c r="BB176" t="s">
        <v>373</v>
      </c>
      <c r="BC176" t="s">
        <v>1021</v>
      </c>
      <c r="BD176" s="491">
        <v>5.6599999999999998E-2</v>
      </c>
      <c r="BE176" s="492">
        <v>0.27160000000000001</v>
      </c>
      <c r="BG176" s="510">
        <f t="shared" si="55"/>
        <v>0</v>
      </c>
      <c r="BH176" s="510">
        <f t="shared" si="56"/>
        <v>0</v>
      </c>
      <c r="BJ176" s="520">
        <f t="shared" si="58"/>
        <v>0</v>
      </c>
      <c r="BK176" s="520">
        <f t="shared" si="59"/>
        <v>0</v>
      </c>
      <c r="CB176" s="74"/>
      <c r="CC176" s="74"/>
      <c r="CD176" s="74"/>
      <c r="CE176" s="74"/>
      <c r="CF176" s="74"/>
    </row>
    <row r="177" spans="1:84">
      <c r="A177" s="283" t="s">
        <v>376</v>
      </c>
      <c r="B177" s="283" t="s">
        <v>375</v>
      </c>
      <c r="C177" s="283" t="str">
        <f t="shared" si="61"/>
        <v>21014 NAPAVINE SCHOOL DISTRICT</v>
      </c>
      <c r="D177" s="490">
        <v>0</v>
      </c>
      <c r="E177" s="490">
        <v>0</v>
      </c>
      <c r="F177" s="490">
        <v>0</v>
      </c>
      <c r="G177" s="490">
        <v>1322760.6299999999</v>
      </c>
      <c r="H177" s="490">
        <v>120998.07</v>
      </c>
      <c r="I177" s="490">
        <v>0</v>
      </c>
      <c r="J177" s="490">
        <v>243422.22</v>
      </c>
      <c r="K177" s="490">
        <v>43484.05</v>
      </c>
      <c r="L177" s="490">
        <v>24207.17</v>
      </c>
      <c r="M177" s="490">
        <v>420265.78</v>
      </c>
      <c r="N177" s="300">
        <v>4.6899999999999997E-2</v>
      </c>
      <c r="O177" s="492">
        <v>0.1958</v>
      </c>
      <c r="P177" s="490">
        <v>0</v>
      </c>
      <c r="Q177" s="493">
        <v>0</v>
      </c>
      <c r="R177" s="493">
        <v>0</v>
      </c>
      <c r="S177" s="494">
        <v>0</v>
      </c>
      <c r="T177" s="495">
        <v>0</v>
      </c>
      <c r="U177" s="495">
        <v>0</v>
      </c>
      <c r="V177" s="490">
        <v>0</v>
      </c>
      <c r="W177" s="495">
        <v>0</v>
      </c>
      <c r="X177" s="495">
        <v>0</v>
      </c>
      <c r="Y177" s="490">
        <v>914.87</v>
      </c>
      <c r="Z177" s="490">
        <v>22613.48</v>
      </c>
      <c r="AA177" s="490">
        <v>70593.69</v>
      </c>
      <c r="AB177" s="490">
        <v>369689.39</v>
      </c>
      <c r="AC177" s="490">
        <v>1158509.6299999999</v>
      </c>
      <c r="AD177" s="490">
        <v>122.83</v>
      </c>
      <c r="AE177" s="490">
        <v>1086881.2</v>
      </c>
      <c r="AF177" s="339">
        <v>8848.6623788976631</v>
      </c>
      <c r="AG177" s="339">
        <v>9431.8133192216883</v>
      </c>
      <c r="AH177" s="496">
        <v>583.15</v>
      </c>
      <c r="AI177" s="490">
        <v>40.32</v>
      </c>
      <c r="AJ177" s="490">
        <v>347896.96</v>
      </c>
      <c r="AK177" s="339">
        <v>8628.3968253968251</v>
      </c>
      <c r="AL177" s="339">
        <v>9168.8836805555566</v>
      </c>
      <c r="AM177" s="496">
        <v>540.49</v>
      </c>
      <c r="AN177" s="495">
        <v>0</v>
      </c>
      <c r="AO177" s="495">
        <v>0</v>
      </c>
      <c r="AP177" s="74"/>
      <c r="AQ177" s="303">
        <v>0</v>
      </c>
      <c r="AR177" s="303">
        <v>79224.509999999995</v>
      </c>
      <c r="AS177" s="552">
        <v>33034.199999999997</v>
      </c>
      <c r="AY177" s="67">
        <f t="shared" si="57"/>
        <v>0</v>
      </c>
      <c r="BA177" t="s">
        <v>845</v>
      </c>
      <c r="BB177" t="s">
        <v>375</v>
      </c>
      <c r="BC177" t="s">
        <v>1022</v>
      </c>
      <c r="BD177" s="491">
        <v>4.6899999999999997E-2</v>
      </c>
      <c r="BE177" s="492">
        <v>0.1958</v>
      </c>
      <c r="BG177" s="510">
        <f t="shared" si="55"/>
        <v>0</v>
      </c>
      <c r="BH177" s="510">
        <f t="shared" si="56"/>
        <v>0</v>
      </c>
      <c r="BJ177" s="520">
        <f t="shared" si="58"/>
        <v>0</v>
      </c>
      <c r="BK177" s="520">
        <f t="shared" si="59"/>
        <v>0</v>
      </c>
      <c r="CB177" s="74"/>
      <c r="CC177" s="74"/>
      <c r="CD177" s="74"/>
      <c r="CE177" s="74"/>
      <c r="CF177" s="74"/>
    </row>
    <row r="178" spans="1:84">
      <c r="A178" s="283" t="s">
        <v>378</v>
      </c>
      <c r="B178" s="283" t="s">
        <v>377</v>
      </c>
      <c r="C178" s="283" t="str">
        <f t="shared" si="61"/>
        <v>25155 NASELLE GRAYS RIVER SCHOOL DISTRICT</v>
      </c>
      <c r="D178" s="490">
        <v>0</v>
      </c>
      <c r="E178" s="490">
        <v>0</v>
      </c>
      <c r="F178" s="490">
        <v>0</v>
      </c>
      <c r="G178" s="490">
        <v>0</v>
      </c>
      <c r="H178" s="490">
        <v>0</v>
      </c>
      <c r="I178" s="490">
        <v>95968.94</v>
      </c>
      <c r="J178" s="490">
        <v>110871.61</v>
      </c>
      <c r="K178" s="490">
        <v>16614.89</v>
      </c>
      <c r="L178" s="490">
        <v>9406.66</v>
      </c>
      <c r="M178" s="490">
        <v>307282.8</v>
      </c>
      <c r="N178" s="300">
        <v>4.8999999999999998E-3</v>
      </c>
      <c r="O178" s="492">
        <v>0.13009999999999999</v>
      </c>
      <c r="P178" s="490">
        <v>0</v>
      </c>
      <c r="Q178" s="493">
        <v>0</v>
      </c>
      <c r="R178" s="493">
        <v>0</v>
      </c>
      <c r="S178" s="494">
        <v>0</v>
      </c>
      <c r="T178" s="495">
        <v>0</v>
      </c>
      <c r="U178" s="495">
        <v>0</v>
      </c>
      <c r="V178" s="490">
        <v>0</v>
      </c>
      <c r="W178" s="495">
        <v>0</v>
      </c>
      <c r="X178" s="495">
        <v>0</v>
      </c>
      <c r="Y178" s="490">
        <v>359.01</v>
      </c>
      <c r="Z178" s="490">
        <v>0</v>
      </c>
      <c r="AA178" s="490">
        <v>0</v>
      </c>
      <c r="AB178" s="490">
        <v>0</v>
      </c>
      <c r="AC178" s="490">
        <v>122503.8</v>
      </c>
      <c r="AD178" s="490">
        <v>12</v>
      </c>
      <c r="AE178" s="490">
        <v>107241.92</v>
      </c>
      <c r="AF178" s="339">
        <v>8936.8266666666659</v>
      </c>
      <c r="AG178" s="339">
        <v>10208.65</v>
      </c>
      <c r="AH178" s="496">
        <v>1271.82</v>
      </c>
      <c r="AI178" s="490">
        <v>0</v>
      </c>
      <c r="AJ178" s="490">
        <v>0</v>
      </c>
      <c r="AK178" s="339">
        <v>0</v>
      </c>
      <c r="AL178" s="339">
        <v>0</v>
      </c>
      <c r="AM178" s="496">
        <v>0</v>
      </c>
      <c r="AN178" s="495">
        <v>2452.6999999999998</v>
      </c>
      <c r="AO178" s="495">
        <v>0</v>
      </c>
      <c r="AP178" s="74"/>
      <c r="AQ178" s="303">
        <v>874.7899999999936</v>
      </c>
      <c r="AR178" s="303">
        <v>36384.870000000003</v>
      </c>
      <c r="AS178" s="552">
        <v>18946.45</v>
      </c>
      <c r="AY178" s="67">
        <f t="shared" si="57"/>
        <v>0</v>
      </c>
      <c r="BA178" t="s">
        <v>859</v>
      </c>
      <c r="BB178" t="s">
        <v>377</v>
      </c>
      <c r="BC178" t="s">
        <v>1023</v>
      </c>
      <c r="BD178" s="491">
        <v>4.8999999999999998E-3</v>
      </c>
      <c r="BE178" s="492">
        <v>0.13009999999999999</v>
      </c>
      <c r="BG178" s="510">
        <f t="shared" si="55"/>
        <v>0</v>
      </c>
      <c r="BH178" s="510">
        <f t="shared" si="56"/>
        <v>0</v>
      </c>
      <c r="BJ178" s="520">
        <f t="shared" si="58"/>
        <v>0</v>
      </c>
      <c r="BK178" s="520">
        <f t="shared" si="59"/>
        <v>0</v>
      </c>
      <c r="CB178" s="74"/>
      <c r="CC178" s="74"/>
      <c r="CD178" s="74"/>
      <c r="CE178" s="74"/>
      <c r="CF178" s="74"/>
    </row>
    <row r="179" spans="1:84">
      <c r="A179" s="283" t="s">
        <v>380</v>
      </c>
      <c r="B179" s="283" t="s">
        <v>379</v>
      </c>
      <c r="C179" s="283" t="str">
        <f t="shared" si="61"/>
        <v>24014 NESPELEM SCHOOL DISTRICT</v>
      </c>
      <c r="D179" s="490">
        <v>0</v>
      </c>
      <c r="E179" s="490">
        <v>0</v>
      </c>
      <c r="F179" s="490">
        <v>0</v>
      </c>
      <c r="G179" s="490">
        <v>302607</v>
      </c>
      <c r="H179" s="490">
        <v>17162.259999999998</v>
      </c>
      <c r="I179" s="490">
        <v>37401.620000000003</v>
      </c>
      <c r="J179" s="490">
        <v>81452.42</v>
      </c>
      <c r="K179" s="490">
        <v>0</v>
      </c>
      <c r="L179" s="490">
        <v>0</v>
      </c>
      <c r="M179" s="490">
        <v>186004.18</v>
      </c>
      <c r="N179" s="300">
        <v>0.1109</v>
      </c>
      <c r="O179" s="492">
        <v>0.22589999999999999</v>
      </c>
      <c r="P179" s="490">
        <v>0</v>
      </c>
      <c r="Q179" s="493">
        <v>0</v>
      </c>
      <c r="R179" s="493">
        <v>0</v>
      </c>
      <c r="S179" s="494">
        <v>0</v>
      </c>
      <c r="T179" s="495">
        <v>0</v>
      </c>
      <c r="U179" s="495">
        <v>0</v>
      </c>
      <c r="V179" s="490">
        <v>0</v>
      </c>
      <c r="W179" s="495">
        <v>0</v>
      </c>
      <c r="X179" s="495">
        <v>0</v>
      </c>
      <c r="Y179" s="490">
        <v>0</v>
      </c>
      <c r="Z179" s="490">
        <v>0</v>
      </c>
      <c r="AA179" s="490">
        <v>0</v>
      </c>
      <c r="AB179" s="490">
        <v>19605.990000000002</v>
      </c>
      <c r="AC179" s="490">
        <v>8970.33</v>
      </c>
      <c r="AD179" s="490">
        <v>0.97</v>
      </c>
      <c r="AE179" s="490">
        <v>8689.74</v>
      </c>
      <c r="AF179" s="339">
        <v>8958.4948453608249</v>
      </c>
      <c r="AG179" s="339">
        <v>9247.7628865979386</v>
      </c>
      <c r="AH179" s="496">
        <v>289.27</v>
      </c>
      <c r="AI179" s="490">
        <v>2.13</v>
      </c>
      <c r="AJ179" s="490">
        <v>18597.77</v>
      </c>
      <c r="AK179" s="339">
        <v>8731.3474178403758</v>
      </c>
      <c r="AL179" s="339">
        <v>9204.6901408450722</v>
      </c>
      <c r="AM179" s="496">
        <v>473.34</v>
      </c>
      <c r="AN179" s="495">
        <v>0</v>
      </c>
      <c r="AO179" s="495">
        <v>0</v>
      </c>
      <c r="AP179" s="74"/>
      <c r="AQ179" s="303">
        <v>6999.02</v>
      </c>
      <c r="AR179" s="303">
        <v>27877.94</v>
      </c>
      <c r="AS179" s="552">
        <v>13747.05</v>
      </c>
      <c r="AY179" s="67">
        <f t="shared" si="57"/>
        <v>0</v>
      </c>
      <c r="BA179" t="s">
        <v>871</v>
      </c>
      <c r="BB179" t="s">
        <v>379</v>
      </c>
      <c r="BC179" t="s">
        <v>1024</v>
      </c>
      <c r="BD179" s="491">
        <v>0.1109</v>
      </c>
      <c r="BE179" s="492">
        <v>0.22589999999999999</v>
      </c>
      <c r="BG179" s="510">
        <f t="shared" si="55"/>
        <v>0</v>
      </c>
      <c r="BH179" s="510">
        <f t="shared" si="56"/>
        <v>0</v>
      </c>
      <c r="BJ179" s="520">
        <f t="shared" si="58"/>
        <v>0</v>
      </c>
      <c r="BK179" s="520">
        <f t="shared" si="59"/>
        <v>0</v>
      </c>
      <c r="CB179" s="74"/>
      <c r="CC179" s="74"/>
      <c r="CD179" s="74"/>
      <c r="CE179" s="74"/>
      <c r="CF179" s="74"/>
    </row>
    <row r="180" spans="1:84">
      <c r="A180" s="283" t="s">
        <v>382</v>
      </c>
      <c r="B180" s="283" t="s">
        <v>381</v>
      </c>
      <c r="C180" s="283" t="str">
        <f t="shared" si="61"/>
        <v>26056 NEWPORT SCHOOL DISTRICT</v>
      </c>
      <c r="D180" s="490">
        <v>0</v>
      </c>
      <c r="E180" s="490">
        <v>0</v>
      </c>
      <c r="F180" s="490">
        <v>6913.79</v>
      </c>
      <c r="G180" s="490">
        <v>1964250.95</v>
      </c>
      <c r="H180" s="490">
        <v>394923.19</v>
      </c>
      <c r="I180" s="490">
        <v>331316.03000000003</v>
      </c>
      <c r="J180" s="490">
        <v>431677.06</v>
      </c>
      <c r="K180" s="490">
        <v>0</v>
      </c>
      <c r="L180" s="490">
        <v>34180.93</v>
      </c>
      <c r="M180" s="490">
        <v>892703.51</v>
      </c>
      <c r="N180" s="300">
        <v>1.41E-2</v>
      </c>
      <c r="O180" s="492">
        <v>0.14410000000000001</v>
      </c>
      <c r="P180" s="490">
        <v>0</v>
      </c>
      <c r="Q180" s="493">
        <v>0</v>
      </c>
      <c r="R180" s="493">
        <v>0</v>
      </c>
      <c r="S180" s="494">
        <v>0</v>
      </c>
      <c r="T180" s="495">
        <v>0</v>
      </c>
      <c r="U180" s="495">
        <v>0</v>
      </c>
      <c r="V180" s="490">
        <v>0</v>
      </c>
      <c r="W180" s="495">
        <v>0</v>
      </c>
      <c r="X180" s="495">
        <v>0</v>
      </c>
      <c r="Y180" s="490">
        <v>0</v>
      </c>
      <c r="Z180" s="490">
        <v>0</v>
      </c>
      <c r="AA180" s="490">
        <v>59095.8</v>
      </c>
      <c r="AB180" s="490">
        <v>303754.09999999998</v>
      </c>
      <c r="AC180" s="490">
        <v>847676.01</v>
      </c>
      <c r="AD180" s="490">
        <v>91.61</v>
      </c>
      <c r="AE180" s="490">
        <v>810523.36</v>
      </c>
      <c r="AF180" s="339">
        <v>8847.5424080340581</v>
      </c>
      <c r="AG180" s="339">
        <v>9253.0947494814973</v>
      </c>
      <c r="AH180" s="496">
        <v>405.55</v>
      </c>
      <c r="AI180" s="490">
        <v>33.130000000000003</v>
      </c>
      <c r="AJ180" s="490">
        <v>285957.21000000002</v>
      </c>
      <c r="AK180" s="339">
        <v>8631.3676426199818</v>
      </c>
      <c r="AL180" s="339">
        <v>9168.5511620887391</v>
      </c>
      <c r="AM180" s="496">
        <v>537.17999999999995</v>
      </c>
      <c r="AN180" s="495">
        <v>406.71</v>
      </c>
      <c r="AO180" s="495">
        <v>0</v>
      </c>
      <c r="AP180" s="74"/>
      <c r="AQ180" s="303">
        <v>0</v>
      </c>
      <c r="AR180" s="303">
        <v>108456.7</v>
      </c>
      <c r="AS180" s="552">
        <v>41283.520000000004</v>
      </c>
      <c r="AY180" s="67">
        <f t="shared" si="57"/>
        <v>0</v>
      </c>
      <c r="BA180" t="s">
        <v>848</v>
      </c>
      <c r="BB180" t="s">
        <v>381</v>
      </c>
      <c r="BC180" t="s">
        <v>1025</v>
      </c>
      <c r="BD180" s="491">
        <v>1.41E-2</v>
      </c>
      <c r="BE180" s="492">
        <v>0.14410000000000001</v>
      </c>
      <c r="BG180" s="510">
        <f t="shared" si="55"/>
        <v>0</v>
      </c>
      <c r="BH180" s="510">
        <f t="shared" si="56"/>
        <v>0</v>
      </c>
      <c r="BJ180" s="520">
        <f t="shared" si="58"/>
        <v>0</v>
      </c>
      <c r="BK180" s="520">
        <f t="shared" si="59"/>
        <v>0</v>
      </c>
      <c r="CB180" s="74"/>
      <c r="CC180" s="74"/>
      <c r="CD180" s="74"/>
      <c r="CE180" s="74"/>
      <c r="CF180" s="74"/>
    </row>
    <row r="181" spans="1:84">
      <c r="A181" s="283" t="s">
        <v>384</v>
      </c>
      <c r="B181" s="283" t="s">
        <v>383</v>
      </c>
      <c r="C181" s="283" t="str">
        <f t="shared" si="61"/>
        <v>32325 NINE MILE FALLS SCHOOL DISTRICT</v>
      </c>
      <c r="D181" s="490">
        <v>0</v>
      </c>
      <c r="E181" s="490">
        <v>0</v>
      </c>
      <c r="F181" s="490">
        <v>0</v>
      </c>
      <c r="G181" s="490">
        <v>2188583.91</v>
      </c>
      <c r="H181" s="490">
        <v>376097.93</v>
      </c>
      <c r="I181" s="490">
        <v>0</v>
      </c>
      <c r="J181" s="490">
        <v>298827.62</v>
      </c>
      <c r="K181" s="490">
        <v>19326.79</v>
      </c>
      <c r="L181" s="490">
        <v>43641.73</v>
      </c>
      <c r="M181" s="490">
        <v>1358222</v>
      </c>
      <c r="N181" s="300">
        <v>3.8600000000000002E-2</v>
      </c>
      <c r="O181" s="492">
        <v>0.14280000000000001</v>
      </c>
      <c r="P181" s="490">
        <v>0</v>
      </c>
      <c r="Q181" s="493">
        <v>0</v>
      </c>
      <c r="R181" s="493">
        <v>0</v>
      </c>
      <c r="S181" s="494">
        <v>0</v>
      </c>
      <c r="T181" s="495">
        <v>0</v>
      </c>
      <c r="U181" s="495">
        <v>0</v>
      </c>
      <c r="V181" s="490">
        <v>0</v>
      </c>
      <c r="W181" s="495">
        <v>0</v>
      </c>
      <c r="X181" s="495">
        <v>0</v>
      </c>
      <c r="Y181" s="490">
        <v>1564.67</v>
      </c>
      <c r="Z181" s="490">
        <v>0</v>
      </c>
      <c r="AA181" s="490">
        <v>0</v>
      </c>
      <c r="AB181" s="490">
        <v>75466.210000000006</v>
      </c>
      <c r="AC181" s="490">
        <v>1037688.42</v>
      </c>
      <c r="AD181" s="490">
        <v>108</v>
      </c>
      <c r="AE181" s="490">
        <v>974335.83</v>
      </c>
      <c r="AF181" s="339">
        <v>9021.628055555555</v>
      </c>
      <c r="AG181" s="339">
        <v>9608.2261111111111</v>
      </c>
      <c r="AH181" s="496">
        <v>586.6</v>
      </c>
      <c r="AI181" s="490">
        <v>8.06</v>
      </c>
      <c r="AJ181" s="490">
        <v>70873.13</v>
      </c>
      <c r="AK181" s="339">
        <v>8793.1923076923085</v>
      </c>
      <c r="AL181" s="339">
        <v>9363.0533498759305</v>
      </c>
      <c r="AM181" s="496">
        <v>569.86</v>
      </c>
      <c r="AN181" s="495">
        <v>0</v>
      </c>
      <c r="AO181" s="495">
        <v>0</v>
      </c>
      <c r="AP181" s="74"/>
      <c r="AQ181" s="303">
        <v>0</v>
      </c>
      <c r="AR181" s="303">
        <v>138317.06</v>
      </c>
      <c r="AS181" s="552">
        <v>47877.17</v>
      </c>
      <c r="AY181" s="67">
        <f t="shared" si="57"/>
        <v>0</v>
      </c>
      <c r="BA181" t="s">
        <v>848</v>
      </c>
      <c r="BB181" t="s">
        <v>383</v>
      </c>
      <c r="BC181" t="s">
        <v>1026</v>
      </c>
      <c r="BD181" s="491">
        <v>3.8600000000000002E-2</v>
      </c>
      <c r="BE181" s="492">
        <v>0.14280000000000001</v>
      </c>
      <c r="BG181" s="510">
        <f t="shared" si="55"/>
        <v>0</v>
      </c>
      <c r="BH181" s="510">
        <f t="shared" si="56"/>
        <v>0</v>
      </c>
      <c r="BJ181" s="520">
        <f t="shared" si="58"/>
        <v>0</v>
      </c>
      <c r="BK181" s="520">
        <f t="shared" si="59"/>
        <v>0</v>
      </c>
      <c r="CB181" s="74"/>
      <c r="CC181" s="74"/>
      <c r="CD181" s="74"/>
      <c r="CE181" s="74"/>
      <c r="CF181" s="74"/>
    </row>
    <row r="182" spans="1:84">
      <c r="A182" s="283" t="s">
        <v>386</v>
      </c>
      <c r="B182" s="283" t="s">
        <v>385</v>
      </c>
      <c r="C182" s="283" t="str">
        <f t="shared" si="61"/>
        <v>37506 NOOKSACK VALLEY SCHOOL DISTRICT</v>
      </c>
      <c r="D182" s="490">
        <v>0</v>
      </c>
      <c r="E182" s="490">
        <v>63388.83</v>
      </c>
      <c r="F182" s="490">
        <v>20340.25</v>
      </c>
      <c r="G182" s="490">
        <v>3792554.98</v>
      </c>
      <c r="H182" s="490">
        <v>668756.67000000004</v>
      </c>
      <c r="I182" s="490">
        <v>477943.34</v>
      </c>
      <c r="J182" s="490">
        <v>775728.72</v>
      </c>
      <c r="K182" s="490">
        <v>459483.16</v>
      </c>
      <c r="L182" s="490">
        <v>59250.98</v>
      </c>
      <c r="M182" s="490">
        <v>1513772.14</v>
      </c>
      <c r="N182" s="300">
        <v>1.9E-2</v>
      </c>
      <c r="O182" s="492">
        <v>0.15629999999999999</v>
      </c>
      <c r="P182" s="490">
        <v>0</v>
      </c>
      <c r="Q182" s="493">
        <v>0</v>
      </c>
      <c r="R182" s="493">
        <v>0</v>
      </c>
      <c r="S182" s="494">
        <v>0</v>
      </c>
      <c r="T182" s="495">
        <v>0</v>
      </c>
      <c r="U182" s="495">
        <v>0</v>
      </c>
      <c r="V182" s="490">
        <v>0</v>
      </c>
      <c r="W182" s="495">
        <v>0</v>
      </c>
      <c r="X182" s="495">
        <v>0</v>
      </c>
      <c r="Y182" s="490">
        <v>1867.76</v>
      </c>
      <c r="Z182" s="490">
        <v>0</v>
      </c>
      <c r="AA182" s="490">
        <v>0</v>
      </c>
      <c r="AB182" s="490">
        <v>119445.84</v>
      </c>
      <c r="AC182" s="490">
        <v>1267221.74</v>
      </c>
      <c r="AD182" s="490">
        <v>128.72</v>
      </c>
      <c r="AE182" s="490">
        <v>1185825.3999999999</v>
      </c>
      <c r="AF182" s="339">
        <v>9212.4409571162214</v>
      </c>
      <c r="AG182" s="339">
        <v>9844.792883778744</v>
      </c>
      <c r="AH182" s="496">
        <v>632.35</v>
      </c>
      <c r="AI182" s="490">
        <v>12.49</v>
      </c>
      <c r="AJ182" s="490">
        <v>112278.31</v>
      </c>
      <c r="AK182" s="339">
        <v>8989.4563650920736</v>
      </c>
      <c r="AL182" s="339">
        <v>9563.3178542834266</v>
      </c>
      <c r="AM182" s="496">
        <v>573.86</v>
      </c>
      <c r="AN182" s="495">
        <v>0</v>
      </c>
      <c r="AO182" s="495">
        <v>0</v>
      </c>
      <c r="AP182" s="74"/>
      <c r="AQ182" s="303">
        <v>0</v>
      </c>
      <c r="AR182" s="303">
        <v>223870.35</v>
      </c>
      <c r="AS182" s="552">
        <v>66205.78</v>
      </c>
      <c r="AY182" s="67">
        <f t="shared" si="57"/>
        <v>0</v>
      </c>
      <c r="BA182" t="s">
        <v>850</v>
      </c>
      <c r="BB182" t="s">
        <v>385</v>
      </c>
      <c r="BC182" t="s">
        <v>1027</v>
      </c>
      <c r="BD182" s="491">
        <v>1.9E-2</v>
      </c>
      <c r="BE182" s="492">
        <v>0.15629999999999999</v>
      </c>
      <c r="BG182" s="510">
        <f t="shared" si="55"/>
        <v>0</v>
      </c>
      <c r="BH182" s="510">
        <f t="shared" si="56"/>
        <v>0</v>
      </c>
      <c r="BJ182" s="520">
        <f t="shared" si="58"/>
        <v>0</v>
      </c>
      <c r="BK182" s="520">
        <f t="shared" si="59"/>
        <v>0</v>
      </c>
      <c r="CB182" s="74"/>
      <c r="CC182" s="74"/>
      <c r="CD182" s="74"/>
      <c r="CE182" s="74"/>
      <c r="CF182" s="74"/>
    </row>
    <row r="183" spans="1:84">
      <c r="A183" s="283" t="s">
        <v>388</v>
      </c>
      <c r="B183" s="283" t="s">
        <v>387</v>
      </c>
      <c r="C183" s="283" t="str">
        <f t="shared" si="61"/>
        <v>14064 NORTH BEACH SCHOOL DISTRICT</v>
      </c>
      <c r="D183" s="490">
        <v>0</v>
      </c>
      <c r="E183" s="490">
        <v>0</v>
      </c>
      <c r="F183" s="490">
        <v>3256.21</v>
      </c>
      <c r="G183" s="490">
        <v>1110820.8400000001</v>
      </c>
      <c r="H183" s="490">
        <v>176108</v>
      </c>
      <c r="I183" s="490">
        <v>197813.03</v>
      </c>
      <c r="J183" s="490">
        <v>315212.56</v>
      </c>
      <c r="K183" s="490">
        <v>15719.61</v>
      </c>
      <c r="L183" s="490">
        <v>18908.61</v>
      </c>
      <c r="M183" s="490">
        <v>720299.09</v>
      </c>
      <c r="N183" s="300">
        <v>2.3900000000000001E-2</v>
      </c>
      <c r="O183" s="492">
        <v>0.1971</v>
      </c>
      <c r="P183" s="490">
        <v>0</v>
      </c>
      <c r="Q183" s="493">
        <v>0</v>
      </c>
      <c r="R183" s="493">
        <v>0</v>
      </c>
      <c r="S183" s="494">
        <v>0</v>
      </c>
      <c r="T183" s="495">
        <v>0</v>
      </c>
      <c r="U183" s="495">
        <v>0</v>
      </c>
      <c r="V183" s="490">
        <v>0</v>
      </c>
      <c r="W183" s="495">
        <v>0</v>
      </c>
      <c r="X183" s="495">
        <v>0</v>
      </c>
      <c r="Y183" s="490">
        <v>463.03</v>
      </c>
      <c r="Z183" s="490">
        <v>11820.22</v>
      </c>
      <c r="AA183" s="490">
        <v>1216.71</v>
      </c>
      <c r="AB183" s="490">
        <v>100921.2</v>
      </c>
      <c r="AC183" s="490">
        <v>410178.2</v>
      </c>
      <c r="AD183" s="490">
        <v>41.5</v>
      </c>
      <c r="AE183" s="490">
        <v>367138.52</v>
      </c>
      <c r="AF183" s="339">
        <v>8846.7113253012049</v>
      </c>
      <c r="AG183" s="339">
        <v>9883.8120481927708</v>
      </c>
      <c r="AH183" s="496">
        <v>1037.0999999999999</v>
      </c>
      <c r="AI183" s="490">
        <v>11.02</v>
      </c>
      <c r="AJ183" s="490">
        <v>95178.17</v>
      </c>
      <c r="AK183" s="339">
        <v>8636.8575317604354</v>
      </c>
      <c r="AL183" s="339">
        <v>9158.0036297640654</v>
      </c>
      <c r="AM183" s="496">
        <v>521.15</v>
      </c>
      <c r="AN183" s="495">
        <v>529.38</v>
      </c>
      <c r="AO183" s="495">
        <v>0</v>
      </c>
      <c r="AP183" s="74"/>
      <c r="AQ183" s="303">
        <v>0</v>
      </c>
      <c r="AR183" s="303">
        <v>71787.98</v>
      </c>
      <c r="AS183" s="552">
        <v>29200</v>
      </c>
      <c r="AY183" s="67">
        <f t="shared" si="57"/>
        <v>0</v>
      </c>
      <c r="BA183" t="s">
        <v>845</v>
      </c>
      <c r="BB183" t="s">
        <v>387</v>
      </c>
      <c r="BC183" t="s">
        <v>1028</v>
      </c>
      <c r="BD183" s="491">
        <v>2.3900000000000001E-2</v>
      </c>
      <c r="BE183" s="492">
        <v>0.1971</v>
      </c>
      <c r="BG183" s="510">
        <f t="shared" si="55"/>
        <v>0</v>
      </c>
      <c r="BH183" s="510">
        <f t="shared" si="56"/>
        <v>0</v>
      </c>
      <c r="BJ183" s="520">
        <f t="shared" si="58"/>
        <v>0</v>
      </c>
      <c r="BK183" s="520">
        <f t="shared" si="59"/>
        <v>0</v>
      </c>
      <c r="CB183" s="74"/>
      <c r="CC183" s="74"/>
      <c r="CD183" s="74"/>
      <c r="CE183" s="74"/>
      <c r="CF183" s="74"/>
    </row>
    <row r="184" spans="1:84">
      <c r="A184" s="283" t="s">
        <v>390</v>
      </c>
      <c r="B184" s="283" t="s">
        <v>389</v>
      </c>
      <c r="C184" s="283" t="str">
        <f t="shared" si="61"/>
        <v>11051 NORTH FRANKLIN SCHOOL DISTRICT</v>
      </c>
      <c r="D184" s="490">
        <v>0</v>
      </c>
      <c r="E184" s="490">
        <v>101535.34</v>
      </c>
      <c r="F184" s="490">
        <v>60372.92</v>
      </c>
      <c r="G184" s="490">
        <v>3289575.45</v>
      </c>
      <c r="H184" s="490">
        <v>576403.81999999995</v>
      </c>
      <c r="I184" s="490">
        <v>601646.61</v>
      </c>
      <c r="J184" s="490">
        <v>1008908.72</v>
      </c>
      <c r="K184" s="490">
        <v>1147836.27</v>
      </c>
      <c r="L184" s="490">
        <v>59427.02</v>
      </c>
      <c r="M184" s="490">
        <v>1982386.62</v>
      </c>
      <c r="N184" s="300">
        <v>1.5800000000000002E-2</v>
      </c>
      <c r="O184" s="492">
        <v>0.14660000000000001</v>
      </c>
      <c r="P184" s="490">
        <v>0</v>
      </c>
      <c r="Q184" s="493">
        <v>0</v>
      </c>
      <c r="R184" s="493">
        <v>0</v>
      </c>
      <c r="S184" s="494">
        <v>0</v>
      </c>
      <c r="T184" s="495">
        <v>0</v>
      </c>
      <c r="U184" s="495">
        <v>0</v>
      </c>
      <c r="V184" s="490">
        <v>0</v>
      </c>
      <c r="W184" s="495">
        <v>0</v>
      </c>
      <c r="X184" s="495">
        <v>0</v>
      </c>
      <c r="Y184" s="490">
        <v>371.32</v>
      </c>
      <c r="Z184" s="490">
        <v>6659.12</v>
      </c>
      <c r="AA184" s="490">
        <v>49837.5</v>
      </c>
      <c r="AB184" s="490">
        <v>153201.74</v>
      </c>
      <c r="AC184" s="490">
        <v>1060749.22</v>
      </c>
      <c r="AD184" s="490">
        <v>111.32</v>
      </c>
      <c r="AE184" s="490">
        <v>984979.87</v>
      </c>
      <c r="AF184" s="339">
        <v>8848.1842436219904</v>
      </c>
      <c r="AG184" s="339">
        <v>9528.8287818900462</v>
      </c>
      <c r="AH184" s="496">
        <v>680.64</v>
      </c>
      <c r="AI184" s="490">
        <v>16.7</v>
      </c>
      <c r="AJ184" s="490">
        <v>144124.42000000001</v>
      </c>
      <c r="AK184" s="339">
        <v>8630.2047904191622</v>
      </c>
      <c r="AL184" s="339">
        <v>9173.7568862275439</v>
      </c>
      <c r="AM184" s="496">
        <v>543.54999999999995</v>
      </c>
      <c r="AN184" s="495">
        <v>0</v>
      </c>
      <c r="AO184" s="495">
        <v>0</v>
      </c>
      <c r="AP184" s="74"/>
      <c r="AQ184" s="303">
        <v>96075.180000000051</v>
      </c>
      <c r="AR184" s="303">
        <v>222255.52999999997</v>
      </c>
      <c r="AS184" s="552">
        <v>67251.47</v>
      </c>
      <c r="AY184" s="67">
        <f t="shared" si="57"/>
        <v>0</v>
      </c>
      <c r="BA184" t="s">
        <v>854</v>
      </c>
      <c r="BB184" t="s">
        <v>389</v>
      </c>
      <c r="BC184" t="s">
        <v>1029</v>
      </c>
      <c r="BD184" s="491">
        <v>1.5800000000000002E-2</v>
      </c>
      <c r="BE184" s="492">
        <v>0.14660000000000001</v>
      </c>
      <c r="BG184" s="510">
        <f t="shared" si="55"/>
        <v>0</v>
      </c>
      <c r="BH184" s="510">
        <f t="shared" si="56"/>
        <v>0</v>
      </c>
      <c r="BJ184" s="520">
        <f t="shared" si="58"/>
        <v>0</v>
      </c>
      <c r="BK184" s="520">
        <f t="shared" si="59"/>
        <v>0</v>
      </c>
      <c r="CB184" s="74"/>
      <c r="CC184" s="74"/>
      <c r="CD184" s="74"/>
      <c r="CE184" s="74"/>
      <c r="CF184" s="74"/>
    </row>
    <row r="185" spans="1:84">
      <c r="A185" s="283" t="s">
        <v>392</v>
      </c>
      <c r="B185" s="283" t="s">
        <v>391</v>
      </c>
      <c r="C185" s="283" t="str">
        <f t="shared" si="61"/>
        <v>18400 NORTH KITSAP SCHOOL DISTRICT</v>
      </c>
      <c r="D185" s="490">
        <v>0</v>
      </c>
      <c r="E185" s="490">
        <v>0</v>
      </c>
      <c r="F185" s="490">
        <v>0</v>
      </c>
      <c r="G185" s="490">
        <v>10234592.859999999</v>
      </c>
      <c r="H185" s="490">
        <v>1250947.22</v>
      </c>
      <c r="I185" s="490">
        <v>103594.86</v>
      </c>
      <c r="J185" s="490">
        <v>1468522.01</v>
      </c>
      <c r="K185" s="490">
        <v>537121.68000000005</v>
      </c>
      <c r="L185" s="490">
        <v>188624.32</v>
      </c>
      <c r="M185" s="490">
        <v>3631846.73</v>
      </c>
      <c r="N185" s="300">
        <v>3.8899999999999997E-2</v>
      </c>
      <c r="O185" s="492">
        <v>0.1842</v>
      </c>
      <c r="P185" s="490">
        <v>0</v>
      </c>
      <c r="Q185" s="493">
        <v>0</v>
      </c>
      <c r="R185" s="493">
        <v>0</v>
      </c>
      <c r="S185" s="494">
        <v>0</v>
      </c>
      <c r="T185" s="495">
        <v>0</v>
      </c>
      <c r="U185" s="495">
        <v>0</v>
      </c>
      <c r="V185" s="490">
        <v>0</v>
      </c>
      <c r="W185" s="495">
        <v>0</v>
      </c>
      <c r="X185" s="495">
        <v>0</v>
      </c>
      <c r="Y185" s="490">
        <v>6048.43</v>
      </c>
      <c r="Z185" s="490">
        <v>87981.58</v>
      </c>
      <c r="AA185" s="490">
        <v>241749.76000000001</v>
      </c>
      <c r="AB185" s="490">
        <v>930288.14</v>
      </c>
      <c r="AC185" s="490">
        <v>3390672.7</v>
      </c>
      <c r="AD185" s="490">
        <v>313.63</v>
      </c>
      <c r="AE185" s="490">
        <v>3172959.84</v>
      </c>
      <c r="AF185" s="339">
        <v>10116.888818033989</v>
      </c>
      <c r="AG185" s="339">
        <v>10811.059847591112</v>
      </c>
      <c r="AH185" s="496">
        <v>694.17</v>
      </c>
      <c r="AI185" s="490">
        <v>88.47</v>
      </c>
      <c r="AJ185" s="490">
        <v>875528.75</v>
      </c>
      <c r="AK185" s="339">
        <v>9896.3349157906632</v>
      </c>
      <c r="AL185" s="339">
        <v>10515.294902226744</v>
      </c>
      <c r="AM185" s="496">
        <v>618.96</v>
      </c>
      <c r="AN185" s="495">
        <v>0</v>
      </c>
      <c r="AO185" s="495">
        <v>0</v>
      </c>
      <c r="AP185" s="74"/>
      <c r="AQ185" s="303">
        <v>0</v>
      </c>
      <c r="AR185" s="303">
        <v>627992.21000000008</v>
      </c>
      <c r="AS185" s="552">
        <v>163629.12</v>
      </c>
      <c r="AY185" s="67">
        <f t="shared" si="57"/>
        <v>0</v>
      </c>
      <c r="BA185" t="s">
        <v>869</v>
      </c>
      <c r="BB185" t="s">
        <v>391</v>
      </c>
      <c r="BC185" t="s">
        <v>1030</v>
      </c>
      <c r="BD185" s="491">
        <v>3.8899999999999997E-2</v>
      </c>
      <c r="BE185" s="492">
        <v>0.1842</v>
      </c>
      <c r="BG185" s="510">
        <f t="shared" si="55"/>
        <v>0</v>
      </c>
      <c r="BH185" s="510">
        <f t="shared" si="56"/>
        <v>0</v>
      </c>
      <c r="BJ185" s="520">
        <f t="shared" si="58"/>
        <v>0</v>
      </c>
      <c r="BK185" s="520">
        <f t="shared" si="59"/>
        <v>0</v>
      </c>
      <c r="CB185" s="74"/>
      <c r="CC185" s="74"/>
      <c r="CD185" s="74"/>
      <c r="CE185" s="74"/>
      <c r="CF185" s="74"/>
    </row>
    <row r="186" spans="1:84">
      <c r="A186" s="283" t="s">
        <v>394</v>
      </c>
      <c r="B186" s="283" t="s">
        <v>393</v>
      </c>
      <c r="C186" s="283" t="str">
        <f t="shared" si="61"/>
        <v>23403 NORTH MASON SCHOOL DISTRICT</v>
      </c>
      <c r="D186" s="490">
        <v>0</v>
      </c>
      <c r="E186" s="490">
        <v>86867.75</v>
      </c>
      <c r="F186" s="490">
        <v>44452.71</v>
      </c>
      <c r="G186" s="490">
        <v>4329881.0999999996</v>
      </c>
      <c r="H186" s="490">
        <v>534127.42000000004</v>
      </c>
      <c r="I186" s="490">
        <v>510614.88</v>
      </c>
      <c r="J186" s="490">
        <v>941596.79</v>
      </c>
      <c r="K186" s="490">
        <v>650604.52</v>
      </c>
      <c r="L186" s="490">
        <v>74928.44</v>
      </c>
      <c r="M186" s="490">
        <v>2289333.9300000002</v>
      </c>
      <c r="N186" s="300">
        <v>2.4899999999999999E-2</v>
      </c>
      <c r="O186" s="492">
        <v>0.16320000000000001</v>
      </c>
      <c r="P186" s="490">
        <v>0</v>
      </c>
      <c r="Q186" s="493">
        <v>0</v>
      </c>
      <c r="R186" s="493">
        <v>0</v>
      </c>
      <c r="S186" s="494">
        <v>0</v>
      </c>
      <c r="T186" s="495">
        <v>0</v>
      </c>
      <c r="U186" s="495">
        <v>0</v>
      </c>
      <c r="V186" s="490">
        <v>0</v>
      </c>
      <c r="W186" s="495">
        <v>0</v>
      </c>
      <c r="X186" s="495">
        <v>0</v>
      </c>
      <c r="Y186" s="490">
        <v>2558.9499999999998</v>
      </c>
      <c r="Z186" s="490">
        <v>67618.490000000005</v>
      </c>
      <c r="AA186" s="490">
        <v>165563.76999999999</v>
      </c>
      <c r="AB186" s="490">
        <v>570784.02</v>
      </c>
      <c r="AC186" s="490">
        <v>2124847.4900000002</v>
      </c>
      <c r="AD186" s="490">
        <v>211.77</v>
      </c>
      <c r="AE186" s="490">
        <v>2028011.7</v>
      </c>
      <c r="AF186" s="339">
        <v>9576.4825046040514</v>
      </c>
      <c r="AG186" s="339">
        <v>10033.751192331303</v>
      </c>
      <c r="AH186" s="496">
        <v>457.27</v>
      </c>
      <c r="AI186" s="490">
        <v>57.43</v>
      </c>
      <c r="AJ186" s="490">
        <v>537516.06000000006</v>
      </c>
      <c r="AK186" s="339">
        <v>9359.4995646874468</v>
      </c>
      <c r="AL186" s="339">
        <v>9938.7779905972493</v>
      </c>
      <c r="AM186" s="496">
        <v>579.28</v>
      </c>
      <c r="AN186" s="495">
        <v>38.630000000000003</v>
      </c>
      <c r="AO186" s="495">
        <v>0</v>
      </c>
      <c r="AP186" s="74"/>
      <c r="AQ186" s="303">
        <v>116600.42000000004</v>
      </c>
      <c r="AR186" s="303">
        <v>265512.60000000003</v>
      </c>
      <c r="AS186" s="552">
        <v>75239.37</v>
      </c>
      <c r="AY186" s="67">
        <f t="shared" si="57"/>
        <v>0</v>
      </c>
      <c r="BA186" t="s">
        <v>869</v>
      </c>
      <c r="BB186" t="s">
        <v>393</v>
      </c>
      <c r="BC186" t="s">
        <v>1031</v>
      </c>
      <c r="BD186" s="491">
        <v>2.4899999999999999E-2</v>
      </c>
      <c r="BE186" s="492">
        <v>0.16320000000000001</v>
      </c>
      <c r="BG186" s="510">
        <f t="shared" si="55"/>
        <v>0</v>
      </c>
      <c r="BH186" s="510">
        <f t="shared" si="56"/>
        <v>0</v>
      </c>
      <c r="BJ186" s="520">
        <f t="shared" si="58"/>
        <v>0</v>
      </c>
      <c r="BK186" s="520">
        <f t="shared" si="59"/>
        <v>0</v>
      </c>
      <c r="CB186" s="74"/>
      <c r="CC186" s="74"/>
      <c r="CD186" s="74"/>
      <c r="CE186" s="74"/>
      <c r="CF186" s="74"/>
    </row>
    <row r="187" spans="1:84">
      <c r="A187" s="283" t="s">
        <v>396</v>
      </c>
      <c r="B187" s="283" t="s">
        <v>395</v>
      </c>
      <c r="C187" s="283" t="str">
        <f t="shared" si="61"/>
        <v>25200 NORTH RIVER SCHOOL DISTRICT</v>
      </c>
      <c r="D187" s="490">
        <v>0</v>
      </c>
      <c r="E187" s="490">
        <v>0</v>
      </c>
      <c r="F187" s="490">
        <v>0</v>
      </c>
      <c r="G187" s="490">
        <v>72186.460000000006</v>
      </c>
      <c r="H187" s="490">
        <v>4875.5200000000004</v>
      </c>
      <c r="I187" s="490">
        <v>21921.5</v>
      </c>
      <c r="J187" s="490">
        <v>38648.35</v>
      </c>
      <c r="K187" s="490">
        <v>0</v>
      </c>
      <c r="L187" s="490">
        <v>0</v>
      </c>
      <c r="M187" s="490">
        <v>191844.93</v>
      </c>
      <c r="N187" s="300">
        <v>7.1099999999999997E-2</v>
      </c>
      <c r="O187" s="492">
        <v>0.30719999999999997</v>
      </c>
      <c r="P187" s="490">
        <v>0</v>
      </c>
      <c r="Q187" s="493">
        <v>0</v>
      </c>
      <c r="R187" s="493">
        <v>0</v>
      </c>
      <c r="S187" s="494">
        <v>0</v>
      </c>
      <c r="T187" s="495">
        <v>0</v>
      </c>
      <c r="U187" s="495">
        <v>0</v>
      </c>
      <c r="V187" s="490">
        <v>0</v>
      </c>
      <c r="W187" s="495">
        <v>0</v>
      </c>
      <c r="X187" s="495">
        <v>0</v>
      </c>
      <c r="Y187" s="490">
        <v>68.22</v>
      </c>
      <c r="Z187" s="490">
        <v>0</v>
      </c>
      <c r="AA187" s="490">
        <v>0</v>
      </c>
      <c r="AB187" s="490">
        <v>0</v>
      </c>
      <c r="AC187" s="490">
        <v>9069.48</v>
      </c>
      <c r="AD187" s="490">
        <v>0</v>
      </c>
      <c r="AE187" s="490">
        <v>0</v>
      </c>
      <c r="AF187" s="339">
        <v>0</v>
      </c>
      <c r="AG187" s="339">
        <v>0</v>
      </c>
      <c r="AH187" s="496">
        <v>0</v>
      </c>
      <c r="AI187" s="490">
        <v>0</v>
      </c>
      <c r="AJ187" s="490">
        <v>0</v>
      </c>
      <c r="AK187" s="339">
        <v>0</v>
      </c>
      <c r="AL187" s="339">
        <v>0</v>
      </c>
      <c r="AM187" s="496">
        <v>0</v>
      </c>
      <c r="AN187" s="495">
        <v>0</v>
      </c>
      <c r="AO187" s="495">
        <v>0</v>
      </c>
      <c r="AP187" s="74"/>
      <c r="AQ187" s="303">
        <v>43198.409999999996</v>
      </c>
      <c r="AR187" s="303">
        <v>20125.12</v>
      </c>
      <c r="AS187" s="552">
        <v>12323.76</v>
      </c>
      <c r="AY187" s="67">
        <f t="shared" si="57"/>
        <v>0</v>
      </c>
      <c r="BA187" t="s">
        <v>845</v>
      </c>
      <c r="BB187" t="s">
        <v>395</v>
      </c>
      <c r="BC187" t="s">
        <v>1032</v>
      </c>
      <c r="BD187" s="491">
        <v>7.1099999999999997E-2</v>
      </c>
      <c r="BE187" s="492">
        <v>0.30719999999999997</v>
      </c>
      <c r="BG187" s="510">
        <f t="shared" si="55"/>
        <v>0</v>
      </c>
      <c r="BH187" s="510">
        <f t="shared" si="56"/>
        <v>0</v>
      </c>
      <c r="BJ187" s="520">
        <f t="shared" si="58"/>
        <v>0</v>
      </c>
      <c r="BK187" s="520">
        <f t="shared" si="59"/>
        <v>0</v>
      </c>
      <c r="CB187" s="74"/>
      <c r="CC187" s="74"/>
      <c r="CD187" s="74"/>
      <c r="CE187" s="74"/>
      <c r="CF187" s="74"/>
    </row>
    <row r="188" spans="1:84">
      <c r="A188" s="283" t="s">
        <v>398</v>
      </c>
      <c r="B188" s="283" t="s">
        <v>397</v>
      </c>
      <c r="C188" s="283" t="str">
        <f t="shared" si="61"/>
        <v>34003 NORTH THURSTON SCHOOL DISTRICT</v>
      </c>
      <c r="D188" s="490">
        <v>0</v>
      </c>
      <c r="E188" s="490">
        <v>425356.98</v>
      </c>
      <c r="F188" s="490">
        <v>81691.44</v>
      </c>
      <c r="G188" s="490">
        <v>34020204.840000004</v>
      </c>
      <c r="H188" s="490">
        <v>5587137.1500000004</v>
      </c>
      <c r="I188" s="490">
        <v>1097124.25</v>
      </c>
      <c r="J188" s="490">
        <v>4383550.2300000004</v>
      </c>
      <c r="K188" s="490">
        <v>1644910.41</v>
      </c>
      <c r="L188" s="490">
        <v>445838.28</v>
      </c>
      <c r="M188" s="490">
        <v>10871159</v>
      </c>
      <c r="N188" s="300">
        <v>2.8000000000000001E-2</v>
      </c>
      <c r="O188" s="492">
        <v>0.12659999999999999</v>
      </c>
      <c r="P188" s="490">
        <v>0</v>
      </c>
      <c r="Q188" s="493">
        <v>0</v>
      </c>
      <c r="R188" s="493">
        <v>0</v>
      </c>
      <c r="S188" s="494">
        <v>0</v>
      </c>
      <c r="T188" s="495">
        <v>0</v>
      </c>
      <c r="U188" s="495">
        <v>0</v>
      </c>
      <c r="V188" s="490">
        <v>0</v>
      </c>
      <c r="W188" s="495">
        <v>0</v>
      </c>
      <c r="X188" s="495">
        <v>0</v>
      </c>
      <c r="Y188" s="490">
        <v>17029.09</v>
      </c>
      <c r="Z188" s="490">
        <v>62570.93</v>
      </c>
      <c r="AA188" s="490">
        <v>0</v>
      </c>
      <c r="AB188" s="490">
        <v>1751676.55</v>
      </c>
      <c r="AC188" s="490">
        <v>7899274.0599999996</v>
      </c>
      <c r="AD188" s="490">
        <v>804.99</v>
      </c>
      <c r="AE188" s="490">
        <v>7195660.0800000001</v>
      </c>
      <c r="AF188" s="339">
        <v>8938.8192151455296</v>
      </c>
      <c r="AG188" s="339">
        <v>9812.8847066423186</v>
      </c>
      <c r="AH188" s="496">
        <v>874.07</v>
      </c>
      <c r="AI188" s="490">
        <v>189.07</v>
      </c>
      <c r="AJ188" s="490">
        <v>1648840.31</v>
      </c>
      <c r="AK188" s="339">
        <v>8720.7928809435671</v>
      </c>
      <c r="AL188" s="339">
        <v>9264.6985243560594</v>
      </c>
      <c r="AM188" s="496">
        <v>543.91</v>
      </c>
      <c r="AN188" s="495">
        <v>4379.72</v>
      </c>
      <c r="AO188" s="495">
        <v>22177.23</v>
      </c>
      <c r="AP188" s="74"/>
      <c r="AQ188" s="303">
        <v>0</v>
      </c>
      <c r="AR188" s="303">
        <v>1534103.52</v>
      </c>
      <c r="AS188" s="552">
        <v>439516.69</v>
      </c>
      <c r="AY188" s="67">
        <f t="shared" si="57"/>
        <v>0</v>
      </c>
      <c r="BA188" t="s">
        <v>845</v>
      </c>
      <c r="BB188" t="s">
        <v>397</v>
      </c>
      <c r="BC188" t="s">
        <v>1033</v>
      </c>
      <c r="BD188" s="491">
        <v>2.8000000000000001E-2</v>
      </c>
      <c r="BE188" s="492">
        <v>0.12659999999999999</v>
      </c>
      <c r="BG188" s="510">
        <f t="shared" si="55"/>
        <v>0</v>
      </c>
      <c r="BH188" s="510">
        <f t="shared" si="56"/>
        <v>0</v>
      </c>
      <c r="BJ188" s="520">
        <f t="shared" si="58"/>
        <v>0</v>
      </c>
      <c r="BK188" s="520">
        <f t="shared" si="59"/>
        <v>0</v>
      </c>
      <c r="CB188" s="74"/>
      <c r="CC188" s="74"/>
      <c r="CD188" s="74"/>
      <c r="CE188" s="74"/>
      <c r="CF188" s="74"/>
    </row>
    <row r="189" spans="1:84">
      <c r="A189" s="283" t="s">
        <v>400</v>
      </c>
      <c r="B189" s="283" t="s">
        <v>399</v>
      </c>
      <c r="C189" s="283" t="str">
        <f t="shared" si="61"/>
        <v>33211 NORTHPORT SCHOOL DISTRICT</v>
      </c>
      <c r="D189" s="490">
        <v>0</v>
      </c>
      <c r="E189" s="490">
        <v>0</v>
      </c>
      <c r="F189" s="490">
        <v>0</v>
      </c>
      <c r="G189" s="490">
        <v>402827.13</v>
      </c>
      <c r="H189" s="490">
        <v>57233.97</v>
      </c>
      <c r="I189" s="490">
        <v>49972.72</v>
      </c>
      <c r="J189" s="490">
        <v>113347.69</v>
      </c>
      <c r="K189" s="490">
        <v>0</v>
      </c>
      <c r="L189" s="490">
        <v>7895.89</v>
      </c>
      <c r="M189" s="490">
        <v>351764.86</v>
      </c>
      <c r="N189" s="300">
        <v>2.2200000000000001E-2</v>
      </c>
      <c r="O189" s="492">
        <v>0.27189999999999998</v>
      </c>
      <c r="P189" s="490">
        <v>0</v>
      </c>
      <c r="Q189" s="493">
        <v>0</v>
      </c>
      <c r="R189" s="493">
        <v>0</v>
      </c>
      <c r="S189" s="494">
        <v>0</v>
      </c>
      <c r="T189" s="495">
        <v>0</v>
      </c>
      <c r="U189" s="495">
        <v>0</v>
      </c>
      <c r="V189" s="490">
        <v>0</v>
      </c>
      <c r="W189" s="495">
        <v>0</v>
      </c>
      <c r="X189" s="495">
        <v>0</v>
      </c>
      <c r="Y189" s="490">
        <v>0</v>
      </c>
      <c r="Z189" s="490">
        <v>0</v>
      </c>
      <c r="AA189" s="490">
        <v>0</v>
      </c>
      <c r="AB189" s="490">
        <v>0</v>
      </c>
      <c r="AC189" s="490">
        <v>51832.68</v>
      </c>
      <c r="AD189" s="490">
        <v>5.65</v>
      </c>
      <c r="AE189" s="490">
        <v>50007.03</v>
      </c>
      <c r="AF189" s="339">
        <v>8850.8017699115044</v>
      </c>
      <c r="AG189" s="339">
        <v>9173.9256637168128</v>
      </c>
      <c r="AH189" s="496">
        <v>323.12</v>
      </c>
      <c r="AI189" s="490">
        <v>0</v>
      </c>
      <c r="AJ189" s="490">
        <v>0</v>
      </c>
      <c r="AK189" s="339">
        <v>0</v>
      </c>
      <c r="AL189" s="339">
        <v>0</v>
      </c>
      <c r="AM189" s="496">
        <v>0</v>
      </c>
      <c r="AN189" s="495">
        <v>0</v>
      </c>
      <c r="AO189" s="495">
        <v>0</v>
      </c>
      <c r="AP189" s="74"/>
      <c r="AQ189" s="303">
        <v>13131.340000000004</v>
      </c>
      <c r="AR189" s="303">
        <v>27780.670000000002</v>
      </c>
      <c r="AS189" s="552">
        <v>15025.12</v>
      </c>
      <c r="AY189" s="67">
        <f t="shared" si="57"/>
        <v>0</v>
      </c>
      <c r="BA189" t="s">
        <v>848</v>
      </c>
      <c r="BB189" t="s">
        <v>399</v>
      </c>
      <c r="BC189" t="s">
        <v>1034</v>
      </c>
      <c r="BD189" s="491">
        <v>2.2200000000000001E-2</v>
      </c>
      <c r="BE189" s="492">
        <v>0.27189999999999998</v>
      </c>
      <c r="BG189" s="510">
        <f t="shared" si="55"/>
        <v>0</v>
      </c>
      <c r="BH189" s="510">
        <f t="shared" si="56"/>
        <v>0</v>
      </c>
      <c r="BJ189" s="520">
        <f t="shared" si="58"/>
        <v>0</v>
      </c>
      <c r="BK189" s="520">
        <f t="shared" si="59"/>
        <v>0</v>
      </c>
      <c r="CB189" s="74"/>
      <c r="CC189" s="74"/>
      <c r="CD189" s="74"/>
      <c r="CE189" s="74"/>
      <c r="CF189" s="74"/>
    </row>
    <row r="190" spans="1:84">
      <c r="A190" s="283" t="s">
        <v>402</v>
      </c>
      <c r="B190" s="283" t="s">
        <v>401</v>
      </c>
      <c r="C190" s="283" t="str">
        <f t="shared" si="61"/>
        <v>17417 NORTHSHORE SCHOOL DISTRICT</v>
      </c>
      <c r="D190" s="490">
        <v>0</v>
      </c>
      <c r="E190" s="490">
        <v>4778.0600000000004</v>
      </c>
      <c r="F190" s="490">
        <v>0</v>
      </c>
      <c r="G190" s="490">
        <v>47219145.049999997</v>
      </c>
      <c r="H190" s="490">
        <v>5752571.9100000001</v>
      </c>
      <c r="I190" s="490">
        <v>0</v>
      </c>
      <c r="J190" s="490">
        <v>2793848.15</v>
      </c>
      <c r="K190" s="490">
        <v>4722117.42</v>
      </c>
      <c r="L190" s="490">
        <v>775341.24</v>
      </c>
      <c r="M190" s="490">
        <v>13568594.26</v>
      </c>
      <c r="N190" s="300">
        <v>3.5400000000000001E-2</v>
      </c>
      <c r="O190" s="492">
        <v>0.12939999999999999</v>
      </c>
      <c r="P190" s="490">
        <v>0</v>
      </c>
      <c r="Q190" s="493">
        <v>0</v>
      </c>
      <c r="R190" s="493">
        <v>0</v>
      </c>
      <c r="S190" s="494">
        <v>163722.27999999997</v>
      </c>
      <c r="T190" s="495">
        <v>0</v>
      </c>
      <c r="U190" s="495">
        <v>6481.91</v>
      </c>
      <c r="V190" s="490">
        <v>0</v>
      </c>
      <c r="W190" s="495">
        <v>0</v>
      </c>
      <c r="X190" s="495">
        <v>0</v>
      </c>
      <c r="Y190" s="490">
        <v>14952.18</v>
      </c>
      <c r="Z190" s="490">
        <v>205282.03</v>
      </c>
      <c r="AA190" s="490">
        <v>95342.98</v>
      </c>
      <c r="AB190" s="490">
        <v>1922491.73</v>
      </c>
      <c r="AC190" s="490">
        <v>10675861.08</v>
      </c>
      <c r="AD190" s="490">
        <v>1007.31</v>
      </c>
      <c r="AE190" s="490">
        <v>10014812.640000001</v>
      </c>
      <c r="AF190" s="339">
        <v>9942.1356285552629</v>
      </c>
      <c r="AG190" s="339">
        <v>10598.386871965929</v>
      </c>
      <c r="AH190" s="496">
        <v>656.25</v>
      </c>
      <c r="AI190" s="490">
        <v>186.22</v>
      </c>
      <c r="AJ190" s="490">
        <v>1810370.51</v>
      </c>
      <c r="AK190" s="339">
        <v>9721.6760283535605</v>
      </c>
      <c r="AL190" s="339">
        <v>10323.766136827408</v>
      </c>
      <c r="AM190" s="496">
        <v>602.09</v>
      </c>
      <c r="AN190" s="495">
        <v>0</v>
      </c>
      <c r="AO190" s="495">
        <v>0</v>
      </c>
      <c r="AP190" s="74"/>
      <c r="AQ190" s="303">
        <v>0</v>
      </c>
      <c r="AR190" s="303">
        <v>2564714.29</v>
      </c>
      <c r="AS190" s="552">
        <v>660912.24</v>
      </c>
      <c r="AY190" s="67">
        <f t="shared" si="57"/>
        <v>0</v>
      </c>
      <c r="BA190" t="s">
        <v>856</v>
      </c>
      <c r="BB190" t="s">
        <v>401</v>
      </c>
      <c r="BC190" t="s">
        <v>1035</v>
      </c>
      <c r="BD190" s="491">
        <v>3.5400000000000001E-2</v>
      </c>
      <c r="BE190" s="492">
        <v>0.12939999999999999</v>
      </c>
      <c r="BG190" s="510">
        <f t="shared" si="55"/>
        <v>0</v>
      </c>
      <c r="BH190" s="510">
        <f t="shared" si="56"/>
        <v>0</v>
      </c>
      <c r="BJ190" s="520">
        <f t="shared" si="58"/>
        <v>0</v>
      </c>
      <c r="BK190" s="520">
        <f t="shared" si="59"/>
        <v>0</v>
      </c>
      <c r="CB190" s="74"/>
      <c r="CC190" s="74"/>
      <c r="CD190" s="74"/>
      <c r="CE190" s="74"/>
      <c r="CF190" s="74"/>
    </row>
    <row r="191" spans="1:84">
      <c r="A191" s="283" t="s">
        <v>404</v>
      </c>
      <c r="B191" s="283" t="s">
        <v>403</v>
      </c>
      <c r="C191" s="283" t="str">
        <f t="shared" si="61"/>
        <v>15201 OAK HARBOR SCHOOL DISTRICT</v>
      </c>
      <c r="D191" s="490">
        <v>0</v>
      </c>
      <c r="E191" s="490">
        <v>54969.64</v>
      </c>
      <c r="F191" s="490">
        <v>5413.24</v>
      </c>
      <c r="G191" s="490">
        <v>13652198.51</v>
      </c>
      <c r="H191" s="490">
        <v>2966590.11</v>
      </c>
      <c r="I191" s="490">
        <v>304533.02</v>
      </c>
      <c r="J191" s="490">
        <v>1668964.82</v>
      </c>
      <c r="K191" s="490">
        <v>472367.53</v>
      </c>
      <c r="L191" s="490">
        <v>184050.87</v>
      </c>
      <c r="M191" s="490">
        <v>3164553.79</v>
      </c>
      <c r="N191" s="300">
        <v>2.6599999999999999E-2</v>
      </c>
      <c r="O191" s="492">
        <v>0.1089</v>
      </c>
      <c r="P191" s="490">
        <v>0</v>
      </c>
      <c r="Q191" s="493">
        <v>0</v>
      </c>
      <c r="R191" s="493">
        <v>0</v>
      </c>
      <c r="S191" s="494">
        <v>0</v>
      </c>
      <c r="T191" s="495">
        <v>0</v>
      </c>
      <c r="U191" s="495">
        <v>0</v>
      </c>
      <c r="V191" s="490">
        <v>0</v>
      </c>
      <c r="W191" s="495">
        <v>0</v>
      </c>
      <c r="X191" s="495">
        <v>0</v>
      </c>
      <c r="Y191" s="490">
        <v>0</v>
      </c>
      <c r="Z191" s="490">
        <v>18243.41</v>
      </c>
      <c r="AA191" s="490">
        <v>186825.36</v>
      </c>
      <c r="AB191" s="490">
        <v>366098.46</v>
      </c>
      <c r="AC191" s="490">
        <v>3957262.67</v>
      </c>
      <c r="AD191" s="490">
        <v>392.58</v>
      </c>
      <c r="AE191" s="490">
        <v>3759786.1</v>
      </c>
      <c r="AF191" s="339">
        <v>9577.1208416119007</v>
      </c>
      <c r="AG191" s="339">
        <v>10080.143333842783</v>
      </c>
      <c r="AH191" s="496">
        <v>503.02</v>
      </c>
      <c r="AI191" s="490">
        <v>36.840000000000003</v>
      </c>
      <c r="AJ191" s="490">
        <v>344804.09</v>
      </c>
      <c r="AK191" s="339">
        <v>9359.5029858849084</v>
      </c>
      <c r="AL191" s="339">
        <v>9937.5260586319218</v>
      </c>
      <c r="AM191" s="496">
        <v>578.02</v>
      </c>
      <c r="AN191" s="495">
        <v>0</v>
      </c>
      <c r="AO191" s="495">
        <v>0</v>
      </c>
      <c r="AP191" s="74"/>
      <c r="AQ191" s="303">
        <v>0</v>
      </c>
      <c r="AR191" s="303">
        <v>632246.59000000008</v>
      </c>
      <c r="AS191" s="552">
        <v>179953.49</v>
      </c>
      <c r="AY191" s="67">
        <f t="shared" si="57"/>
        <v>0</v>
      </c>
      <c r="BA191" t="s">
        <v>850</v>
      </c>
      <c r="BB191" t="s">
        <v>403</v>
      </c>
      <c r="BC191" t="s">
        <v>1036</v>
      </c>
      <c r="BD191" s="491">
        <v>2.6599999999999999E-2</v>
      </c>
      <c r="BE191" s="492">
        <v>0.1089</v>
      </c>
      <c r="BG191" s="510">
        <f t="shared" si="55"/>
        <v>0</v>
      </c>
      <c r="BH191" s="510">
        <f t="shared" si="56"/>
        <v>0</v>
      </c>
      <c r="BJ191" s="520">
        <f t="shared" si="58"/>
        <v>0</v>
      </c>
      <c r="BK191" s="520">
        <f t="shared" si="59"/>
        <v>0</v>
      </c>
      <c r="CB191" s="74"/>
      <c r="CC191" s="74"/>
      <c r="CD191" s="74"/>
      <c r="CE191" s="74"/>
      <c r="CF191" s="74"/>
    </row>
    <row r="192" spans="1:84">
      <c r="A192" s="283" t="s">
        <v>406</v>
      </c>
      <c r="B192" s="283" t="s">
        <v>405</v>
      </c>
      <c r="C192" s="283" t="str">
        <f t="shared" si="61"/>
        <v>38324 OAKESDALE SCHOOL DISTRICT</v>
      </c>
      <c r="D192" s="490">
        <v>0</v>
      </c>
      <c r="E192" s="490">
        <v>3258.94</v>
      </c>
      <c r="F192" s="490">
        <v>0</v>
      </c>
      <c r="G192" s="490">
        <v>274811.01</v>
      </c>
      <c r="H192" s="490">
        <v>45219.3</v>
      </c>
      <c r="I192" s="490">
        <v>0</v>
      </c>
      <c r="J192" s="490">
        <v>40268.9</v>
      </c>
      <c r="K192" s="490">
        <v>0</v>
      </c>
      <c r="L192" s="490">
        <v>4650.4799999999996</v>
      </c>
      <c r="M192" s="490">
        <v>364386.17</v>
      </c>
      <c r="N192" s="300">
        <v>4.2599999999999999E-2</v>
      </c>
      <c r="O192" s="492">
        <v>0.28260000000000002</v>
      </c>
      <c r="P192" s="490">
        <v>0</v>
      </c>
      <c r="Q192" s="493">
        <v>0</v>
      </c>
      <c r="R192" s="493">
        <v>0</v>
      </c>
      <c r="S192" s="494">
        <v>0</v>
      </c>
      <c r="T192" s="495">
        <v>0</v>
      </c>
      <c r="U192" s="495">
        <v>0</v>
      </c>
      <c r="V192" s="490">
        <v>0</v>
      </c>
      <c r="W192" s="495">
        <v>0</v>
      </c>
      <c r="X192" s="495">
        <v>0</v>
      </c>
      <c r="Y192" s="490">
        <v>0</v>
      </c>
      <c r="Z192" s="490">
        <v>0</v>
      </c>
      <c r="AA192" s="490">
        <v>0</v>
      </c>
      <c r="AB192" s="490">
        <v>39923.11</v>
      </c>
      <c r="AC192" s="490">
        <v>84624.91</v>
      </c>
      <c r="AD192" s="490">
        <v>8.3000000000000007</v>
      </c>
      <c r="AE192" s="490">
        <v>74224.479999999996</v>
      </c>
      <c r="AF192" s="339">
        <v>8942.7084337349388</v>
      </c>
      <c r="AG192" s="339">
        <v>10195.772289156626</v>
      </c>
      <c r="AH192" s="496">
        <v>1253.06</v>
      </c>
      <c r="AI192" s="490">
        <v>4.3099999999999996</v>
      </c>
      <c r="AJ192" s="490">
        <v>37520.949999999997</v>
      </c>
      <c r="AK192" s="339">
        <v>8705.5568445475637</v>
      </c>
      <c r="AL192" s="339">
        <v>9262.9025522041775</v>
      </c>
      <c r="AM192" s="496">
        <v>557.35</v>
      </c>
      <c r="AN192" s="495">
        <v>0</v>
      </c>
      <c r="AO192" s="495">
        <v>0</v>
      </c>
      <c r="AP192" s="74"/>
      <c r="AQ192" s="303">
        <v>0</v>
      </c>
      <c r="AR192" s="303">
        <v>26148.500000000004</v>
      </c>
      <c r="AS192" s="552"/>
      <c r="AY192" s="67">
        <f t="shared" si="57"/>
        <v>0</v>
      </c>
      <c r="BA192" t="s">
        <v>848</v>
      </c>
      <c r="BB192" t="s">
        <v>405</v>
      </c>
      <c r="BC192" t="s">
        <v>1037</v>
      </c>
      <c r="BD192" s="491">
        <v>4.2599999999999999E-2</v>
      </c>
      <c r="BE192" s="492">
        <v>0.28260000000000002</v>
      </c>
      <c r="BG192" s="510">
        <f t="shared" si="55"/>
        <v>0</v>
      </c>
      <c r="BH192" s="510">
        <f t="shared" si="56"/>
        <v>0</v>
      </c>
      <c r="BJ192" s="520">
        <f t="shared" si="58"/>
        <v>0</v>
      </c>
      <c r="BK192" s="520">
        <f t="shared" si="59"/>
        <v>0</v>
      </c>
      <c r="CB192" s="74"/>
      <c r="CC192" s="74"/>
      <c r="CD192" s="74"/>
      <c r="CE192" s="74"/>
      <c r="CF192" s="74"/>
    </row>
    <row r="193" spans="1:84">
      <c r="A193" s="283" t="s">
        <v>408</v>
      </c>
      <c r="B193" s="283" t="s">
        <v>407</v>
      </c>
      <c r="C193" s="283" t="str">
        <f t="shared" si="61"/>
        <v>14400 OAKVILLE SCHOOL DISTRICT</v>
      </c>
      <c r="D193" s="490">
        <v>0</v>
      </c>
      <c r="E193" s="490">
        <v>8540.6299999999992</v>
      </c>
      <c r="F193" s="490">
        <v>8110.58</v>
      </c>
      <c r="G193" s="490">
        <v>630409.27</v>
      </c>
      <c r="H193" s="490">
        <v>70440.08</v>
      </c>
      <c r="I193" s="490">
        <v>93711.85</v>
      </c>
      <c r="J193" s="490">
        <v>165086.6</v>
      </c>
      <c r="K193" s="490">
        <v>0</v>
      </c>
      <c r="L193" s="490">
        <v>9038.7199999999993</v>
      </c>
      <c r="M193" s="490">
        <v>217855.99</v>
      </c>
      <c r="N193" s="300">
        <v>4.6899999999999997E-2</v>
      </c>
      <c r="O193" s="492">
        <v>0.2802</v>
      </c>
      <c r="P193" s="490">
        <v>0</v>
      </c>
      <c r="Q193" s="493">
        <v>0</v>
      </c>
      <c r="R193" s="493">
        <v>0</v>
      </c>
      <c r="S193" s="494">
        <v>0</v>
      </c>
      <c r="T193" s="495">
        <v>0</v>
      </c>
      <c r="U193" s="495">
        <v>0</v>
      </c>
      <c r="V193" s="490">
        <v>0</v>
      </c>
      <c r="W193" s="495">
        <v>0</v>
      </c>
      <c r="X193" s="495">
        <v>0</v>
      </c>
      <c r="Y193" s="490">
        <v>359.01</v>
      </c>
      <c r="Z193" s="490">
        <v>0</v>
      </c>
      <c r="AA193" s="490">
        <v>0</v>
      </c>
      <c r="AB193" s="490">
        <v>18351.400000000001</v>
      </c>
      <c r="AC193" s="490">
        <v>262944.88</v>
      </c>
      <c r="AD193" s="490">
        <v>26.59</v>
      </c>
      <c r="AE193" s="490">
        <v>235084.79</v>
      </c>
      <c r="AF193" s="339">
        <v>8841.0977811207231</v>
      </c>
      <c r="AG193" s="339">
        <v>9888.8634825122226</v>
      </c>
      <c r="AH193" s="496">
        <v>1047.77</v>
      </c>
      <c r="AI193" s="490">
        <v>2.02</v>
      </c>
      <c r="AJ193" s="490">
        <v>17405.830000000002</v>
      </c>
      <c r="AK193" s="339">
        <v>8616.7475247524762</v>
      </c>
      <c r="AL193" s="339">
        <v>9084.8514851485161</v>
      </c>
      <c r="AM193" s="496">
        <v>468.1</v>
      </c>
      <c r="AN193" s="495">
        <v>2104.1999999999998</v>
      </c>
      <c r="AO193" s="495">
        <v>0</v>
      </c>
      <c r="AP193" s="74"/>
      <c r="AQ193" s="303">
        <v>14683.19999999999</v>
      </c>
      <c r="AR193" s="303">
        <v>39927.870000000003</v>
      </c>
      <c r="AS193" s="552">
        <v>20747.36</v>
      </c>
      <c r="AY193" s="67">
        <f t="shared" si="57"/>
        <v>0</v>
      </c>
      <c r="BA193" t="s">
        <v>845</v>
      </c>
      <c r="BB193" t="s">
        <v>407</v>
      </c>
      <c r="BC193" t="s">
        <v>1038</v>
      </c>
      <c r="BD193" s="491">
        <v>4.6899999999999997E-2</v>
      </c>
      <c r="BE193" s="492">
        <v>0.2802</v>
      </c>
      <c r="BG193" s="510">
        <f t="shared" si="55"/>
        <v>0</v>
      </c>
      <c r="BH193" s="510">
        <f t="shared" si="56"/>
        <v>0</v>
      </c>
      <c r="BJ193" s="520">
        <f t="shared" si="58"/>
        <v>0</v>
      </c>
      <c r="BK193" s="520">
        <f t="shared" si="59"/>
        <v>0</v>
      </c>
      <c r="CB193" s="74"/>
      <c r="CC193" s="74"/>
      <c r="CD193" s="74"/>
      <c r="CE193" s="74"/>
      <c r="CF193" s="74"/>
    </row>
    <row r="194" spans="1:84">
      <c r="A194" s="283" t="s">
        <v>410</v>
      </c>
      <c r="B194" s="283" t="s">
        <v>409</v>
      </c>
      <c r="C194" s="283" t="str">
        <f t="shared" si="61"/>
        <v>25101 OCEAN BEACH SCHOOL DISTRICT</v>
      </c>
      <c r="D194" s="490">
        <v>0</v>
      </c>
      <c r="E194" s="490">
        <v>0</v>
      </c>
      <c r="F194" s="490">
        <v>0</v>
      </c>
      <c r="G194" s="490">
        <v>0</v>
      </c>
      <c r="H194" s="490">
        <v>0</v>
      </c>
      <c r="I194" s="490">
        <v>309082.84000000003</v>
      </c>
      <c r="J194" s="490">
        <v>430638.11</v>
      </c>
      <c r="K194" s="490">
        <v>95542.43</v>
      </c>
      <c r="L194" s="490">
        <v>29297.94</v>
      </c>
      <c r="M194" s="490">
        <v>1215523.8999999999</v>
      </c>
      <c r="N194" s="300">
        <v>4.3799999999999999E-2</v>
      </c>
      <c r="O194" s="492">
        <v>0.1807</v>
      </c>
      <c r="P194" s="490">
        <v>0</v>
      </c>
      <c r="Q194" s="493">
        <v>0</v>
      </c>
      <c r="R194" s="493">
        <v>0</v>
      </c>
      <c r="S194" s="494">
        <v>0</v>
      </c>
      <c r="T194" s="495">
        <v>0</v>
      </c>
      <c r="U194" s="495">
        <v>0</v>
      </c>
      <c r="V194" s="490">
        <v>0</v>
      </c>
      <c r="W194" s="495">
        <v>0</v>
      </c>
      <c r="X194" s="495">
        <v>0</v>
      </c>
      <c r="Y194" s="490">
        <v>1155.33</v>
      </c>
      <c r="Z194" s="490">
        <v>0</v>
      </c>
      <c r="AA194" s="490">
        <v>84715.22</v>
      </c>
      <c r="AB194" s="490">
        <v>0</v>
      </c>
      <c r="AC194" s="490">
        <v>1002543.21</v>
      </c>
      <c r="AD194" s="490">
        <v>108.12</v>
      </c>
      <c r="AE194" s="490">
        <v>956508.33</v>
      </c>
      <c r="AF194" s="339">
        <v>8846.7289123196442</v>
      </c>
      <c r="AG194" s="339">
        <v>9272.5047169811314</v>
      </c>
      <c r="AH194" s="496">
        <v>425.78</v>
      </c>
      <c r="AI194" s="490">
        <v>0</v>
      </c>
      <c r="AJ194" s="490">
        <v>0</v>
      </c>
      <c r="AK194" s="339">
        <v>0</v>
      </c>
      <c r="AL194" s="339">
        <v>0</v>
      </c>
      <c r="AM194" s="496">
        <v>0</v>
      </c>
      <c r="AN194" s="495">
        <v>11976.62</v>
      </c>
      <c r="AO194" s="495">
        <v>0</v>
      </c>
      <c r="AP194" s="74"/>
      <c r="AQ194" s="303">
        <v>12075.679999999993</v>
      </c>
      <c r="AR194" s="303">
        <v>87518.69</v>
      </c>
      <c r="AS194" s="552">
        <v>28079.5</v>
      </c>
      <c r="AY194" s="67">
        <f t="shared" si="57"/>
        <v>0</v>
      </c>
      <c r="BA194" t="s">
        <v>859</v>
      </c>
      <c r="BB194" t="s">
        <v>409</v>
      </c>
      <c r="BC194" t="s">
        <v>1039</v>
      </c>
      <c r="BD194" s="491">
        <v>4.3799999999999999E-2</v>
      </c>
      <c r="BE194" s="492">
        <v>0.1807</v>
      </c>
      <c r="BG194" s="510">
        <f t="shared" si="55"/>
        <v>0</v>
      </c>
      <c r="BH194" s="510">
        <f t="shared" si="56"/>
        <v>0</v>
      </c>
      <c r="BJ194" s="520">
        <f t="shared" si="58"/>
        <v>0</v>
      </c>
      <c r="BK194" s="520">
        <f t="shared" si="59"/>
        <v>0</v>
      </c>
      <c r="CB194" s="74"/>
      <c r="CC194" s="74"/>
      <c r="CD194" s="74"/>
      <c r="CE194" s="74"/>
      <c r="CF194" s="74"/>
    </row>
    <row r="195" spans="1:84">
      <c r="A195" s="283" t="s">
        <v>412</v>
      </c>
      <c r="B195" s="283" t="s">
        <v>411</v>
      </c>
      <c r="C195" s="283" t="str">
        <f t="shared" si="61"/>
        <v>14172 OCOSTA SCHOOL DISTRICT</v>
      </c>
      <c r="D195" s="490">
        <v>0</v>
      </c>
      <c r="E195" s="490">
        <v>0</v>
      </c>
      <c r="F195" s="490">
        <v>17017.38</v>
      </c>
      <c r="G195" s="490">
        <v>740150.61</v>
      </c>
      <c r="H195" s="490">
        <v>72191.320000000007</v>
      </c>
      <c r="I195" s="490">
        <v>172255.24</v>
      </c>
      <c r="J195" s="490">
        <v>263058.07</v>
      </c>
      <c r="K195" s="490">
        <v>117182.39999999999</v>
      </c>
      <c r="L195" s="490">
        <v>17454.09</v>
      </c>
      <c r="M195" s="490">
        <v>510491.66</v>
      </c>
      <c r="N195" s="300">
        <v>2.06E-2</v>
      </c>
      <c r="O195" s="492">
        <v>0.20619999999999999</v>
      </c>
      <c r="P195" s="490">
        <v>0</v>
      </c>
      <c r="Q195" s="493">
        <v>0</v>
      </c>
      <c r="R195" s="493">
        <v>0</v>
      </c>
      <c r="S195" s="494">
        <v>0</v>
      </c>
      <c r="T195" s="495">
        <v>0</v>
      </c>
      <c r="U195" s="495">
        <v>0</v>
      </c>
      <c r="V195" s="490">
        <v>0</v>
      </c>
      <c r="W195" s="495">
        <v>0</v>
      </c>
      <c r="X195" s="495">
        <v>0</v>
      </c>
      <c r="Y195" s="490">
        <v>660.99</v>
      </c>
      <c r="Z195" s="490">
        <v>7449.23</v>
      </c>
      <c r="AA195" s="490">
        <v>14186.24</v>
      </c>
      <c r="AB195" s="490">
        <v>46139.61</v>
      </c>
      <c r="AC195" s="490">
        <v>236258.02</v>
      </c>
      <c r="AD195" s="490">
        <v>23.77</v>
      </c>
      <c r="AE195" s="490">
        <v>210214.5</v>
      </c>
      <c r="AF195" s="339">
        <v>8843.6895246108543</v>
      </c>
      <c r="AG195" s="339">
        <v>9939.3361379890612</v>
      </c>
      <c r="AH195" s="496">
        <v>1095.6500000000001</v>
      </c>
      <c r="AI195" s="490">
        <v>5.04</v>
      </c>
      <c r="AJ195" s="490">
        <v>43583.26</v>
      </c>
      <c r="AK195" s="339">
        <v>8647.4722222222226</v>
      </c>
      <c r="AL195" s="339">
        <v>9154.6845238095248</v>
      </c>
      <c r="AM195" s="496">
        <v>507.21</v>
      </c>
      <c r="AN195" s="495">
        <v>9426.75</v>
      </c>
      <c r="AO195" s="495">
        <v>0</v>
      </c>
      <c r="AP195" s="74"/>
      <c r="AQ195" s="303">
        <v>42908.960000000028</v>
      </c>
      <c r="AR195" s="303">
        <v>65415.839999999997</v>
      </c>
      <c r="AS195" s="552"/>
      <c r="AY195" s="67">
        <f t="shared" si="57"/>
        <v>0</v>
      </c>
      <c r="BA195" t="s">
        <v>845</v>
      </c>
      <c r="BB195" t="s">
        <v>411</v>
      </c>
      <c r="BC195" t="s">
        <v>1040</v>
      </c>
      <c r="BD195" s="491">
        <v>2.06E-2</v>
      </c>
      <c r="BE195" s="492">
        <v>0.20619999999999999</v>
      </c>
      <c r="BG195" s="510">
        <f t="shared" si="55"/>
        <v>0</v>
      </c>
      <c r="BH195" s="510">
        <f t="shared" si="56"/>
        <v>0</v>
      </c>
      <c r="BJ195" s="520">
        <f t="shared" si="58"/>
        <v>0</v>
      </c>
      <c r="BK195" s="520">
        <f t="shared" si="59"/>
        <v>0</v>
      </c>
      <c r="CB195" s="74"/>
      <c r="CC195" s="74"/>
      <c r="CD195" s="74"/>
      <c r="CE195" s="74"/>
      <c r="CF195" s="74"/>
    </row>
    <row r="196" spans="1:84">
      <c r="A196" s="283" t="s">
        <v>414</v>
      </c>
      <c r="B196" s="283" t="s">
        <v>413</v>
      </c>
      <c r="C196" s="283" t="str">
        <f t="shared" si="61"/>
        <v>22105 ODESSA SCHOOL DISTRICT</v>
      </c>
      <c r="D196" s="490">
        <v>0</v>
      </c>
      <c r="E196" s="490">
        <v>0</v>
      </c>
      <c r="F196" s="490">
        <v>0</v>
      </c>
      <c r="G196" s="490">
        <v>363317.41</v>
      </c>
      <c r="H196" s="490">
        <v>66004.27</v>
      </c>
      <c r="I196" s="490">
        <v>0</v>
      </c>
      <c r="J196" s="490">
        <v>79023.92</v>
      </c>
      <c r="K196" s="490">
        <v>0</v>
      </c>
      <c r="L196" s="490">
        <v>6639.75</v>
      </c>
      <c r="M196" s="490">
        <v>383092.12</v>
      </c>
      <c r="N196" s="300">
        <v>2.0400000000000001E-2</v>
      </c>
      <c r="O196" s="492">
        <v>0.22850000000000001</v>
      </c>
      <c r="P196" s="490">
        <v>0</v>
      </c>
      <c r="Q196" s="493">
        <v>0</v>
      </c>
      <c r="R196" s="493">
        <v>0</v>
      </c>
      <c r="S196" s="494">
        <v>0</v>
      </c>
      <c r="T196" s="495">
        <v>0</v>
      </c>
      <c r="U196" s="495">
        <v>0</v>
      </c>
      <c r="V196" s="490">
        <v>0</v>
      </c>
      <c r="W196" s="495">
        <v>0</v>
      </c>
      <c r="X196" s="495">
        <v>0</v>
      </c>
      <c r="Y196" s="490">
        <v>0</v>
      </c>
      <c r="Z196" s="490">
        <v>0</v>
      </c>
      <c r="AA196" s="490">
        <v>0</v>
      </c>
      <c r="AB196" s="490">
        <v>0</v>
      </c>
      <c r="AC196" s="490">
        <v>116810.4</v>
      </c>
      <c r="AD196" s="490">
        <v>12.35</v>
      </c>
      <c r="AE196" s="490">
        <v>112613.08</v>
      </c>
      <c r="AF196" s="339">
        <v>9118.4680161943324</v>
      </c>
      <c r="AG196" s="339">
        <v>9458.3319838056686</v>
      </c>
      <c r="AH196" s="496">
        <v>339.86</v>
      </c>
      <c r="AI196" s="490">
        <v>0</v>
      </c>
      <c r="AJ196" s="490">
        <v>0</v>
      </c>
      <c r="AK196" s="339">
        <v>0</v>
      </c>
      <c r="AL196" s="339">
        <v>0</v>
      </c>
      <c r="AM196" s="496">
        <v>0</v>
      </c>
      <c r="AN196" s="495">
        <v>0</v>
      </c>
      <c r="AO196" s="495">
        <v>0</v>
      </c>
      <c r="AP196" s="74"/>
      <c r="AQ196" s="303">
        <v>0</v>
      </c>
      <c r="AR196" s="303">
        <v>31904.159999999996</v>
      </c>
      <c r="AS196" s="552">
        <v>16971.260000000002</v>
      </c>
      <c r="AY196" s="67">
        <f t="shared" si="57"/>
        <v>0</v>
      </c>
      <c r="BA196" t="s">
        <v>848</v>
      </c>
      <c r="BB196" t="s">
        <v>413</v>
      </c>
      <c r="BC196" t="s">
        <v>1041</v>
      </c>
      <c r="BD196" s="491">
        <v>2.0400000000000001E-2</v>
      </c>
      <c r="BE196" s="492">
        <v>0.22850000000000001</v>
      </c>
      <c r="BG196" s="510">
        <f t="shared" si="55"/>
        <v>0</v>
      </c>
      <c r="BH196" s="510">
        <f t="shared" si="56"/>
        <v>0</v>
      </c>
      <c r="BJ196" s="520">
        <f t="shared" si="58"/>
        <v>0</v>
      </c>
      <c r="BK196" s="520">
        <f t="shared" si="59"/>
        <v>0</v>
      </c>
      <c r="CB196" s="74"/>
      <c r="CC196" s="74"/>
      <c r="CD196" s="74"/>
      <c r="CE196" s="74"/>
      <c r="CF196" s="74"/>
    </row>
    <row r="197" spans="1:84">
      <c r="A197" s="283" t="s">
        <v>416</v>
      </c>
      <c r="B197" s="283" t="s">
        <v>415</v>
      </c>
      <c r="C197" s="283" t="str">
        <f t="shared" si="61"/>
        <v>24105 OKANOGAN SCHOOL DISTRICT</v>
      </c>
      <c r="D197" s="490">
        <v>0</v>
      </c>
      <c r="E197" s="490">
        <v>9269.4500000000007</v>
      </c>
      <c r="F197" s="490">
        <v>27718.84</v>
      </c>
      <c r="G197" s="490">
        <v>1782781.86</v>
      </c>
      <c r="H197" s="490">
        <v>224092.12</v>
      </c>
      <c r="I197" s="490">
        <v>328387.13</v>
      </c>
      <c r="J197" s="490">
        <v>529203.18999999994</v>
      </c>
      <c r="K197" s="490">
        <v>137695.89000000001</v>
      </c>
      <c r="L197" s="490">
        <v>32024.87</v>
      </c>
      <c r="M197" s="490">
        <v>786383.32</v>
      </c>
      <c r="N197" s="300">
        <v>7.9000000000000008E-3</v>
      </c>
      <c r="O197" s="492">
        <v>0.18859999999999999</v>
      </c>
      <c r="P197" s="490">
        <v>0</v>
      </c>
      <c r="Q197" s="493">
        <v>0</v>
      </c>
      <c r="R197" s="493">
        <v>0</v>
      </c>
      <c r="S197" s="494">
        <v>148238.89000000001</v>
      </c>
      <c r="T197" s="495">
        <v>12524.965999999986</v>
      </c>
      <c r="U197" s="495">
        <v>5807.45</v>
      </c>
      <c r="V197" s="490">
        <v>0</v>
      </c>
      <c r="W197" s="495">
        <v>0</v>
      </c>
      <c r="X197" s="495">
        <v>0</v>
      </c>
      <c r="Y197" s="490">
        <v>0</v>
      </c>
      <c r="Z197" s="490">
        <v>0</v>
      </c>
      <c r="AA197" s="490">
        <v>68981.67</v>
      </c>
      <c r="AB197" s="490">
        <v>88830.95</v>
      </c>
      <c r="AC197" s="490">
        <v>752291.06</v>
      </c>
      <c r="AD197" s="490">
        <v>80.13</v>
      </c>
      <c r="AE197" s="490">
        <v>716035.87</v>
      </c>
      <c r="AF197" s="339">
        <v>8935.9274928241612</v>
      </c>
      <c r="AG197" s="339">
        <v>9388.3821290403102</v>
      </c>
      <c r="AH197" s="496">
        <v>452.45</v>
      </c>
      <c r="AI197" s="490">
        <v>9.58</v>
      </c>
      <c r="AJ197" s="490">
        <v>83542.84</v>
      </c>
      <c r="AK197" s="339">
        <v>8720.5469728601256</v>
      </c>
      <c r="AL197" s="339">
        <v>9272.5417536534442</v>
      </c>
      <c r="AM197" s="496">
        <v>551.99</v>
      </c>
      <c r="AN197" s="495">
        <v>0</v>
      </c>
      <c r="AO197" s="495">
        <v>0</v>
      </c>
      <c r="AP197" s="74"/>
      <c r="AQ197" s="303">
        <v>0</v>
      </c>
      <c r="AR197" s="303">
        <v>110628.03999999998</v>
      </c>
      <c r="AS197" s="552">
        <v>40993.050000000003</v>
      </c>
      <c r="AY197" s="67">
        <f t="shared" si="57"/>
        <v>0</v>
      </c>
      <c r="BA197" t="s">
        <v>871</v>
      </c>
      <c r="BB197" t="s">
        <v>415</v>
      </c>
      <c r="BC197" t="s">
        <v>1042</v>
      </c>
      <c r="BD197" s="491">
        <v>7.9000000000000008E-3</v>
      </c>
      <c r="BE197" s="492">
        <v>0.18859999999999999</v>
      </c>
      <c r="BG197" s="510">
        <f t="shared" si="55"/>
        <v>0</v>
      </c>
      <c r="BH197" s="510">
        <f t="shared" si="56"/>
        <v>0</v>
      </c>
      <c r="BJ197" s="520">
        <f t="shared" si="58"/>
        <v>0</v>
      </c>
      <c r="BK197" s="520">
        <f t="shared" si="59"/>
        <v>0</v>
      </c>
      <c r="CB197" s="74"/>
      <c r="CC197" s="74"/>
      <c r="CD197" s="74"/>
      <c r="CE197" s="74"/>
      <c r="CF197" s="74"/>
    </row>
    <row r="198" spans="1:84">
      <c r="A198" s="283" t="s">
        <v>418</v>
      </c>
      <c r="B198" s="283" t="s">
        <v>417</v>
      </c>
      <c r="C198" s="283" t="str">
        <f t="shared" si="61"/>
        <v>34111 OLYMPIA SCHOOL DISTRICT</v>
      </c>
      <c r="D198" s="490">
        <v>0</v>
      </c>
      <c r="E198" s="490">
        <v>12743.45</v>
      </c>
      <c r="F198" s="490">
        <v>0</v>
      </c>
      <c r="G198" s="490">
        <v>18621994.890000001</v>
      </c>
      <c r="H198" s="490">
        <v>3449706.56</v>
      </c>
      <c r="I198" s="490">
        <v>198322.64</v>
      </c>
      <c r="J198" s="490">
        <v>2074809.58</v>
      </c>
      <c r="K198" s="490">
        <v>619301.97</v>
      </c>
      <c r="L198" s="490">
        <v>292270.61</v>
      </c>
      <c r="M198" s="490">
        <v>5567844.3200000003</v>
      </c>
      <c r="N198" s="300">
        <v>2.7300000000000001E-2</v>
      </c>
      <c r="O198" s="492">
        <v>0.1507</v>
      </c>
      <c r="P198" s="490">
        <v>0</v>
      </c>
      <c r="Q198" s="493">
        <v>0</v>
      </c>
      <c r="R198" s="493">
        <v>0</v>
      </c>
      <c r="S198" s="494">
        <v>181840.05</v>
      </c>
      <c r="T198" s="495">
        <v>17214.189999999988</v>
      </c>
      <c r="U198" s="495">
        <v>5980.08</v>
      </c>
      <c r="V198" s="490">
        <v>0</v>
      </c>
      <c r="W198" s="495">
        <v>0</v>
      </c>
      <c r="X198" s="495">
        <v>0</v>
      </c>
      <c r="Y198" s="490">
        <v>1503.16</v>
      </c>
      <c r="Z198" s="490">
        <v>84927.82</v>
      </c>
      <c r="AA198" s="490">
        <v>186071.58</v>
      </c>
      <c r="AB198" s="490">
        <v>1131093.92</v>
      </c>
      <c r="AC198" s="490">
        <v>5833253.8899999997</v>
      </c>
      <c r="AD198" s="490">
        <v>572.71</v>
      </c>
      <c r="AE198" s="490">
        <v>5167318.12</v>
      </c>
      <c r="AF198" s="339">
        <v>9022.5735887272785</v>
      </c>
      <c r="AG198" s="339">
        <v>10185.353651935533</v>
      </c>
      <c r="AH198" s="496">
        <v>1162.78</v>
      </c>
      <c r="AI198" s="490">
        <v>120.85</v>
      </c>
      <c r="AJ198" s="490">
        <v>1064044.68</v>
      </c>
      <c r="AK198" s="339">
        <v>8804.6725693007866</v>
      </c>
      <c r="AL198" s="339">
        <v>9359.4863053371955</v>
      </c>
      <c r="AM198" s="496">
        <v>554.80999999999995</v>
      </c>
      <c r="AN198" s="495">
        <v>25000</v>
      </c>
      <c r="AO198" s="495">
        <v>14025.75</v>
      </c>
      <c r="AP198" s="74"/>
      <c r="AQ198" s="303">
        <v>0</v>
      </c>
      <c r="AR198" s="303">
        <v>925744.44</v>
      </c>
      <c r="AS198" s="552">
        <v>291232.2</v>
      </c>
      <c r="AY198" s="67">
        <f t="shared" si="57"/>
        <v>0</v>
      </c>
      <c r="BA198" t="s">
        <v>845</v>
      </c>
      <c r="BB198" t="s">
        <v>417</v>
      </c>
      <c r="BC198" t="s">
        <v>1043</v>
      </c>
      <c r="BD198" s="491">
        <v>2.7300000000000001E-2</v>
      </c>
      <c r="BE198" s="492">
        <v>0.1507</v>
      </c>
      <c r="BG198" s="510">
        <f t="shared" si="55"/>
        <v>0</v>
      </c>
      <c r="BH198" s="510">
        <f t="shared" si="56"/>
        <v>0</v>
      </c>
      <c r="BJ198" s="520">
        <f t="shared" si="58"/>
        <v>0</v>
      </c>
      <c r="BK198" s="520">
        <f t="shared" si="59"/>
        <v>0</v>
      </c>
      <c r="CB198" s="74"/>
      <c r="CC198" s="74"/>
      <c r="CD198" s="74"/>
      <c r="CE198" s="74"/>
      <c r="CF198" s="74"/>
    </row>
    <row r="199" spans="1:84">
      <c r="A199" s="283" t="s">
        <v>420</v>
      </c>
      <c r="B199" s="283" t="s">
        <v>419</v>
      </c>
      <c r="C199" s="283" t="str">
        <f t="shared" si="61"/>
        <v>24019 OMAK SCHOOL DISTRICT</v>
      </c>
      <c r="D199" s="490">
        <v>0</v>
      </c>
      <c r="E199" s="490">
        <v>0</v>
      </c>
      <c r="F199" s="490">
        <v>0</v>
      </c>
      <c r="G199" s="490">
        <v>9224010.2699999996</v>
      </c>
      <c r="H199" s="490">
        <v>1435153.53</v>
      </c>
      <c r="I199" s="490">
        <v>887976.81</v>
      </c>
      <c r="J199" s="490">
        <v>2325757.44</v>
      </c>
      <c r="K199" s="490">
        <v>562740.9</v>
      </c>
      <c r="L199" s="490">
        <v>174125.31</v>
      </c>
      <c r="M199" s="490">
        <v>1080660.8700000001</v>
      </c>
      <c r="N199" s="300">
        <v>3.4700000000000002E-2</v>
      </c>
      <c r="O199" s="492">
        <v>8.9099999999999999E-2</v>
      </c>
      <c r="P199" s="490">
        <v>0</v>
      </c>
      <c r="Q199" s="493">
        <v>0</v>
      </c>
      <c r="R199" s="493">
        <v>0</v>
      </c>
      <c r="S199" s="494">
        <v>0</v>
      </c>
      <c r="T199" s="495">
        <v>0</v>
      </c>
      <c r="U199" s="495">
        <v>0</v>
      </c>
      <c r="V199" s="490">
        <v>0</v>
      </c>
      <c r="W199" s="495">
        <v>0</v>
      </c>
      <c r="X199" s="495">
        <v>0</v>
      </c>
      <c r="Y199" s="490">
        <v>6734.02</v>
      </c>
      <c r="Z199" s="490">
        <v>0</v>
      </c>
      <c r="AA199" s="490">
        <v>132583.51999999999</v>
      </c>
      <c r="AB199" s="490">
        <v>140300.31</v>
      </c>
      <c r="AC199" s="490">
        <v>1370687.9</v>
      </c>
      <c r="AD199" s="490">
        <v>130.62</v>
      </c>
      <c r="AE199" s="490">
        <v>1155679.51</v>
      </c>
      <c r="AF199" s="339">
        <v>8847.6459194610325</v>
      </c>
      <c r="AG199" s="339">
        <v>10493.706170571122</v>
      </c>
      <c r="AH199" s="496">
        <v>1646.06</v>
      </c>
      <c r="AI199" s="490">
        <v>15.31</v>
      </c>
      <c r="AJ199" s="490">
        <v>132188.46</v>
      </c>
      <c r="AK199" s="339">
        <v>8634.1254082299147</v>
      </c>
      <c r="AL199" s="339">
        <v>9163.9653821032007</v>
      </c>
      <c r="AM199" s="496">
        <v>529.84</v>
      </c>
      <c r="AN199" s="495">
        <v>0</v>
      </c>
      <c r="AO199" s="495">
        <v>0</v>
      </c>
      <c r="AP199" s="74"/>
      <c r="AQ199" s="303">
        <v>0</v>
      </c>
      <c r="AR199" s="303">
        <v>254717.37</v>
      </c>
      <c r="AS199" s="552">
        <v>53425.14</v>
      </c>
      <c r="AY199" s="67">
        <f t="shared" si="57"/>
        <v>0</v>
      </c>
      <c r="BA199" t="s">
        <v>871</v>
      </c>
      <c r="BB199" t="s">
        <v>419</v>
      </c>
      <c r="BC199" t="s">
        <v>1044</v>
      </c>
      <c r="BD199" s="491">
        <v>3.4700000000000002E-2</v>
      </c>
      <c r="BE199" s="492">
        <v>8.9099999999999999E-2</v>
      </c>
      <c r="BG199" s="510">
        <f t="shared" ref="BG199:BG262" si="62">+N199-BD199</f>
        <v>0</v>
      </c>
      <c r="BH199" s="510">
        <f t="shared" ref="BH199:BH262" si="63">+O199-BE199</f>
        <v>0</v>
      </c>
      <c r="BJ199" s="520">
        <f t="shared" si="58"/>
        <v>0</v>
      </c>
      <c r="BK199" s="520">
        <f t="shared" si="59"/>
        <v>0</v>
      </c>
      <c r="CB199" s="74"/>
      <c r="CC199" s="74"/>
      <c r="CD199" s="74"/>
      <c r="CE199" s="74"/>
      <c r="CF199" s="74"/>
    </row>
    <row r="200" spans="1:84">
      <c r="A200" s="283" t="s">
        <v>422</v>
      </c>
      <c r="B200" s="283" t="s">
        <v>421</v>
      </c>
      <c r="C200" s="283" t="str">
        <f t="shared" si="61"/>
        <v>21300 ONALASKA SCHOOL DISTRICT</v>
      </c>
      <c r="D200" s="490">
        <v>0</v>
      </c>
      <c r="E200" s="490">
        <v>0</v>
      </c>
      <c r="F200" s="490">
        <v>0</v>
      </c>
      <c r="G200" s="490">
        <v>1746858.08</v>
      </c>
      <c r="H200" s="490">
        <v>338801.11</v>
      </c>
      <c r="I200" s="490">
        <v>254642.69</v>
      </c>
      <c r="J200" s="490">
        <v>325913.57</v>
      </c>
      <c r="K200" s="490">
        <v>37665.769999999997</v>
      </c>
      <c r="L200" s="490">
        <v>24934.41</v>
      </c>
      <c r="M200" s="490">
        <v>702877.82</v>
      </c>
      <c r="N200" s="300">
        <v>3.8699999999999998E-2</v>
      </c>
      <c r="O200" s="492">
        <v>0.18090000000000001</v>
      </c>
      <c r="P200" s="490">
        <v>0</v>
      </c>
      <c r="Q200" s="493">
        <v>0</v>
      </c>
      <c r="R200" s="493">
        <v>0</v>
      </c>
      <c r="S200" s="494">
        <v>0</v>
      </c>
      <c r="T200" s="495">
        <v>0</v>
      </c>
      <c r="U200" s="495">
        <v>0</v>
      </c>
      <c r="V200" s="490">
        <v>0</v>
      </c>
      <c r="W200" s="495">
        <v>0</v>
      </c>
      <c r="X200" s="495">
        <v>0</v>
      </c>
      <c r="Y200" s="490">
        <v>1005.46</v>
      </c>
      <c r="Z200" s="490">
        <v>0</v>
      </c>
      <c r="AA200" s="490">
        <v>78328.509999999995</v>
      </c>
      <c r="AB200" s="490">
        <v>89296.960000000006</v>
      </c>
      <c r="AC200" s="490">
        <v>871514.78</v>
      </c>
      <c r="AD200" s="490">
        <v>92.3</v>
      </c>
      <c r="AE200" s="490">
        <v>816600.34</v>
      </c>
      <c r="AF200" s="339">
        <v>8847.2409534127837</v>
      </c>
      <c r="AG200" s="339">
        <v>9442.1969664138687</v>
      </c>
      <c r="AH200" s="496">
        <v>594.96</v>
      </c>
      <c r="AI200" s="490">
        <v>9.73</v>
      </c>
      <c r="AJ200" s="490">
        <v>83919.08</v>
      </c>
      <c r="AK200" s="339">
        <v>8624.7769784172651</v>
      </c>
      <c r="AL200" s="339">
        <v>9177.4881808838654</v>
      </c>
      <c r="AM200" s="496">
        <v>552.71</v>
      </c>
      <c r="AN200" s="495">
        <v>0</v>
      </c>
      <c r="AO200" s="495">
        <v>0</v>
      </c>
      <c r="AP200" s="74"/>
      <c r="AQ200" s="303">
        <v>0</v>
      </c>
      <c r="AR200" s="303">
        <v>90708.74</v>
      </c>
      <c r="AS200" s="552">
        <v>34777.020000000004</v>
      </c>
      <c r="AY200" s="67">
        <f t="shared" ref="AY200:AY263" si="64">+BB200-B200</f>
        <v>0</v>
      </c>
      <c r="BA200" t="s">
        <v>845</v>
      </c>
      <c r="BB200" t="s">
        <v>421</v>
      </c>
      <c r="BC200" t="s">
        <v>1045</v>
      </c>
      <c r="BD200" s="491">
        <v>3.8699999999999998E-2</v>
      </c>
      <c r="BE200" s="492">
        <v>0.18090000000000001</v>
      </c>
      <c r="BG200" s="510">
        <f t="shared" si="62"/>
        <v>0</v>
      </c>
      <c r="BH200" s="510">
        <f t="shared" si="63"/>
        <v>0</v>
      </c>
      <c r="BJ200" s="520">
        <f t="shared" ref="BJ200:BJ263" si="65">+BG200-0</f>
        <v>0</v>
      </c>
      <c r="BK200" s="520">
        <f t="shared" ref="BK200:BK263" si="66">+BH200-0</f>
        <v>0</v>
      </c>
      <c r="CB200" s="74"/>
      <c r="CC200" s="74"/>
      <c r="CD200" s="74"/>
      <c r="CE200" s="74"/>
      <c r="CF200" s="74"/>
    </row>
    <row r="201" spans="1:84">
      <c r="A201" s="283" t="s">
        <v>424</v>
      </c>
      <c r="B201" s="285" t="s">
        <v>423</v>
      </c>
      <c r="C201" s="283" t="str">
        <f t="shared" si="61"/>
        <v>33030 ONION CREEK SCHOOL DISTRICT</v>
      </c>
      <c r="D201" s="490">
        <v>0</v>
      </c>
      <c r="E201" s="490">
        <v>0</v>
      </c>
      <c r="F201" s="490">
        <v>0</v>
      </c>
      <c r="G201" s="490">
        <v>63368.08</v>
      </c>
      <c r="H201" s="490">
        <v>4195.38</v>
      </c>
      <c r="I201" s="490">
        <v>11943.27</v>
      </c>
      <c r="J201" s="490">
        <v>20927.150000000001</v>
      </c>
      <c r="K201" s="490">
        <v>0</v>
      </c>
      <c r="L201" s="490">
        <v>1162.5999999999999</v>
      </c>
      <c r="M201" s="490">
        <v>117431.58</v>
      </c>
      <c r="N201" s="300">
        <v>7.0000000000000007E-2</v>
      </c>
      <c r="O201" s="492">
        <v>0.27239999999999998</v>
      </c>
      <c r="P201" s="490">
        <v>0</v>
      </c>
      <c r="Q201" s="493">
        <v>0</v>
      </c>
      <c r="R201" s="493">
        <v>0</v>
      </c>
      <c r="S201" s="494">
        <v>0</v>
      </c>
      <c r="T201" s="495">
        <v>0</v>
      </c>
      <c r="U201" s="495">
        <v>0</v>
      </c>
      <c r="V201" s="490">
        <v>0</v>
      </c>
      <c r="W201" s="495">
        <v>0</v>
      </c>
      <c r="X201" s="495">
        <v>0</v>
      </c>
      <c r="Y201" s="490">
        <v>0</v>
      </c>
      <c r="Z201" s="490">
        <v>0</v>
      </c>
      <c r="AA201" s="490">
        <v>0</v>
      </c>
      <c r="AB201" s="490">
        <v>0</v>
      </c>
      <c r="AC201" s="490">
        <v>0</v>
      </c>
      <c r="AD201" s="490">
        <v>0</v>
      </c>
      <c r="AE201" s="490">
        <v>0</v>
      </c>
      <c r="AF201" s="339">
        <v>0</v>
      </c>
      <c r="AG201" s="339">
        <v>0</v>
      </c>
      <c r="AH201" s="496">
        <v>0</v>
      </c>
      <c r="AI201" s="490">
        <v>0</v>
      </c>
      <c r="AJ201" s="490">
        <v>0</v>
      </c>
      <c r="AK201" s="339">
        <v>0</v>
      </c>
      <c r="AL201" s="339">
        <v>0</v>
      </c>
      <c r="AM201" s="496">
        <v>0</v>
      </c>
      <c r="AN201" s="495">
        <v>0</v>
      </c>
      <c r="AO201" s="495">
        <v>0</v>
      </c>
      <c r="AP201" s="74"/>
      <c r="AQ201" s="303">
        <v>15556.029999999997</v>
      </c>
      <c r="AR201" s="303">
        <v>6622.48</v>
      </c>
      <c r="AS201" s="552">
        <v>11365.2</v>
      </c>
      <c r="AY201" s="67">
        <f t="shared" si="64"/>
        <v>0</v>
      </c>
      <c r="BA201" t="s">
        <v>848</v>
      </c>
      <c r="BB201" t="s">
        <v>423</v>
      </c>
      <c r="BC201" t="s">
        <v>1046</v>
      </c>
      <c r="BD201" s="491">
        <v>7.0000000000000007E-2</v>
      </c>
      <c r="BE201" s="492">
        <v>0.27239999999999998</v>
      </c>
      <c r="BG201" s="510">
        <f t="shared" si="62"/>
        <v>0</v>
      </c>
      <c r="BH201" s="510">
        <f t="shared" si="63"/>
        <v>0</v>
      </c>
      <c r="BJ201" s="520">
        <f t="shared" si="65"/>
        <v>0</v>
      </c>
      <c r="BK201" s="520">
        <f t="shared" si="66"/>
        <v>0</v>
      </c>
      <c r="CB201" s="74"/>
      <c r="CC201" s="74"/>
      <c r="CD201" s="74"/>
      <c r="CE201" s="74"/>
      <c r="CF201" s="74"/>
    </row>
    <row r="202" spans="1:84">
      <c r="A202" s="283" t="s">
        <v>426</v>
      </c>
      <c r="B202" s="283" t="s">
        <v>425</v>
      </c>
      <c r="C202" s="283" t="str">
        <f t="shared" si="61"/>
        <v>28137 ORCAS SCHOOL DISTRICT</v>
      </c>
      <c r="D202" s="490">
        <v>0</v>
      </c>
      <c r="E202" s="490">
        <v>14717.12</v>
      </c>
      <c r="F202" s="490">
        <v>0</v>
      </c>
      <c r="G202" s="490">
        <v>1478230.08</v>
      </c>
      <c r="H202" s="490">
        <v>126140.14</v>
      </c>
      <c r="I202" s="490">
        <v>0</v>
      </c>
      <c r="J202" s="490">
        <v>150889.57</v>
      </c>
      <c r="K202" s="490">
        <v>85454.55</v>
      </c>
      <c r="L202" s="490">
        <v>24899.64</v>
      </c>
      <c r="M202" s="490">
        <v>228847.7</v>
      </c>
      <c r="N202" s="300">
        <v>0.1045</v>
      </c>
      <c r="O202" s="492">
        <v>0.26690000000000003</v>
      </c>
      <c r="P202" s="490">
        <v>0</v>
      </c>
      <c r="Q202" s="493">
        <v>0</v>
      </c>
      <c r="R202" s="493">
        <v>0</v>
      </c>
      <c r="S202" s="494">
        <v>0</v>
      </c>
      <c r="T202" s="495">
        <v>0</v>
      </c>
      <c r="U202" s="495">
        <v>0</v>
      </c>
      <c r="V202" s="490">
        <v>0</v>
      </c>
      <c r="W202" s="495">
        <v>0</v>
      </c>
      <c r="X202" s="495">
        <v>0</v>
      </c>
      <c r="Y202" s="490">
        <v>0</v>
      </c>
      <c r="Z202" s="490">
        <v>0</v>
      </c>
      <c r="AA202" s="490">
        <v>0</v>
      </c>
      <c r="AB202" s="490">
        <v>0</v>
      </c>
      <c r="AC202" s="490">
        <v>100137.7</v>
      </c>
      <c r="AD202" s="490">
        <v>10.08</v>
      </c>
      <c r="AE202" s="490">
        <v>96605.48</v>
      </c>
      <c r="AF202" s="339">
        <v>9583.8769841269841</v>
      </c>
      <c r="AG202" s="339">
        <v>9934.2956349206343</v>
      </c>
      <c r="AH202" s="496">
        <v>350.42</v>
      </c>
      <c r="AI202" s="490">
        <v>0</v>
      </c>
      <c r="AJ202" s="490">
        <v>0</v>
      </c>
      <c r="AK202" s="339">
        <v>0</v>
      </c>
      <c r="AL202" s="339">
        <v>0</v>
      </c>
      <c r="AM202" s="496">
        <v>0</v>
      </c>
      <c r="AN202" s="495">
        <v>2934.14</v>
      </c>
      <c r="AO202" s="495">
        <v>0</v>
      </c>
      <c r="AP202" s="74"/>
      <c r="AQ202" s="303">
        <v>164493.65</v>
      </c>
      <c r="AR202" s="303">
        <v>59256.82</v>
      </c>
      <c r="AS202" s="552">
        <v>21967.32</v>
      </c>
      <c r="AY202" s="67">
        <f t="shared" si="64"/>
        <v>0</v>
      </c>
      <c r="BA202" t="s">
        <v>850</v>
      </c>
      <c r="BB202" t="s">
        <v>425</v>
      </c>
      <c r="BC202" t="s">
        <v>1047</v>
      </c>
      <c r="BD202" s="491">
        <v>0.1045</v>
      </c>
      <c r="BE202" s="492">
        <v>0.26690000000000003</v>
      </c>
      <c r="BG202" s="510">
        <f t="shared" si="62"/>
        <v>0</v>
      </c>
      <c r="BH202" s="510">
        <f t="shared" si="63"/>
        <v>0</v>
      </c>
      <c r="BJ202" s="520">
        <f t="shared" si="65"/>
        <v>0</v>
      </c>
      <c r="BK202" s="520">
        <f t="shared" si="66"/>
        <v>0</v>
      </c>
      <c r="CB202" s="74"/>
      <c r="CC202" s="74"/>
      <c r="CD202" s="74"/>
      <c r="CE202" s="74"/>
      <c r="CF202" s="74"/>
    </row>
    <row r="203" spans="1:84">
      <c r="A203" s="283" t="s">
        <v>428</v>
      </c>
      <c r="B203" s="283" t="s">
        <v>427</v>
      </c>
      <c r="C203" s="283" t="str">
        <f t="shared" si="61"/>
        <v>32123 ORCHARD PRAIRIE SCHOOL DISTRICT</v>
      </c>
      <c r="D203" s="490">
        <v>0</v>
      </c>
      <c r="E203" s="490">
        <v>0</v>
      </c>
      <c r="F203" s="490">
        <v>0</v>
      </c>
      <c r="G203" s="490">
        <v>63517.599999999999</v>
      </c>
      <c r="H203" s="490">
        <v>7042.62</v>
      </c>
      <c r="I203" s="490">
        <v>0</v>
      </c>
      <c r="J203" s="490">
        <v>5298.56</v>
      </c>
      <c r="K203" s="490">
        <v>0</v>
      </c>
      <c r="L203" s="490">
        <v>0</v>
      </c>
      <c r="M203" s="490">
        <v>41614.58</v>
      </c>
      <c r="N203" s="300">
        <v>0.11940000000000001</v>
      </c>
      <c r="O203" s="492">
        <v>0.22570000000000001</v>
      </c>
      <c r="P203" s="490">
        <v>0</v>
      </c>
      <c r="Q203" s="493">
        <v>0</v>
      </c>
      <c r="R203" s="493">
        <v>0</v>
      </c>
      <c r="S203" s="494">
        <v>0</v>
      </c>
      <c r="T203" s="495">
        <v>0</v>
      </c>
      <c r="U203" s="495">
        <v>0</v>
      </c>
      <c r="V203" s="490">
        <v>0</v>
      </c>
      <c r="W203" s="495">
        <v>0</v>
      </c>
      <c r="X203" s="495">
        <v>0</v>
      </c>
      <c r="Y203" s="490">
        <v>82.76</v>
      </c>
      <c r="Z203" s="490">
        <v>0</v>
      </c>
      <c r="AA203" s="490">
        <v>0</v>
      </c>
      <c r="AB203" s="490">
        <v>0</v>
      </c>
      <c r="AC203" s="490">
        <v>0</v>
      </c>
      <c r="AD203" s="490">
        <v>0</v>
      </c>
      <c r="AE203" s="490">
        <v>0</v>
      </c>
      <c r="AF203" s="339">
        <v>0</v>
      </c>
      <c r="AG203" s="339">
        <v>0</v>
      </c>
      <c r="AH203" s="496">
        <v>0</v>
      </c>
      <c r="AI203" s="490">
        <v>0</v>
      </c>
      <c r="AJ203" s="490">
        <v>0</v>
      </c>
      <c r="AK203" s="339">
        <v>0</v>
      </c>
      <c r="AL203" s="339">
        <v>0</v>
      </c>
      <c r="AM203" s="496">
        <v>0</v>
      </c>
      <c r="AN203" s="495">
        <v>0</v>
      </c>
      <c r="AO203" s="495">
        <v>0</v>
      </c>
      <c r="AP203" s="74"/>
      <c r="AQ203" s="303">
        <v>25956.129999999997</v>
      </c>
      <c r="AR203" s="303">
        <v>9385.6299999999992</v>
      </c>
      <c r="AS203" s="552"/>
      <c r="AY203" s="67">
        <f t="shared" si="64"/>
        <v>0</v>
      </c>
      <c r="BA203" t="s">
        <v>848</v>
      </c>
      <c r="BB203" t="s">
        <v>427</v>
      </c>
      <c r="BC203" t="s">
        <v>1048</v>
      </c>
      <c r="BD203" s="491">
        <v>0.11940000000000001</v>
      </c>
      <c r="BE203" s="492">
        <v>0.22570000000000001</v>
      </c>
      <c r="BG203" s="510">
        <f t="shared" si="62"/>
        <v>0</v>
      </c>
      <c r="BH203" s="510">
        <f t="shared" si="63"/>
        <v>0</v>
      </c>
      <c r="BJ203" s="520">
        <f t="shared" si="65"/>
        <v>0</v>
      </c>
      <c r="BK203" s="520">
        <f t="shared" si="66"/>
        <v>0</v>
      </c>
      <c r="CB203" s="74"/>
      <c r="CC203" s="74"/>
      <c r="CD203" s="74"/>
      <c r="CE203" s="74"/>
      <c r="CF203" s="74"/>
    </row>
    <row r="204" spans="1:84">
      <c r="A204" s="283" t="s">
        <v>430</v>
      </c>
      <c r="B204" s="283" t="s">
        <v>429</v>
      </c>
      <c r="C204" s="283" t="str">
        <f t="shared" si="61"/>
        <v>10065 ORIENT SCHOOL DISTRICT</v>
      </c>
      <c r="D204" s="490">
        <v>0</v>
      </c>
      <c r="E204" s="490">
        <v>0</v>
      </c>
      <c r="F204" s="490">
        <v>0</v>
      </c>
      <c r="G204" s="490">
        <v>58393.85</v>
      </c>
      <c r="H204" s="490">
        <v>7302.29</v>
      </c>
      <c r="I204" s="490">
        <v>12260.35</v>
      </c>
      <c r="J204" s="490">
        <v>19236.07</v>
      </c>
      <c r="K204" s="490">
        <v>0</v>
      </c>
      <c r="L204" s="490">
        <v>1056.92</v>
      </c>
      <c r="M204" s="490">
        <v>291511.11</v>
      </c>
      <c r="N204" s="300">
        <v>5.2299999999999999E-2</v>
      </c>
      <c r="O204" s="492">
        <v>0.2266</v>
      </c>
      <c r="P204" s="490">
        <v>0</v>
      </c>
      <c r="Q204" s="493">
        <v>0</v>
      </c>
      <c r="R204" s="493">
        <v>0</v>
      </c>
      <c r="S204" s="494">
        <v>0</v>
      </c>
      <c r="T204" s="495">
        <v>0</v>
      </c>
      <c r="U204" s="495">
        <v>0</v>
      </c>
      <c r="V204" s="490">
        <v>0</v>
      </c>
      <c r="W204" s="495">
        <v>0</v>
      </c>
      <c r="X204" s="495">
        <v>0</v>
      </c>
      <c r="Y204" s="490">
        <v>0</v>
      </c>
      <c r="Z204" s="490">
        <v>0</v>
      </c>
      <c r="AA204" s="490">
        <v>0</v>
      </c>
      <c r="AB204" s="490">
        <v>0</v>
      </c>
      <c r="AC204" s="490">
        <v>0</v>
      </c>
      <c r="AD204" s="490">
        <v>0</v>
      </c>
      <c r="AE204" s="490">
        <v>0</v>
      </c>
      <c r="AF204" s="339">
        <v>0</v>
      </c>
      <c r="AG204" s="339">
        <v>0</v>
      </c>
      <c r="AH204" s="496">
        <v>0</v>
      </c>
      <c r="AI204" s="490">
        <v>0</v>
      </c>
      <c r="AJ204" s="490">
        <v>0</v>
      </c>
      <c r="AK204" s="339">
        <v>0</v>
      </c>
      <c r="AL204" s="339">
        <v>0</v>
      </c>
      <c r="AM204" s="496">
        <v>0</v>
      </c>
      <c r="AN204" s="495">
        <v>0</v>
      </c>
      <c r="AO204" s="495">
        <v>0</v>
      </c>
      <c r="AP204" s="74"/>
      <c r="AQ204" s="303">
        <v>0</v>
      </c>
      <c r="AR204" s="303">
        <v>6550.14</v>
      </c>
      <c r="AS204" s="552">
        <v>11307.11</v>
      </c>
      <c r="AY204" s="67">
        <f t="shared" si="64"/>
        <v>0</v>
      </c>
      <c r="BA204" t="s">
        <v>848</v>
      </c>
      <c r="BB204" t="s">
        <v>429</v>
      </c>
      <c r="BC204" t="s">
        <v>1049</v>
      </c>
      <c r="BD204" s="491">
        <v>5.2299999999999999E-2</v>
      </c>
      <c r="BE204" s="492">
        <v>0.2266</v>
      </c>
      <c r="BG204" s="510">
        <f t="shared" si="62"/>
        <v>0</v>
      </c>
      <c r="BH204" s="510">
        <f t="shared" si="63"/>
        <v>0</v>
      </c>
      <c r="BJ204" s="520">
        <f t="shared" si="65"/>
        <v>0</v>
      </c>
      <c r="BK204" s="520">
        <f t="shared" si="66"/>
        <v>0</v>
      </c>
      <c r="CB204" s="74"/>
      <c r="CC204" s="74"/>
      <c r="CD204" s="74"/>
      <c r="CE204" s="74"/>
      <c r="CF204" s="74"/>
    </row>
    <row r="205" spans="1:84">
      <c r="A205" s="283" t="s">
        <v>432</v>
      </c>
      <c r="B205" s="283" t="s">
        <v>431</v>
      </c>
      <c r="C205" s="283" t="str">
        <f t="shared" si="61"/>
        <v>09013 ORONDO SCHOOL DISTRICT</v>
      </c>
      <c r="D205" s="490">
        <v>0</v>
      </c>
      <c r="E205" s="490">
        <v>0</v>
      </c>
      <c r="F205" s="490">
        <v>2217.52</v>
      </c>
      <c r="G205" s="490">
        <v>0</v>
      </c>
      <c r="H205" s="490">
        <v>0</v>
      </c>
      <c r="I205" s="490">
        <v>35739.33</v>
      </c>
      <c r="J205" s="490">
        <v>69608.570000000007</v>
      </c>
      <c r="K205" s="490">
        <v>84416.24</v>
      </c>
      <c r="L205" s="490">
        <v>3220.7</v>
      </c>
      <c r="M205" s="490">
        <v>291838.90000000002</v>
      </c>
      <c r="N205" s="300">
        <v>0.10059999999999999</v>
      </c>
      <c r="O205" s="492">
        <v>0.21729999999999999</v>
      </c>
      <c r="P205" s="490">
        <v>0</v>
      </c>
      <c r="Q205" s="493">
        <v>0</v>
      </c>
      <c r="R205" s="493">
        <v>0</v>
      </c>
      <c r="S205" s="494">
        <v>0</v>
      </c>
      <c r="T205" s="495">
        <v>0</v>
      </c>
      <c r="U205" s="495">
        <v>0</v>
      </c>
      <c r="V205" s="490">
        <v>0</v>
      </c>
      <c r="W205" s="495">
        <v>0</v>
      </c>
      <c r="X205" s="495">
        <v>0</v>
      </c>
      <c r="Y205" s="490">
        <v>147.63</v>
      </c>
      <c r="Z205" s="490">
        <v>1009.53</v>
      </c>
      <c r="AA205" s="490">
        <v>0</v>
      </c>
      <c r="AB205" s="490">
        <v>16081.66</v>
      </c>
      <c r="AC205" s="490">
        <v>0</v>
      </c>
      <c r="AD205" s="490">
        <v>0</v>
      </c>
      <c r="AE205" s="490">
        <v>0</v>
      </c>
      <c r="AF205" s="339">
        <v>0</v>
      </c>
      <c r="AG205" s="339">
        <v>0</v>
      </c>
      <c r="AH205" s="496">
        <v>0</v>
      </c>
      <c r="AI205" s="490">
        <v>1.74</v>
      </c>
      <c r="AJ205" s="490">
        <v>15037.9</v>
      </c>
      <c r="AK205" s="339">
        <v>8642.4712643678158</v>
      </c>
      <c r="AL205" s="339">
        <v>9242.3333333333339</v>
      </c>
      <c r="AM205" s="496">
        <v>599.86</v>
      </c>
      <c r="AN205" s="495">
        <v>0</v>
      </c>
      <c r="AO205" s="495">
        <v>0</v>
      </c>
      <c r="AP205" s="74"/>
      <c r="AQ205" s="303">
        <v>0</v>
      </c>
      <c r="AR205" s="303">
        <v>13193.73</v>
      </c>
      <c r="AS205" s="552">
        <v>14850.829999999998</v>
      </c>
      <c r="AY205" s="67">
        <f t="shared" si="64"/>
        <v>0</v>
      </c>
      <c r="BA205" t="s">
        <v>871</v>
      </c>
      <c r="BB205" t="s">
        <v>431</v>
      </c>
      <c r="BC205" t="s">
        <v>1050</v>
      </c>
      <c r="BD205" s="491">
        <v>0.10059999999999999</v>
      </c>
      <c r="BE205" s="492">
        <v>0.21729999999999999</v>
      </c>
      <c r="BG205" s="510">
        <f t="shared" si="62"/>
        <v>0</v>
      </c>
      <c r="BH205" s="510">
        <f t="shared" si="63"/>
        <v>0</v>
      </c>
      <c r="BJ205" s="520">
        <f t="shared" si="65"/>
        <v>0</v>
      </c>
      <c r="BK205" s="520">
        <f t="shared" si="66"/>
        <v>0</v>
      </c>
      <c r="CB205" s="74"/>
      <c r="CC205" s="74"/>
      <c r="CD205" s="74"/>
      <c r="CE205" s="74"/>
      <c r="CF205" s="74"/>
    </row>
    <row r="206" spans="1:84">
      <c r="A206" s="283" t="s">
        <v>434</v>
      </c>
      <c r="B206" s="283" t="s">
        <v>433</v>
      </c>
      <c r="C206" s="283" t="str">
        <f t="shared" si="61"/>
        <v>24410 OROVILLE SCHOOL DISTRICT</v>
      </c>
      <c r="D206" s="490">
        <v>0</v>
      </c>
      <c r="E206" s="490">
        <v>0</v>
      </c>
      <c r="F206" s="490">
        <v>0</v>
      </c>
      <c r="G206" s="490">
        <v>759934.75</v>
      </c>
      <c r="H206" s="490">
        <v>81149.09</v>
      </c>
      <c r="I206" s="490">
        <v>152827.18</v>
      </c>
      <c r="J206" s="490">
        <v>244045.57</v>
      </c>
      <c r="K206" s="490">
        <v>96359.05</v>
      </c>
      <c r="L206" s="490">
        <v>0</v>
      </c>
      <c r="M206" s="490">
        <v>246662.28</v>
      </c>
      <c r="N206" s="300">
        <v>3.3300000000000003E-2</v>
      </c>
      <c r="O206" s="492">
        <v>0.25059999999999999</v>
      </c>
      <c r="P206" s="490">
        <v>0</v>
      </c>
      <c r="Q206" s="493">
        <v>0</v>
      </c>
      <c r="R206" s="493">
        <v>0</v>
      </c>
      <c r="S206" s="494">
        <v>0</v>
      </c>
      <c r="T206" s="495">
        <v>0</v>
      </c>
      <c r="U206" s="495">
        <v>0</v>
      </c>
      <c r="V206" s="490">
        <v>0</v>
      </c>
      <c r="W206" s="495">
        <v>0</v>
      </c>
      <c r="X206" s="495">
        <v>0</v>
      </c>
      <c r="Y206" s="490">
        <v>0</v>
      </c>
      <c r="Z206" s="490">
        <v>0</v>
      </c>
      <c r="AA206" s="490">
        <v>0</v>
      </c>
      <c r="AB206" s="490">
        <v>21784.94</v>
      </c>
      <c r="AC206" s="490">
        <v>139155.04999999999</v>
      </c>
      <c r="AD206" s="490">
        <v>15.17</v>
      </c>
      <c r="AE206" s="490">
        <v>134319.5</v>
      </c>
      <c r="AF206" s="339">
        <v>8854.2847725774554</v>
      </c>
      <c r="AG206" s="339">
        <v>9173.0421885299929</v>
      </c>
      <c r="AH206" s="496">
        <v>318.76</v>
      </c>
      <c r="AI206" s="490">
        <v>2.38</v>
      </c>
      <c r="AJ206" s="490">
        <v>20377.32</v>
      </c>
      <c r="AK206" s="339">
        <v>8561.8991596638662</v>
      </c>
      <c r="AL206" s="339">
        <v>9153.3361344537807</v>
      </c>
      <c r="AM206" s="496">
        <v>591.44000000000005</v>
      </c>
      <c r="AN206" s="495">
        <v>0</v>
      </c>
      <c r="AO206" s="495">
        <v>0</v>
      </c>
      <c r="AP206" s="74"/>
      <c r="AQ206" s="303">
        <v>0</v>
      </c>
      <c r="AR206" s="303">
        <v>56786.22</v>
      </c>
      <c r="AS206" s="552">
        <v>24726.78</v>
      </c>
      <c r="AY206" s="67">
        <f t="shared" si="64"/>
        <v>0</v>
      </c>
      <c r="BA206" t="s">
        <v>871</v>
      </c>
      <c r="BB206" t="s">
        <v>433</v>
      </c>
      <c r="BC206" t="s">
        <v>1051</v>
      </c>
      <c r="BD206" s="491">
        <v>3.3300000000000003E-2</v>
      </c>
      <c r="BE206" s="492">
        <v>0.25059999999999999</v>
      </c>
      <c r="BG206" s="510">
        <f t="shared" si="62"/>
        <v>0</v>
      </c>
      <c r="BH206" s="510">
        <f t="shared" si="63"/>
        <v>0</v>
      </c>
      <c r="BJ206" s="520">
        <f t="shared" si="65"/>
        <v>0</v>
      </c>
      <c r="BK206" s="520">
        <f t="shared" si="66"/>
        <v>0</v>
      </c>
      <c r="CB206" s="74"/>
      <c r="CC206" s="74"/>
      <c r="CD206" s="74"/>
      <c r="CE206" s="74"/>
      <c r="CF206" s="74"/>
    </row>
    <row r="207" spans="1:84">
      <c r="A207" s="283" t="s">
        <v>436</v>
      </c>
      <c r="B207" s="283" t="s">
        <v>435</v>
      </c>
      <c r="C207" s="283" t="str">
        <f t="shared" si="61"/>
        <v>27344 ORTING SCHOOL DISTRICT</v>
      </c>
      <c r="D207" s="490">
        <v>0</v>
      </c>
      <c r="E207" s="490">
        <v>0</v>
      </c>
      <c r="F207" s="490">
        <v>0</v>
      </c>
      <c r="G207" s="490">
        <v>6244305.7400000002</v>
      </c>
      <c r="H207" s="490">
        <v>881005.73</v>
      </c>
      <c r="I207" s="490">
        <v>0</v>
      </c>
      <c r="J207" s="490">
        <v>583217.68999999994</v>
      </c>
      <c r="K207" s="490">
        <v>233930.41</v>
      </c>
      <c r="L207" s="490">
        <v>87236.68</v>
      </c>
      <c r="M207" s="490">
        <v>2099781.19</v>
      </c>
      <c r="N207" s="300">
        <v>2.5899999999999999E-2</v>
      </c>
      <c r="O207" s="492">
        <v>0.18260000000000001</v>
      </c>
      <c r="P207" s="490">
        <v>0</v>
      </c>
      <c r="Q207" s="493">
        <v>0</v>
      </c>
      <c r="R207" s="493">
        <v>0</v>
      </c>
      <c r="S207" s="494">
        <v>0</v>
      </c>
      <c r="T207" s="495">
        <v>0</v>
      </c>
      <c r="U207" s="495">
        <v>0</v>
      </c>
      <c r="V207" s="490">
        <v>0</v>
      </c>
      <c r="W207" s="495">
        <v>0</v>
      </c>
      <c r="X207" s="495">
        <v>0</v>
      </c>
      <c r="Y207" s="490">
        <v>3194.21</v>
      </c>
      <c r="Z207" s="490">
        <v>0</v>
      </c>
      <c r="AA207" s="490">
        <v>91093.74</v>
      </c>
      <c r="AB207" s="490">
        <v>481759.62</v>
      </c>
      <c r="AC207" s="490">
        <v>2415664.63</v>
      </c>
      <c r="AD207" s="490">
        <v>249.38</v>
      </c>
      <c r="AE207" s="490">
        <v>2297422.19</v>
      </c>
      <c r="AF207" s="339">
        <v>9212.5358489052851</v>
      </c>
      <c r="AG207" s="339">
        <v>9686.6814900954359</v>
      </c>
      <c r="AH207" s="496">
        <v>474.15</v>
      </c>
      <c r="AI207" s="490">
        <v>50.42</v>
      </c>
      <c r="AJ207" s="490">
        <v>453503.11</v>
      </c>
      <c r="AK207" s="339">
        <v>8994.5083300277656</v>
      </c>
      <c r="AL207" s="339">
        <v>9554.9309797699316</v>
      </c>
      <c r="AM207" s="496">
        <v>560.41999999999996</v>
      </c>
      <c r="AN207" s="495">
        <v>0</v>
      </c>
      <c r="AO207" s="495">
        <v>0</v>
      </c>
      <c r="AP207" s="74"/>
      <c r="AQ207" s="303">
        <v>0</v>
      </c>
      <c r="AR207" s="303">
        <v>297201.27999999997</v>
      </c>
      <c r="AS207" s="552">
        <v>98651.18</v>
      </c>
      <c r="AY207" s="67">
        <f t="shared" si="64"/>
        <v>0</v>
      </c>
      <c r="BA207" t="s">
        <v>856</v>
      </c>
      <c r="BB207" t="s">
        <v>435</v>
      </c>
      <c r="BC207" t="s">
        <v>1052</v>
      </c>
      <c r="BD207" s="491">
        <v>2.5899999999999999E-2</v>
      </c>
      <c r="BE207" s="492">
        <v>0.18260000000000001</v>
      </c>
      <c r="BG207" s="510">
        <f t="shared" si="62"/>
        <v>0</v>
      </c>
      <c r="BH207" s="510">
        <f t="shared" si="63"/>
        <v>0</v>
      </c>
      <c r="BJ207" s="520">
        <f t="shared" si="65"/>
        <v>0</v>
      </c>
      <c r="BK207" s="520">
        <f t="shared" si="66"/>
        <v>0</v>
      </c>
      <c r="CB207" s="74"/>
      <c r="CC207" s="74"/>
      <c r="CD207" s="74"/>
      <c r="CE207" s="74"/>
      <c r="CF207" s="74"/>
    </row>
    <row r="208" spans="1:84">
      <c r="A208" s="283" t="s">
        <v>438</v>
      </c>
      <c r="B208" s="283" t="s">
        <v>437</v>
      </c>
      <c r="C208" s="283" t="str">
        <f t="shared" si="61"/>
        <v>01147 OTHELLO SCHOOL DISTRICT</v>
      </c>
      <c r="D208" s="490">
        <v>377236.77</v>
      </c>
      <c r="E208" s="490">
        <v>127249.02</v>
      </c>
      <c r="F208" s="490">
        <v>60869.89</v>
      </c>
      <c r="G208" s="490">
        <v>6036948.6500000004</v>
      </c>
      <c r="H208" s="490">
        <v>1013027.34</v>
      </c>
      <c r="I208" s="490">
        <v>1388119.59</v>
      </c>
      <c r="J208" s="490">
        <v>2469442.0099999998</v>
      </c>
      <c r="K208" s="490">
        <v>3043067.54</v>
      </c>
      <c r="L208" s="490">
        <v>133399.12</v>
      </c>
      <c r="M208" s="490">
        <v>2840998.24</v>
      </c>
      <c r="N208" s="300">
        <v>6.4100000000000004E-2</v>
      </c>
      <c r="O208" s="492">
        <v>0.1477</v>
      </c>
      <c r="P208" s="490">
        <v>0</v>
      </c>
      <c r="Q208" s="493">
        <v>0</v>
      </c>
      <c r="R208" s="493">
        <v>0</v>
      </c>
      <c r="S208" s="494">
        <v>0</v>
      </c>
      <c r="T208" s="495">
        <v>0</v>
      </c>
      <c r="U208" s="495">
        <v>0</v>
      </c>
      <c r="V208" s="490">
        <v>0</v>
      </c>
      <c r="W208" s="495">
        <v>0</v>
      </c>
      <c r="X208" s="495">
        <v>0</v>
      </c>
      <c r="Y208" s="490">
        <v>0</v>
      </c>
      <c r="Z208" s="490">
        <v>0</v>
      </c>
      <c r="AA208" s="490">
        <v>74209.73</v>
      </c>
      <c r="AB208" s="490">
        <v>325118.25</v>
      </c>
      <c r="AC208" s="490">
        <v>2518001.0699999998</v>
      </c>
      <c r="AD208" s="490">
        <v>264.64</v>
      </c>
      <c r="AE208" s="490">
        <v>2341426.59</v>
      </c>
      <c r="AF208" s="339">
        <v>8847.5914071946791</v>
      </c>
      <c r="AG208" s="339">
        <v>9514.8166188029027</v>
      </c>
      <c r="AH208" s="496">
        <v>667.23</v>
      </c>
      <c r="AI208" s="490">
        <v>35.46</v>
      </c>
      <c r="AJ208" s="490">
        <v>305965.45</v>
      </c>
      <c r="AK208" s="339">
        <v>8628.4672870840386</v>
      </c>
      <c r="AL208" s="339">
        <v>9168.5913705583753</v>
      </c>
      <c r="AM208" s="496">
        <v>540.12</v>
      </c>
      <c r="AN208" s="495">
        <v>3000</v>
      </c>
      <c r="AO208" s="495">
        <v>0</v>
      </c>
      <c r="AP208" s="74"/>
      <c r="AQ208" s="303">
        <v>577262.4099999998</v>
      </c>
      <c r="AR208" s="303">
        <v>515819.49</v>
      </c>
      <c r="AS208" s="552">
        <v>146230.02000000002</v>
      </c>
      <c r="AY208" s="67">
        <f t="shared" si="64"/>
        <v>0</v>
      </c>
      <c r="BA208" t="s">
        <v>854</v>
      </c>
      <c r="BB208" t="s">
        <v>437</v>
      </c>
      <c r="BC208" t="s">
        <v>1053</v>
      </c>
      <c r="BD208" s="491">
        <v>6.4100000000000004E-2</v>
      </c>
      <c r="BE208" s="492">
        <v>0.1477</v>
      </c>
      <c r="BG208" s="510">
        <f t="shared" si="62"/>
        <v>0</v>
      </c>
      <c r="BH208" s="510">
        <f t="shared" si="63"/>
        <v>0</v>
      </c>
      <c r="BJ208" s="520">
        <f t="shared" si="65"/>
        <v>0</v>
      </c>
      <c r="BK208" s="520">
        <f t="shared" si="66"/>
        <v>0</v>
      </c>
      <c r="CB208" s="74"/>
      <c r="CC208" s="74"/>
      <c r="CD208" s="74"/>
      <c r="CE208" s="74"/>
      <c r="CF208" s="74"/>
    </row>
    <row r="209" spans="1:84">
      <c r="A209" s="283" t="s">
        <v>440</v>
      </c>
      <c r="B209" s="283" t="s">
        <v>439</v>
      </c>
      <c r="C209" s="283" t="str">
        <f t="shared" si="61"/>
        <v>09102 PALISADES SCHOOL DISTRICT</v>
      </c>
      <c r="D209" s="490">
        <v>3694.71</v>
      </c>
      <c r="E209" s="490">
        <v>1315.12</v>
      </c>
      <c r="F209" s="490">
        <v>668.62</v>
      </c>
      <c r="G209" s="490">
        <v>0</v>
      </c>
      <c r="H209" s="490">
        <v>0</v>
      </c>
      <c r="I209" s="490">
        <v>8207.58</v>
      </c>
      <c r="J209" s="490">
        <v>16207.36</v>
      </c>
      <c r="K209" s="490">
        <v>11942.81</v>
      </c>
      <c r="L209" s="490">
        <v>727.26</v>
      </c>
      <c r="M209" s="490">
        <v>82462.11</v>
      </c>
      <c r="N209" s="300">
        <v>0.156</v>
      </c>
      <c r="O209" s="492">
        <v>0.72509999999999997</v>
      </c>
      <c r="P209" s="490">
        <v>0</v>
      </c>
      <c r="Q209" s="493">
        <v>0</v>
      </c>
      <c r="R209" s="493">
        <v>0</v>
      </c>
      <c r="S209" s="494">
        <v>0</v>
      </c>
      <c r="T209" s="495">
        <v>0</v>
      </c>
      <c r="U209" s="495">
        <v>0</v>
      </c>
      <c r="V209" s="490">
        <v>0</v>
      </c>
      <c r="W209" s="495">
        <v>0</v>
      </c>
      <c r="X209" s="495">
        <v>0</v>
      </c>
      <c r="Y209" s="490">
        <v>0</v>
      </c>
      <c r="Z209" s="490">
        <v>0</v>
      </c>
      <c r="AA209" s="490">
        <v>0</v>
      </c>
      <c r="AB209" s="490">
        <v>0</v>
      </c>
      <c r="AC209" s="490">
        <v>0</v>
      </c>
      <c r="AD209" s="490">
        <v>0</v>
      </c>
      <c r="AE209" s="490">
        <v>0</v>
      </c>
      <c r="AF209" s="339">
        <v>0</v>
      </c>
      <c r="AG209" s="339">
        <v>0</v>
      </c>
      <c r="AH209" s="496">
        <v>0</v>
      </c>
      <c r="AI209" s="490">
        <v>0</v>
      </c>
      <c r="AJ209" s="490">
        <v>0</v>
      </c>
      <c r="AK209" s="339">
        <v>0</v>
      </c>
      <c r="AL209" s="339">
        <v>0</v>
      </c>
      <c r="AM209" s="496">
        <v>0</v>
      </c>
      <c r="AN209" s="495">
        <v>0</v>
      </c>
      <c r="AO209" s="495">
        <v>0</v>
      </c>
      <c r="AP209" s="74"/>
      <c r="AQ209" s="303">
        <v>4091.2000000000007</v>
      </c>
      <c r="AR209" s="303">
        <v>4518.8500000000004</v>
      </c>
      <c r="AS209" s="552">
        <v>10755.220000000001</v>
      </c>
      <c r="AY209" s="67">
        <f t="shared" si="64"/>
        <v>0</v>
      </c>
      <c r="BA209" t="s">
        <v>871</v>
      </c>
      <c r="BB209" t="s">
        <v>439</v>
      </c>
      <c r="BC209" t="s">
        <v>1054</v>
      </c>
      <c r="BD209" s="522">
        <v>0.156</v>
      </c>
      <c r="BE209" s="492">
        <v>0.72509999999999997</v>
      </c>
      <c r="BG209" s="518">
        <f t="shared" si="62"/>
        <v>0</v>
      </c>
      <c r="BH209" s="510">
        <f t="shared" si="63"/>
        <v>0</v>
      </c>
      <c r="BJ209" s="520">
        <f t="shared" si="65"/>
        <v>0</v>
      </c>
      <c r="BK209" s="520">
        <f t="shared" si="66"/>
        <v>0</v>
      </c>
      <c r="CB209" s="74"/>
      <c r="CC209" s="74"/>
      <c r="CD209" s="74"/>
      <c r="CE209" s="74"/>
      <c r="CF209" s="74"/>
    </row>
    <row r="210" spans="1:84">
      <c r="A210" s="283" t="s">
        <v>442</v>
      </c>
      <c r="B210" s="283" t="s">
        <v>441</v>
      </c>
      <c r="C210" s="283" t="str">
        <f t="shared" si="61"/>
        <v>38301 PALOUSE SCHOOL DISTRICT</v>
      </c>
      <c r="D210" s="490">
        <v>0</v>
      </c>
      <c r="E210" s="490">
        <v>0</v>
      </c>
      <c r="F210" s="490">
        <v>0</v>
      </c>
      <c r="G210" s="490">
        <v>221906.12</v>
      </c>
      <c r="H210" s="490">
        <v>32051.86</v>
      </c>
      <c r="I210" s="490">
        <v>0</v>
      </c>
      <c r="J210" s="490">
        <v>41661.25</v>
      </c>
      <c r="K210" s="490">
        <v>0</v>
      </c>
      <c r="L210" s="490">
        <v>0</v>
      </c>
      <c r="M210" s="490">
        <v>0</v>
      </c>
      <c r="N210" s="300">
        <v>1.4E-3</v>
      </c>
      <c r="O210" s="492">
        <v>0.24840000000000001</v>
      </c>
      <c r="P210" s="490">
        <v>0</v>
      </c>
      <c r="Q210" s="493">
        <v>0</v>
      </c>
      <c r="R210" s="493">
        <v>0</v>
      </c>
      <c r="S210" s="494">
        <v>0</v>
      </c>
      <c r="T210" s="495">
        <v>0</v>
      </c>
      <c r="U210" s="495">
        <v>0</v>
      </c>
      <c r="V210" s="490">
        <v>0</v>
      </c>
      <c r="W210" s="495">
        <v>0</v>
      </c>
      <c r="X210" s="495">
        <v>0</v>
      </c>
      <c r="Y210" s="490">
        <v>0</v>
      </c>
      <c r="Z210" s="490">
        <v>0</v>
      </c>
      <c r="AA210" s="490">
        <v>0</v>
      </c>
      <c r="AB210" s="490">
        <v>0</v>
      </c>
      <c r="AC210" s="490">
        <v>85529.97</v>
      </c>
      <c r="AD210" s="490">
        <v>9.02</v>
      </c>
      <c r="AE210" s="490">
        <v>79773.440000000002</v>
      </c>
      <c r="AF210" s="339">
        <v>8844.0620842572062</v>
      </c>
      <c r="AG210" s="339">
        <v>9482.258314855877</v>
      </c>
      <c r="AH210" s="496">
        <v>638.20000000000005</v>
      </c>
      <c r="AI210" s="490">
        <v>0</v>
      </c>
      <c r="AJ210" s="490">
        <v>0</v>
      </c>
      <c r="AK210" s="339">
        <v>0</v>
      </c>
      <c r="AL210" s="339">
        <v>0</v>
      </c>
      <c r="AM210" s="496">
        <v>0</v>
      </c>
      <c r="AN210" s="495">
        <v>0</v>
      </c>
      <c r="AO210" s="495">
        <v>0</v>
      </c>
      <c r="AP210" s="74"/>
      <c r="AQ210" s="303">
        <v>46676.69</v>
      </c>
      <c r="AR210" s="303">
        <v>25515.88</v>
      </c>
      <c r="AS210" s="552">
        <v>14879.880000000001</v>
      </c>
      <c r="AY210" s="67">
        <f t="shared" si="64"/>
        <v>0</v>
      </c>
      <c r="BA210" t="s">
        <v>848</v>
      </c>
      <c r="BB210" t="s">
        <v>441</v>
      </c>
      <c r="BC210" t="s">
        <v>1055</v>
      </c>
      <c r="BD210" s="491">
        <v>1.4E-3</v>
      </c>
      <c r="BE210" s="492">
        <v>0.24840000000000001</v>
      </c>
      <c r="BG210" s="510">
        <f t="shared" si="62"/>
        <v>0</v>
      </c>
      <c r="BH210" s="510">
        <f t="shared" si="63"/>
        <v>0</v>
      </c>
      <c r="BJ210" s="520">
        <f t="shared" si="65"/>
        <v>0</v>
      </c>
      <c r="BK210" s="520">
        <f t="shared" si="66"/>
        <v>0</v>
      </c>
      <c r="CB210" s="74"/>
      <c r="CC210" s="74"/>
      <c r="CD210" s="74"/>
      <c r="CE210" s="74"/>
      <c r="CF210" s="74"/>
    </row>
    <row r="211" spans="1:84">
      <c r="A211" s="283" t="s">
        <v>444</v>
      </c>
      <c r="B211" s="285" t="s">
        <v>443</v>
      </c>
      <c r="C211" s="283" t="str">
        <f t="shared" si="61"/>
        <v>24915 PASCHAL SHERMAN SCHOOL DISTRICT</v>
      </c>
      <c r="D211" s="490">
        <v>0</v>
      </c>
      <c r="E211" s="490">
        <v>0</v>
      </c>
      <c r="F211" s="490">
        <v>0</v>
      </c>
      <c r="G211" s="490">
        <v>121054.77</v>
      </c>
      <c r="H211" s="490">
        <v>18385.419999999998</v>
      </c>
      <c r="I211" s="490">
        <v>44258.57</v>
      </c>
      <c r="J211" s="490">
        <v>96516.97</v>
      </c>
      <c r="K211" s="490">
        <v>0</v>
      </c>
      <c r="L211" s="490">
        <v>0</v>
      </c>
      <c r="M211" s="490">
        <v>0</v>
      </c>
      <c r="N211" s="300">
        <v>3.7100000000000001E-2</v>
      </c>
      <c r="O211" s="540">
        <v>0.14399999999999999</v>
      </c>
      <c r="P211" s="490">
        <v>0</v>
      </c>
      <c r="Q211" s="493">
        <v>0</v>
      </c>
      <c r="R211" s="493">
        <v>0</v>
      </c>
      <c r="S211" s="494">
        <v>0</v>
      </c>
      <c r="T211" s="495">
        <v>0</v>
      </c>
      <c r="U211" s="495">
        <v>0</v>
      </c>
      <c r="V211" s="490">
        <v>0</v>
      </c>
      <c r="W211" s="495">
        <v>0</v>
      </c>
      <c r="X211" s="495">
        <v>0</v>
      </c>
      <c r="Y211" s="490">
        <v>0</v>
      </c>
      <c r="Z211" s="490">
        <v>0</v>
      </c>
      <c r="AA211" s="490">
        <v>0</v>
      </c>
      <c r="AB211" s="490">
        <v>0</v>
      </c>
      <c r="AC211" s="490">
        <v>0</v>
      </c>
      <c r="AD211" s="490">
        <v>0</v>
      </c>
      <c r="AE211" s="490">
        <v>0</v>
      </c>
      <c r="AF211" s="339">
        <v>0</v>
      </c>
      <c r="AG211" s="339">
        <v>0</v>
      </c>
      <c r="AH211" s="496">
        <v>0</v>
      </c>
      <c r="AI211" s="490">
        <v>0</v>
      </c>
      <c r="AJ211" s="490">
        <v>0</v>
      </c>
      <c r="AK211" s="339">
        <v>0</v>
      </c>
      <c r="AL211" s="339">
        <v>0</v>
      </c>
      <c r="AM211" s="496">
        <v>0</v>
      </c>
      <c r="AN211" s="495">
        <v>0</v>
      </c>
      <c r="AO211" s="495">
        <v>0</v>
      </c>
      <c r="AP211" s="74"/>
      <c r="AQ211" s="303">
        <v>0</v>
      </c>
      <c r="AR211" s="303">
        <v>30213.91</v>
      </c>
      <c r="AS211" s="552"/>
      <c r="AY211" s="67">
        <f t="shared" si="64"/>
        <v>0</v>
      </c>
      <c r="BA211"/>
      <c r="BB211" s="354" t="s">
        <v>443</v>
      </c>
      <c r="BC211"/>
      <c r="BD211" s="491">
        <v>3.7100000000000001E-2</v>
      </c>
      <c r="BE211" s="521">
        <v>8.9099999999999999E-2</v>
      </c>
      <c r="BG211" s="510">
        <f t="shared" si="62"/>
        <v>0</v>
      </c>
      <c r="BH211" s="518">
        <f t="shared" si="63"/>
        <v>5.489999999999999E-2</v>
      </c>
      <c r="BJ211" s="520">
        <f t="shared" si="65"/>
        <v>0</v>
      </c>
      <c r="BK211" s="520">
        <f t="shared" si="66"/>
        <v>5.489999999999999E-2</v>
      </c>
      <c r="CB211" s="74"/>
      <c r="CC211" s="74"/>
      <c r="CD211" s="74"/>
      <c r="CE211" s="74"/>
      <c r="CF211" s="74"/>
    </row>
    <row r="212" spans="1:84">
      <c r="A212" s="283" t="s">
        <v>446</v>
      </c>
      <c r="B212" s="283" t="s">
        <v>445</v>
      </c>
      <c r="C212" s="283" t="str">
        <f t="shared" si="61"/>
        <v>11001 PASCO SCHOOL DISTRICT</v>
      </c>
      <c r="D212" s="490">
        <v>0</v>
      </c>
      <c r="E212" s="490">
        <v>0</v>
      </c>
      <c r="F212" s="490">
        <v>29478.66</v>
      </c>
      <c r="G212" s="490">
        <v>27694733.690000001</v>
      </c>
      <c r="H212" s="490">
        <v>6086615.6500000004</v>
      </c>
      <c r="I212" s="490">
        <v>5145735.74</v>
      </c>
      <c r="J212" s="490">
        <v>8937532.8000000007</v>
      </c>
      <c r="K212" s="490">
        <v>10710552.460000001</v>
      </c>
      <c r="L212" s="490">
        <v>543881.91</v>
      </c>
      <c r="M212" s="490">
        <v>9420261.6199999992</v>
      </c>
      <c r="N212" s="300">
        <v>3.3099999999999997E-2</v>
      </c>
      <c r="O212" s="492">
        <v>0.1255</v>
      </c>
      <c r="P212" s="490">
        <v>0</v>
      </c>
      <c r="Q212" s="493">
        <v>0</v>
      </c>
      <c r="R212" s="493">
        <v>0</v>
      </c>
      <c r="S212" s="494">
        <v>0</v>
      </c>
      <c r="T212" s="495">
        <v>0</v>
      </c>
      <c r="U212" s="495">
        <v>0</v>
      </c>
      <c r="V212" s="490">
        <v>0</v>
      </c>
      <c r="W212" s="495">
        <v>0</v>
      </c>
      <c r="X212" s="495">
        <v>0</v>
      </c>
      <c r="Y212" s="490">
        <v>0</v>
      </c>
      <c r="Z212" s="490">
        <v>258502.02</v>
      </c>
      <c r="AA212" s="490">
        <v>1096783.75</v>
      </c>
      <c r="AB212" s="490">
        <v>1678494.51</v>
      </c>
      <c r="AC212" s="490">
        <v>10624561.15</v>
      </c>
      <c r="AD212" s="490">
        <v>1117.81</v>
      </c>
      <c r="AE212" s="490">
        <v>9889906.2300000004</v>
      </c>
      <c r="AF212" s="339">
        <v>8847.5735858509051</v>
      </c>
      <c r="AG212" s="339">
        <v>9504.8005922294487</v>
      </c>
      <c r="AH212" s="496">
        <v>657.23</v>
      </c>
      <c r="AI212" s="490">
        <v>183.08</v>
      </c>
      <c r="AJ212" s="490">
        <v>1579948.72</v>
      </c>
      <c r="AK212" s="339">
        <v>8629.8269608914125</v>
      </c>
      <c r="AL212" s="339">
        <v>9168.0932379287733</v>
      </c>
      <c r="AM212" s="496">
        <v>538.27</v>
      </c>
      <c r="AN212" s="495">
        <v>0</v>
      </c>
      <c r="AO212" s="495">
        <v>0</v>
      </c>
      <c r="AP212" s="74"/>
      <c r="AQ212" s="303">
        <v>0</v>
      </c>
      <c r="AR212" s="303">
        <v>2075379.08</v>
      </c>
      <c r="AS212" s="552">
        <v>649496.81999999995</v>
      </c>
      <c r="AY212" s="67">
        <f t="shared" si="64"/>
        <v>0</v>
      </c>
      <c r="BA212" t="s">
        <v>854</v>
      </c>
      <c r="BB212" t="s">
        <v>445</v>
      </c>
      <c r="BC212" t="s">
        <v>1056</v>
      </c>
      <c r="BD212" s="491">
        <v>3.3099999999999997E-2</v>
      </c>
      <c r="BE212" s="492">
        <v>0.1255</v>
      </c>
      <c r="BG212" s="510">
        <f t="shared" si="62"/>
        <v>0</v>
      </c>
      <c r="BH212" s="510">
        <f t="shared" si="63"/>
        <v>0</v>
      </c>
      <c r="BJ212" s="520">
        <f t="shared" si="65"/>
        <v>0</v>
      </c>
      <c r="BK212" s="520">
        <f t="shared" si="66"/>
        <v>0</v>
      </c>
      <c r="CB212" s="74"/>
      <c r="CC212" s="74"/>
      <c r="CD212" s="74"/>
      <c r="CE212" s="74"/>
      <c r="CF212" s="74"/>
    </row>
    <row r="213" spans="1:84">
      <c r="A213" s="283" t="s">
        <v>448</v>
      </c>
      <c r="B213" s="283" t="s">
        <v>447</v>
      </c>
      <c r="C213" s="283" t="str">
        <f t="shared" si="61"/>
        <v>24122 PATEROS SCHOOL DISTRICT</v>
      </c>
      <c r="D213" s="490">
        <v>0</v>
      </c>
      <c r="E213" s="490">
        <v>14166.2</v>
      </c>
      <c r="F213" s="490">
        <v>8327.94</v>
      </c>
      <c r="G213" s="490">
        <v>382902.47</v>
      </c>
      <c r="H213" s="490">
        <v>58010.48</v>
      </c>
      <c r="I213" s="490">
        <v>80643.509999999995</v>
      </c>
      <c r="J213" s="490">
        <v>128627.97</v>
      </c>
      <c r="K213" s="490">
        <v>43302.559999999998</v>
      </c>
      <c r="L213" s="490">
        <v>6764.34</v>
      </c>
      <c r="M213" s="490">
        <v>254152.27</v>
      </c>
      <c r="N213" s="300">
        <v>8.6199999999999999E-2</v>
      </c>
      <c r="O213" s="492">
        <v>0.29799999999999999</v>
      </c>
      <c r="P213" s="490">
        <v>0</v>
      </c>
      <c r="Q213" s="493">
        <v>0</v>
      </c>
      <c r="R213" s="493">
        <v>0</v>
      </c>
      <c r="S213" s="494">
        <v>0</v>
      </c>
      <c r="T213" s="495">
        <v>0</v>
      </c>
      <c r="U213" s="495">
        <v>0</v>
      </c>
      <c r="V213" s="490">
        <v>0</v>
      </c>
      <c r="W213" s="495">
        <v>0</v>
      </c>
      <c r="X213" s="495">
        <v>0</v>
      </c>
      <c r="Y213" s="490">
        <v>0</v>
      </c>
      <c r="Z213" s="490">
        <v>0</v>
      </c>
      <c r="AA213" s="490">
        <v>0</v>
      </c>
      <c r="AB213" s="490">
        <v>27745.4</v>
      </c>
      <c r="AC213" s="490">
        <v>127608.37</v>
      </c>
      <c r="AD213" s="490">
        <v>12.35</v>
      </c>
      <c r="AE213" s="490">
        <v>110404.72</v>
      </c>
      <c r="AF213" s="339">
        <v>8939.6534412955461</v>
      </c>
      <c r="AG213" s="339">
        <v>10332.661538461538</v>
      </c>
      <c r="AH213" s="496">
        <v>1393.01</v>
      </c>
      <c r="AI213" s="490">
        <v>2.99</v>
      </c>
      <c r="AJ213" s="490">
        <v>26058.36</v>
      </c>
      <c r="AK213" s="339">
        <v>8715.1705685618726</v>
      </c>
      <c r="AL213" s="339">
        <v>9279.3979933110368</v>
      </c>
      <c r="AM213" s="496">
        <v>564.23</v>
      </c>
      <c r="AN213" s="495">
        <v>0</v>
      </c>
      <c r="AO213" s="495">
        <v>0</v>
      </c>
      <c r="AP213" s="74"/>
      <c r="AQ213" s="303">
        <v>44751.970000000008</v>
      </c>
      <c r="AR213" s="303">
        <v>33947.740000000005</v>
      </c>
      <c r="AS213" s="552">
        <v>17755.52</v>
      </c>
      <c r="AY213" s="67">
        <f t="shared" si="64"/>
        <v>0</v>
      </c>
      <c r="BA213" t="s">
        <v>871</v>
      </c>
      <c r="BB213" t="s">
        <v>447</v>
      </c>
      <c r="BC213" t="s">
        <v>1057</v>
      </c>
      <c r="BD213" s="491">
        <v>8.6199999999999999E-2</v>
      </c>
      <c r="BE213" s="492">
        <v>0.29799999999999999</v>
      </c>
      <c r="BG213" s="510">
        <f t="shared" si="62"/>
        <v>0</v>
      </c>
      <c r="BH213" s="510">
        <f t="shared" si="63"/>
        <v>0</v>
      </c>
      <c r="BJ213" s="520">
        <f t="shared" si="65"/>
        <v>0</v>
      </c>
      <c r="BK213" s="520">
        <f t="shared" si="66"/>
        <v>0</v>
      </c>
      <c r="CB213" s="74"/>
      <c r="CC213" s="74"/>
      <c r="CD213" s="74"/>
      <c r="CE213" s="74"/>
      <c r="CF213" s="74"/>
    </row>
    <row r="214" spans="1:84">
      <c r="A214" s="283" t="s">
        <v>450</v>
      </c>
      <c r="B214" s="283" t="s">
        <v>449</v>
      </c>
      <c r="C214" s="283" t="str">
        <f t="shared" si="61"/>
        <v>03050 PATERSON SCHOOL DISTRICT</v>
      </c>
      <c r="D214" s="490">
        <v>0</v>
      </c>
      <c r="E214" s="490">
        <v>0</v>
      </c>
      <c r="F214" s="490">
        <v>1896.54</v>
      </c>
      <c r="G214" s="490">
        <v>265469.02</v>
      </c>
      <c r="H214" s="490">
        <v>18989.87</v>
      </c>
      <c r="I214" s="490">
        <v>42700.18</v>
      </c>
      <c r="J214" s="490">
        <v>91114.5</v>
      </c>
      <c r="K214" s="490">
        <v>26437.49</v>
      </c>
      <c r="L214" s="490">
        <v>4259.63</v>
      </c>
      <c r="M214" s="490">
        <v>341308.41</v>
      </c>
      <c r="N214" s="300">
        <v>3.6400000000000002E-2</v>
      </c>
      <c r="O214" s="492">
        <v>0.21809999999999999</v>
      </c>
      <c r="P214" s="490">
        <v>0</v>
      </c>
      <c r="Q214" s="493">
        <v>0</v>
      </c>
      <c r="R214" s="493">
        <v>0</v>
      </c>
      <c r="S214" s="494">
        <v>0</v>
      </c>
      <c r="T214" s="495">
        <v>0</v>
      </c>
      <c r="U214" s="495">
        <v>0</v>
      </c>
      <c r="V214" s="490">
        <v>0</v>
      </c>
      <c r="W214" s="495">
        <v>0</v>
      </c>
      <c r="X214" s="495">
        <v>0</v>
      </c>
      <c r="Y214" s="490">
        <v>154.34</v>
      </c>
      <c r="Z214" s="490">
        <v>8415.09</v>
      </c>
      <c r="AA214" s="490">
        <v>0</v>
      </c>
      <c r="AB214" s="490">
        <v>116329.85</v>
      </c>
      <c r="AC214" s="490">
        <v>0</v>
      </c>
      <c r="AD214" s="490">
        <v>0</v>
      </c>
      <c r="AE214" s="490">
        <v>0</v>
      </c>
      <c r="AF214" s="339">
        <v>0</v>
      </c>
      <c r="AG214" s="339">
        <v>0</v>
      </c>
      <c r="AH214" s="496">
        <v>0</v>
      </c>
      <c r="AI214" s="490">
        <v>12.69</v>
      </c>
      <c r="AJ214" s="490">
        <v>109482.03</v>
      </c>
      <c r="AK214" s="339">
        <v>8627.4255319148942</v>
      </c>
      <c r="AL214" s="339">
        <v>9167.0488573680068</v>
      </c>
      <c r="AM214" s="496">
        <v>539.62</v>
      </c>
      <c r="AN214" s="495">
        <v>0</v>
      </c>
      <c r="AO214" s="495">
        <v>0</v>
      </c>
      <c r="AP214" s="74"/>
      <c r="AQ214" s="303">
        <v>22866.610000000004</v>
      </c>
      <c r="AR214" s="303">
        <v>17821.72</v>
      </c>
      <c r="AS214" s="552">
        <v>14095.619999999999</v>
      </c>
      <c r="AY214" s="67">
        <f t="shared" si="64"/>
        <v>0</v>
      </c>
      <c r="BA214" t="s">
        <v>854</v>
      </c>
      <c r="BB214" t="s">
        <v>449</v>
      </c>
      <c r="BC214" t="s">
        <v>1058</v>
      </c>
      <c r="BD214" s="491">
        <v>3.6400000000000002E-2</v>
      </c>
      <c r="BE214" s="492">
        <v>0.21809999999999999</v>
      </c>
      <c r="BG214" s="510">
        <f t="shared" si="62"/>
        <v>0</v>
      </c>
      <c r="BH214" s="510">
        <f t="shared" si="63"/>
        <v>0</v>
      </c>
      <c r="BJ214" s="520">
        <f t="shared" si="65"/>
        <v>0</v>
      </c>
      <c r="BK214" s="520">
        <f t="shared" si="66"/>
        <v>0</v>
      </c>
      <c r="CB214" s="74"/>
      <c r="CC214" s="74"/>
      <c r="CD214" s="74"/>
      <c r="CE214" s="74"/>
      <c r="CF214" s="74"/>
    </row>
    <row r="215" spans="1:84">
      <c r="A215" s="283" t="s">
        <v>452</v>
      </c>
      <c r="B215" s="283" t="s">
        <v>451</v>
      </c>
      <c r="C215" s="283" t="str">
        <f t="shared" si="61"/>
        <v>21301 PE ELL SCHOOL DISTRICT</v>
      </c>
      <c r="D215" s="490">
        <v>0</v>
      </c>
      <c r="E215" s="490">
        <v>8993.49</v>
      </c>
      <c r="F215" s="490">
        <v>4714.91</v>
      </c>
      <c r="G215" s="490">
        <v>625683.93999999994</v>
      </c>
      <c r="H215" s="490">
        <v>97367.6</v>
      </c>
      <c r="I215" s="490">
        <v>82983.8</v>
      </c>
      <c r="J215" s="490">
        <v>106954.5</v>
      </c>
      <c r="K215" s="490">
        <v>0</v>
      </c>
      <c r="L215" s="490">
        <v>7846.91</v>
      </c>
      <c r="M215" s="490">
        <v>186549.14</v>
      </c>
      <c r="N215" s="300">
        <v>5.16E-2</v>
      </c>
      <c r="O215" s="492">
        <v>0.21149999999999999</v>
      </c>
      <c r="P215" s="490">
        <v>0</v>
      </c>
      <c r="Q215" s="493">
        <v>0</v>
      </c>
      <c r="R215" s="493">
        <v>0</v>
      </c>
      <c r="S215" s="494">
        <v>0</v>
      </c>
      <c r="T215" s="495">
        <v>0</v>
      </c>
      <c r="U215" s="495">
        <v>0</v>
      </c>
      <c r="V215" s="490">
        <v>0</v>
      </c>
      <c r="W215" s="495">
        <v>0</v>
      </c>
      <c r="X215" s="495">
        <v>0</v>
      </c>
      <c r="Y215" s="490">
        <v>0</v>
      </c>
      <c r="Z215" s="490">
        <v>1901.9</v>
      </c>
      <c r="AA215" s="490">
        <v>0</v>
      </c>
      <c r="AB215" s="490">
        <v>85614.9</v>
      </c>
      <c r="AC215" s="490">
        <v>167839.25</v>
      </c>
      <c r="AD215" s="490">
        <v>17.420000000000002</v>
      </c>
      <c r="AE215" s="490">
        <v>157199.42000000001</v>
      </c>
      <c r="AF215" s="339">
        <v>9024.0769230769238</v>
      </c>
      <c r="AG215" s="339">
        <v>9634.8593570608482</v>
      </c>
      <c r="AH215" s="496">
        <v>610.78</v>
      </c>
      <c r="AI215" s="490">
        <v>9.16</v>
      </c>
      <c r="AJ215" s="490">
        <v>80592.63</v>
      </c>
      <c r="AK215" s="339">
        <v>8798.322052401747</v>
      </c>
      <c r="AL215" s="339">
        <v>9346.6048034934483</v>
      </c>
      <c r="AM215" s="496">
        <v>548.28</v>
      </c>
      <c r="AN215" s="495">
        <v>0</v>
      </c>
      <c r="AO215" s="495">
        <v>0</v>
      </c>
      <c r="AP215" s="74"/>
      <c r="AQ215" s="303">
        <v>11786.390000000014</v>
      </c>
      <c r="AR215" s="303">
        <v>38018.26</v>
      </c>
      <c r="AS215" s="552">
        <v>17755.52</v>
      </c>
      <c r="AY215" s="67">
        <f t="shared" si="64"/>
        <v>0</v>
      </c>
      <c r="BA215" t="s">
        <v>845</v>
      </c>
      <c r="BB215" t="s">
        <v>451</v>
      </c>
      <c r="BC215" t="s">
        <v>1059</v>
      </c>
      <c r="BD215" s="491">
        <v>5.16E-2</v>
      </c>
      <c r="BE215" s="492">
        <v>0.21149999999999999</v>
      </c>
      <c r="BG215" s="510">
        <f t="shared" si="62"/>
        <v>0</v>
      </c>
      <c r="BH215" s="510">
        <f t="shared" si="63"/>
        <v>0</v>
      </c>
      <c r="BJ215" s="520">
        <f t="shared" si="65"/>
        <v>0</v>
      </c>
      <c r="BK215" s="520">
        <f t="shared" si="66"/>
        <v>0</v>
      </c>
      <c r="CB215" s="74"/>
      <c r="CC215" s="74"/>
      <c r="CD215" s="74"/>
      <c r="CE215" s="74"/>
      <c r="CF215" s="74"/>
    </row>
    <row r="216" spans="1:84">
      <c r="A216" s="283" t="s">
        <v>454</v>
      </c>
      <c r="B216" s="283" t="s">
        <v>453</v>
      </c>
      <c r="C216" s="283" t="str">
        <f t="shared" si="61"/>
        <v>27401 PENINSULA SCHOOL DISTRICT</v>
      </c>
      <c r="D216" s="490">
        <v>0</v>
      </c>
      <c r="E216" s="490">
        <v>0</v>
      </c>
      <c r="F216" s="490">
        <v>0</v>
      </c>
      <c r="G216" s="490">
        <v>16980557.390000001</v>
      </c>
      <c r="H216" s="490">
        <v>2451241.41</v>
      </c>
      <c r="I216" s="490">
        <v>0</v>
      </c>
      <c r="J216" s="490">
        <v>1397248.38</v>
      </c>
      <c r="K216" s="490">
        <v>458018.69</v>
      </c>
      <c r="L216" s="490">
        <v>292525.93</v>
      </c>
      <c r="M216" s="490">
        <v>7115008.8700000001</v>
      </c>
      <c r="N216" s="300">
        <v>2.5999999999999999E-3</v>
      </c>
      <c r="O216" s="492">
        <v>0.1545</v>
      </c>
      <c r="P216" s="490">
        <v>0</v>
      </c>
      <c r="Q216" s="493">
        <v>0</v>
      </c>
      <c r="R216" s="493">
        <v>0</v>
      </c>
      <c r="S216" s="494">
        <v>0</v>
      </c>
      <c r="T216" s="495">
        <v>0</v>
      </c>
      <c r="U216" s="495">
        <v>0</v>
      </c>
      <c r="V216" s="490">
        <v>0</v>
      </c>
      <c r="W216" s="495">
        <v>0</v>
      </c>
      <c r="X216" s="495">
        <v>0</v>
      </c>
      <c r="Y216" s="490">
        <v>10245.86</v>
      </c>
      <c r="Z216" s="490">
        <v>36735.96</v>
      </c>
      <c r="AA216" s="490">
        <v>294248.06</v>
      </c>
      <c r="AB216" s="490">
        <v>1157202.8</v>
      </c>
      <c r="AC216" s="490">
        <v>4442443.92</v>
      </c>
      <c r="AD216" s="490">
        <v>425.56</v>
      </c>
      <c r="AE216" s="490">
        <v>4112956.51</v>
      </c>
      <c r="AF216" s="339">
        <v>9664.809921045211</v>
      </c>
      <c r="AG216" s="339">
        <v>10439.054234420528</v>
      </c>
      <c r="AH216" s="496">
        <v>774.24</v>
      </c>
      <c r="AI216" s="490">
        <v>115.33</v>
      </c>
      <c r="AJ216" s="490">
        <v>1089277.75</v>
      </c>
      <c r="AK216" s="339">
        <v>9444.8777421312752</v>
      </c>
      <c r="AL216" s="339">
        <v>10033.840284401283</v>
      </c>
      <c r="AM216" s="496">
        <v>588.96</v>
      </c>
      <c r="AN216" s="495">
        <v>0</v>
      </c>
      <c r="AO216" s="495">
        <v>0</v>
      </c>
      <c r="AP216" s="74"/>
      <c r="AQ216" s="303">
        <v>0</v>
      </c>
      <c r="AR216" s="303">
        <v>964542.15</v>
      </c>
      <c r="AS216" s="552">
        <v>245483.32</v>
      </c>
      <c r="AY216" s="67">
        <f t="shared" si="64"/>
        <v>0</v>
      </c>
      <c r="BA216" t="s">
        <v>856</v>
      </c>
      <c r="BB216" t="s">
        <v>453</v>
      </c>
      <c r="BC216" t="s">
        <v>1060</v>
      </c>
      <c r="BD216" s="491">
        <v>2.5999999999999999E-3</v>
      </c>
      <c r="BE216" s="492">
        <v>0.1545</v>
      </c>
      <c r="BG216" s="510">
        <f t="shared" si="62"/>
        <v>0</v>
      </c>
      <c r="BH216" s="510">
        <f t="shared" si="63"/>
        <v>0</v>
      </c>
      <c r="BJ216" s="520">
        <f t="shared" si="65"/>
        <v>0</v>
      </c>
      <c r="BK216" s="520">
        <f t="shared" si="66"/>
        <v>0</v>
      </c>
      <c r="CB216" s="74"/>
      <c r="CC216" s="74"/>
      <c r="CD216" s="74"/>
      <c r="CE216" s="74"/>
      <c r="CF216" s="74"/>
    </row>
    <row r="217" spans="1:84">
      <c r="A217" s="283" t="s">
        <v>456</v>
      </c>
      <c r="B217" s="353" t="s">
        <v>455</v>
      </c>
      <c r="C217" s="353" t="str">
        <f>CONCATENATE(B217," ",A217," CHARTER")</f>
        <v>04901 PINNACLES PREP CHARTER</v>
      </c>
      <c r="D217" s="490">
        <v>0</v>
      </c>
      <c r="E217" s="490">
        <v>0</v>
      </c>
      <c r="F217" s="490">
        <v>0</v>
      </c>
      <c r="G217" s="490">
        <v>320959.17</v>
      </c>
      <c r="H217" s="490">
        <v>41059.86</v>
      </c>
      <c r="I217" s="490">
        <v>0</v>
      </c>
      <c r="J217" s="490">
        <v>55677.16</v>
      </c>
      <c r="K217" s="490">
        <v>49532.42</v>
      </c>
      <c r="L217" s="490">
        <v>6630.74</v>
      </c>
      <c r="M217" s="490">
        <v>154987.95000000001</v>
      </c>
      <c r="N217" s="300">
        <v>3.7100000000000001E-2</v>
      </c>
      <c r="O217" s="492">
        <v>0.14399999999999999</v>
      </c>
      <c r="P217" s="490">
        <v>0</v>
      </c>
      <c r="Q217" s="493">
        <v>0</v>
      </c>
      <c r="R217" s="493">
        <v>0</v>
      </c>
      <c r="S217" s="494">
        <v>0</v>
      </c>
      <c r="T217" s="495">
        <v>0</v>
      </c>
      <c r="U217" s="495">
        <v>0</v>
      </c>
      <c r="V217" s="490">
        <v>0</v>
      </c>
      <c r="W217" s="495">
        <v>0</v>
      </c>
      <c r="X217" s="495">
        <v>0</v>
      </c>
      <c r="Y217" s="490">
        <v>0</v>
      </c>
      <c r="Z217" s="490">
        <v>0</v>
      </c>
      <c r="AA217" s="490">
        <v>0</v>
      </c>
      <c r="AB217" s="490">
        <v>8632.85</v>
      </c>
      <c r="AC217" s="490">
        <v>0</v>
      </c>
      <c r="AD217" s="490">
        <v>0</v>
      </c>
      <c r="AE217" s="490">
        <v>0</v>
      </c>
      <c r="AF217" s="339">
        <v>0</v>
      </c>
      <c r="AG217" s="339">
        <v>0</v>
      </c>
      <c r="AH217" s="496">
        <v>0</v>
      </c>
      <c r="AI217" s="490">
        <v>0.94</v>
      </c>
      <c r="AJ217" s="490">
        <v>8243.2800000000007</v>
      </c>
      <c r="AK217" s="339">
        <v>8769.44680851064</v>
      </c>
      <c r="AL217" s="339">
        <v>9183.8829787234044</v>
      </c>
      <c r="AM217" s="496">
        <v>414.44</v>
      </c>
      <c r="AN217" s="495">
        <v>0</v>
      </c>
      <c r="AO217" s="495">
        <v>0</v>
      </c>
      <c r="AP217" s="74"/>
      <c r="AQ217" s="303">
        <v>15600.060000000001</v>
      </c>
      <c r="AR217" s="303">
        <v>30361.870000000003</v>
      </c>
      <c r="AS217" s="552">
        <v>14821.79</v>
      </c>
      <c r="AY217" s="67">
        <f t="shared" si="64"/>
        <v>0</v>
      </c>
      <c r="BA217" t="s">
        <v>882</v>
      </c>
      <c r="BB217" t="s">
        <v>455</v>
      </c>
      <c r="BC217" s="11" t="s">
        <v>1061</v>
      </c>
      <c r="BD217" s="491">
        <v>3.7100000000000001E-2</v>
      </c>
      <c r="BE217" s="492">
        <v>0.14399999999999999</v>
      </c>
      <c r="BG217" s="510">
        <f t="shared" si="62"/>
        <v>0</v>
      </c>
      <c r="BH217" s="510">
        <f t="shared" si="63"/>
        <v>0</v>
      </c>
      <c r="BJ217" s="520">
        <f t="shared" si="65"/>
        <v>0</v>
      </c>
      <c r="BK217" s="520">
        <f t="shared" si="66"/>
        <v>0</v>
      </c>
      <c r="CB217" s="74"/>
      <c r="CC217" s="74"/>
      <c r="CD217" s="74"/>
      <c r="CE217" s="74"/>
      <c r="CF217" s="74"/>
    </row>
    <row r="218" spans="1:84">
      <c r="A218" s="283" t="s">
        <v>458</v>
      </c>
      <c r="B218" s="283" t="s">
        <v>457</v>
      </c>
      <c r="C218" s="283" t="str">
        <f t="shared" ref="C218:C225" si="67">CONCATENATE(B218," ",A218," SCHOOL DISTRICT")</f>
        <v>23402 PIONEER SCHOOL DISTRICT</v>
      </c>
      <c r="D218" s="490">
        <v>0</v>
      </c>
      <c r="E218" s="490">
        <v>0</v>
      </c>
      <c r="F218" s="490">
        <v>0</v>
      </c>
      <c r="G218" s="490">
        <v>1545022.68</v>
      </c>
      <c r="H218" s="490">
        <v>183295.44</v>
      </c>
      <c r="I218" s="490">
        <v>233068.44</v>
      </c>
      <c r="J218" s="490">
        <v>279091.8</v>
      </c>
      <c r="K218" s="490">
        <v>76150.899999999994</v>
      </c>
      <c r="L218" s="490">
        <v>23175.67</v>
      </c>
      <c r="M218" s="490">
        <v>783508.67</v>
      </c>
      <c r="N218" s="300">
        <v>3.5299999999999998E-2</v>
      </c>
      <c r="O218" s="492">
        <v>0.2031</v>
      </c>
      <c r="P218" s="490">
        <v>0</v>
      </c>
      <c r="Q218" s="493">
        <v>0</v>
      </c>
      <c r="R218" s="493">
        <v>0</v>
      </c>
      <c r="S218" s="494">
        <v>0</v>
      </c>
      <c r="T218" s="495">
        <v>0</v>
      </c>
      <c r="U218" s="495">
        <v>0</v>
      </c>
      <c r="V218" s="490">
        <v>0</v>
      </c>
      <c r="W218" s="495">
        <v>0</v>
      </c>
      <c r="X218" s="495">
        <v>0</v>
      </c>
      <c r="Y218" s="490">
        <v>834.34</v>
      </c>
      <c r="Z218" s="490">
        <v>0</v>
      </c>
      <c r="AA218" s="490">
        <v>0</v>
      </c>
      <c r="AB218" s="490">
        <v>0</v>
      </c>
      <c r="AC218" s="490">
        <v>0</v>
      </c>
      <c r="AD218" s="490">
        <v>0</v>
      </c>
      <c r="AE218" s="490">
        <v>0</v>
      </c>
      <c r="AF218" s="339">
        <v>0</v>
      </c>
      <c r="AG218" s="339">
        <v>0</v>
      </c>
      <c r="AH218" s="496">
        <v>0</v>
      </c>
      <c r="AI218" s="490">
        <v>0</v>
      </c>
      <c r="AJ218" s="490">
        <v>0</v>
      </c>
      <c r="AK218" s="339">
        <v>0</v>
      </c>
      <c r="AL218" s="339">
        <v>0</v>
      </c>
      <c r="AM218" s="496">
        <v>0</v>
      </c>
      <c r="AN218" s="495">
        <v>0</v>
      </c>
      <c r="AO218" s="495">
        <v>0</v>
      </c>
      <c r="AP218" s="74"/>
      <c r="AQ218" s="303">
        <v>0</v>
      </c>
      <c r="AR218" s="303">
        <v>90595.66</v>
      </c>
      <c r="AS218" s="552">
        <v>31059.01</v>
      </c>
      <c r="AY218" s="67">
        <f t="shared" si="64"/>
        <v>0</v>
      </c>
      <c r="BA218" t="s">
        <v>845</v>
      </c>
      <c r="BB218" t="s">
        <v>457</v>
      </c>
      <c r="BC218" t="s">
        <v>1062</v>
      </c>
      <c r="BD218" s="491">
        <v>3.5299999999999998E-2</v>
      </c>
      <c r="BE218" s="492">
        <v>0.2031</v>
      </c>
      <c r="BG218" s="510">
        <f t="shared" si="62"/>
        <v>0</v>
      </c>
      <c r="BH218" s="510">
        <f t="shared" si="63"/>
        <v>0</v>
      </c>
      <c r="BJ218" s="520">
        <f t="shared" si="65"/>
        <v>0</v>
      </c>
      <c r="BK218" s="520">
        <f t="shared" si="66"/>
        <v>0</v>
      </c>
      <c r="CB218" s="74"/>
      <c r="CC218" s="74"/>
      <c r="CD218" s="74"/>
      <c r="CE218" s="74"/>
      <c r="CF218" s="74"/>
    </row>
    <row r="219" spans="1:84">
      <c r="A219" s="283" t="s">
        <v>460</v>
      </c>
      <c r="B219" s="283" t="s">
        <v>459</v>
      </c>
      <c r="C219" s="283" t="str">
        <f t="shared" si="67"/>
        <v>12110 POMEROY SCHOOL DISTRICT</v>
      </c>
      <c r="D219" s="490">
        <v>0</v>
      </c>
      <c r="E219" s="490">
        <v>0</v>
      </c>
      <c r="F219" s="490">
        <v>0</v>
      </c>
      <c r="G219" s="490">
        <v>547070.43999999994</v>
      </c>
      <c r="H219" s="490">
        <v>102185.94</v>
      </c>
      <c r="I219" s="490">
        <v>43016.9</v>
      </c>
      <c r="J219" s="490">
        <v>119009.94</v>
      </c>
      <c r="K219" s="490">
        <v>5815.2</v>
      </c>
      <c r="L219" s="490">
        <v>9723.73</v>
      </c>
      <c r="M219" s="490">
        <v>426630.14</v>
      </c>
      <c r="N219" s="300">
        <v>5.9499999999999997E-2</v>
      </c>
      <c r="O219" s="492">
        <v>0.26469999999999999</v>
      </c>
      <c r="P219" s="490">
        <v>0</v>
      </c>
      <c r="Q219" s="493">
        <v>0</v>
      </c>
      <c r="R219" s="493">
        <v>0</v>
      </c>
      <c r="S219" s="494">
        <v>0</v>
      </c>
      <c r="T219" s="495">
        <v>0</v>
      </c>
      <c r="U219" s="495">
        <v>0</v>
      </c>
      <c r="V219" s="490">
        <v>0</v>
      </c>
      <c r="W219" s="495">
        <v>0</v>
      </c>
      <c r="X219" s="495">
        <v>0</v>
      </c>
      <c r="Y219" s="490">
        <v>0</v>
      </c>
      <c r="Z219" s="490">
        <v>0</v>
      </c>
      <c r="AA219" s="490">
        <v>0</v>
      </c>
      <c r="AB219" s="490">
        <v>100660.58</v>
      </c>
      <c r="AC219" s="490">
        <v>330116.61</v>
      </c>
      <c r="AD219" s="490">
        <v>35.51</v>
      </c>
      <c r="AE219" s="490">
        <v>317247.23</v>
      </c>
      <c r="AF219" s="339">
        <v>8934.0250633624328</v>
      </c>
      <c r="AG219" s="339">
        <v>9296.4407209236833</v>
      </c>
      <c r="AH219" s="496">
        <v>362.42</v>
      </c>
      <c r="AI219" s="490">
        <v>10.86</v>
      </c>
      <c r="AJ219" s="490">
        <v>94648.42</v>
      </c>
      <c r="AK219" s="339">
        <v>8715.3241252302032</v>
      </c>
      <c r="AL219" s="339">
        <v>9268.9300184162075</v>
      </c>
      <c r="AM219" s="496">
        <v>553.61</v>
      </c>
      <c r="AN219" s="495">
        <v>4958.09</v>
      </c>
      <c r="AO219" s="495">
        <v>0</v>
      </c>
      <c r="AP219" s="74"/>
      <c r="AQ219" s="303">
        <v>0</v>
      </c>
      <c r="AR219" s="303">
        <v>42904.03</v>
      </c>
      <c r="AS219" s="552">
        <v>7495.39</v>
      </c>
      <c r="AY219" s="67">
        <f t="shared" si="64"/>
        <v>0</v>
      </c>
      <c r="BA219" t="s">
        <v>854</v>
      </c>
      <c r="BB219" t="s">
        <v>459</v>
      </c>
      <c r="BC219" t="s">
        <v>1063</v>
      </c>
      <c r="BD219" s="491">
        <v>5.9499999999999997E-2</v>
      </c>
      <c r="BE219" s="492">
        <v>0.26469999999999999</v>
      </c>
      <c r="BG219" s="510">
        <f t="shared" si="62"/>
        <v>0</v>
      </c>
      <c r="BH219" s="510">
        <f t="shared" si="63"/>
        <v>0</v>
      </c>
      <c r="BJ219" s="520">
        <f t="shared" si="65"/>
        <v>0</v>
      </c>
      <c r="BK219" s="520">
        <f t="shared" si="66"/>
        <v>0</v>
      </c>
      <c r="CB219" s="74"/>
      <c r="CC219" s="74"/>
      <c r="CD219" s="74"/>
      <c r="CE219" s="74"/>
      <c r="CF219" s="74"/>
    </row>
    <row r="220" spans="1:84">
      <c r="A220" s="283" t="s">
        <v>462</v>
      </c>
      <c r="B220" s="283" t="s">
        <v>461</v>
      </c>
      <c r="C220" s="283" t="str">
        <f t="shared" si="67"/>
        <v>05121 PORT ANGELES SCHOOL DISTRICT</v>
      </c>
      <c r="D220" s="490">
        <v>0</v>
      </c>
      <c r="E220" s="490">
        <v>85983.17</v>
      </c>
      <c r="F220" s="490">
        <v>68717.02</v>
      </c>
      <c r="G220" s="490">
        <v>6480474</v>
      </c>
      <c r="H220" s="490">
        <v>1353756.04</v>
      </c>
      <c r="I220" s="490">
        <v>800329.52</v>
      </c>
      <c r="J220" s="490">
        <v>1458545.47</v>
      </c>
      <c r="K220" s="490">
        <v>87134.59</v>
      </c>
      <c r="L220" s="490">
        <v>106531.44</v>
      </c>
      <c r="M220" s="490">
        <v>1933699.52</v>
      </c>
      <c r="N220" s="300">
        <v>1.9900000000000001E-2</v>
      </c>
      <c r="O220" s="492">
        <v>0.1459</v>
      </c>
      <c r="P220" s="490">
        <v>0</v>
      </c>
      <c r="Q220" s="493">
        <v>0</v>
      </c>
      <c r="R220" s="493">
        <v>0</v>
      </c>
      <c r="S220" s="494">
        <v>0</v>
      </c>
      <c r="T220" s="495">
        <v>0</v>
      </c>
      <c r="U220" s="495">
        <v>0</v>
      </c>
      <c r="V220" s="490">
        <v>0</v>
      </c>
      <c r="W220" s="495">
        <v>0</v>
      </c>
      <c r="X220" s="495">
        <v>0</v>
      </c>
      <c r="Y220" s="490">
        <v>908.16</v>
      </c>
      <c r="Z220" s="490">
        <v>0</v>
      </c>
      <c r="AA220" s="490">
        <v>96952.67</v>
      </c>
      <c r="AB220" s="490">
        <v>678664.78</v>
      </c>
      <c r="AC220" s="490">
        <v>2156652.7400000002</v>
      </c>
      <c r="AD220" s="490">
        <v>219.5</v>
      </c>
      <c r="AE220" s="490">
        <v>1986234.51</v>
      </c>
      <c r="AF220" s="339">
        <v>9048.9043735763098</v>
      </c>
      <c r="AG220" s="339">
        <v>9825.2972209567215</v>
      </c>
      <c r="AH220" s="496">
        <v>776.39</v>
      </c>
      <c r="AI220" s="490">
        <v>72.319999999999993</v>
      </c>
      <c r="AJ220" s="490">
        <v>638802.26</v>
      </c>
      <c r="AK220" s="339">
        <v>8832.9958517699124</v>
      </c>
      <c r="AL220" s="339">
        <v>9384.1922013274343</v>
      </c>
      <c r="AM220" s="496">
        <v>551.20000000000005</v>
      </c>
      <c r="AN220" s="495">
        <v>305.14999999999998</v>
      </c>
      <c r="AO220" s="495">
        <v>0</v>
      </c>
      <c r="AP220" s="74"/>
      <c r="AQ220" s="303">
        <v>0</v>
      </c>
      <c r="AR220" s="303">
        <v>359240.30000000005</v>
      </c>
      <c r="AS220" s="552"/>
      <c r="AY220" s="67">
        <f t="shared" si="64"/>
        <v>0</v>
      </c>
      <c r="BA220" t="s">
        <v>869</v>
      </c>
      <c r="BB220" t="s">
        <v>461</v>
      </c>
      <c r="BC220" t="s">
        <v>1064</v>
      </c>
      <c r="BD220" s="491">
        <v>1.9900000000000001E-2</v>
      </c>
      <c r="BE220" s="492">
        <v>0.1459</v>
      </c>
      <c r="BG220" s="510">
        <f t="shared" si="62"/>
        <v>0</v>
      </c>
      <c r="BH220" s="510">
        <f t="shared" si="63"/>
        <v>0</v>
      </c>
      <c r="BJ220" s="520">
        <f t="shared" si="65"/>
        <v>0</v>
      </c>
      <c r="BK220" s="520">
        <f t="shared" si="66"/>
        <v>0</v>
      </c>
      <c r="CB220" s="74"/>
      <c r="CC220" s="74"/>
      <c r="CD220" s="74"/>
      <c r="CE220" s="74"/>
      <c r="CF220" s="74"/>
    </row>
    <row r="221" spans="1:84">
      <c r="A221" s="283" t="s">
        <v>464</v>
      </c>
      <c r="B221" s="283" t="s">
        <v>463</v>
      </c>
      <c r="C221" s="283" t="str">
        <f t="shared" si="67"/>
        <v>16050 PORT TOWNSEND SCHOOL DISTRICT</v>
      </c>
      <c r="D221" s="490">
        <v>0</v>
      </c>
      <c r="E221" s="490">
        <v>35818.03</v>
      </c>
      <c r="F221" s="490">
        <v>4497.8599999999997</v>
      </c>
      <c r="G221" s="490">
        <v>2035776.94</v>
      </c>
      <c r="H221" s="490">
        <v>253024.2</v>
      </c>
      <c r="I221" s="490">
        <v>44750.52</v>
      </c>
      <c r="J221" s="490">
        <v>368445.92</v>
      </c>
      <c r="K221" s="490">
        <v>70686.02</v>
      </c>
      <c r="L221" s="490">
        <v>38095.32</v>
      </c>
      <c r="M221" s="490">
        <v>784147.95</v>
      </c>
      <c r="N221" s="300">
        <v>3.2899999999999999E-2</v>
      </c>
      <c r="O221" s="492">
        <v>0.2006</v>
      </c>
      <c r="P221" s="490">
        <v>0</v>
      </c>
      <c r="Q221" s="493">
        <v>0</v>
      </c>
      <c r="R221" s="493">
        <v>0</v>
      </c>
      <c r="S221" s="494">
        <v>0</v>
      </c>
      <c r="T221" s="495">
        <v>0</v>
      </c>
      <c r="U221" s="495">
        <v>0</v>
      </c>
      <c r="V221" s="490">
        <v>0</v>
      </c>
      <c r="W221" s="495">
        <v>0</v>
      </c>
      <c r="X221" s="495">
        <v>0</v>
      </c>
      <c r="Y221" s="490">
        <v>0</v>
      </c>
      <c r="Z221" s="490">
        <v>0</v>
      </c>
      <c r="AA221" s="490">
        <v>14282.9</v>
      </c>
      <c r="AB221" s="490">
        <v>81294.81</v>
      </c>
      <c r="AC221" s="490">
        <v>588098.12</v>
      </c>
      <c r="AD221" s="490">
        <v>56.25</v>
      </c>
      <c r="AE221" s="490">
        <v>538722.94999999995</v>
      </c>
      <c r="AF221" s="339">
        <v>9577.2968888888881</v>
      </c>
      <c r="AG221" s="339">
        <v>10455.077688888889</v>
      </c>
      <c r="AH221" s="496">
        <v>877.78</v>
      </c>
      <c r="AI221" s="490">
        <v>8.19</v>
      </c>
      <c r="AJ221" s="490">
        <v>76559</v>
      </c>
      <c r="AK221" s="339">
        <v>9347.863247863248</v>
      </c>
      <c r="AL221" s="339">
        <v>9926.1062271062274</v>
      </c>
      <c r="AM221" s="496">
        <v>578.24</v>
      </c>
      <c r="AN221" s="495">
        <v>0</v>
      </c>
      <c r="AO221" s="495">
        <v>0</v>
      </c>
      <c r="AP221" s="74"/>
      <c r="AQ221" s="303">
        <v>0</v>
      </c>
      <c r="AR221" s="303">
        <v>116448.63</v>
      </c>
      <c r="AS221" s="552">
        <v>50491.39</v>
      </c>
      <c r="AY221" s="67">
        <f t="shared" si="64"/>
        <v>0</v>
      </c>
      <c r="BA221" t="s">
        <v>869</v>
      </c>
      <c r="BB221" t="s">
        <v>463</v>
      </c>
      <c r="BC221" t="s">
        <v>1065</v>
      </c>
      <c r="BD221" s="491">
        <v>3.2899999999999999E-2</v>
      </c>
      <c r="BE221" s="492">
        <v>0.2006</v>
      </c>
      <c r="BG221" s="510">
        <f t="shared" si="62"/>
        <v>0</v>
      </c>
      <c r="BH221" s="510">
        <f t="shared" si="63"/>
        <v>0</v>
      </c>
      <c r="BJ221" s="520">
        <f t="shared" si="65"/>
        <v>0</v>
      </c>
      <c r="BK221" s="520">
        <f t="shared" si="66"/>
        <v>0</v>
      </c>
      <c r="CB221" s="74"/>
      <c r="CC221" s="74"/>
      <c r="CD221" s="74"/>
      <c r="CE221" s="74"/>
      <c r="CF221" s="74"/>
    </row>
    <row r="222" spans="1:84">
      <c r="A222" s="283" t="s">
        <v>466</v>
      </c>
      <c r="B222" s="283" t="s">
        <v>465</v>
      </c>
      <c r="C222" s="283" t="str">
        <f t="shared" si="67"/>
        <v>36402 PRESCOTT SCHOOL DISTRICT</v>
      </c>
      <c r="D222" s="490">
        <v>0</v>
      </c>
      <c r="E222" s="490">
        <v>0</v>
      </c>
      <c r="F222" s="490">
        <v>2977.13</v>
      </c>
      <c r="G222" s="490">
        <v>449501.67</v>
      </c>
      <c r="H222" s="490">
        <v>51979.1</v>
      </c>
      <c r="I222" s="490">
        <v>74283.77</v>
      </c>
      <c r="J222" s="490">
        <v>134645.82</v>
      </c>
      <c r="K222" s="490">
        <v>159645.70000000001</v>
      </c>
      <c r="L222" s="490">
        <v>0</v>
      </c>
      <c r="M222" s="490">
        <v>528352.81999999995</v>
      </c>
      <c r="N222" s="300">
        <v>2.86E-2</v>
      </c>
      <c r="O222" s="492">
        <v>0.22389999999999999</v>
      </c>
      <c r="P222" s="490">
        <v>0</v>
      </c>
      <c r="Q222" s="493">
        <v>0</v>
      </c>
      <c r="R222" s="493">
        <v>0</v>
      </c>
      <c r="S222" s="494">
        <v>0</v>
      </c>
      <c r="T222" s="495">
        <v>0</v>
      </c>
      <c r="U222" s="495">
        <v>0</v>
      </c>
      <c r="V222" s="490">
        <v>0</v>
      </c>
      <c r="W222" s="495">
        <v>0</v>
      </c>
      <c r="X222" s="495">
        <v>0</v>
      </c>
      <c r="Y222" s="490">
        <v>204.67</v>
      </c>
      <c r="Z222" s="490">
        <v>0</v>
      </c>
      <c r="AA222" s="490">
        <v>0</v>
      </c>
      <c r="AB222" s="490">
        <v>0</v>
      </c>
      <c r="AC222" s="490">
        <v>113609.98</v>
      </c>
      <c r="AD222" s="490">
        <v>12.39</v>
      </c>
      <c r="AE222" s="490">
        <v>109580.89</v>
      </c>
      <c r="AF222" s="339">
        <v>8844.3010492332523</v>
      </c>
      <c r="AG222" s="339">
        <v>9169.4899112187231</v>
      </c>
      <c r="AH222" s="496">
        <v>325.19</v>
      </c>
      <c r="AI222" s="490">
        <v>0</v>
      </c>
      <c r="AJ222" s="490">
        <v>0</v>
      </c>
      <c r="AK222" s="339">
        <v>0</v>
      </c>
      <c r="AL222" s="339">
        <v>0</v>
      </c>
      <c r="AM222" s="496">
        <v>0</v>
      </c>
      <c r="AN222" s="495">
        <v>0</v>
      </c>
      <c r="AO222" s="495">
        <v>0</v>
      </c>
      <c r="AP222" s="74"/>
      <c r="AQ222" s="303">
        <v>39470.03</v>
      </c>
      <c r="AR222" s="303">
        <v>39658.179999999993</v>
      </c>
      <c r="AS222" s="552">
        <v>17726.48</v>
      </c>
      <c r="AY222" s="67">
        <f t="shared" si="64"/>
        <v>0</v>
      </c>
      <c r="BA222" t="s">
        <v>854</v>
      </c>
      <c r="BB222" t="s">
        <v>465</v>
      </c>
      <c r="BC222" t="s">
        <v>1066</v>
      </c>
      <c r="BD222" s="491">
        <v>2.86E-2</v>
      </c>
      <c r="BE222" s="492">
        <v>0.22389999999999999</v>
      </c>
      <c r="BG222" s="510">
        <f t="shared" si="62"/>
        <v>0</v>
      </c>
      <c r="BH222" s="510">
        <f t="shared" si="63"/>
        <v>0</v>
      </c>
      <c r="BJ222" s="520">
        <f t="shared" si="65"/>
        <v>0</v>
      </c>
      <c r="BK222" s="520">
        <f t="shared" si="66"/>
        <v>0</v>
      </c>
      <c r="CB222" s="74"/>
      <c r="CC222" s="74"/>
      <c r="CD222" s="74"/>
      <c r="CE222" s="74"/>
      <c r="CF222" s="74"/>
    </row>
    <row r="223" spans="1:84">
      <c r="A223" s="283" t="s">
        <v>1067</v>
      </c>
      <c r="B223" s="283" t="s">
        <v>467</v>
      </c>
      <c r="C223" s="283" t="str">
        <f t="shared" si="67"/>
        <v>32907 PRIDE PREP SCHOOL DISTRICT</v>
      </c>
      <c r="D223" s="490">
        <v>0</v>
      </c>
      <c r="E223" s="490">
        <v>1414.32</v>
      </c>
      <c r="F223" s="490">
        <v>0</v>
      </c>
      <c r="G223" s="490">
        <v>642336</v>
      </c>
      <c r="H223" s="490">
        <v>55219.53</v>
      </c>
      <c r="I223" s="490">
        <v>155769.74</v>
      </c>
      <c r="J223" s="490">
        <v>188291.94</v>
      </c>
      <c r="K223" s="490">
        <v>0</v>
      </c>
      <c r="L223" s="490">
        <v>12945.74</v>
      </c>
      <c r="M223" s="490">
        <v>585169.47</v>
      </c>
      <c r="N223" s="300">
        <v>8.0500000000000002E-2</v>
      </c>
      <c r="O223" s="492">
        <v>1</v>
      </c>
      <c r="P223" s="490">
        <v>0</v>
      </c>
      <c r="Q223" s="493">
        <v>0</v>
      </c>
      <c r="R223" s="493">
        <v>0</v>
      </c>
      <c r="S223" s="494">
        <v>0</v>
      </c>
      <c r="T223" s="495">
        <v>0</v>
      </c>
      <c r="U223" s="495">
        <v>0</v>
      </c>
      <c r="V223" s="490">
        <v>0</v>
      </c>
      <c r="W223" s="495">
        <v>0</v>
      </c>
      <c r="X223" s="495">
        <v>0</v>
      </c>
      <c r="Y223" s="490">
        <v>498.82</v>
      </c>
      <c r="Z223" s="490">
        <v>0</v>
      </c>
      <c r="AA223" s="490">
        <v>0</v>
      </c>
      <c r="AB223" s="490">
        <v>0</v>
      </c>
      <c r="AC223" s="490">
        <v>129827.95</v>
      </c>
      <c r="AD223" s="490">
        <v>13.1</v>
      </c>
      <c r="AE223" s="490">
        <v>117095.03</v>
      </c>
      <c r="AF223" s="339">
        <v>8938.5519083969466</v>
      </c>
      <c r="AG223" s="339">
        <v>9910.5305343511445</v>
      </c>
      <c r="AH223" s="496">
        <v>971.98</v>
      </c>
      <c r="AI223" s="490">
        <v>0</v>
      </c>
      <c r="AJ223" s="490">
        <v>0</v>
      </c>
      <c r="AK223" s="339">
        <v>0</v>
      </c>
      <c r="AL223" s="339">
        <v>0</v>
      </c>
      <c r="AM223" s="496">
        <v>0</v>
      </c>
      <c r="AN223" s="495">
        <v>0</v>
      </c>
      <c r="AO223" s="495">
        <v>0</v>
      </c>
      <c r="AP223" s="74"/>
      <c r="AQ223" s="303">
        <v>147680.21000000002</v>
      </c>
      <c r="AR223" s="303">
        <v>42040.88</v>
      </c>
      <c r="AS223" s="552">
        <v>24842.98</v>
      </c>
      <c r="AY223" s="67">
        <f t="shared" si="64"/>
        <v>0</v>
      </c>
      <c r="BA223" t="s">
        <v>848</v>
      </c>
      <c r="BB223" t="s">
        <v>467</v>
      </c>
      <c r="BC223" t="s">
        <v>1068</v>
      </c>
      <c r="BD223" s="491">
        <v>8.0500000000000002E-2</v>
      </c>
      <c r="BE223" s="492">
        <v>1</v>
      </c>
      <c r="BG223" s="510">
        <f t="shared" si="62"/>
        <v>0</v>
      </c>
      <c r="BH223" s="510">
        <f t="shared" si="63"/>
        <v>0</v>
      </c>
      <c r="BJ223" s="520">
        <f t="shared" si="65"/>
        <v>0</v>
      </c>
      <c r="BK223" s="520">
        <f t="shared" si="66"/>
        <v>0</v>
      </c>
      <c r="CB223" s="74"/>
      <c r="CC223" s="74"/>
      <c r="CD223" s="74"/>
      <c r="CE223" s="74"/>
      <c r="CF223" s="74"/>
    </row>
    <row r="224" spans="1:84">
      <c r="A224" s="283" t="s">
        <v>470</v>
      </c>
      <c r="B224" s="283" t="s">
        <v>469</v>
      </c>
      <c r="C224" s="283" t="str">
        <f t="shared" si="67"/>
        <v>03116 PROSSER SCHOOL DISTRICT</v>
      </c>
      <c r="D224" s="490">
        <v>0</v>
      </c>
      <c r="E224" s="490">
        <v>49275.53</v>
      </c>
      <c r="F224" s="490">
        <v>64396.03</v>
      </c>
      <c r="G224" s="490">
        <v>3783796.66</v>
      </c>
      <c r="H224" s="490">
        <v>828878.94</v>
      </c>
      <c r="I224" s="490">
        <v>722682.42</v>
      </c>
      <c r="J224" s="490">
        <v>1237266.3899999999</v>
      </c>
      <c r="K224" s="490">
        <v>1025754.26</v>
      </c>
      <c r="L224" s="490">
        <v>71790.33</v>
      </c>
      <c r="M224" s="490">
        <v>1920810.62</v>
      </c>
      <c r="N224" s="300">
        <v>4.5900000000000003E-2</v>
      </c>
      <c r="O224" s="492">
        <v>0.17230000000000001</v>
      </c>
      <c r="P224" s="490">
        <v>0</v>
      </c>
      <c r="Q224" s="493">
        <v>0</v>
      </c>
      <c r="R224" s="493">
        <v>0</v>
      </c>
      <c r="S224" s="494">
        <v>0</v>
      </c>
      <c r="T224" s="495">
        <v>0</v>
      </c>
      <c r="U224" s="495">
        <v>0</v>
      </c>
      <c r="V224" s="490">
        <v>0</v>
      </c>
      <c r="W224" s="495">
        <v>0</v>
      </c>
      <c r="X224" s="495">
        <v>0</v>
      </c>
      <c r="Y224" s="490">
        <v>2718.88</v>
      </c>
      <c r="Z224" s="490">
        <v>15480.09</v>
      </c>
      <c r="AA224" s="490">
        <v>32097.98</v>
      </c>
      <c r="AB224" s="490">
        <v>204764.14</v>
      </c>
      <c r="AC224" s="490">
        <v>2055978.23</v>
      </c>
      <c r="AD224" s="490">
        <v>218.51</v>
      </c>
      <c r="AE224" s="490">
        <v>1933410.5</v>
      </c>
      <c r="AF224" s="339">
        <v>8848.1556908150669</v>
      </c>
      <c r="AG224" s="339">
        <v>9409.0807285707742</v>
      </c>
      <c r="AH224" s="496">
        <v>560.92999999999995</v>
      </c>
      <c r="AI224" s="490">
        <v>22.33</v>
      </c>
      <c r="AJ224" s="490">
        <v>192762.88</v>
      </c>
      <c r="AK224" s="339">
        <v>8632.4621585311252</v>
      </c>
      <c r="AL224" s="339">
        <v>9169.9122257053314</v>
      </c>
      <c r="AM224" s="496">
        <v>537.45000000000005</v>
      </c>
      <c r="AN224" s="495">
        <v>0</v>
      </c>
      <c r="AO224" s="495">
        <v>0</v>
      </c>
      <c r="AP224" s="74"/>
      <c r="AQ224" s="303">
        <v>185428.4800000001</v>
      </c>
      <c r="AR224" s="303">
        <v>267575.62</v>
      </c>
      <c r="AS224" s="552">
        <v>77853.59</v>
      </c>
      <c r="AY224" s="67">
        <f t="shared" si="64"/>
        <v>0</v>
      </c>
      <c r="BA224" t="s">
        <v>854</v>
      </c>
      <c r="BB224" t="s">
        <v>469</v>
      </c>
      <c r="BC224" t="s">
        <v>1069</v>
      </c>
      <c r="BD224" s="491">
        <v>4.5900000000000003E-2</v>
      </c>
      <c r="BE224" s="492">
        <v>0.17230000000000001</v>
      </c>
      <c r="BG224" s="510">
        <f t="shared" si="62"/>
        <v>0</v>
      </c>
      <c r="BH224" s="510">
        <f t="shared" si="63"/>
        <v>0</v>
      </c>
      <c r="BJ224" s="520">
        <f t="shared" si="65"/>
        <v>0</v>
      </c>
      <c r="BK224" s="520">
        <f t="shared" si="66"/>
        <v>0</v>
      </c>
      <c r="CB224" s="74"/>
      <c r="CC224" s="74"/>
      <c r="CD224" s="74"/>
      <c r="CE224" s="74"/>
      <c r="CF224" s="74"/>
    </row>
    <row r="225" spans="1:84">
      <c r="A225" s="283" t="s">
        <v>472</v>
      </c>
      <c r="B225" s="283" t="s">
        <v>471</v>
      </c>
      <c r="C225" s="283" t="str">
        <f t="shared" si="67"/>
        <v>38267 PULLMAN SCHOOL DISTRICT</v>
      </c>
      <c r="D225" s="490">
        <v>0</v>
      </c>
      <c r="E225" s="490">
        <v>0</v>
      </c>
      <c r="F225" s="490">
        <v>0</v>
      </c>
      <c r="G225" s="490">
        <v>4171600.36</v>
      </c>
      <c r="H225" s="490">
        <v>562074.07999999996</v>
      </c>
      <c r="I225" s="490">
        <v>96101.39</v>
      </c>
      <c r="J225" s="490">
        <v>641333.9</v>
      </c>
      <c r="K225" s="490">
        <v>263150</v>
      </c>
      <c r="L225" s="490">
        <v>78335.63</v>
      </c>
      <c r="M225" s="490">
        <v>1113596.76</v>
      </c>
      <c r="N225" s="300">
        <v>3.7600000000000001E-2</v>
      </c>
      <c r="O225" s="492">
        <v>0.2011</v>
      </c>
      <c r="P225" s="490">
        <v>0</v>
      </c>
      <c r="Q225" s="493">
        <v>0</v>
      </c>
      <c r="R225" s="493">
        <v>0</v>
      </c>
      <c r="S225" s="494">
        <v>0</v>
      </c>
      <c r="T225" s="495">
        <v>0</v>
      </c>
      <c r="U225" s="495">
        <v>0</v>
      </c>
      <c r="V225" s="490">
        <v>0</v>
      </c>
      <c r="W225" s="495">
        <v>0</v>
      </c>
      <c r="X225" s="495">
        <v>0</v>
      </c>
      <c r="Y225" s="490">
        <v>0</v>
      </c>
      <c r="Z225" s="490">
        <v>0</v>
      </c>
      <c r="AA225" s="490">
        <v>0</v>
      </c>
      <c r="AB225" s="490">
        <v>293749.78000000003</v>
      </c>
      <c r="AC225" s="490">
        <v>1215166.54</v>
      </c>
      <c r="AD225" s="490">
        <v>130.22</v>
      </c>
      <c r="AE225" s="490">
        <v>1152170.01</v>
      </c>
      <c r="AF225" s="339">
        <v>8847.8729073874983</v>
      </c>
      <c r="AG225" s="339">
        <v>9331.6429119950863</v>
      </c>
      <c r="AH225" s="496">
        <v>483.77</v>
      </c>
      <c r="AI225" s="490">
        <v>32.04</v>
      </c>
      <c r="AJ225" s="490">
        <v>276463.13</v>
      </c>
      <c r="AK225" s="339">
        <v>8628.6869538077408</v>
      </c>
      <c r="AL225" s="339">
        <v>9168.2203495630474</v>
      </c>
      <c r="AM225" s="496">
        <v>539.53</v>
      </c>
      <c r="AN225" s="495">
        <v>0</v>
      </c>
      <c r="AO225" s="495">
        <v>0</v>
      </c>
      <c r="AP225" s="74"/>
      <c r="AQ225" s="303">
        <v>1059.8000000000466</v>
      </c>
      <c r="AR225" s="303">
        <v>268408.72000000003</v>
      </c>
      <c r="AS225" s="552">
        <v>24646.69</v>
      </c>
      <c r="AY225" s="67">
        <f t="shared" si="64"/>
        <v>0</v>
      </c>
      <c r="BA225" t="s">
        <v>848</v>
      </c>
      <c r="BB225" t="s">
        <v>471</v>
      </c>
      <c r="BC225" t="s">
        <v>1070</v>
      </c>
      <c r="BD225" s="491">
        <v>3.7600000000000001E-2</v>
      </c>
      <c r="BE225" s="492">
        <v>0.2011</v>
      </c>
      <c r="BG225" s="510">
        <f t="shared" si="62"/>
        <v>0</v>
      </c>
      <c r="BH225" s="510">
        <f t="shared" si="63"/>
        <v>0</v>
      </c>
      <c r="BJ225" s="520">
        <f t="shared" si="65"/>
        <v>0</v>
      </c>
      <c r="BK225" s="520">
        <f t="shared" si="66"/>
        <v>0</v>
      </c>
      <c r="CB225" s="74"/>
      <c r="CC225" s="74"/>
      <c r="CD225" s="74"/>
      <c r="CE225" s="74"/>
      <c r="CF225" s="74"/>
    </row>
    <row r="226" spans="1:84">
      <c r="A226" s="283" t="s">
        <v>474</v>
      </c>
      <c r="B226" s="353" t="s">
        <v>473</v>
      </c>
      <c r="C226" s="353" t="str">
        <f>CONCATENATE(B226," ",A226," CHARTER")</f>
        <v>38901 PULLMAN COMMUNITY MONTESSORI CHARTER</v>
      </c>
      <c r="D226" s="490">
        <v>0</v>
      </c>
      <c r="E226" s="490">
        <v>0</v>
      </c>
      <c r="F226" s="490">
        <v>0</v>
      </c>
      <c r="G226" s="490">
        <v>182885.34</v>
      </c>
      <c r="H226" s="490">
        <v>19035.21</v>
      </c>
      <c r="I226" s="490">
        <v>0</v>
      </c>
      <c r="J226" s="490">
        <v>13506.15</v>
      </c>
      <c r="K226" s="490">
        <v>0</v>
      </c>
      <c r="L226" s="490">
        <v>0</v>
      </c>
      <c r="M226" s="490">
        <v>66085.72</v>
      </c>
      <c r="N226" s="300">
        <v>3.7100000000000001E-2</v>
      </c>
      <c r="O226" s="492">
        <v>0.14399999999999999</v>
      </c>
      <c r="P226" s="490">
        <v>0</v>
      </c>
      <c r="Q226" s="493">
        <v>0</v>
      </c>
      <c r="R226" s="493">
        <v>0</v>
      </c>
      <c r="S226" s="494">
        <v>0</v>
      </c>
      <c r="T226" s="495">
        <v>0</v>
      </c>
      <c r="U226" s="495">
        <v>0</v>
      </c>
      <c r="V226" s="490">
        <v>0</v>
      </c>
      <c r="W226" s="495">
        <v>0</v>
      </c>
      <c r="X226" s="495">
        <v>0</v>
      </c>
      <c r="Y226" s="490">
        <v>0</v>
      </c>
      <c r="Z226" s="490">
        <v>0</v>
      </c>
      <c r="AA226" s="490">
        <v>0</v>
      </c>
      <c r="AB226" s="490">
        <v>0</v>
      </c>
      <c r="AC226" s="490">
        <v>0</v>
      </c>
      <c r="AD226" s="490">
        <v>0</v>
      </c>
      <c r="AE226" s="490">
        <v>0</v>
      </c>
      <c r="AF226" s="339">
        <v>0</v>
      </c>
      <c r="AG226" s="339">
        <v>0</v>
      </c>
      <c r="AH226" s="496">
        <v>0</v>
      </c>
      <c r="AI226" s="490">
        <v>0</v>
      </c>
      <c r="AJ226" s="490">
        <v>0</v>
      </c>
      <c r="AK226" s="339">
        <v>0</v>
      </c>
      <c r="AL226" s="339">
        <v>0</v>
      </c>
      <c r="AM226" s="496">
        <v>0</v>
      </c>
      <c r="AN226" s="495">
        <v>0</v>
      </c>
      <c r="AO226" s="495">
        <v>0</v>
      </c>
      <c r="AP226" s="74"/>
      <c r="AQ226" s="303">
        <v>11567.67</v>
      </c>
      <c r="AR226" s="303">
        <v>12675.86</v>
      </c>
      <c r="AS226" s="552">
        <v>7054.43</v>
      </c>
      <c r="AY226" s="67">
        <f t="shared" si="64"/>
        <v>0</v>
      </c>
      <c r="BA226" t="s">
        <v>882</v>
      </c>
      <c r="BB226" t="s">
        <v>473</v>
      </c>
      <c r="BC226" s="11" t="s">
        <v>1071</v>
      </c>
      <c r="BD226" s="491">
        <v>3.7100000000000001E-2</v>
      </c>
      <c r="BE226" s="492">
        <v>0.14399999999999999</v>
      </c>
      <c r="BG226" s="510">
        <f t="shared" si="62"/>
        <v>0</v>
      </c>
      <c r="BH226" s="510">
        <f t="shared" si="63"/>
        <v>0</v>
      </c>
      <c r="BJ226" s="520">
        <f t="shared" si="65"/>
        <v>0</v>
      </c>
      <c r="BK226" s="520">
        <f t="shared" si="66"/>
        <v>0</v>
      </c>
      <c r="CB226" s="74"/>
      <c r="CC226" s="74"/>
      <c r="CD226" s="74"/>
      <c r="CE226" s="74"/>
      <c r="CF226" s="74"/>
    </row>
    <row r="227" spans="1:84">
      <c r="A227" s="283" t="s">
        <v>476</v>
      </c>
      <c r="B227" s="283" t="s">
        <v>475</v>
      </c>
      <c r="C227" s="283" t="str">
        <f>CONCATENATE(B227," ",A227," SCHOOL DISTRICT")</f>
        <v>27003 PUYALLUP SCHOOL DISTRICT</v>
      </c>
      <c r="D227" s="490">
        <v>0</v>
      </c>
      <c r="E227" s="490">
        <v>65683.17</v>
      </c>
      <c r="F227" s="490">
        <v>0</v>
      </c>
      <c r="G227" s="490">
        <v>39677690.880000003</v>
      </c>
      <c r="H227" s="490">
        <v>7879659.29</v>
      </c>
      <c r="I227" s="490">
        <v>942514.75</v>
      </c>
      <c r="J227" s="490">
        <v>7101677.6699999999</v>
      </c>
      <c r="K227" s="490">
        <v>3423029.93</v>
      </c>
      <c r="L227" s="490">
        <v>747792.63</v>
      </c>
      <c r="M227" s="490">
        <v>15289914.42</v>
      </c>
      <c r="N227" s="300">
        <v>3.6299999999999999E-2</v>
      </c>
      <c r="O227" s="492">
        <v>0.12379999999999999</v>
      </c>
      <c r="P227" s="490">
        <v>0</v>
      </c>
      <c r="Q227" s="493">
        <v>0</v>
      </c>
      <c r="R227" s="493">
        <v>0</v>
      </c>
      <c r="S227" s="494">
        <v>0</v>
      </c>
      <c r="T227" s="495">
        <v>0</v>
      </c>
      <c r="U227" s="495">
        <v>0</v>
      </c>
      <c r="V227" s="490">
        <v>0</v>
      </c>
      <c r="W227" s="495">
        <v>0</v>
      </c>
      <c r="X227" s="495">
        <v>0</v>
      </c>
      <c r="Y227" s="490">
        <v>25514.560000000001</v>
      </c>
      <c r="Z227" s="490">
        <v>281403.07</v>
      </c>
      <c r="AA227" s="490">
        <v>880476.15</v>
      </c>
      <c r="AB227" s="490">
        <v>3941748.04</v>
      </c>
      <c r="AC227" s="490">
        <v>13066849.82</v>
      </c>
      <c r="AD227" s="490">
        <v>1264.54</v>
      </c>
      <c r="AE227" s="490">
        <v>12110918.550000001</v>
      </c>
      <c r="AF227" s="339">
        <v>9577.3313220617783</v>
      </c>
      <c r="AG227" s="339">
        <v>10333.283106900533</v>
      </c>
      <c r="AH227" s="496">
        <v>755.95</v>
      </c>
      <c r="AI227" s="490">
        <v>396.61</v>
      </c>
      <c r="AJ227" s="490">
        <v>3711371.97</v>
      </c>
      <c r="AK227" s="339">
        <v>9357.736743904592</v>
      </c>
      <c r="AL227" s="339">
        <v>9938.5997327349287</v>
      </c>
      <c r="AM227" s="496">
        <v>580.86</v>
      </c>
      <c r="AN227" s="495">
        <v>0</v>
      </c>
      <c r="AO227" s="495">
        <v>0</v>
      </c>
      <c r="AP227" s="74"/>
      <c r="AQ227" s="303">
        <v>0</v>
      </c>
      <c r="AR227" s="303">
        <v>2522581.4799999995</v>
      </c>
      <c r="AS227" s="552">
        <v>668493.51</v>
      </c>
      <c r="AY227" s="67">
        <f t="shared" si="64"/>
        <v>0</v>
      </c>
      <c r="BA227" t="s">
        <v>856</v>
      </c>
      <c r="BB227" t="s">
        <v>475</v>
      </c>
      <c r="BC227" t="s">
        <v>1072</v>
      </c>
      <c r="BD227" s="491">
        <v>3.6299999999999999E-2</v>
      </c>
      <c r="BE227" s="492">
        <v>0.12379999999999999</v>
      </c>
      <c r="BG227" s="510">
        <f t="shared" si="62"/>
        <v>0</v>
      </c>
      <c r="BH227" s="510">
        <f t="shared" si="63"/>
        <v>0</v>
      </c>
      <c r="BJ227" s="520">
        <f t="shared" si="65"/>
        <v>0</v>
      </c>
      <c r="BK227" s="520">
        <f t="shared" si="66"/>
        <v>0</v>
      </c>
      <c r="CB227" s="74"/>
      <c r="CC227" s="74"/>
      <c r="CD227" s="74"/>
      <c r="CE227" s="74"/>
      <c r="CF227" s="74"/>
    </row>
    <row r="228" spans="1:84">
      <c r="A228" s="283" t="s">
        <v>478</v>
      </c>
      <c r="B228" s="283" t="s">
        <v>477</v>
      </c>
      <c r="C228" s="283" t="str">
        <f>CONCATENATE(B228," ",A228," SCHOOL DISTRICT")</f>
        <v>16020 QUEETS-CLEARWATER SCHOOL DISTRICT</v>
      </c>
      <c r="D228" s="490">
        <v>0</v>
      </c>
      <c r="E228" s="490">
        <v>0</v>
      </c>
      <c r="F228" s="490">
        <v>0</v>
      </c>
      <c r="G228" s="490">
        <v>77302.33</v>
      </c>
      <c r="H228" s="490">
        <v>4827.07</v>
      </c>
      <c r="I228" s="490">
        <v>11394.14</v>
      </c>
      <c r="J228" s="490">
        <v>24830.63</v>
      </c>
      <c r="K228" s="490">
        <v>0</v>
      </c>
      <c r="L228" s="490">
        <v>0</v>
      </c>
      <c r="M228" s="490">
        <v>59401.120000000003</v>
      </c>
      <c r="N228" s="300">
        <v>9.5600000000000004E-2</v>
      </c>
      <c r="O228" s="492">
        <v>0.51160000000000005</v>
      </c>
      <c r="P228" s="490">
        <v>0</v>
      </c>
      <c r="Q228" s="493">
        <v>0</v>
      </c>
      <c r="R228" s="493">
        <v>0</v>
      </c>
      <c r="S228" s="494">
        <v>0</v>
      </c>
      <c r="T228" s="495">
        <v>0</v>
      </c>
      <c r="U228" s="495">
        <v>0</v>
      </c>
      <c r="V228" s="490">
        <v>0</v>
      </c>
      <c r="W228" s="495">
        <v>0</v>
      </c>
      <c r="X228" s="495">
        <v>0</v>
      </c>
      <c r="Y228" s="490">
        <v>0</v>
      </c>
      <c r="Z228" s="490">
        <v>0</v>
      </c>
      <c r="AA228" s="490">
        <v>0</v>
      </c>
      <c r="AB228" s="490">
        <v>0</v>
      </c>
      <c r="AC228" s="490">
        <v>0</v>
      </c>
      <c r="AD228" s="490">
        <v>0</v>
      </c>
      <c r="AE228" s="490">
        <v>0</v>
      </c>
      <c r="AF228" s="339">
        <v>0</v>
      </c>
      <c r="AG228" s="339">
        <v>0</v>
      </c>
      <c r="AH228" s="496">
        <v>0</v>
      </c>
      <c r="AI228" s="490">
        <v>0</v>
      </c>
      <c r="AJ228" s="490">
        <v>0</v>
      </c>
      <c r="AK228" s="339">
        <v>0</v>
      </c>
      <c r="AL228" s="339">
        <v>0</v>
      </c>
      <c r="AM228" s="496">
        <v>0</v>
      </c>
      <c r="AN228" s="495">
        <v>0</v>
      </c>
      <c r="AO228" s="495">
        <v>0</v>
      </c>
      <c r="AP228" s="74"/>
      <c r="AQ228" s="303">
        <v>6860.9700000000021</v>
      </c>
      <c r="AR228" s="303">
        <v>6812.62</v>
      </c>
      <c r="AS228" s="552">
        <v>11132.83</v>
      </c>
      <c r="AY228" s="67">
        <f t="shared" si="64"/>
        <v>0</v>
      </c>
      <c r="BA228" t="s">
        <v>869</v>
      </c>
      <c r="BB228" t="s">
        <v>477</v>
      </c>
      <c r="BC228" t="s">
        <v>1073</v>
      </c>
      <c r="BD228" s="491">
        <v>9.5600000000000004E-2</v>
      </c>
      <c r="BE228" s="492">
        <v>0.51160000000000005</v>
      </c>
      <c r="BG228" s="510">
        <f t="shared" si="62"/>
        <v>0</v>
      </c>
      <c r="BH228" s="510">
        <f t="shared" si="63"/>
        <v>0</v>
      </c>
      <c r="BJ228" s="520">
        <f t="shared" si="65"/>
        <v>0</v>
      </c>
      <c r="BK228" s="520">
        <f t="shared" si="66"/>
        <v>0</v>
      </c>
      <c r="CB228" s="74"/>
      <c r="CC228" s="74"/>
      <c r="CD228" s="74"/>
      <c r="CE228" s="74"/>
      <c r="CF228" s="74"/>
    </row>
    <row r="229" spans="1:84">
      <c r="A229" s="283" t="s">
        <v>480</v>
      </c>
      <c r="B229" s="283" t="s">
        <v>479</v>
      </c>
      <c r="C229" s="283" t="str">
        <f>CONCATENATE(B229," ",A229," SCHOOL DISTRICT")</f>
        <v>16048 QUILCENE SCHOOL DISTRICT</v>
      </c>
      <c r="D229" s="490">
        <v>0</v>
      </c>
      <c r="E229" s="490">
        <v>0</v>
      </c>
      <c r="F229" s="490">
        <v>0</v>
      </c>
      <c r="G229" s="490">
        <v>844923.01</v>
      </c>
      <c r="H229" s="490">
        <v>82006.62</v>
      </c>
      <c r="I229" s="490">
        <v>64607.62</v>
      </c>
      <c r="J229" s="490">
        <v>217435.79</v>
      </c>
      <c r="K229" s="490">
        <v>0</v>
      </c>
      <c r="L229" s="490">
        <v>19896.09</v>
      </c>
      <c r="M229" s="490">
        <v>476182.96</v>
      </c>
      <c r="N229" s="300">
        <v>2.4400000000000002E-2</v>
      </c>
      <c r="O229" s="492">
        <v>0.19700000000000001</v>
      </c>
      <c r="P229" s="490">
        <v>0</v>
      </c>
      <c r="Q229" s="493">
        <v>0</v>
      </c>
      <c r="R229" s="493">
        <v>0</v>
      </c>
      <c r="S229" s="494">
        <v>0</v>
      </c>
      <c r="T229" s="495">
        <v>0</v>
      </c>
      <c r="U229" s="495">
        <v>0</v>
      </c>
      <c r="V229" s="490">
        <v>0</v>
      </c>
      <c r="W229" s="495">
        <v>0</v>
      </c>
      <c r="X229" s="495">
        <v>0</v>
      </c>
      <c r="Y229" s="490">
        <v>592.76</v>
      </c>
      <c r="Z229" s="490">
        <v>0</v>
      </c>
      <c r="AA229" s="490">
        <v>0</v>
      </c>
      <c r="AB229" s="490">
        <v>43634.46</v>
      </c>
      <c r="AC229" s="490">
        <v>108255.58</v>
      </c>
      <c r="AD229" s="490">
        <v>9.0399999999999991</v>
      </c>
      <c r="AE229" s="490">
        <v>83096.100000000006</v>
      </c>
      <c r="AF229" s="339">
        <v>9192.0464601769927</v>
      </c>
      <c r="AG229" s="339">
        <v>11975.174778761064</v>
      </c>
      <c r="AH229" s="496">
        <v>2783.13</v>
      </c>
      <c r="AI229" s="490">
        <v>4.55</v>
      </c>
      <c r="AJ229" s="490">
        <v>40877.53</v>
      </c>
      <c r="AK229" s="339">
        <v>8984.0725274725282</v>
      </c>
      <c r="AL229" s="339">
        <v>9589.9912087912089</v>
      </c>
      <c r="AM229" s="496">
        <v>605.91999999999996</v>
      </c>
      <c r="AN229" s="495">
        <v>0</v>
      </c>
      <c r="AO229" s="495">
        <v>0</v>
      </c>
      <c r="AP229" s="74"/>
      <c r="AQ229" s="303">
        <v>0</v>
      </c>
      <c r="AR229" s="303">
        <v>35155.930000000008</v>
      </c>
      <c r="AS229" s="552">
        <v>17203.64</v>
      </c>
      <c r="AY229" s="67">
        <f t="shared" si="64"/>
        <v>0</v>
      </c>
      <c r="BA229" t="s">
        <v>869</v>
      </c>
      <c r="BB229" t="s">
        <v>479</v>
      </c>
      <c r="BC229" t="s">
        <v>1074</v>
      </c>
      <c r="BD229" s="491">
        <v>2.4400000000000002E-2</v>
      </c>
      <c r="BE229" s="492">
        <v>0.19700000000000001</v>
      </c>
      <c r="BG229" s="510">
        <f t="shared" si="62"/>
        <v>0</v>
      </c>
      <c r="BH229" s="510">
        <f t="shared" si="63"/>
        <v>0</v>
      </c>
      <c r="BJ229" s="520">
        <f t="shared" si="65"/>
        <v>0</v>
      </c>
      <c r="BK229" s="520">
        <f t="shared" si="66"/>
        <v>0</v>
      </c>
      <c r="CB229" s="74"/>
      <c r="CC229" s="74"/>
      <c r="CD229" s="74"/>
      <c r="CE229" s="74"/>
      <c r="CF229" s="74"/>
    </row>
    <row r="230" spans="1:84">
      <c r="A230" s="283" t="s">
        <v>1075</v>
      </c>
      <c r="B230" s="283" t="s">
        <v>481</v>
      </c>
      <c r="C230" s="286" t="str">
        <f>CONCATENATE(B230," ",A230," TRIBAL COMPACT")</f>
        <v>05903 QUILEUTE TRIBAL COMPACT</v>
      </c>
      <c r="D230" s="490">
        <v>0</v>
      </c>
      <c r="E230" s="490">
        <v>2309.8200000000002</v>
      </c>
      <c r="F230" s="490">
        <v>913.38</v>
      </c>
      <c r="G230" s="490">
        <v>200520.38</v>
      </c>
      <c r="H230" s="490">
        <v>37451.089999999997</v>
      </c>
      <c r="I230" s="490">
        <v>42076.82</v>
      </c>
      <c r="J230" s="490">
        <v>86127.62</v>
      </c>
      <c r="K230" s="490">
        <v>0</v>
      </c>
      <c r="L230" s="490">
        <v>0</v>
      </c>
      <c r="M230" s="490">
        <v>166289.60999999999</v>
      </c>
      <c r="N230" s="300">
        <v>0</v>
      </c>
      <c r="O230" s="492">
        <v>0</v>
      </c>
      <c r="P230" s="490">
        <v>0</v>
      </c>
      <c r="Q230" s="493">
        <v>0</v>
      </c>
      <c r="R230" s="493">
        <v>0</v>
      </c>
      <c r="S230" s="494">
        <v>0</v>
      </c>
      <c r="T230" s="495">
        <v>0</v>
      </c>
      <c r="U230" s="495">
        <v>0</v>
      </c>
      <c r="V230" s="490">
        <v>0</v>
      </c>
      <c r="W230" s="495">
        <v>0</v>
      </c>
      <c r="X230" s="495">
        <v>0</v>
      </c>
      <c r="Y230" s="490">
        <v>0</v>
      </c>
      <c r="Z230" s="490">
        <v>0</v>
      </c>
      <c r="AA230" s="490">
        <v>0</v>
      </c>
      <c r="AB230" s="490">
        <v>0</v>
      </c>
      <c r="AC230" s="490">
        <v>18810.28</v>
      </c>
      <c r="AD230" s="490">
        <v>0.89</v>
      </c>
      <c r="AE230" s="490">
        <v>7861.78</v>
      </c>
      <c r="AF230" s="339">
        <v>8833.4606741573025</v>
      </c>
      <c r="AG230" s="339">
        <v>21135.146067415728</v>
      </c>
      <c r="AH230" s="496">
        <v>12301.69</v>
      </c>
      <c r="AI230" s="490">
        <v>0</v>
      </c>
      <c r="AJ230" s="490">
        <v>0</v>
      </c>
      <c r="AK230" s="339">
        <v>0</v>
      </c>
      <c r="AL230" s="339">
        <v>0</v>
      </c>
      <c r="AM230" s="496">
        <v>0</v>
      </c>
      <c r="AN230" s="495">
        <v>0</v>
      </c>
      <c r="AO230" s="495">
        <v>0</v>
      </c>
      <c r="AP230" s="74"/>
      <c r="AQ230" s="303">
        <v>24177.399999999998</v>
      </c>
      <c r="AR230" s="303">
        <v>24260.579999999998</v>
      </c>
      <c r="AS230" s="552">
        <v>14124.66</v>
      </c>
      <c r="AY230" s="67">
        <f t="shared" si="64"/>
        <v>0</v>
      </c>
      <c r="BA230" t="s">
        <v>882</v>
      </c>
      <c r="BB230" t="s">
        <v>481</v>
      </c>
      <c r="BC230" t="s">
        <v>1076</v>
      </c>
      <c r="BD230" s="491">
        <v>0</v>
      </c>
      <c r="BE230" s="492">
        <v>0</v>
      </c>
      <c r="BG230" s="510">
        <f t="shared" si="62"/>
        <v>0</v>
      </c>
      <c r="BH230" s="510">
        <f t="shared" si="63"/>
        <v>0</v>
      </c>
      <c r="BJ230" s="520">
        <f t="shared" si="65"/>
        <v>0</v>
      </c>
      <c r="BK230" s="520">
        <f t="shared" si="66"/>
        <v>0</v>
      </c>
      <c r="CB230" s="74"/>
      <c r="CC230" s="74"/>
      <c r="CD230" s="74"/>
      <c r="CE230" s="74"/>
      <c r="CF230" s="74"/>
    </row>
    <row r="231" spans="1:84">
      <c r="A231" s="283" t="s">
        <v>484</v>
      </c>
      <c r="B231" s="283" t="s">
        <v>483</v>
      </c>
      <c r="C231" s="283" t="str">
        <f>CONCATENATE(B231," ",A231," SCHOOL DISTRICT")</f>
        <v>05402 QUILLAYUTE VALLEY SCHOOL DISTRICT</v>
      </c>
      <c r="D231" s="490">
        <v>0</v>
      </c>
      <c r="E231" s="490">
        <v>144322.23999999999</v>
      </c>
      <c r="F231" s="490">
        <v>70572.42</v>
      </c>
      <c r="G231" s="490">
        <v>5590334.1399999997</v>
      </c>
      <c r="H231" s="490">
        <v>822841.95</v>
      </c>
      <c r="I231" s="490">
        <v>983766.52</v>
      </c>
      <c r="J231" s="490">
        <v>1311654.05</v>
      </c>
      <c r="K231" s="490">
        <v>580910.28</v>
      </c>
      <c r="L231" s="490">
        <v>107321.87</v>
      </c>
      <c r="M231" s="490">
        <v>688491.55</v>
      </c>
      <c r="N231" s="300">
        <v>1.4500000000000001E-2</v>
      </c>
      <c r="O231" s="492">
        <v>9.2799999999999994E-2</v>
      </c>
      <c r="P231" s="490">
        <v>0</v>
      </c>
      <c r="Q231" s="493">
        <v>0</v>
      </c>
      <c r="R231" s="493">
        <v>0</v>
      </c>
      <c r="S231" s="494">
        <v>0</v>
      </c>
      <c r="T231" s="495">
        <v>0</v>
      </c>
      <c r="U231" s="495">
        <v>0</v>
      </c>
      <c r="V231" s="490">
        <v>0</v>
      </c>
      <c r="W231" s="495">
        <v>0</v>
      </c>
      <c r="X231" s="495">
        <v>0</v>
      </c>
      <c r="Y231" s="490">
        <v>1096.05</v>
      </c>
      <c r="Z231" s="490">
        <v>13728.08</v>
      </c>
      <c r="AA231" s="490">
        <v>0</v>
      </c>
      <c r="AB231" s="490">
        <v>140909.06</v>
      </c>
      <c r="AC231" s="490">
        <v>424670.6</v>
      </c>
      <c r="AD231" s="490">
        <v>30.54</v>
      </c>
      <c r="AE231" s="490">
        <v>270194</v>
      </c>
      <c r="AF231" s="339">
        <v>8847.2167648984941</v>
      </c>
      <c r="AG231" s="339">
        <v>13905.389652914211</v>
      </c>
      <c r="AH231" s="496">
        <v>5058.17</v>
      </c>
      <c r="AI231" s="490">
        <v>15.39</v>
      </c>
      <c r="AJ231" s="490">
        <v>132707.17000000001</v>
      </c>
      <c r="AK231" s="339">
        <v>8622.9480181936324</v>
      </c>
      <c r="AL231" s="339">
        <v>9155.8843404808304</v>
      </c>
      <c r="AM231" s="496">
        <v>532.94000000000005</v>
      </c>
      <c r="AN231" s="495">
        <v>301.62</v>
      </c>
      <c r="AO231" s="495">
        <v>0</v>
      </c>
      <c r="AP231" s="74"/>
      <c r="AQ231" s="303">
        <v>61918.069999999992</v>
      </c>
      <c r="AR231" s="303">
        <v>160381.10999999999</v>
      </c>
      <c r="AS231" s="552">
        <v>37826.949999999997</v>
      </c>
      <c r="AY231" s="67">
        <f t="shared" si="64"/>
        <v>0</v>
      </c>
      <c r="BA231" t="s">
        <v>869</v>
      </c>
      <c r="BB231" t="s">
        <v>483</v>
      </c>
      <c r="BC231" t="s">
        <v>1077</v>
      </c>
      <c r="BD231" s="491">
        <v>1.4500000000000001E-2</v>
      </c>
      <c r="BE231" s="492">
        <v>9.2799999999999994E-2</v>
      </c>
      <c r="BG231" s="510">
        <f t="shared" si="62"/>
        <v>0</v>
      </c>
      <c r="BH231" s="510">
        <f t="shared" si="63"/>
        <v>0</v>
      </c>
      <c r="BJ231" s="520">
        <f t="shared" si="65"/>
        <v>0</v>
      </c>
      <c r="BK231" s="520">
        <f t="shared" si="66"/>
        <v>0</v>
      </c>
      <c r="CB231" s="74"/>
      <c r="CC231" s="74"/>
      <c r="CD231" s="74"/>
      <c r="CE231" s="74"/>
      <c r="CF231" s="74"/>
    </row>
    <row r="232" spans="1:84">
      <c r="A232" s="283" t="s">
        <v>486</v>
      </c>
      <c r="B232" s="283" t="s">
        <v>485</v>
      </c>
      <c r="C232" s="283" t="str">
        <f>CONCATENATE(B232," ",A232," SCHOOL DISTRICT")</f>
        <v>14097 QUINAULT SCHOOL DISTRICT</v>
      </c>
      <c r="D232" s="490">
        <v>0</v>
      </c>
      <c r="E232" s="490">
        <v>7379.87</v>
      </c>
      <c r="F232" s="490">
        <v>185.63</v>
      </c>
      <c r="G232" s="490">
        <v>0</v>
      </c>
      <c r="H232" s="490">
        <v>0</v>
      </c>
      <c r="I232" s="490">
        <v>61089.31</v>
      </c>
      <c r="J232" s="490">
        <v>132360.19</v>
      </c>
      <c r="K232" s="490">
        <v>80129.08</v>
      </c>
      <c r="L232" s="490">
        <v>6233.6</v>
      </c>
      <c r="M232" s="490">
        <v>250142.28</v>
      </c>
      <c r="N232" s="300">
        <v>3.8699999999999998E-2</v>
      </c>
      <c r="O232" s="492">
        <v>0.25519999999999998</v>
      </c>
      <c r="P232" s="490">
        <v>0</v>
      </c>
      <c r="Q232" s="493">
        <v>0</v>
      </c>
      <c r="R232" s="493">
        <v>0</v>
      </c>
      <c r="S232" s="494">
        <v>0</v>
      </c>
      <c r="T232" s="495">
        <v>0</v>
      </c>
      <c r="U232" s="495">
        <v>0</v>
      </c>
      <c r="V232" s="490">
        <v>0</v>
      </c>
      <c r="W232" s="495">
        <v>0</v>
      </c>
      <c r="X232" s="495">
        <v>0</v>
      </c>
      <c r="Y232" s="490">
        <v>249.41</v>
      </c>
      <c r="Z232" s="490">
        <v>0</v>
      </c>
      <c r="AA232" s="490">
        <v>7783.82</v>
      </c>
      <c r="AB232" s="490">
        <v>0</v>
      </c>
      <c r="AC232" s="490">
        <v>106398.59</v>
      </c>
      <c r="AD232" s="490">
        <v>7.94</v>
      </c>
      <c r="AE232" s="490">
        <v>70204.600000000006</v>
      </c>
      <c r="AF232" s="339">
        <v>8841.8891687657433</v>
      </c>
      <c r="AG232" s="339">
        <v>13400.32619647355</v>
      </c>
      <c r="AH232" s="496">
        <v>4558.4399999999996</v>
      </c>
      <c r="AI232" s="490">
        <v>0</v>
      </c>
      <c r="AJ232" s="490">
        <v>0</v>
      </c>
      <c r="AK232" s="339">
        <v>0</v>
      </c>
      <c r="AL232" s="339">
        <v>0</v>
      </c>
      <c r="AM232" s="496">
        <v>0</v>
      </c>
      <c r="AN232" s="495">
        <v>540.49</v>
      </c>
      <c r="AO232" s="495">
        <v>0</v>
      </c>
      <c r="AP232" s="74"/>
      <c r="AQ232" s="303">
        <v>0</v>
      </c>
      <c r="AR232" s="303">
        <v>28969.87</v>
      </c>
      <c r="AS232" s="552">
        <v>6409.5</v>
      </c>
      <c r="AY232" s="67">
        <f t="shared" si="64"/>
        <v>0</v>
      </c>
      <c r="BA232" t="s">
        <v>845</v>
      </c>
      <c r="BB232" t="s">
        <v>485</v>
      </c>
      <c r="BC232" t="s">
        <v>1078</v>
      </c>
      <c r="BD232" s="491">
        <v>3.8699999999999998E-2</v>
      </c>
      <c r="BE232" s="492">
        <v>0.25519999999999998</v>
      </c>
      <c r="BG232" s="510">
        <f t="shared" si="62"/>
        <v>0</v>
      </c>
      <c r="BH232" s="510">
        <f t="shared" si="63"/>
        <v>0</v>
      </c>
      <c r="BJ232" s="520">
        <f t="shared" si="65"/>
        <v>0</v>
      </c>
      <c r="BK232" s="520">
        <f t="shared" si="66"/>
        <v>0</v>
      </c>
      <c r="CB232" s="74"/>
      <c r="CC232" s="74"/>
      <c r="CD232" s="74"/>
      <c r="CE232" s="74"/>
      <c r="CF232" s="74"/>
    </row>
    <row r="233" spans="1:84">
      <c r="A233" s="283" t="s">
        <v>488</v>
      </c>
      <c r="B233" s="283" t="s">
        <v>487</v>
      </c>
      <c r="C233" s="283" t="str">
        <f>CONCATENATE(B233," ",A233," SCHOOL DISTRICT")</f>
        <v>13144 QUINCY SCHOOL DISTRICT</v>
      </c>
      <c r="D233" s="490">
        <v>0</v>
      </c>
      <c r="E233" s="490">
        <v>88634.18</v>
      </c>
      <c r="F233" s="490">
        <v>0</v>
      </c>
      <c r="G233" s="490">
        <v>4657324.9000000004</v>
      </c>
      <c r="H233" s="490">
        <v>739344.49</v>
      </c>
      <c r="I233" s="490">
        <v>950936.21</v>
      </c>
      <c r="J233" s="490">
        <v>1704994.42</v>
      </c>
      <c r="K233" s="490">
        <v>2115203.46</v>
      </c>
      <c r="L233" s="490">
        <v>94750.78</v>
      </c>
      <c r="M233" s="490">
        <v>1881096.92</v>
      </c>
      <c r="N233" s="300">
        <v>2.92E-2</v>
      </c>
      <c r="O233" s="492">
        <v>0.1515</v>
      </c>
      <c r="P233" s="490">
        <v>0</v>
      </c>
      <c r="Q233" s="493">
        <v>0</v>
      </c>
      <c r="R233" s="493">
        <v>0</v>
      </c>
      <c r="S233" s="494">
        <v>0</v>
      </c>
      <c r="T233" s="495">
        <v>0</v>
      </c>
      <c r="U233" s="495">
        <v>0</v>
      </c>
      <c r="V233" s="490">
        <v>0</v>
      </c>
      <c r="W233" s="495">
        <v>0</v>
      </c>
      <c r="X233" s="495">
        <v>0</v>
      </c>
      <c r="Y233" s="490">
        <v>0</v>
      </c>
      <c r="Z233" s="490">
        <v>0</v>
      </c>
      <c r="AA233" s="490">
        <v>25073.47</v>
      </c>
      <c r="AB233" s="490">
        <v>504337.27</v>
      </c>
      <c r="AC233" s="490">
        <v>2396761.2200000002</v>
      </c>
      <c r="AD233" s="490">
        <v>256.43</v>
      </c>
      <c r="AE233" s="490">
        <v>2268689.16</v>
      </c>
      <c r="AF233" s="339">
        <v>8847.2064891003392</v>
      </c>
      <c r="AG233" s="339">
        <v>9346.649066021917</v>
      </c>
      <c r="AH233" s="496">
        <v>499.44</v>
      </c>
      <c r="AI233" s="490">
        <v>55.01</v>
      </c>
      <c r="AJ233" s="490">
        <v>474650.25</v>
      </c>
      <c r="AK233" s="339">
        <v>8628.4357389565539</v>
      </c>
      <c r="AL233" s="339">
        <v>9168.101617887658</v>
      </c>
      <c r="AM233" s="496">
        <v>539.66999999999996</v>
      </c>
      <c r="AN233" s="495">
        <v>3083.16</v>
      </c>
      <c r="AO233" s="495">
        <v>0</v>
      </c>
      <c r="AP233" s="74"/>
      <c r="AQ233" s="303">
        <v>0</v>
      </c>
      <c r="AR233" s="303">
        <v>363643.15</v>
      </c>
      <c r="AS233" s="552">
        <v>102979.16</v>
      </c>
      <c r="AY233" s="67">
        <f t="shared" si="64"/>
        <v>0</v>
      </c>
      <c r="BA233" t="s">
        <v>871</v>
      </c>
      <c r="BB233" t="s">
        <v>487</v>
      </c>
      <c r="BC233" t="s">
        <v>1079</v>
      </c>
      <c r="BD233" s="491">
        <v>2.92E-2</v>
      </c>
      <c r="BE233" s="492">
        <v>0.1515</v>
      </c>
      <c r="BG233" s="510">
        <f t="shared" si="62"/>
        <v>0</v>
      </c>
      <c r="BH233" s="510">
        <f t="shared" si="63"/>
        <v>0</v>
      </c>
      <c r="BJ233" s="520">
        <f t="shared" si="65"/>
        <v>0</v>
      </c>
      <c r="BK233" s="520">
        <f t="shared" si="66"/>
        <v>0</v>
      </c>
      <c r="CB233" s="74"/>
      <c r="CC233" s="74"/>
      <c r="CD233" s="74"/>
      <c r="CE233" s="74"/>
      <c r="CF233" s="74"/>
    </row>
    <row r="234" spans="1:84">
      <c r="A234" s="283" t="s">
        <v>490</v>
      </c>
      <c r="B234" s="283" t="s">
        <v>489</v>
      </c>
      <c r="C234" s="283" t="str">
        <f>CONCATENATE(B234," ",A234," SCHOOL DISTRICT")</f>
        <v>34307 RAINIER SCHOOL DISTRICT</v>
      </c>
      <c r="D234" s="490">
        <v>0</v>
      </c>
      <c r="E234" s="490">
        <v>12181.6</v>
      </c>
      <c r="F234" s="490">
        <v>0</v>
      </c>
      <c r="G234" s="490">
        <v>1574689.41</v>
      </c>
      <c r="H234" s="490">
        <v>237011.04</v>
      </c>
      <c r="I234" s="490">
        <v>0</v>
      </c>
      <c r="J234" s="490">
        <v>257447.81</v>
      </c>
      <c r="K234" s="490">
        <v>0</v>
      </c>
      <c r="L234" s="490">
        <v>27843.42</v>
      </c>
      <c r="M234" s="490">
        <v>614416.22</v>
      </c>
      <c r="N234" s="300">
        <v>3.6400000000000002E-2</v>
      </c>
      <c r="O234" s="492">
        <v>0.2049</v>
      </c>
      <c r="P234" s="490">
        <v>0</v>
      </c>
      <c r="Q234" s="493">
        <v>0</v>
      </c>
      <c r="R234" s="493">
        <v>0</v>
      </c>
      <c r="S234" s="494">
        <v>0</v>
      </c>
      <c r="T234" s="495">
        <v>0</v>
      </c>
      <c r="U234" s="495">
        <v>0</v>
      </c>
      <c r="V234" s="490">
        <v>0</v>
      </c>
      <c r="W234" s="495">
        <v>0</v>
      </c>
      <c r="X234" s="495">
        <v>0</v>
      </c>
      <c r="Y234" s="490">
        <v>1097.17</v>
      </c>
      <c r="Z234" s="490">
        <v>0</v>
      </c>
      <c r="AA234" s="490">
        <v>0</v>
      </c>
      <c r="AB234" s="490">
        <v>126598.32</v>
      </c>
      <c r="AC234" s="490">
        <v>707753.9</v>
      </c>
      <c r="AD234" s="490">
        <v>76.010000000000005</v>
      </c>
      <c r="AE234" s="490">
        <v>672538.71</v>
      </c>
      <c r="AF234" s="339">
        <v>8848.0293382449672</v>
      </c>
      <c r="AG234" s="339">
        <v>9311.326141297197</v>
      </c>
      <c r="AH234" s="496">
        <v>463.3</v>
      </c>
      <c r="AI234" s="490">
        <v>13.82</v>
      </c>
      <c r="AJ234" s="490">
        <v>119099.81</v>
      </c>
      <c r="AK234" s="339">
        <v>8617.9312590448626</v>
      </c>
      <c r="AL234" s="339">
        <v>9160.5151953690311</v>
      </c>
      <c r="AM234" s="496">
        <v>542.58000000000004</v>
      </c>
      <c r="AN234" s="495">
        <v>0</v>
      </c>
      <c r="AO234" s="495">
        <v>1368.17</v>
      </c>
      <c r="AP234" s="74"/>
      <c r="AQ234" s="303">
        <v>0</v>
      </c>
      <c r="AR234" s="303">
        <v>95415.039999999994</v>
      </c>
      <c r="AS234" s="552">
        <v>36229.360000000001</v>
      </c>
      <c r="AY234" s="67">
        <f t="shared" si="64"/>
        <v>0</v>
      </c>
      <c r="BA234" t="s">
        <v>845</v>
      </c>
      <c r="BB234" t="s">
        <v>489</v>
      </c>
      <c r="BC234" t="s">
        <v>1080</v>
      </c>
      <c r="BD234" s="491">
        <v>3.6400000000000002E-2</v>
      </c>
      <c r="BE234" s="492">
        <v>0.2049</v>
      </c>
      <c r="BG234" s="510">
        <f t="shared" si="62"/>
        <v>0</v>
      </c>
      <c r="BH234" s="510">
        <f t="shared" si="63"/>
        <v>0</v>
      </c>
      <c r="BJ234" s="520">
        <f t="shared" si="65"/>
        <v>0</v>
      </c>
      <c r="BK234" s="520">
        <f t="shared" si="66"/>
        <v>0</v>
      </c>
      <c r="CB234" s="74"/>
      <c r="CC234" s="74"/>
      <c r="CD234" s="74"/>
      <c r="CE234" s="74"/>
      <c r="CF234" s="74"/>
    </row>
    <row r="235" spans="1:84">
      <c r="A235" s="283" t="s">
        <v>1081</v>
      </c>
      <c r="B235" s="283" t="s">
        <v>491</v>
      </c>
      <c r="C235" s="286" t="str">
        <f>CONCATENATE(B235," ",A235," CHARTER")</f>
        <v>17908 RAINIER PREP CHARTER</v>
      </c>
      <c r="D235" s="490">
        <v>20891.830000000002</v>
      </c>
      <c r="E235" s="490">
        <v>0</v>
      </c>
      <c r="F235" s="490">
        <v>0</v>
      </c>
      <c r="G235" s="490">
        <v>320002.33</v>
      </c>
      <c r="H235" s="490">
        <v>24341.47</v>
      </c>
      <c r="I235" s="490">
        <v>117166.42</v>
      </c>
      <c r="J235" s="490">
        <v>194556.34</v>
      </c>
      <c r="K235" s="490">
        <v>240976.15</v>
      </c>
      <c r="L235" s="490">
        <v>0</v>
      </c>
      <c r="M235" s="490">
        <v>298828.42</v>
      </c>
      <c r="N235" s="300">
        <v>0.27050000000000002</v>
      </c>
      <c r="O235" s="492">
        <v>0.27739999999999998</v>
      </c>
      <c r="P235" s="490">
        <v>0</v>
      </c>
      <c r="Q235" s="493">
        <v>0</v>
      </c>
      <c r="R235" s="493">
        <v>0</v>
      </c>
      <c r="S235" s="494">
        <v>0</v>
      </c>
      <c r="T235" s="495">
        <v>0</v>
      </c>
      <c r="U235" s="495">
        <v>0</v>
      </c>
      <c r="V235" s="490">
        <v>0</v>
      </c>
      <c r="W235" s="495">
        <v>0</v>
      </c>
      <c r="X235" s="495">
        <v>0</v>
      </c>
      <c r="Y235" s="490">
        <v>372.43</v>
      </c>
      <c r="Z235" s="490">
        <v>0</v>
      </c>
      <c r="AA235" s="490">
        <v>0</v>
      </c>
      <c r="AB235" s="490">
        <v>0</v>
      </c>
      <c r="AC235" s="490">
        <v>0</v>
      </c>
      <c r="AD235" s="490">
        <v>0</v>
      </c>
      <c r="AE235" s="490">
        <v>0</v>
      </c>
      <c r="AF235" s="339">
        <v>0</v>
      </c>
      <c r="AG235" s="339">
        <v>0</v>
      </c>
      <c r="AH235" s="496">
        <v>0</v>
      </c>
      <c r="AI235" s="490">
        <v>0</v>
      </c>
      <c r="AJ235" s="490">
        <v>0</v>
      </c>
      <c r="AK235" s="339">
        <v>0</v>
      </c>
      <c r="AL235" s="339">
        <v>0</v>
      </c>
      <c r="AM235" s="496">
        <v>0</v>
      </c>
      <c r="AN235" s="495">
        <v>0</v>
      </c>
      <c r="AO235" s="495">
        <v>0</v>
      </c>
      <c r="AP235" s="74"/>
      <c r="AQ235" s="303">
        <v>72707.540000000008</v>
      </c>
      <c r="AR235" s="303">
        <v>38955.869999999995</v>
      </c>
      <c r="AS235" s="552"/>
      <c r="AY235" s="67">
        <f t="shared" si="64"/>
        <v>0</v>
      </c>
      <c r="BA235" t="s">
        <v>882</v>
      </c>
      <c r="BB235" t="s">
        <v>491</v>
      </c>
      <c r="BC235" t="s">
        <v>1082</v>
      </c>
      <c r="BD235" s="491">
        <v>0.27050000000000002</v>
      </c>
      <c r="BE235" s="492">
        <v>0.27739999999999998</v>
      </c>
      <c r="BG235" s="510">
        <f t="shared" si="62"/>
        <v>0</v>
      </c>
      <c r="BH235" s="510">
        <f t="shared" si="63"/>
        <v>0</v>
      </c>
      <c r="BJ235" s="520">
        <f t="shared" si="65"/>
        <v>0</v>
      </c>
      <c r="BK235" s="520">
        <f t="shared" si="66"/>
        <v>0</v>
      </c>
      <c r="CB235" s="74"/>
      <c r="CC235" s="74"/>
      <c r="CD235" s="74"/>
      <c r="CE235" s="74"/>
      <c r="CF235" s="74"/>
    </row>
    <row r="236" spans="1:84">
      <c r="A236" s="283" t="s">
        <v>494</v>
      </c>
      <c r="B236" s="283" t="s">
        <v>493</v>
      </c>
      <c r="C236" s="286" t="str">
        <f>CONCATENATE(B236," ",A236," CHARTER")</f>
        <v>17910 RAINIER VALLEY LEADERSHIP ACADEMY CHARTER</v>
      </c>
      <c r="D236" s="490">
        <v>0</v>
      </c>
      <c r="E236" s="490">
        <v>0</v>
      </c>
      <c r="F236" s="490">
        <v>0</v>
      </c>
      <c r="G236" s="490">
        <v>250200.01</v>
      </c>
      <c r="H236" s="490">
        <v>39285.22</v>
      </c>
      <c r="I236" s="490">
        <v>51072.54</v>
      </c>
      <c r="J236" s="490">
        <v>87003.58</v>
      </c>
      <c r="K236" s="490">
        <v>29871.119999999999</v>
      </c>
      <c r="L236" s="490">
        <v>5167.33</v>
      </c>
      <c r="M236" s="490">
        <v>0</v>
      </c>
      <c r="N236" s="300">
        <v>0</v>
      </c>
      <c r="O236" s="492">
        <v>0.55630000000000002</v>
      </c>
      <c r="P236" s="490">
        <v>0</v>
      </c>
      <c r="Q236" s="493">
        <v>0</v>
      </c>
      <c r="R236" s="493">
        <v>0</v>
      </c>
      <c r="S236" s="494">
        <v>0</v>
      </c>
      <c r="T236" s="495">
        <v>0</v>
      </c>
      <c r="U236" s="495">
        <v>0</v>
      </c>
      <c r="V236" s="490">
        <v>0</v>
      </c>
      <c r="W236" s="495">
        <v>0</v>
      </c>
      <c r="X236" s="495">
        <v>0</v>
      </c>
      <c r="Y236" s="490">
        <v>0</v>
      </c>
      <c r="Z236" s="490">
        <v>0</v>
      </c>
      <c r="AA236" s="490">
        <v>0</v>
      </c>
      <c r="AB236" s="490">
        <v>2635.62</v>
      </c>
      <c r="AC236" s="490">
        <v>86621.79</v>
      </c>
      <c r="AD236" s="490">
        <v>7.8</v>
      </c>
      <c r="AE236" s="490">
        <v>77440.73</v>
      </c>
      <c r="AF236" s="339">
        <v>9928.2987179487172</v>
      </c>
      <c r="AG236" s="339">
        <v>11105.357692307693</v>
      </c>
      <c r="AH236" s="496">
        <v>1177.06</v>
      </c>
      <c r="AI236" s="490">
        <v>0.25</v>
      </c>
      <c r="AJ236" s="490">
        <v>2597.89</v>
      </c>
      <c r="AK236" s="339">
        <v>10391.56</v>
      </c>
      <c r="AL236" s="339">
        <v>10542.48</v>
      </c>
      <c r="AM236" s="496">
        <v>150.91999999999999</v>
      </c>
      <c r="AN236" s="495">
        <v>0</v>
      </c>
      <c r="AO236" s="495">
        <v>0</v>
      </c>
      <c r="AP236" s="74"/>
      <c r="AQ236" s="303">
        <v>68895.930000000008</v>
      </c>
      <c r="AR236" s="303">
        <v>30116.37</v>
      </c>
      <c r="AS236" s="552"/>
      <c r="AY236" s="67">
        <f t="shared" si="64"/>
        <v>0</v>
      </c>
      <c r="BA236" t="s">
        <v>882</v>
      </c>
      <c r="BB236" s="509" t="s">
        <v>493</v>
      </c>
      <c r="BC236" t="s">
        <v>1083</v>
      </c>
      <c r="BD236" s="491">
        <v>0</v>
      </c>
      <c r="BE236" s="492">
        <v>0.55630000000000002</v>
      </c>
      <c r="BG236" s="510">
        <f t="shared" si="62"/>
        <v>0</v>
      </c>
      <c r="BH236" s="510">
        <f t="shared" si="63"/>
        <v>0</v>
      </c>
      <c r="BJ236" s="520">
        <f t="shared" si="65"/>
        <v>0</v>
      </c>
      <c r="BK236" s="520">
        <f t="shared" si="66"/>
        <v>0</v>
      </c>
      <c r="CB236" s="74"/>
      <c r="CC236" s="74"/>
      <c r="CD236" s="74"/>
      <c r="CE236" s="74"/>
      <c r="CF236" s="74"/>
    </row>
    <row r="237" spans="1:84">
      <c r="A237" s="283" t="s">
        <v>496</v>
      </c>
      <c r="B237" s="283" t="s">
        <v>495</v>
      </c>
      <c r="C237" s="283" t="str">
        <f t="shared" ref="C237:C270" si="68">CONCATENATE(B237," ",A237," SCHOOL DISTRICT")</f>
        <v>25116 RAYMOND SCHOOL DISTRICT</v>
      </c>
      <c r="D237" s="490">
        <v>0</v>
      </c>
      <c r="E237" s="490">
        <v>0</v>
      </c>
      <c r="F237" s="490">
        <v>0</v>
      </c>
      <c r="G237" s="490">
        <v>797017.69</v>
      </c>
      <c r="H237" s="490">
        <v>119743.46</v>
      </c>
      <c r="I237" s="490">
        <v>147320.82999999999</v>
      </c>
      <c r="J237" s="490">
        <v>230851.12</v>
      </c>
      <c r="K237" s="490">
        <v>83701.72</v>
      </c>
      <c r="L237" s="490">
        <v>14337.28</v>
      </c>
      <c r="M237" s="490">
        <v>508881.28</v>
      </c>
      <c r="N237" s="300">
        <v>3.1600000000000003E-2</v>
      </c>
      <c r="O237" s="492">
        <v>0.2044</v>
      </c>
      <c r="P237" s="490">
        <v>0</v>
      </c>
      <c r="Q237" s="493">
        <v>0</v>
      </c>
      <c r="R237" s="493">
        <v>0</v>
      </c>
      <c r="S237" s="494">
        <v>0</v>
      </c>
      <c r="T237" s="495">
        <v>0</v>
      </c>
      <c r="U237" s="495">
        <v>0</v>
      </c>
      <c r="V237" s="490">
        <v>0</v>
      </c>
      <c r="W237" s="495">
        <v>0</v>
      </c>
      <c r="X237" s="495">
        <v>0</v>
      </c>
      <c r="Y237" s="490">
        <v>0</v>
      </c>
      <c r="Z237" s="490">
        <v>0</v>
      </c>
      <c r="AA237" s="490">
        <v>0</v>
      </c>
      <c r="AB237" s="490">
        <v>0</v>
      </c>
      <c r="AC237" s="490">
        <v>315592.31</v>
      </c>
      <c r="AD237" s="490">
        <v>34.42</v>
      </c>
      <c r="AE237" s="490">
        <v>304555.19</v>
      </c>
      <c r="AF237" s="339">
        <v>8848.20424171993</v>
      </c>
      <c r="AG237" s="339">
        <v>9168.8643230679827</v>
      </c>
      <c r="AH237" s="496">
        <v>320.66000000000003</v>
      </c>
      <c r="AI237" s="490">
        <v>0</v>
      </c>
      <c r="AJ237" s="490">
        <v>0</v>
      </c>
      <c r="AK237" s="339">
        <v>0</v>
      </c>
      <c r="AL237" s="339">
        <v>0</v>
      </c>
      <c r="AM237" s="496">
        <v>0</v>
      </c>
      <c r="AN237" s="495">
        <v>0</v>
      </c>
      <c r="AO237" s="495">
        <v>0</v>
      </c>
      <c r="AP237" s="74"/>
      <c r="AQ237" s="303">
        <v>51873.209999999992</v>
      </c>
      <c r="AR237" s="303">
        <v>56743.68</v>
      </c>
      <c r="AS237" s="552"/>
      <c r="AY237" s="67">
        <f t="shared" si="64"/>
        <v>0</v>
      </c>
      <c r="BA237" t="s">
        <v>845</v>
      </c>
      <c r="BB237" t="s">
        <v>495</v>
      </c>
      <c r="BC237" t="s">
        <v>1084</v>
      </c>
      <c r="BD237" s="491">
        <v>3.1600000000000003E-2</v>
      </c>
      <c r="BE237" s="492">
        <v>0.2044</v>
      </c>
      <c r="BG237" s="510">
        <f t="shared" si="62"/>
        <v>0</v>
      </c>
      <c r="BH237" s="510">
        <f t="shared" si="63"/>
        <v>0</v>
      </c>
      <c r="BJ237" s="520">
        <f t="shared" si="65"/>
        <v>0</v>
      </c>
      <c r="BK237" s="520">
        <f t="shared" si="66"/>
        <v>0</v>
      </c>
      <c r="CB237" s="74"/>
      <c r="CC237" s="74"/>
      <c r="CD237" s="74"/>
      <c r="CE237" s="74"/>
      <c r="CF237" s="74"/>
    </row>
    <row r="238" spans="1:84">
      <c r="A238" s="283" t="s">
        <v>498</v>
      </c>
      <c r="B238" s="283" t="s">
        <v>497</v>
      </c>
      <c r="C238" s="283" t="str">
        <f t="shared" si="68"/>
        <v>22009 REARDAN SCHOOL DISTRICT</v>
      </c>
      <c r="D238" s="490">
        <v>0</v>
      </c>
      <c r="E238" s="490">
        <v>0</v>
      </c>
      <c r="F238" s="490">
        <v>0</v>
      </c>
      <c r="G238" s="490">
        <v>879644.82</v>
      </c>
      <c r="H238" s="490">
        <v>161900.81</v>
      </c>
      <c r="I238" s="490">
        <v>0</v>
      </c>
      <c r="J238" s="490">
        <v>223474.68</v>
      </c>
      <c r="K238" s="490">
        <v>10411.68</v>
      </c>
      <c r="L238" s="490">
        <v>21298.15</v>
      </c>
      <c r="M238" s="490">
        <v>991197.12</v>
      </c>
      <c r="N238" s="300">
        <v>5.8700000000000002E-2</v>
      </c>
      <c r="O238" s="492">
        <v>0.26400000000000001</v>
      </c>
      <c r="P238" s="490">
        <v>0</v>
      </c>
      <c r="Q238" s="493">
        <v>0</v>
      </c>
      <c r="R238" s="493">
        <v>0</v>
      </c>
      <c r="S238" s="494">
        <v>0</v>
      </c>
      <c r="T238" s="495">
        <v>0</v>
      </c>
      <c r="U238" s="495">
        <v>0</v>
      </c>
      <c r="V238" s="490">
        <v>0</v>
      </c>
      <c r="W238" s="495">
        <v>0</v>
      </c>
      <c r="X238" s="495">
        <v>0</v>
      </c>
      <c r="Y238" s="490">
        <v>0</v>
      </c>
      <c r="Z238" s="490">
        <v>0</v>
      </c>
      <c r="AA238" s="490">
        <v>0</v>
      </c>
      <c r="AB238" s="490">
        <v>97708.23</v>
      </c>
      <c r="AC238" s="490">
        <v>331055.77</v>
      </c>
      <c r="AD238" s="490">
        <v>35.659999999999997</v>
      </c>
      <c r="AE238" s="490">
        <v>315613.18</v>
      </c>
      <c r="AF238" s="339">
        <v>8850.6219854178362</v>
      </c>
      <c r="AG238" s="339">
        <v>9283.6727425687059</v>
      </c>
      <c r="AH238" s="496">
        <v>433.05</v>
      </c>
      <c r="AI238" s="490">
        <v>10.65</v>
      </c>
      <c r="AJ238" s="490">
        <v>91941.63</v>
      </c>
      <c r="AK238" s="339">
        <v>8633.0169014084513</v>
      </c>
      <c r="AL238" s="339">
        <v>9174.4816901408449</v>
      </c>
      <c r="AM238" s="496">
        <v>541.46</v>
      </c>
      <c r="AN238" s="495">
        <v>145.22999999999999</v>
      </c>
      <c r="AO238" s="495">
        <v>0</v>
      </c>
      <c r="AP238" s="74"/>
      <c r="AQ238" s="303">
        <v>0</v>
      </c>
      <c r="AR238" s="303">
        <v>66277.47</v>
      </c>
      <c r="AS238" s="552">
        <v>32075.65</v>
      </c>
      <c r="AY238" s="67">
        <f t="shared" si="64"/>
        <v>0</v>
      </c>
      <c r="BA238" t="s">
        <v>848</v>
      </c>
      <c r="BB238" t="s">
        <v>497</v>
      </c>
      <c r="BC238" t="s">
        <v>1085</v>
      </c>
      <c r="BD238" s="491">
        <v>5.8700000000000002E-2</v>
      </c>
      <c r="BE238" s="492">
        <v>0.26400000000000001</v>
      </c>
      <c r="BG238" s="510">
        <f t="shared" si="62"/>
        <v>0</v>
      </c>
      <c r="BH238" s="510">
        <f t="shared" si="63"/>
        <v>0</v>
      </c>
      <c r="BJ238" s="520">
        <f t="shared" si="65"/>
        <v>0</v>
      </c>
      <c r="BK238" s="520">
        <f t="shared" si="66"/>
        <v>0</v>
      </c>
      <c r="CB238" s="74"/>
      <c r="CC238" s="74"/>
      <c r="CD238" s="74"/>
      <c r="CE238" s="74"/>
      <c r="CF238" s="74"/>
    </row>
    <row r="239" spans="1:84">
      <c r="A239" s="283" t="s">
        <v>500</v>
      </c>
      <c r="B239" s="283" t="s">
        <v>499</v>
      </c>
      <c r="C239" s="283" t="str">
        <f t="shared" si="68"/>
        <v>17403 RENTON SCHOOL DISTRICT</v>
      </c>
      <c r="D239" s="490">
        <v>0</v>
      </c>
      <c r="E239" s="490">
        <v>516763.83</v>
      </c>
      <c r="F239" s="490">
        <v>246495.72</v>
      </c>
      <c r="G239" s="490">
        <v>32046498.760000002</v>
      </c>
      <c r="H239" s="490">
        <v>5472201.9199999999</v>
      </c>
      <c r="I239" s="490">
        <v>2581626.7200000002</v>
      </c>
      <c r="J239" s="490">
        <v>5976448.4699999997</v>
      </c>
      <c r="K239" s="490">
        <v>6565626.3899999997</v>
      </c>
      <c r="L239" s="490">
        <v>496785.6</v>
      </c>
      <c r="M239" s="490">
        <v>9166274.0700000003</v>
      </c>
      <c r="N239" s="300">
        <v>3.0300000000000001E-2</v>
      </c>
      <c r="O239" s="492">
        <v>0.12909999999999999</v>
      </c>
      <c r="P239" s="490">
        <v>0</v>
      </c>
      <c r="Q239" s="493">
        <v>0</v>
      </c>
      <c r="R239" s="493">
        <v>0</v>
      </c>
      <c r="S239" s="494">
        <v>0</v>
      </c>
      <c r="T239" s="495">
        <v>0</v>
      </c>
      <c r="U239" s="495">
        <v>0</v>
      </c>
      <c r="V239" s="490">
        <v>0</v>
      </c>
      <c r="W239" s="495">
        <v>0</v>
      </c>
      <c r="X239" s="495">
        <v>0</v>
      </c>
      <c r="Y239" s="490">
        <v>10440.469999999999</v>
      </c>
      <c r="Z239" s="490">
        <v>128359.05</v>
      </c>
      <c r="AA239" s="490">
        <v>345036.1</v>
      </c>
      <c r="AB239" s="490">
        <v>1899987.56</v>
      </c>
      <c r="AC239" s="490">
        <v>15456261.48</v>
      </c>
      <c r="AD239" s="490">
        <v>1436.74</v>
      </c>
      <c r="AE239" s="490">
        <v>14284098.09</v>
      </c>
      <c r="AF239" s="339">
        <v>9942.0201915447469</v>
      </c>
      <c r="AG239" s="339">
        <v>10757.86953798182</v>
      </c>
      <c r="AH239" s="496">
        <v>815.85</v>
      </c>
      <c r="AI239" s="490">
        <v>184.04</v>
      </c>
      <c r="AJ239" s="490">
        <v>1789218.16</v>
      </c>
      <c r="AK239" s="339">
        <v>9721.8982829819597</v>
      </c>
      <c r="AL239" s="339">
        <v>10323.775048902413</v>
      </c>
      <c r="AM239" s="496">
        <v>601.88</v>
      </c>
      <c r="AN239" s="495">
        <v>0</v>
      </c>
      <c r="AO239" s="495">
        <v>0</v>
      </c>
      <c r="AP239" s="74"/>
      <c r="AQ239" s="303">
        <v>0</v>
      </c>
      <c r="AR239" s="303">
        <v>1837865.79</v>
      </c>
      <c r="AS239" s="552">
        <v>455202.03</v>
      </c>
      <c r="AY239" s="67">
        <f t="shared" si="64"/>
        <v>0</v>
      </c>
      <c r="BA239" t="s">
        <v>856</v>
      </c>
      <c r="BB239" t="s">
        <v>499</v>
      </c>
      <c r="BC239" t="s">
        <v>1086</v>
      </c>
      <c r="BD239" s="491">
        <v>3.0300000000000001E-2</v>
      </c>
      <c r="BE239" s="492">
        <v>0.12909999999999999</v>
      </c>
      <c r="BG239" s="510">
        <f t="shared" si="62"/>
        <v>0</v>
      </c>
      <c r="BH239" s="510">
        <f t="shared" si="63"/>
        <v>0</v>
      </c>
      <c r="BJ239" s="520">
        <f t="shared" si="65"/>
        <v>0</v>
      </c>
      <c r="BK239" s="520">
        <f t="shared" si="66"/>
        <v>0</v>
      </c>
      <c r="CB239" s="74"/>
      <c r="CC239" s="74"/>
      <c r="CD239" s="74"/>
      <c r="CE239" s="74"/>
      <c r="CF239" s="74"/>
    </row>
    <row r="240" spans="1:84">
      <c r="A240" s="283" t="s">
        <v>502</v>
      </c>
      <c r="B240" s="283" t="s">
        <v>501</v>
      </c>
      <c r="C240" s="283" t="str">
        <f t="shared" si="68"/>
        <v>10309 REPUBLIC SCHOOL DISTRICT</v>
      </c>
      <c r="D240" s="490">
        <v>0</v>
      </c>
      <c r="E240" s="490">
        <v>886.94</v>
      </c>
      <c r="F240" s="490">
        <v>7318.26</v>
      </c>
      <c r="G240" s="490">
        <v>711933.02</v>
      </c>
      <c r="H240" s="490">
        <v>101120.39</v>
      </c>
      <c r="I240" s="490">
        <v>103790.2</v>
      </c>
      <c r="J240" s="490">
        <v>158010.54</v>
      </c>
      <c r="K240" s="490">
        <v>0</v>
      </c>
      <c r="L240" s="490">
        <v>13000.19</v>
      </c>
      <c r="M240" s="490">
        <v>406131.54</v>
      </c>
      <c r="N240" s="300">
        <v>0.12720000000000001</v>
      </c>
      <c r="O240" s="492">
        <v>0.2772</v>
      </c>
      <c r="P240" s="490">
        <v>0</v>
      </c>
      <c r="Q240" s="493">
        <v>0</v>
      </c>
      <c r="R240" s="493">
        <v>0</v>
      </c>
      <c r="S240" s="494">
        <v>0</v>
      </c>
      <c r="T240" s="495">
        <v>0</v>
      </c>
      <c r="U240" s="495">
        <v>0</v>
      </c>
      <c r="V240" s="490">
        <v>0</v>
      </c>
      <c r="W240" s="495">
        <v>0</v>
      </c>
      <c r="X240" s="495">
        <v>0</v>
      </c>
      <c r="Y240" s="490">
        <v>0</v>
      </c>
      <c r="Z240" s="490">
        <v>0</v>
      </c>
      <c r="AA240" s="490">
        <v>0</v>
      </c>
      <c r="AB240" s="490">
        <v>0</v>
      </c>
      <c r="AC240" s="490">
        <v>69278.69</v>
      </c>
      <c r="AD240" s="490">
        <v>6.81</v>
      </c>
      <c r="AE240" s="490">
        <v>60706.13</v>
      </c>
      <c r="AF240" s="339">
        <v>8914.2628487518359</v>
      </c>
      <c r="AG240" s="339">
        <v>10173.082232011748</v>
      </c>
      <c r="AH240" s="496">
        <v>1258.82</v>
      </c>
      <c r="AI240" s="490">
        <v>0</v>
      </c>
      <c r="AJ240" s="490">
        <v>0</v>
      </c>
      <c r="AK240" s="339">
        <v>0</v>
      </c>
      <c r="AL240" s="339">
        <v>0</v>
      </c>
      <c r="AM240" s="496">
        <v>0</v>
      </c>
      <c r="AN240" s="495">
        <v>3914.19</v>
      </c>
      <c r="AO240" s="495">
        <v>0</v>
      </c>
      <c r="AP240" s="74"/>
      <c r="AQ240" s="303">
        <v>91833.409999999989</v>
      </c>
      <c r="AR240" s="303">
        <v>44412.439999999995</v>
      </c>
      <c r="AS240" s="552">
        <v>19672.62</v>
      </c>
      <c r="AY240" s="67">
        <f t="shared" si="64"/>
        <v>0</v>
      </c>
      <c r="BA240" t="s">
        <v>848</v>
      </c>
      <c r="BB240" t="s">
        <v>501</v>
      </c>
      <c r="BC240" t="s">
        <v>1087</v>
      </c>
      <c r="BD240" s="491">
        <v>0.12720000000000001</v>
      </c>
      <c r="BE240" s="492">
        <v>0.2772</v>
      </c>
      <c r="BG240" s="510">
        <f t="shared" si="62"/>
        <v>0</v>
      </c>
      <c r="BH240" s="510">
        <f t="shared" si="63"/>
        <v>0</v>
      </c>
      <c r="BJ240" s="520">
        <f t="shared" si="65"/>
        <v>0</v>
      </c>
      <c r="BK240" s="520">
        <f t="shared" si="66"/>
        <v>0</v>
      </c>
      <c r="CB240" s="74"/>
      <c r="CC240" s="74"/>
      <c r="CD240" s="74"/>
      <c r="CE240" s="74"/>
      <c r="CF240" s="74"/>
    </row>
    <row r="241" spans="1:84">
      <c r="A241" s="283" t="s">
        <v>504</v>
      </c>
      <c r="B241" s="283" t="s">
        <v>503</v>
      </c>
      <c r="C241" s="283" t="str">
        <f t="shared" si="68"/>
        <v>03400 RICHLAND SCHOOL DISTRICT</v>
      </c>
      <c r="D241" s="490">
        <v>0</v>
      </c>
      <c r="E241" s="490">
        <v>326810</v>
      </c>
      <c r="F241" s="490">
        <v>77784.44</v>
      </c>
      <c r="G241" s="490">
        <v>23964737.539999999</v>
      </c>
      <c r="H241" s="490">
        <v>4627331.09</v>
      </c>
      <c r="I241" s="490">
        <v>768534.27</v>
      </c>
      <c r="J241" s="490">
        <v>3778995.19</v>
      </c>
      <c r="K241" s="490">
        <v>1527852.59</v>
      </c>
      <c r="L241" s="490">
        <v>418052.33</v>
      </c>
      <c r="M241" s="490">
        <v>5536306.29</v>
      </c>
      <c r="N241" s="300">
        <v>4.0800000000000003E-2</v>
      </c>
      <c r="O241" s="492">
        <v>0.14829999999999999</v>
      </c>
      <c r="P241" s="490">
        <v>0</v>
      </c>
      <c r="Q241" s="493">
        <v>0</v>
      </c>
      <c r="R241" s="493">
        <v>0</v>
      </c>
      <c r="S241" s="494">
        <v>150986.04</v>
      </c>
      <c r="T241" s="495">
        <v>14528.808000000003</v>
      </c>
      <c r="U241" s="495">
        <v>5776.58</v>
      </c>
      <c r="V241" s="490">
        <v>0</v>
      </c>
      <c r="W241" s="495">
        <v>0</v>
      </c>
      <c r="X241" s="495">
        <v>0</v>
      </c>
      <c r="Y241" s="490">
        <v>2055.66</v>
      </c>
      <c r="Z241" s="490">
        <v>0</v>
      </c>
      <c r="AA241" s="490">
        <v>235064.98</v>
      </c>
      <c r="AB241" s="490">
        <v>1261191.24</v>
      </c>
      <c r="AC241" s="490">
        <v>7836137.5800000001</v>
      </c>
      <c r="AD241" s="490">
        <v>816.52</v>
      </c>
      <c r="AE241" s="490">
        <v>7298837.7800000003</v>
      </c>
      <c r="AF241" s="339">
        <v>8938.9577475138394</v>
      </c>
      <c r="AG241" s="339">
        <v>9596.9940479106463</v>
      </c>
      <c r="AH241" s="496">
        <v>658.04</v>
      </c>
      <c r="AI241" s="490">
        <v>136.13</v>
      </c>
      <c r="AJ241" s="490">
        <v>1187255.31</v>
      </c>
      <c r="AK241" s="339">
        <v>8721.4817453904361</v>
      </c>
      <c r="AL241" s="339">
        <v>9264.6091236318225</v>
      </c>
      <c r="AM241" s="496">
        <v>543.13</v>
      </c>
      <c r="AN241" s="495">
        <v>0</v>
      </c>
      <c r="AO241" s="495">
        <v>0</v>
      </c>
      <c r="AP241" s="74"/>
      <c r="AQ241" s="303">
        <v>271697.24999999977</v>
      </c>
      <c r="AR241" s="303">
        <v>1323639.52</v>
      </c>
      <c r="AS241" s="552">
        <v>413548.74</v>
      </c>
      <c r="AY241" s="67">
        <f t="shared" si="64"/>
        <v>0</v>
      </c>
      <c r="BA241" t="s">
        <v>854</v>
      </c>
      <c r="BB241" t="s">
        <v>503</v>
      </c>
      <c r="BC241" t="s">
        <v>1088</v>
      </c>
      <c r="BD241" s="491">
        <v>4.0800000000000003E-2</v>
      </c>
      <c r="BE241" s="492">
        <v>0.14829999999999999</v>
      </c>
      <c r="BG241" s="510">
        <f t="shared" si="62"/>
        <v>0</v>
      </c>
      <c r="BH241" s="510">
        <f t="shared" si="63"/>
        <v>0</v>
      </c>
      <c r="BJ241" s="520">
        <f t="shared" si="65"/>
        <v>0</v>
      </c>
      <c r="BK241" s="520">
        <f t="shared" si="66"/>
        <v>0</v>
      </c>
      <c r="CB241" s="74"/>
      <c r="CC241" s="74"/>
      <c r="CD241" s="74"/>
      <c r="CE241" s="74"/>
      <c r="CF241" s="74"/>
    </row>
    <row r="242" spans="1:84">
      <c r="A242" s="283" t="s">
        <v>506</v>
      </c>
      <c r="B242" s="283" t="s">
        <v>505</v>
      </c>
      <c r="C242" s="283" t="str">
        <f t="shared" si="68"/>
        <v>06122 RIDGEFIELD SCHOOL DISTRICT</v>
      </c>
      <c r="D242" s="490">
        <v>0</v>
      </c>
      <c r="E242" s="490">
        <v>28031.41</v>
      </c>
      <c r="F242" s="490">
        <v>0</v>
      </c>
      <c r="G242" s="490">
        <v>6266179.4000000004</v>
      </c>
      <c r="H242" s="490">
        <v>781637.43</v>
      </c>
      <c r="I242" s="490">
        <v>0</v>
      </c>
      <c r="J242" s="490">
        <v>669470.49</v>
      </c>
      <c r="K242" s="490">
        <v>294507.44</v>
      </c>
      <c r="L242" s="490">
        <v>127247.5</v>
      </c>
      <c r="M242" s="490">
        <v>0</v>
      </c>
      <c r="N242" s="300">
        <v>4.7600000000000003E-2</v>
      </c>
      <c r="O242" s="492">
        <v>0.17130000000000001</v>
      </c>
      <c r="P242" s="490">
        <v>0</v>
      </c>
      <c r="Q242" s="493">
        <v>0</v>
      </c>
      <c r="R242" s="493">
        <v>0</v>
      </c>
      <c r="S242" s="494">
        <v>0</v>
      </c>
      <c r="T242" s="495">
        <v>0</v>
      </c>
      <c r="U242" s="495">
        <v>0</v>
      </c>
      <c r="V242" s="490">
        <v>0</v>
      </c>
      <c r="W242" s="495">
        <v>0</v>
      </c>
      <c r="X242" s="495">
        <v>0</v>
      </c>
      <c r="Y242" s="490">
        <v>4474.8100000000004</v>
      </c>
      <c r="Z242" s="490">
        <v>0</v>
      </c>
      <c r="AA242" s="490">
        <v>0</v>
      </c>
      <c r="AB242" s="490">
        <v>571382.63</v>
      </c>
      <c r="AC242" s="490">
        <v>2002155.04</v>
      </c>
      <c r="AD242" s="490">
        <v>208.6</v>
      </c>
      <c r="AE242" s="490">
        <v>1921635.5</v>
      </c>
      <c r="AF242" s="339">
        <v>9212.0589645254076</v>
      </c>
      <c r="AG242" s="339">
        <v>9598.0586768935773</v>
      </c>
      <c r="AH242" s="496">
        <v>386</v>
      </c>
      <c r="AI242" s="490">
        <v>59.82</v>
      </c>
      <c r="AJ242" s="490">
        <v>538019.28</v>
      </c>
      <c r="AK242" s="339">
        <v>8993.9699097291887</v>
      </c>
      <c r="AL242" s="339">
        <v>9551.6989301237045</v>
      </c>
      <c r="AM242" s="496">
        <v>557.73</v>
      </c>
      <c r="AN242" s="495">
        <v>0</v>
      </c>
      <c r="AO242" s="495">
        <v>11593.02</v>
      </c>
      <c r="AP242" s="74"/>
      <c r="AQ242" s="303">
        <v>30294.170000000158</v>
      </c>
      <c r="AR242" s="303">
        <v>406704.52</v>
      </c>
      <c r="AS242" s="552">
        <v>119448.76000000001</v>
      </c>
      <c r="AY242" s="67">
        <f t="shared" si="64"/>
        <v>0</v>
      </c>
      <c r="BA242" t="s">
        <v>859</v>
      </c>
      <c r="BB242" t="s">
        <v>505</v>
      </c>
      <c r="BC242" t="s">
        <v>1089</v>
      </c>
      <c r="BD242" s="491">
        <v>4.7600000000000003E-2</v>
      </c>
      <c r="BE242" s="492">
        <v>0.17130000000000001</v>
      </c>
      <c r="BG242" s="510">
        <f t="shared" si="62"/>
        <v>0</v>
      </c>
      <c r="BH242" s="510">
        <f t="shared" si="63"/>
        <v>0</v>
      </c>
      <c r="BJ242" s="520">
        <f t="shared" si="65"/>
        <v>0</v>
      </c>
      <c r="BK242" s="520">
        <f t="shared" si="66"/>
        <v>0</v>
      </c>
      <c r="CB242" s="74"/>
      <c r="CC242" s="74"/>
      <c r="CD242" s="74"/>
      <c r="CE242" s="74"/>
      <c r="CF242" s="74"/>
    </row>
    <row r="243" spans="1:84">
      <c r="A243" s="283" t="s">
        <v>508</v>
      </c>
      <c r="B243" s="283" t="s">
        <v>507</v>
      </c>
      <c r="C243" s="283" t="str">
        <f t="shared" si="68"/>
        <v>01160 RITZVILLE SCHOOL DISTRICT</v>
      </c>
      <c r="D243" s="490">
        <v>0</v>
      </c>
      <c r="E243" s="490">
        <v>0</v>
      </c>
      <c r="F243" s="490">
        <v>963.07</v>
      </c>
      <c r="G243" s="490">
        <v>465486.27</v>
      </c>
      <c r="H243" s="490">
        <v>43402.19</v>
      </c>
      <c r="I243" s="490">
        <v>48478.87</v>
      </c>
      <c r="J243" s="490">
        <v>109749.29</v>
      </c>
      <c r="K243" s="490">
        <v>0</v>
      </c>
      <c r="L243" s="490">
        <v>11931.61</v>
      </c>
      <c r="M243" s="490">
        <v>0</v>
      </c>
      <c r="N243" s="300">
        <v>5.7000000000000002E-2</v>
      </c>
      <c r="O243" s="492">
        <v>0.25059999999999999</v>
      </c>
      <c r="P243" s="490">
        <v>0</v>
      </c>
      <c r="Q243" s="493">
        <v>0</v>
      </c>
      <c r="R243" s="493">
        <v>0</v>
      </c>
      <c r="S243" s="494">
        <v>0</v>
      </c>
      <c r="T243" s="495">
        <v>0</v>
      </c>
      <c r="U243" s="495">
        <v>0</v>
      </c>
      <c r="V243" s="490">
        <v>0</v>
      </c>
      <c r="W243" s="495">
        <v>0</v>
      </c>
      <c r="X243" s="495">
        <v>0</v>
      </c>
      <c r="Y243" s="490">
        <v>0</v>
      </c>
      <c r="Z243" s="490">
        <v>0</v>
      </c>
      <c r="AA243" s="490">
        <v>0</v>
      </c>
      <c r="AB243" s="490">
        <v>105276.19</v>
      </c>
      <c r="AC243" s="490">
        <v>299909.52</v>
      </c>
      <c r="AD243" s="490">
        <v>30.9</v>
      </c>
      <c r="AE243" s="490">
        <v>278746.5</v>
      </c>
      <c r="AF243" s="339">
        <v>9020.922330097088</v>
      </c>
      <c r="AG243" s="339">
        <v>9705.8097087378646</v>
      </c>
      <c r="AH243" s="496">
        <v>684.89</v>
      </c>
      <c r="AI243" s="490">
        <v>11.25</v>
      </c>
      <c r="AJ243" s="490">
        <v>99057.91</v>
      </c>
      <c r="AK243" s="339">
        <v>8805.1475555555553</v>
      </c>
      <c r="AL243" s="339">
        <v>9357.8835555555561</v>
      </c>
      <c r="AM243" s="496">
        <v>552.74</v>
      </c>
      <c r="AN243" s="495">
        <v>743.99</v>
      </c>
      <c r="AO243" s="495">
        <v>0</v>
      </c>
      <c r="AP243" s="74"/>
      <c r="AQ243" s="303">
        <v>12258.720000000001</v>
      </c>
      <c r="AR243" s="303">
        <v>43568.930000000008</v>
      </c>
      <c r="AS243" s="552">
        <v>21299.239999999998</v>
      </c>
      <c r="AY243" s="67">
        <f t="shared" si="64"/>
        <v>0</v>
      </c>
      <c r="BA243" t="s">
        <v>848</v>
      </c>
      <c r="BB243" t="s">
        <v>507</v>
      </c>
      <c r="BC243" t="s">
        <v>1090</v>
      </c>
      <c r="BD243" s="491">
        <v>5.7000000000000002E-2</v>
      </c>
      <c r="BE243" s="492">
        <v>0.25059999999999999</v>
      </c>
      <c r="BG243" s="510">
        <f t="shared" si="62"/>
        <v>0</v>
      </c>
      <c r="BH243" s="510">
        <f t="shared" si="63"/>
        <v>0</v>
      </c>
      <c r="BJ243" s="520">
        <f t="shared" si="65"/>
        <v>0</v>
      </c>
      <c r="BK243" s="520">
        <f t="shared" si="66"/>
        <v>0</v>
      </c>
      <c r="CB243" s="74"/>
      <c r="CC243" s="74"/>
      <c r="CD243" s="74"/>
      <c r="CE243" s="74"/>
      <c r="CF243" s="74"/>
    </row>
    <row r="244" spans="1:84">
      <c r="A244" s="283" t="s">
        <v>510</v>
      </c>
      <c r="B244" s="283" t="s">
        <v>509</v>
      </c>
      <c r="C244" s="283" t="str">
        <f t="shared" si="68"/>
        <v>32416 RIVERSIDE SCHOOL DISTRICT</v>
      </c>
      <c r="D244" s="490">
        <v>0</v>
      </c>
      <c r="E244" s="490">
        <v>25485.19</v>
      </c>
      <c r="F244" s="490">
        <v>11607</v>
      </c>
      <c r="G244" s="490">
        <v>2273058.48</v>
      </c>
      <c r="H244" s="490">
        <v>430201.9</v>
      </c>
      <c r="I244" s="490">
        <v>287784.68</v>
      </c>
      <c r="J244" s="490">
        <v>519570.84</v>
      </c>
      <c r="K244" s="490">
        <v>19700.53</v>
      </c>
      <c r="L244" s="490">
        <v>44985.83</v>
      </c>
      <c r="M244" s="490">
        <v>1670665.71</v>
      </c>
      <c r="N244" s="300">
        <v>4.3099999999999999E-2</v>
      </c>
      <c r="O244" s="492">
        <v>0.21479999999999999</v>
      </c>
      <c r="P244" s="490">
        <v>0</v>
      </c>
      <c r="Q244" s="493">
        <v>0</v>
      </c>
      <c r="R244" s="493">
        <v>0</v>
      </c>
      <c r="S244" s="494">
        <v>0</v>
      </c>
      <c r="T244" s="495">
        <v>0</v>
      </c>
      <c r="U244" s="495">
        <v>0</v>
      </c>
      <c r="V244" s="490">
        <v>0</v>
      </c>
      <c r="W244" s="495">
        <v>0</v>
      </c>
      <c r="X244" s="495">
        <v>0</v>
      </c>
      <c r="Y244" s="490">
        <v>1795.07</v>
      </c>
      <c r="Z244" s="490">
        <v>0</v>
      </c>
      <c r="AA244" s="490">
        <v>0</v>
      </c>
      <c r="AB244" s="490">
        <v>420083.98</v>
      </c>
      <c r="AC244" s="490">
        <v>951906.05</v>
      </c>
      <c r="AD244" s="490">
        <v>100.07</v>
      </c>
      <c r="AE244" s="490">
        <v>885509.46</v>
      </c>
      <c r="AF244" s="339">
        <v>8848.9003697411808</v>
      </c>
      <c r="AG244" s="339">
        <v>9512.4018187268921</v>
      </c>
      <c r="AH244" s="496">
        <v>663.5</v>
      </c>
      <c r="AI244" s="490">
        <v>45.82</v>
      </c>
      <c r="AJ244" s="490">
        <v>395439.26</v>
      </c>
      <c r="AK244" s="339">
        <v>8630.2762985595818</v>
      </c>
      <c r="AL244" s="339">
        <v>9168.1357485814042</v>
      </c>
      <c r="AM244" s="496">
        <v>537.86</v>
      </c>
      <c r="AN244" s="495">
        <v>0</v>
      </c>
      <c r="AO244" s="495">
        <v>0</v>
      </c>
      <c r="AP244" s="74"/>
      <c r="AQ244" s="303">
        <v>8865.0899999999965</v>
      </c>
      <c r="AR244" s="303">
        <v>145480.27000000002</v>
      </c>
      <c r="AS244" s="552">
        <v>39444.410000000003</v>
      </c>
      <c r="AY244" s="67">
        <f t="shared" si="64"/>
        <v>0</v>
      </c>
      <c r="BA244" t="s">
        <v>848</v>
      </c>
      <c r="BB244" t="s">
        <v>509</v>
      </c>
      <c r="BC244" t="s">
        <v>1091</v>
      </c>
      <c r="BD244" s="491">
        <v>4.3099999999999999E-2</v>
      </c>
      <c r="BE244" s="492">
        <v>0.21479999999999999</v>
      </c>
      <c r="BG244" s="510">
        <f t="shared" si="62"/>
        <v>0</v>
      </c>
      <c r="BH244" s="510">
        <f t="shared" si="63"/>
        <v>0</v>
      </c>
      <c r="BJ244" s="520">
        <f t="shared" si="65"/>
        <v>0</v>
      </c>
      <c r="BK244" s="520">
        <f t="shared" si="66"/>
        <v>0</v>
      </c>
      <c r="CB244" s="74"/>
      <c r="CC244" s="74"/>
      <c r="CD244" s="74"/>
      <c r="CE244" s="74"/>
      <c r="CF244" s="74"/>
    </row>
    <row r="245" spans="1:84">
      <c r="A245" s="283" t="s">
        <v>512</v>
      </c>
      <c r="B245" s="283" t="s">
        <v>511</v>
      </c>
      <c r="C245" s="283" t="str">
        <f t="shared" si="68"/>
        <v>17407 RIVERVIEW SCHOOL DISTRICT</v>
      </c>
      <c r="D245" s="490">
        <v>0</v>
      </c>
      <c r="E245" s="490">
        <v>0</v>
      </c>
      <c r="F245" s="490">
        <v>0</v>
      </c>
      <c r="G245" s="490">
        <v>4634914.3899999997</v>
      </c>
      <c r="H245" s="490">
        <v>616787.54</v>
      </c>
      <c r="I245" s="490">
        <v>0</v>
      </c>
      <c r="J245" s="490">
        <v>358348.96</v>
      </c>
      <c r="K245" s="490">
        <v>398360.39</v>
      </c>
      <c r="L245" s="490">
        <v>105269.51</v>
      </c>
      <c r="M245" s="490">
        <v>2654338.66</v>
      </c>
      <c r="N245" s="300">
        <v>3.7499999999999999E-2</v>
      </c>
      <c r="O245" s="492">
        <v>0.15579999999999999</v>
      </c>
      <c r="P245" s="490">
        <v>0</v>
      </c>
      <c r="Q245" s="493">
        <v>0</v>
      </c>
      <c r="R245" s="493">
        <v>0</v>
      </c>
      <c r="S245" s="494">
        <v>0</v>
      </c>
      <c r="T245" s="495">
        <v>0</v>
      </c>
      <c r="U245" s="495">
        <v>0</v>
      </c>
      <c r="V245" s="490">
        <v>0</v>
      </c>
      <c r="W245" s="495">
        <v>0</v>
      </c>
      <c r="X245" s="495">
        <v>0</v>
      </c>
      <c r="Y245" s="490">
        <v>3416.78</v>
      </c>
      <c r="Z245" s="490">
        <v>0</v>
      </c>
      <c r="AA245" s="490">
        <v>0</v>
      </c>
      <c r="AB245" s="490">
        <v>208730.4</v>
      </c>
      <c r="AC245" s="490">
        <v>1845045.51</v>
      </c>
      <c r="AD245" s="490">
        <v>164.98</v>
      </c>
      <c r="AE245" s="490">
        <v>1640121.37</v>
      </c>
      <c r="AF245" s="339">
        <v>9941.3345253970183</v>
      </c>
      <c r="AG245" s="339">
        <v>11183.449569644807</v>
      </c>
      <c r="AH245" s="496">
        <v>1242.1199999999999</v>
      </c>
      <c r="AI245" s="490">
        <v>20.22</v>
      </c>
      <c r="AJ245" s="490">
        <v>196436.95</v>
      </c>
      <c r="AK245" s="339">
        <v>9714.9826904055408</v>
      </c>
      <c r="AL245" s="339">
        <v>10322.967359050446</v>
      </c>
      <c r="AM245" s="496">
        <v>607.98</v>
      </c>
      <c r="AN245" s="495">
        <v>0</v>
      </c>
      <c r="AO245" s="495">
        <v>0</v>
      </c>
      <c r="AP245" s="74"/>
      <c r="AQ245" s="303">
        <v>12555.900000000023</v>
      </c>
      <c r="AR245" s="303">
        <v>329214.7</v>
      </c>
      <c r="AS245" s="552">
        <v>104751.01999999999</v>
      </c>
      <c r="AY245" s="67">
        <f t="shared" si="64"/>
        <v>0</v>
      </c>
      <c r="BA245" t="s">
        <v>856</v>
      </c>
      <c r="BB245" t="s">
        <v>511</v>
      </c>
      <c r="BC245" t="s">
        <v>1092</v>
      </c>
      <c r="BD245" s="491">
        <v>3.7499999999999999E-2</v>
      </c>
      <c r="BE245" s="492">
        <v>0.15579999999999999</v>
      </c>
      <c r="BG245" s="510">
        <f t="shared" si="62"/>
        <v>0</v>
      </c>
      <c r="BH245" s="510">
        <f t="shared" si="63"/>
        <v>0</v>
      </c>
      <c r="BJ245" s="520">
        <f t="shared" si="65"/>
        <v>0</v>
      </c>
      <c r="BK245" s="520">
        <f t="shared" si="66"/>
        <v>0</v>
      </c>
      <c r="CB245" s="74"/>
      <c r="CC245" s="74"/>
      <c r="CD245" s="74"/>
      <c r="CE245" s="74"/>
      <c r="CF245" s="74"/>
    </row>
    <row r="246" spans="1:84">
      <c r="A246" s="283" t="s">
        <v>514</v>
      </c>
      <c r="B246" s="283" t="s">
        <v>513</v>
      </c>
      <c r="C246" s="283" t="str">
        <f t="shared" si="68"/>
        <v>34401 ROCHESTER SCHOOL DISTRICT</v>
      </c>
      <c r="D246" s="490">
        <v>0</v>
      </c>
      <c r="E246" s="490">
        <v>63420.88</v>
      </c>
      <c r="F246" s="490">
        <v>26176.959999999999</v>
      </c>
      <c r="G246" s="490">
        <v>4210854.0199999996</v>
      </c>
      <c r="H246" s="490">
        <v>559516.04</v>
      </c>
      <c r="I246" s="490">
        <v>469805.92</v>
      </c>
      <c r="J246" s="490">
        <v>813693.03</v>
      </c>
      <c r="K246" s="490">
        <v>359509.07</v>
      </c>
      <c r="L246" s="490">
        <v>62232.13</v>
      </c>
      <c r="M246" s="490">
        <v>2249154.98</v>
      </c>
      <c r="N246" s="300">
        <v>1.95E-2</v>
      </c>
      <c r="O246" s="492">
        <v>0.1348</v>
      </c>
      <c r="P246" s="490">
        <v>0</v>
      </c>
      <c r="Q246" s="493">
        <v>0</v>
      </c>
      <c r="R246" s="493">
        <v>0</v>
      </c>
      <c r="S246" s="494">
        <v>0</v>
      </c>
      <c r="T246" s="495">
        <v>0</v>
      </c>
      <c r="U246" s="495">
        <v>0</v>
      </c>
      <c r="V246" s="490">
        <v>0</v>
      </c>
      <c r="W246" s="495">
        <v>0</v>
      </c>
      <c r="X246" s="495">
        <v>0</v>
      </c>
      <c r="Y246" s="490">
        <v>2405.73</v>
      </c>
      <c r="Z246" s="490">
        <v>0</v>
      </c>
      <c r="AA246" s="490">
        <v>40055.64</v>
      </c>
      <c r="AB246" s="490">
        <v>0</v>
      </c>
      <c r="AC246" s="490">
        <v>1178300.49</v>
      </c>
      <c r="AD246" s="490">
        <v>122.04</v>
      </c>
      <c r="AE246" s="490">
        <v>1079777.58</v>
      </c>
      <c r="AF246" s="339">
        <v>8847.7350049164215</v>
      </c>
      <c r="AG246" s="339">
        <v>9655.0351524090456</v>
      </c>
      <c r="AH246" s="496">
        <v>807.3</v>
      </c>
      <c r="AI246" s="490">
        <v>0</v>
      </c>
      <c r="AJ246" s="490">
        <v>0</v>
      </c>
      <c r="AK246" s="339">
        <v>0</v>
      </c>
      <c r="AL246" s="339">
        <v>0</v>
      </c>
      <c r="AM246" s="496">
        <v>0</v>
      </c>
      <c r="AN246" s="495">
        <v>2986.12</v>
      </c>
      <c r="AO246" s="495">
        <v>3171.07</v>
      </c>
      <c r="AP246" s="74"/>
      <c r="AQ246" s="303">
        <v>12220.190000000031</v>
      </c>
      <c r="AR246" s="303">
        <v>221926.08000000002</v>
      </c>
      <c r="AS246" s="552">
        <v>72596.100000000006</v>
      </c>
      <c r="AY246" s="67">
        <f t="shared" si="64"/>
        <v>0</v>
      </c>
      <c r="BA246" t="s">
        <v>845</v>
      </c>
      <c r="BB246" t="s">
        <v>513</v>
      </c>
      <c r="BC246" t="s">
        <v>1093</v>
      </c>
      <c r="BD246" s="491">
        <v>1.95E-2</v>
      </c>
      <c r="BE246" s="492">
        <v>0.1348</v>
      </c>
      <c r="BG246" s="510">
        <f t="shared" si="62"/>
        <v>0</v>
      </c>
      <c r="BH246" s="510">
        <f t="shared" si="63"/>
        <v>0</v>
      </c>
      <c r="BJ246" s="520">
        <f t="shared" si="65"/>
        <v>0</v>
      </c>
      <c r="BK246" s="520">
        <f t="shared" si="66"/>
        <v>0</v>
      </c>
      <c r="CB246" s="74"/>
      <c r="CC246" s="74"/>
      <c r="CD246" s="74"/>
      <c r="CE246" s="74"/>
      <c r="CF246" s="74"/>
    </row>
    <row r="247" spans="1:84">
      <c r="A247" s="283" t="s">
        <v>518</v>
      </c>
      <c r="B247" s="283" t="s">
        <v>517</v>
      </c>
      <c r="C247" s="283" t="str">
        <f t="shared" si="68"/>
        <v>20403 ROOSEVELT SCHOOL DISTRICT</v>
      </c>
      <c r="D247" s="490">
        <v>0</v>
      </c>
      <c r="E247" s="490">
        <v>0</v>
      </c>
      <c r="F247" s="490">
        <v>0</v>
      </c>
      <c r="G247" s="490">
        <v>0</v>
      </c>
      <c r="H247" s="490">
        <v>0</v>
      </c>
      <c r="I247" s="490">
        <v>0</v>
      </c>
      <c r="J247" s="490">
        <v>0</v>
      </c>
      <c r="K247" s="490">
        <v>0</v>
      </c>
      <c r="L247" s="490">
        <v>0</v>
      </c>
      <c r="M247" s="490">
        <v>127945.59</v>
      </c>
      <c r="N247" s="300">
        <v>4.5100000000000001E-2</v>
      </c>
      <c r="O247" s="492">
        <v>0.21310000000000001</v>
      </c>
      <c r="P247" s="490">
        <v>0</v>
      </c>
      <c r="Q247" s="493">
        <v>0</v>
      </c>
      <c r="R247" s="493">
        <v>0</v>
      </c>
      <c r="S247" s="494">
        <v>0</v>
      </c>
      <c r="T247" s="495">
        <v>0</v>
      </c>
      <c r="U247" s="495">
        <v>0</v>
      </c>
      <c r="V247" s="490">
        <v>0</v>
      </c>
      <c r="W247" s="495">
        <v>0</v>
      </c>
      <c r="X247" s="495">
        <v>0</v>
      </c>
      <c r="Y247" s="490">
        <v>29.08</v>
      </c>
      <c r="Z247" s="490">
        <v>0</v>
      </c>
      <c r="AA247" s="490">
        <v>0</v>
      </c>
      <c r="AB247" s="490">
        <v>0</v>
      </c>
      <c r="AC247" s="490">
        <v>0</v>
      </c>
      <c r="AD247" s="490">
        <v>0</v>
      </c>
      <c r="AE247" s="490">
        <v>0</v>
      </c>
      <c r="AF247" s="339">
        <v>0</v>
      </c>
      <c r="AG247" s="339">
        <v>0</v>
      </c>
      <c r="AH247" s="496">
        <v>0</v>
      </c>
      <c r="AI247" s="490">
        <v>0</v>
      </c>
      <c r="AJ247" s="490">
        <v>0</v>
      </c>
      <c r="AK247" s="339">
        <v>0</v>
      </c>
      <c r="AL247" s="339">
        <v>0</v>
      </c>
      <c r="AM247" s="496">
        <v>0</v>
      </c>
      <c r="AN247" s="495">
        <v>0</v>
      </c>
      <c r="AO247" s="495">
        <v>0</v>
      </c>
      <c r="AP247" s="74"/>
      <c r="AQ247" s="303">
        <v>5448.42</v>
      </c>
      <c r="AR247" s="303">
        <v>4011.5</v>
      </c>
      <c r="AS247" s="552"/>
      <c r="AY247" s="67">
        <f t="shared" si="64"/>
        <v>0</v>
      </c>
      <c r="BA247" t="s">
        <v>859</v>
      </c>
      <c r="BB247" t="s">
        <v>517</v>
      </c>
      <c r="BC247" t="s">
        <v>1094</v>
      </c>
      <c r="BD247" s="491">
        <v>4.5100000000000001E-2</v>
      </c>
      <c r="BE247" s="492">
        <v>0.21310000000000001</v>
      </c>
      <c r="BG247" s="510">
        <f t="shared" si="62"/>
        <v>0</v>
      </c>
      <c r="BH247" s="510">
        <f t="shared" si="63"/>
        <v>0</v>
      </c>
      <c r="BJ247" s="520">
        <f t="shared" si="65"/>
        <v>0</v>
      </c>
      <c r="BK247" s="520">
        <f t="shared" si="66"/>
        <v>0</v>
      </c>
      <c r="CB247" s="74"/>
      <c r="CC247" s="74"/>
      <c r="CD247" s="74"/>
      <c r="CE247" s="74"/>
      <c r="CF247" s="74"/>
    </row>
    <row r="248" spans="1:84">
      <c r="A248" s="283" t="s">
        <v>516</v>
      </c>
      <c r="B248" s="285" t="s">
        <v>515</v>
      </c>
      <c r="C248" s="283" t="str">
        <f>CONCATENATE(B248," ",A248," SCHOOL DISTRICT")</f>
        <v>06901 ROOTED VANCOUVER SCHOOL DISTRICT</v>
      </c>
      <c r="D248" s="490">
        <v>0</v>
      </c>
      <c r="E248" s="490">
        <v>0</v>
      </c>
      <c r="F248" s="490">
        <v>0</v>
      </c>
      <c r="G248" s="490">
        <v>39315.65</v>
      </c>
      <c r="H248" s="490">
        <v>29707.99</v>
      </c>
      <c r="I248" s="490">
        <v>0</v>
      </c>
      <c r="J248" s="490">
        <v>8964.17</v>
      </c>
      <c r="K248" s="490">
        <v>5048.08</v>
      </c>
      <c r="L248" s="490">
        <v>765.24</v>
      </c>
      <c r="M248" s="490">
        <v>0</v>
      </c>
      <c r="N248" s="300">
        <v>3.7100000000000001E-2</v>
      </c>
      <c r="O248" s="540">
        <v>0.14399999999999999</v>
      </c>
      <c r="P248" s="490">
        <v>0</v>
      </c>
      <c r="Q248" s="493">
        <v>0</v>
      </c>
      <c r="R248" s="493">
        <v>0</v>
      </c>
      <c r="S248" s="494">
        <v>0</v>
      </c>
      <c r="T248" s="495">
        <v>0</v>
      </c>
      <c r="U248" s="495">
        <v>0</v>
      </c>
      <c r="V248" s="490">
        <v>0</v>
      </c>
      <c r="W248" s="495">
        <v>0</v>
      </c>
      <c r="X248" s="495">
        <v>0</v>
      </c>
      <c r="Y248" s="490">
        <v>0</v>
      </c>
      <c r="Z248" s="490">
        <v>0</v>
      </c>
      <c r="AA248" s="490">
        <v>0</v>
      </c>
      <c r="AB248" s="490">
        <v>0</v>
      </c>
      <c r="AC248" s="490">
        <v>0</v>
      </c>
      <c r="AD248" s="490">
        <v>0</v>
      </c>
      <c r="AE248" s="490">
        <v>0</v>
      </c>
      <c r="AF248" s="339">
        <v>0</v>
      </c>
      <c r="AG248" s="339">
        <v>0</v>
      </c>
      <c r="AH248" s="496">
        <v>0</v>
      </c>
      <c r="AI248" s="490">
        <v>0</v>
      </c>
      <c r="AJ248" s="490">
        <v>0</v>
      </c>
      <c r="AK248" s="339">
        <v>0</v>
      </c>
      <c r="AL248" s="339">
        <v>0</v>
      </c>
      <c r="AM248" s="496">
        <v>0</v>
      </c>
      <c r="AN248" s="495">
        <v>0</v>
      </c>
      <c r="AO248" s="495">
        <v>0</v>
      </c>
      <c r="AP248" s="74"/>
      <c r="AQ248" s="303">
        <v>0</v>
      </c>
      <c r="AR248" s="303">
        <v>14612.630000000001</v>
      </c>
      <c r="AS248" s="552">
        <v>5546.39</v>
      </c>
      <c r="AY248" s="67">
        <f t="shared" si="64"/>
        <v>0</v>
      </c>
      <c r="BA248"/>
      <c r="BB248" s="354" t="s">
        <v>515</v>
      </c>
      <c r="BC248"/>
      <c r="BD248" s="491">
        <v>3.7100000000000001E-2</v>
      </c>
      <c r="BE248" s="521">
        <v>0.15129999999999999</v>
      </c>
      <c r="BG248" s="510">
        <f t="shared" si="62"/>
        <v>0</v>
      </c>
      <c r="BH248" s="518">
        <f t="shared" si="63"/>
        <v>-7.3000000000000009E-3</v>
      </c>
      <c r="BJ248" s="520">
        <f t="shared" si="65"/>
        <v>0</v>
      </c>
      <c r="BK248" s="520">
        <f t="shared" si="66"/>
        <v>-7.3000000000000009E-3</v>
      </c>
      <c r="CB248" s="74"/>
      <c r="CC248" s="74"/>
      <c r="CD248" s="74"/>
      <c r="CE248" s="74"/>
      <c r="CF248" s="74"/>
    </row>
    <row r="249" spans="1:84">
      <c r="A249" s="283" t="s">
        <v>520</v>
      </c>
      <c r="B249" s="283" t="s">
        <v>519</v>
      </c>
      <c r="C249" s="283" t="str">
        <f t="shared" si="68"/>
        <v>38320 ROSALIA SCHOOL DISTRICT</v>
      </c>
      <c r="D249" s="490">
        <v>0</v>
      </c>
      <c r="E249" s="490">
        <v>0</v>
      </c>
      <c r="F249" s="490">
        <v>0</v>
      </c>
      <c r="G249" s="490">
        <v>239987.19</v>
      </c>
      <c r="H249" s="490">
        <v>41303.699999999997</v>
      </c>
      <c r="I249" s="490">
        <v>46759</v>
      </c>
      <c r="J249" s="490">
        <v>64925.15</v>
      </c>
      <c r="K249" s="490">
        <v>0</v>
      </c>
      <c r="L249" s="490">
        <v>4514.67</v>
      </c>
      <c r="M249" s="490">
        <v>235868.86</v>
      </c>
      <c r="N249" s="300">
        <v>4.9000000000000002E-2</v>
      </c>
      <c r="O249" s="492">
        <v>0.1845</v>
      </c>
      <c r="P249" s="490">
        <v>0</v>
      </c>
      <c r="Q249" s="493">
        <v>0</v>
      </c>
      <c r="R249" s="493">
        <v>0</v>
      </c>
      <c r="S249" s="494">
        <v>0</v>
      </c>
      <c r="T249" s="495">
        <v>0</v>
      </c>
      <c r="U249" s="495">
        <v>0</v>
      </c>
      <c r="V249" s="490">
        <v>0</v>
      </c>
      <c r="W249" s="495">
        <v>0</v>
      </c>
      <c r="X249" s="495">
        <v>0</v>
      </c>
      <c r="Y249" s="490">
        <v>0</v>
      </c>
      <c r="Z249" s="490">
        <v>0</v>
      </c>
      <c r="AA249" s="490">
        <v>0</v>
      </c>
      <c r="AB249" s="490">
        <v>22574.75</v>
      </c>
      <c r="AC249" s="490">
        <v>51446.89</v>
      </c>
      <c r="AD249" s="490">
        <v>5.48</v>
      </c>
      <c r="AE249" s="490">
        <v>49527.46</v>
      </c>
      <c r="AF249" s="339">
        <v>9037.8576642335756</v>
      </c>
      <c r="AG249" s="339">
        <v>9388.1186131386858</v>
      </c>
      <c r="AH249" s="496">
        <v>350.26</v>
      </c>
      <c r="AI249" s="490">
        <v>2.41</v>
      </c>
      <c r="AJ249" s="490">
        <v>21174.73</v>
      </c>
      <c r="AK249" s="339">
        <v>8786.1950207468872</v>
      </c>
      <c r="AL249" s="339">
        <v>9367.116182572614</v>
      </c>
      <c r="AM249" s="496">
        <v>580.91999999999996</v>
      </c>
      <c r="AN249" s="495">
        <v>0</v>
      </c>
      <c r="AO249" s="495">
        <v>0</v>
      </c>
      <c r="AP249" s="74"/>
      <c r="AQ249" s="303">
        <v>3262.8399999999965</v>
      </c>
      <c r="AR249" s="303">
        <v>27732.15</v>
      </c>
      <c r="AS249" s="552">
        <v>6222.52</v>
      </c>
      <c r="AY249" s="67">
        <f t="shared" si="64"/>
        <v>0</v>
      </c>
      <c r="BA249" t="s">
        <v>848</v>
      </c>
      <c r="BB249" t="s">
        <v>519</v>
      </c>
      <c r="BC249" t="s">
        <v>1095</v>
      </c>
      <c r="BD249" s="491">
        <v>4.9000000000000002E-2</v>
      </c>
      <c r="BE249" s="492">
        <v>0.1845</v>
      </c>
      <c r="BG249" s="510">
        <f t="shared" si="62"/>
        <v>0</v>
      </c>
      <c r="BH249" s="510">
        <f t="shared" si="63"/>
        <v>0</v>
      </c>
      <c r="BJ249" s="520">
        <f t="shared" si="65"/>
        <v>0</v>
      </c>
      <c r="BK249" s="520">
        <f t="shared" si="66"/>
        <v>0</v>
      </c>
      <c r="CB249" s="74"/>
      <c r="CC249" s="74"/>
      <c r="CD249" s="74"/>
      <c r="CE249" s="74"/>
      <c r="CF249" s="74"/>
    </row>
    <row r="250" spans="1:84">
      <c r="A250" s="283" t="s">
        <v>522</v>
      </c>
      <c r="B250" s="283" t="s">
        <v>521</v>
      </c>
      <c r="C250" s="283" t="str">
        <f t="shared" si="68"/>
        <v>13160 ROYAL SCHOOL DISTRICT</v>
      </c>
      <c r="D250" s="490">
        <v>211711.09</v>
      </c>
      <c r="E250" s="490">
        <v>87795.31</v>
      </c>
      <c r="F250" s="490">
        <v>51066.95</v>
      </c>
      <c r="G250" s="490">
        <v>2311506.2799999998</v>
      </c>
      <c r="H250" s="490">
        <v>340891.97</v>
      </c>
      <c r="I250" s="490">
        <v>528505.67000000004</v>
      </c>
      <c r="J250" s="490">
        <v>919040.91</v>
      </c>
      <c r="K250" s="490">
        <v>1216430.82</v>
      </c>
      <c r="L250" s="490">
        <v>50180.5</v>
      </c>
      <c r="M250" s="490">
        <v>1346645.58</v>
      </c>
      <c r="N250" s="300">
        <v>1.7500000000000002E-2</v>
      </c>
      <c r="O250" s="492">
        <v>0.15890000000000001</v>
      </c>
      <c r="P250" s="490">
        <v>0</v>
      </c>
      <c r="Q250" s="493">
        <v>0</v>
      </c>
      <c r="R250" s="493">
        <v>0</v>
      </c>
      <c r="S250" s="494">
        <v>0</v>
      </c>
      <c r="T250" s="495">
        <v>0</v>
      </c>
      <c r="U250" s="495">
        <v>0</v>
      </c>
      <c r="V250" s="490">
        <v>0</v>
      </c>
      <c r="W250" s="495">
        <v>0</v>
      </c>
      <c r="X250" s="495">
        <v>0</v>
      </c>
      <c r="Y250" s="490">
        <v>1981.84</v>
      </c>
      <c r="Z250" s="490">
        <v>13949.38</v>
      </c>
      <c r="AA250" s="490">
        <v>0</v>
      </c>
      <c r="AB250" s="490">
        <v>156726.64000000001</v>
      </c>
      <c r="AC250" s="490">
        <v>1152900.8</v>
      </c>
      <c r="AD250" s="490">
        <v>122.9</v>
      </c>
      <c r="AE250" s="490">
        <v>1087398.8700000001</v>
      </c>
      <c r="AF250" s="339">
        <v>8847.8345809601306</v>
      </c>
      <c r="AG250" s="339">
        <v>9380.8039056143207</v>
      </c>
      <c r="AH250" s="496">
        <v>532.97</v>
      </c>
      <c r="AI250" s="490">
        <v>17.09</v>
      </c>
      <c r="AJ250" s="490">
        <v>147580.38</v>
      </c>
      <c r="AK250" s="339">
        <v>8635.4815681685195</v>
      </c>
      <c r="AL250" s="339">
        <v>9170.6635459332956</v>
      </c>
      <c r="AM250" s="496">
        <v>535.17999999999995</v>
      </c>
      <c r="AN250" s="495">
        <v>0</v>
      </c>
      <c r="AO250" s="495">
        <v>0</v>
      </c>
      <c r="AP250" s="74"/>
      <c r="AQ250" s="303">
        <v>14110.440000000002</v>
      </c>
      <c r="AR250" s="303">
        <v>196016.11000000002</v>
      </c>
      <c r="AS250" s="552">
        <v>41848.519999999997</v>
      </c>
      <c r="AY250" s="67">
        <f t="shared" si="64"/>
        <v>0</v>
      </c>
      <c r="BA250" t="s">
        <v>865</v>
      </c>
      <c r="BB250" t="s">
        <v>521</v>
      </c>
      <c r="BC250" t="s">
        <v>1096</v>
      </c>
      <c r="BD250" s="491">
        <v>1.7500000000000002E-2</v>
      </c>
      <c r="BE250" s="492">
        <v>0.15890000000000001</v>
      </c>
      <c r="BG250" s="510">
        <f t="shared" si="62"/>
        <v>0</v>
      </c>
      <c r="BH250" s="510">
        <f t="shared" si="63"/>
        <v>0</v>
      </c>
      <c r="BJ250" s="520">
        <f t="shared" si="65"/>
        <v>0</v>
      </c>
      <c r="BK250" s="520">
        <f t="shared" si="66"/>
        <v>0</v>
      </c>
      <c r="CB250" s="74"/>
      <c r="CC250" s="74"/>
      <c r="CD250" s="74"/>
      <c r="CE250" s="74"/>
      <c r="CF250" s="74"/>
    </row>
    <row r="251" spans="1:84">
      <c r="A251" s="283" t="s">
        <v>524</v>
      </c>
      <c r="B251" s="283" t="s">
        <v>523</v>
      </c>
      <c r="C251" s="283" t="str">
        <f t="shared" si="68"/>
        <v>28149 SAN JUAN SCHOOL DISTRICT</v>
      </c>
      <c r="D251" s="490">
        <v>0</v>
      </c>
      <c r="E251" s="490">
        <v>0</v>
      </c>
      <c r="F251" s="490">
        <v>0</v>
      </c>
      <c r="G251" s="490">
        <v>1665893.2</v>
      </c>
      <c r="H251" s="490">
        <v>172549.83</v>
      </c>
      <c r="I251" s="490">
        <v>0</v>
      </c>
      <c r="J251" s="490">
        <v>221687.19</v>
      </c>
      <c r="K251" s="490">
        <v>117810.04</v>
      </c>
      <c r="L251" s="490">
        <v>25932.35</v>
      </c>
      <c r="M251" s="490">
        <v>428616.73</v>
      </c>
      <c r="N251" s="300">
        <v>5.6800000000000003E-2</v>
      </c>
      <c r="O251" s="492">
        <v>0.20860000000000001</v>
      </c>
      <c r="P251" s="490">
        <v>0</v>
      </c>
      <c r="Q251" s="493">
        <v>0</v>
      </c>
      <c r="R251" s="493">
        <v>0</v>
      </c>
      <c r="S251" s="494">
        <v>0</v>
      </c>
      <c r="T251" s="495">
        <v>0</v>
      </c>
      <c r="U251" s="495">
        <v>0</v>
      </c>
      <c r="V251" s="490">
        <v>0</v>
      </c>
      <c r="W251" s="495">
        <v>0</v>
      </c>
      <c r="X251" s="495">
        <v>0</v>
      </c>
      <c r="Y251" s="490">
        <v>0</v>
      </c>
      <c r="Z251" s="490">
        <v>0</v>
      </c>
      <c r="AA251" s="490">
        <v>3829.49</v>
      </c>
      <c r="AB251" s="490">
        <v>0</v>
      </c>
      <c r="AC251" s="490">
        <v>284122.23</v>
      </c>
      <c r="AD251" s="490">
        <v>28.49</v>
      </c>
      <c r="AE251" s="490">
        <v>272869.18</v>
      </c>
      <c r="AF251" s="339">
        <v>9577.7177957177955</v>
      </c>
      <c r="AG251" s="339">
        <v>9972.7002457002454</v>
      </c>
      <c r="AH251" s="496">
        <v>394.98</v>
      </c>
      <c r="AI251" s="490">
        <v>0</v>
      </c>
      <c r="AJ251" s="490">
        <v>0</v>
      </c>
      <c r="AK251" s="339">
        <v>0</v>
      </c>
      <c r="AL251" s="339">
        <v>0</v>
      </c>
      <c r="AM251" s="496">
        <v>0</v>
      </c>
      <c r="AN251" s="495">
        <v>626.83000000000004</v>
      </c>
      <c r="AO251" s="495">
        <v>0</v>
      </c>
      <c r="AP251" s="74"/>
      <c r="AQ251" s="303">
        <v>60263.240000000034</v>
      </c>
      <c r="AR251" s="303">
        <v>86583.360000000001</v>
      </c>
      <c r="AS251" s="552">
        <v>32830.870000000003</v>
      </c>
      <c r="AY251" s="67">
        <f t="shared" si="64"/>
        <v>0</v>
      </c>
      <c r="BA251" t="s">
        <v>850</v>
      </c>
      <c r="BB251" t="s">
        <v>523</v>
      </c>
      <c r="BC251" t="s">
        <v>1097</v>
      </c>
      <c r="BD251" s="491">
        <v>5.6800000000000003E-2</v>
      </c>
      <c r="BE251" s="492">
        <v>0.20860000000000001</v>
      </c>
      <c r="BG251" s="510">
        <f t="shared" si="62"/>
        <v>0</v>
      </c>
      <c r="BH251" s="510">
        <f t="shared" si="63"/>
        <v>0</v>
      </c>
      <c r="BJ251" s="520">
        <f t="shared" si="65"/>
        <v>0</v>
      </c>
      <c r="BK251" s="520">
        <f t="shared" si="66"/>
        <v>0</v>
      </c>
      <c r="CB251" s="74"/>
      <c r="CC251" s="74"/>
      <c r="CD251" s="74"/>
      <c r="CE251" s="74"/>
      <c r="CF251" s="74"/>
    </row>
    <row r="252" spans="1:84">
      <c r="A252" s="283" t="s">
        <v>526</v>
      </c>
      <c r="B252" s="283" t="s">
        <v>525</v>
      </c>
      <c r="C252" s="283" t="str">
        <f t="shared" si="68"/>
        <v>14104 SATSOP SCHOOL DISTRICT</v>
      </c>
      <c r="D252" s="490">
        <v>0</v>
      </c>
      <c r="E252" s="490">
        <v>0</v>
      </c>
      <c r="F252" s="490">
        <v>0</v>
      </c>
      <c r="G252" s="490">
        <v>137502</v>
      </c>
      <c r="H252" s="490">
        <v>6168.04</v>
      </c>
      <c r="I252" s="490">
        <v>16103.48</v>
      </c>
      <c r="J252" s="490">
        <v>18908.61</v>
      </c>
      <c r="K252" s="490">
        <v>0</v>
      </c>
      <c r="L252" s="490">
        <v>0</v>
      </c>
      <c r="M252" s="490">
        <v>0</v>
      </c>
      <c r="N252" s="300">
        <v>0.1142</v>
      </c>
      <c r="O252" s="492">
        <v>0.4022</v>
      </c>
      <c r="P252" s="490">
        <v>0</v>
      </c>
      <c r="Q252" s="493">
        <v>0</v>
      </c>
      <c r="R252" s="493">
        <v>0</v>
      </c>
      <c r="S252" s="494">
        <v>0</v>
      </c>
      <c r="T252" s="495">
        <v>0</v>
      </c>
      <c r="U252" s="495">
        <v>0</v>
      </c>
      <c r="V252" s="490">
        <v>0</v>
      </c>
      <c r="W252" s="495">
        <v>0</v>
      </c>
      <c r="X252" s="495">
        <v>0</v>
      </c>
      <c r="Y252" s="490">
        <v>65.989999999999995</v>
      </c>
      <c r="Z252" s="490">
        <v>0</v>
      </c>
      <c r="AA252" s="490">
        <v>0</v>
      </c>
      <c r="AB252" s="490">
        <v>0</v>
      </c>
      <c r="AC252" s="490">
        <v>0</v>
      </c>
      <c r="AD252" s="490">
        <v>0</v>
      </c>
      <c r="AE252" s="490">
        <v>0</v>
      </c>
      <c r="AF252" s="339">
        <v>0</v>
      </c>
      <c r="AG252" s="339">
        <v>0</v>
      </c>
      <c r="AH252" s="496">
        <v>0</v>
      </c>
      <c r="AI252" s="490">
        <v>0</v>
      </c>
      <c r="AJ252" s="490">
        <v>0</v>
      </c>
      <c r="AK252" s="339">
        <v>0</v>
      </c>
      <c r="AL252" s="339">
        <v>0</v>
      </c>
      <c r="AM252" s="496">
        <v>0</v>
      </c>
      <c r="AN252" s="495">
        <v>165.06</v>
      </c>
      <c r="AO252" s="495">
        <v>0</v>
      </c>
      <c r="AP252" s="74"/>
      <c r="AQ252" s="303">
        <v>16833.64</v>
      </c>
      <c r="AR252" s="303">
        <v>7508.44</v>
      </c>
      <c r="AS252" s="552"/>
      <c r="AY252" s="67">
        <f t="shared" si="64"/>
        <v>0</v>
      </c>
      <c r="BA252" t="s">
        <v>845</v>
      </c>
      <c r="BB252" t="s">
        <v>525</v>
      </c>
      <c r="BC252" t="s">
        <v>1098</v>
      </c>
      <c r="BD252" s="491">
        <v>0.1142</v>
      </c>
      <c r="BE252" s="492">
        <v>0.4022</v>
      </c>
      <c r="BG252" s="510">
        <f t="shared" si="62"/>
        <v>0</v>
      </c>
      <c r="BH252" s="510">
        <f t="shared" si="63"/>
        <v>0</v>
      </c>
      <c r="BJ252" s="520">
        <f t="shared" si="65"/>
        <v>0</v>
      </c>
      <c r="BK252" s="520">
        <f t="shared" si="66"/>
        <v>0</v>
      </c>
      <c r="CB252" s="74"/>
      <c r="CC252" s="74"/>
      <c r="CD252" s="74"/>
      <c r="CE252" s="74"/>
      <c r="CF252" s="74"/>
    </row>
    <row r="253" spans="1:84">
      <c r="A253" s="283" t="s">
        <v>528</v>
      </c>
      <c r="B253" s="283" t="s">
        <v>527</v>
      </c>
      <c r="C253" s="283" t="str">
        <f t="shared" si="68"/>
        <v>17001 SEATTLE SCHOOL DISTRICT</v>
      </c>
      <c r="D253" s="490">
        <v>0</v>
      </c>
      <c r="E253" s="490">
        <v>698558.14</v>
      </c>
      <c r="F253" s="490">
        <v>294871.59000000003</v>
      </c>
      <c r="G253" s="490">
        <v>120215486.59999999</v>
      </c>
      <c r="H253" s="490">
        <v>16709326.02</v>
      </c>
      <c r="I253" s="490">
        <v>4874363.1399999997</v>
      </c>
      <c r="J253" s="490">
        <v>15643218.359999999</v>
      </c>
      <c r="K253" s="490">
        <v>13060766.35</v>
      </c>
      <c r="L253" s="490">
        <v>1722045.85</v>
      </c>
      <c r="M253" s="490">
        <v>39088549.840000004</v>
      </c>
      <c r="N253" s="300">
        <v>3.3399999999999999E-2</v>
      </c>
      <c r="O253" s="492">
        <v>0.1487</v>
      </c>
      <c r="P253" s="490">
        <v>0</v>
      </c>
      <c r="Q253" s="493">
        <v>0</v>
      </c>
      <c r="R253" s="493">
        <v>0</v>
      </c>
      <c r="S253" s="494">
        <v>882619.66</v>
      </c>
      <c r="T253" s="495">
        <v>86494.002999999924</v>
      </c>
      <c r="U253" s="495">
        <v>29211.17</v>
      </c>
      <c r="V253" s="490">
        <v>0</v>
      </c>
      <c r="W253" s="495">
        <v>0</v>
      </c>
      <c r="X253" s="495">
        <v>0</v>
      </c>
      <c r="Y253" s="490">
        <v>0</v>
      </c>
      <c r="Z253" s="490">
        <v>193361.34</v>
      </c>
      <c r="AA253" s="490">
        <v>1227573.93</v>
      </c>
      <c r="AB253" s="490">
        <v>2265234.96</v>
      </c>
      <c r="AC253" s="490">
        <v>19473915.850000001</v>
      </c>
      <c r="AD253" s="490">
        <v>1846.19</v>
      </c>
      <c r="AE253" s="490">
        <v>18354810.82</v>
      </c>
      <c r="AF253" s="339">
        <v>9941.9944967744377</v>
      </c>
      <c r="AG253" s="339">
        <v>10548.164517194871</v>
      </c>
      <c r="AH253" s="496">
        <v>606.16999999999996</v>
      </c>
      <c r="AI253" s="490">
        <v>219.42</v>
      </c>
      <c r="AJ253" s="490">
        <v>2133181.31</v>
      </c>
      <c r="AK253" s="339">
        <v>9721.9091696290234</v>
      </c>
      <c r="AL253" s="339">
        <v>10323.739677331147</v>
      </c>
      <c r="AM253" s="496">
        <v>601.83000000000004</v>
      </c>
      <c r="AN253" s="495">
        <v>0</v>
      </c>
      <c r="AO253" s="495">
        <v>0</v>
      </c>
      <c r="AP253" s="74"/>
      <c r="AQ253" s="303">
        <v>0</v>
      </c>
      <c r="AR253" s="303">
        <v>6164419.4900000002</v>
      </c>
      <c r="AS253" s="552">
        <v>1512653.8900000001</v>
      </c>
      <c r="AY253" s="67">
        <f t="shared" si="64"/>
        <v>0</v>
      </c>
      <c r="BA253" t="s">
        <v>856</v>
      </c>
      <c r="BB253" t="s">
        <v>527</v>
      </c>
      <c r="BC253" t="s">
        <v>1099</v>
      </c>
      <c r="BD253" s="491">
        <v>3.3399999999999999E-2</v>
      </c>
      <c r="BE253" s="492">
        <v>0.1487</v>
      </c>
      <c r="BG253" s="510">
        <f t="shared" si="62"/>
        <v>0</v>
      </c>
      <c r="BH253" s="510">
        <f t="shared" si="63"/>
        <v>0</v>
      </c>
      <c r="BJ253" s="520">
        <f t="shared" si="65"/>
        <v>0</v>
      </c>
      <c r="BK253" s="520">
        <f t="shared" si="66"/>
        <v>0</v>
      </c>
      <c r="CB253" s="74"/>
      <c r="CC253" s="74"/>
      <c r="CD253" s="74"/>
      <c r="CE253" s="74"/>
      <c r="CF253" s="74"/>
    </row>
    <row r="254" spans="1:84">
      <c r="A254" s="283" t="s">
        <v>530</v>
      </c>
      <c r="B254" s="283" t="s">
        <v>529</v>
      </c>
      <c r="C254" s="283" t="str">
        <f t="shared" si="68"/>
        <v>29101 SEDRO WOOLLEY SCHOOL DISTRICT</v>
      </c>
      <c r="D254" s="490">
        <v>0</v>
      </c>
      <c r="E254" s="490">
        <v>158513.72</v>
      </c>
      <c r="F254" s="490">
        <v>70930.23</v>
      </c>
      <c r="G254" s="490">
        <v>9673312.0500000007</v>
      </c>
      <c r="H254" s="490">
        <v>1669747.02</v>
      </c>
      <c r="I254" s="490">
        <v>771085.85</v>
      </c>
      <c r="J254" s="490">
        <v>1654965.95</v>
      </c>
      <c r="K254" s="490">
        <v>704943.72</v>
      </c>
      <c r="L254" s="490">
        <v>140562.51999999999</v>
      </c>
      <c r="M254" s="490">
        <v>3881839.33</v>
      </c>
      <c r="N254" s="300">
        <v>3.2800000000000003E-2</v>
      </c>
      <c r="O254" s="492">
        <v>0.1376</v>
      </c>
      <c r="P254" s="490">
        <v>0</v>
      </c>
      <c r="Q254" s="493">
        <v>0</v>
      </c>
      <c r="R254" s="493">
        <v>0</v>
      </c>
      <c r="S254" s="494">
        <v>0</v>
      </c>
      <c r="T254" s="495">
        <v>0</v>
      </c>
      <c r="U254" s="495">
        <v>0</v>
      </c>
      <c r="V254" s="490">
        <v>0</v>
      </c>
      <c r="W254" s="495">
        <v>0</v>
      </c>
      <c r="X254" s="495">
        <v>0</v>
      </c>
      <c r="Y254" s="490">
        <v>1005.46</v>
      </c>
      <c r="Z254" s="490">
        <v>20787.740000000002</v>
      </c>
      <c r="AA254" s="490">
        <v>284253.28000000003</v>
      </c>
      <c r="AB254" s="490">
        <v>318286.26</v>
      </c>
      <c r="AC254" s="490">
        <v>3267606.97</v>
      </c>
      <c r="AD254" s="490">
        <v>318.88</v>
      </c>
      <c r="AE254" s="490">
        <v>3054053.63</v>
      </c>
      <c r="AF254" s="339">
        <v>9577.4386289513295</v>
      </c>
      <c r="AG254" s="339">
        <v>10247.136759909685</v>
      </c>
      <c r="AH254" s="496">
        <v>669.7</v>
      </c>
      <c r="AI254" s="490">
        <v>32.020000000000003</v>
      </c>
      <c r="AJ254" s="490">
        <v>299628.57</v>
      </c>
      <c r="AK254" s="339">
        <v>9357.5443472829484</v>
      </c>
      <c r="AL254" s="339">
        <v>9940.2329793878816</v>
      </c>
      <c r="AM254" s="496">
        <v>582.69000000000005</v>
      </c>
      <c r="AN254" s="495">
        <v>0</v>
      </c>
      <c r="AO254" s="495">
        <v>0</v>
      </c>
      <c r="AP254" s="74"/>
      <c r="AQ254" s="303">
        <v>0</v>
      </c>
      <c r="AR254" s="303">
        <v>515993.16000000003</v>
      </c>
      <c r="AS254" s="552">
        <v>37066.11</v>
      </c>
      <c r="AY254" s="67">
        <f t="shared" si="64"/>
        <v>0</v>
      </c>
      <c r="BA254" t="s">
        <v>850</v>
      </c>
      <c r="BB254" t="s">
        <v>529</v>
      </c>
      <c r="BC254" t="s">
        <v>1100</v>
      </c>
      <c r="BD254" s="491">
        <v>3.2800000000000003E-2</v>
      </c>
      <c r="BE254" s="492">
        <v>0.1376</v>
      </c>
      <c r="BG254" s="510">
        <f t="shared" si="62"/>
        <v>0</v>
      </c>
      <c r="BH254" s="510">
        <f t="shared" si="63"/>
        <v>0</v>
      </c>
      <c r="BJ254" s="520">
        <f t="shared" si="65"/>
        <v>0</v>
      </c>
      <c r="BK254" s="520">
        <f t="shared" si="66"/>
        <v>0</v>
      </c>
      <c r="CB254" s="74"/>
      <c r="CC254" s="74"/>
      <c r="CD254" s="74"/>
      <c r="CE254" s="74"/>
      <c r="CF254" s="74"/>
    </row>
    <row r="255" spans="1:84">
      <c r="A255" s="283" t="s">
        <v>532</v>
      </c>
      <c r="B255" s="283" t="s">
        <v>531</v>
      </c>
      <c r="C255" s="283" t="str">
        <f t="shared" si="68"/>
        <v>39119 SELAH SCHOOL DISTRICT</v>
      </c>
      <c r="D255" s="490">
        <v>0</v>
      </c>
      <c r="E255" s="490">
        <v>0</v>
      </c>
      <c r="F255" s="490">
        <v>59497.1</v>
      </c>
      <c r="G255" s="490">
        <v>5383594.8799999999</v>
      </c>
      <c r="H255" s="490">
        <v>748949.26</v>
      </c>
      <c r="I255" s="490">
        <v>1110308.6499999999</v>
      </c>
      <c r="J255" s="490">
        <v>1549569.93</v>
      </c>
      <c r="K255" s="490">
        <v>652669.18999999994</v>
      </c>
      <c r="L255" s="490">
        <v>109919.21</v>
      </c>
      <c r="M255" s="490">
        <v>2096856.81</v>
      </c>
      <c r="N255" s="300">
        <v>3.4099999999999998E-2</v>
      </c>
      <c r="O255" s="492">
        <v>0.13869999999999999</v>
      </c>
      <c r="P255" s="490">
        <v>0</v>
      </c>
      <c r="Q255" s="493">
        <v>0</v>
      </c>
      <c r="R255" s="493">
        <v>0</v>
      </c>
      <c r="S255" s="494">
        <v>0</v>
      </c>
      <c r="T255" s="495">
        <v>0</v>
      </c>
      <c r="U255" s="495">
        <v>0</v>
      </c>
      <c r="V255" s="490">
        <v>238034.57</v>
      </c>
      <c r="W255" s="495">
        <v>20435.579999999987</v>
      </c>
      <c r="X255" s="495">
        <v>9310.68</v>
      </c>
      <c r="Y255" s="490">
        <v>0</v>
      </c>
      <c r="Z255" s="490">
        <v>145331.47</v>
      </c>
      <c r="AA255" s="490">
        <v>0</v>
      </c>
      <c r="AB255" s="490">
        <v>1630343.06</v>
      </c>
      <c r="AC255" s="490">
        <v>3691712.55</v>
      </c>
      <c r="AD255" s="490">
        <v>397.17</v>
      </c>
      <c r="AE255" s="490">
        <v>3513932.16</v>
      </c>
      <c r="AF255" s="339">
        <v>8847.4259385149944</v>
      </c>
      <c r="AG255" s="339">
        <v>9295.043809955434</v>
      </c>
      <c r="AH255" s="496">
        <v>447.62</v>
      </c>
      <c r="AI255" s="490">
        <v>177.82</v>
      </c>
      <c r="AJ255" s="490">
        <v>1534546.16</v>
      </c>
      <c r="AK255" s="339">
        <v>8629.7725790124841</v>
      </c>
      <c r="AL255" s="339">
        <v>9168.5021932291093</v>
      </c>
      <c r="AM255" s="496">
        <v>538.73</v>
      </c>
      <c r="AN255" s="495">
        <v>20000</v>
      </c>
      <c r="AO255" s="495">
        <v>0</v>
      </c>
      <c r="AP255" s="74"/>
      <c r="AQ255" s="303">
        <v>0</v>
      </c>
      <c r="AR255" s="303">
        <v>397476.85000000003</v>
      </c>
      <c r="AS255" s="552">
        <v>122731.06</v>
      </c>
      <c r="AY255" s="67">
        <f t="shared" si="64"/>
        <v>0</v>
      </c>
      <c r="BA255" t="s">
        <v>865</v>
      </c>
      <c r="BB255" t="s">
        <v>531</v>
      </c>
      <c r="BC255" t="s">
        <v>1101</v>
      </c>
      <c r="BD255" s="491">
        <v>3.4099999999999998E-2</v>
      </c>
      <c r="BE255" s="492">
        <v>0.13869999999999999</v>
      </c>
      <c r="BG255" s="510">
        <f t="shared" si="62"/>
        <v>0</v>
      </c>
      <c r="BH255" s="510">
        <f t="shared" si="63"/>
        <v>0</v>
      </c>
      <c r="BJ255" s="520">
        <f t="shared" si="65"/>
        <v>0</v>
      </c>
      <c r="BK255" s="520">
        <f t="shared" si="66"/>
        <v>0</v>
      </c>
      <c r="CB255" s="74"/>
      <c r="CC255" s="74"/>
      <c r="CD255" s="74"/>
      <c r="CE255" s="74"/>
      <c r="CF255" s="74"/>
    </row>
    <row r="256" spans="1:84">
      <c r="A256" s="283" t="s">
        <v>534</v>
      </c>
      <c r="B256" s="283" t="s">
        <v>533</v>
      </c>
      <c r="C256" s="283" t="str">
        <f t="shared" si="68"/>
        <v>26070 SELKIRK SCHOOL DISTRICT</v>
      </c>
      <c r="D256" s="490">
        <v>0</v>
      </c>
      <c r="E256" s="490">
        <v>4704.54</v>
      </c>
      <c r="F256" s="490">
        <v>0</v>
      </c>
      <c r="G256" s="490">
        <v>445923.81</v>
      </c>
      <c r="H256" s="490">
        <v>86145.34</v>
      </c>
      <c r="I256" s="490">
        <v>56414.11</v>
      </c>
      <c r="J256" s="490">
        <v>104516.75</v>
      </c>
      <c r="K256" s="490">
        <v>0</v>
      </c>
      <c r="L256" s="490">
        <v>0</v>
      </c>
      <c r="M256" s="490">
        <v>418094.59</v>
      </c>
      <c r="N256" s="300">
        <v>6.0600000000000001E-2</v>
      </c>
      <c r="O256" s="492">
        <v>0.29220000000000002</v>
      </c>
      <c r="P256" s="490">
        <v>0</v>
      </c>
      <c r="Q256" s="493">
        <v>0</v>
      </c>
      <c r="R256" s="493">
        <v>0</v>
      </c>
      <c r="S256" s="494">
        <v>0</v>
      </c>
      <c r="T256" s="495">
        <v>0</v>
      </c>
      <c r="U256" s="495">
        <v>0</v>
      </c>
      <c r="V256" s="490">
        <v>0</v>
      </c>
      <c r="W256" s="495">
        <v>0</v>
      </c>
      <c r="X256" s="495">
        <v>0</v>
      </c>
      <c r="Y256" s="490">
        <v>291.91000000000003</v>
      </c>
      <c r="Z256" s="490">
        <v>1041.8</v>
      </c>
      <c r="AA256" s="490">
        <v>0</v>
      </c>
      <c r="AB256" s="490">
        <v>48859.49</v>
      </c>
      <c r="AC256" s="490">
        <v>161757.85999999999</v>
      </c>
      <c r="AD256" s="490">
        <v>17.09</v>
      </c>
      <c r="AE256" s="490">
        <v>151371.60999999999</v>
      </c>
      <c r="AF256" s="339">
        <v>8857.3206553540076</v>
      </c>
      <c r="AG256" s="339">
        <v>9465.0590988882377</v>
      </c>
      <c r="AH256" s="496">
        <v>607.74</v>
      </c>
      <c r="AI256" s="490">
        <v>5.34</v>
      </c>
      <c r="AJ256" s="490">
        <v>46170.63</v>
      </c>
      <c r="AK256" s="339">
        <v>8646.1853932584272</v>
      </c>
      <c r="AL256" s="339">
        <v>9149.7172284644184</v>
      </c>
      <c r="AM256" s="496">
        <v>503.53</v>
      </c>
      <c r="AN256" s="495">
        <v>106</v>
      </c>
      <c r="AO256" s="495">
        <v>0</v>
      </c>
      <c r="AP256" s="74"/>
      <c r="AQ256" s="303">
        <v>61821.679999999986</v>
      </c>
      <c r="AR256" s="303">
        <v>34679.630000000005</v>
      </c>
      <c r="AS256" s="552">
        <v>17697.43</v>
      </c>
      <c r="AY256" s="67">
        <f t="shared" si="64"/>
        <v>0</v>
      </c>
      <c r="BA256" t="s">
        <v>848</v>
      </c>
      <c r="BB256" t="s">
        <v>533</v>
      </c>
      <c r="BC256" t="s">
        <v>1102</v>
      </c>
      <c r="BD256" s="491">
        <v>6.0600000000000001E-2</v>
      </c>
      <c r="BE256" s="492">
        <v>0.29220000000000002</v>
      </c>
      <c r="BG256" s="510">
        <f t="shared" si="62"/>
        <v>0</v>
      </c>
      <c r="BH256" s="510">
        <f t="shared" si="63"/>
        <v>0</v>
      </c>
      <c r="BJ256" s="520">
        <f t="shared" si="65"/>
        <v>0</v>
      </c>
      <c r="BK256" s="520">
        <f t="shared" si="66"/>
        <v>0</v>
      </c>
      <c r="CB256" s="74"/>
      <c r="CC256" s="74"/>
      <c r="CD256" s="74"/>
      <c r="CE256" s="74"/>
      <c r="CF256" s="74"/>
    </row>
    <row r="257" spans="1:84">
      <c r="A257" s="283" t="s">
        <v>536</v>
      </c>
      <c r="B257" s="283" t="s">
        <v>535</v>
      </c>
      <c r="C257" s="283" t="str">
        <f t="shared" si="68"/>
        <v>05323 SEQUIM SCHOOL DISTRICT</v>
      </c>
      <c r="D257" s="490">
        <v>0</v>
      </c>
      <c r="E257" s="490">
        <v>0</v>
      </c>
      <c r="F257" s="490">
        <v>0</v>
      </c>
      <c r="G257" s="490">
        <v>4658329.7</v>
      </c>
      <c r="H257" s="490">
        <v>566160.51</v>
      </c>
      <c r="I257" s="490">
        <v>161136.43</v>
      </c>
      <c r="J257" s="490">
        <v>900024.59</v>
      </c>
      <c r="K257" s="490">
        <v>84528.58</v>
      </c>
      <c r="L257" s="490">
        <v>80786.86</v>
      </c>
      <c r="M257" s="490">
        <v>1595809.21</v>
      </c>
      <c r="N257" s="300">
        <v>2.98E-2</v>
      </c>
      <c r="O257" s="492">
        <v>0.1555</v>
      </c>
      <c r="P257" s="490">
        <v>0</v>
      </c>
      <c r="Q257" s="493">
        <v>0</v>
      </c>
      <c r="R257" s="493">
        <v>0</v>
      </c>
      <c r="S257" s="494">
        <v>0</v>
      </c>
      <c r="T257" s="495">
        <v>0</v>
      </c>
      <c r="U257" s="495">
        <v>0</v>
      </c>
      <c r="V257" s="490">
        <v>0</v>
      </c>
      <c r="W257" s="495">
        <v>0</v>
      </c>
      <c r="X257" s="495">
        <v>0</v>
      </c>
      <c r="Y257" s="490">
        <v>2824.02</v>
      </c>
      <c r="Z257" s="490">
        <v>39128.1</v>
      </c>
      <c r="AA257" s="490">
        <v>0</v>
      </c>
      <c r="AB257" s="490">
        <v>544711.22</v>
      </c>
      <c r="AC257" s="490">
        <v>2287226.2400000002</v>
      </c>
      <c r="AD257" s="490">
        <v>233.34</v>
      </c>
      <c r="AE257" s="490">
        <v>2149654</v>
      </c>
      <c r="AF257" s="339">
        <v>9212.5396417245229</v>
      </c>
      <c r="AG257" s="339">
        <v>9802.1181109111185</v>
      </c>
      <c r="AH257" s="496">
        <v>589.58000000000004</v>
      </c>
      <c r="AI257" s="490">
        <v>57.02</v>
      </c>
      <c r="AJ257" s="490">
        <v>512917.42</v>
      </c>
      <c r="AK257" s="339">
        <v>8995.3949491406511</v>
      </c>
      <c r="AL257" s="339">
        <v>9552.9852683269019</v>
      </c>
      <c r="AM257" s="496">
        <v>557.59</v>
      </c>
      <c r="AN257" s="495">
        <v>0</v>
      </c>
      <c r="AO257" s="495">
        <v>0</v>
      </c>
      <c r="AP257" s="74"/>
      <c r="AQ257" s="303">
        <v>0</v>
      </c>
      <c r="AR257" s="303">
        <v>261080.64</v>
      </c>
      <c r="AS257" s="552">
        <v>84621.52</v>
      </c>
      <c r="AY257" s="67">
        <f t="shared" si="64"/>
        <v>0</v>
      </c>
      <c r="BA257" t="s">
        <v>869</v>
      </c>
      <c r="BB257" t="s">
        <v>535</v>
      </c>
      <c r="BC257" t="s">
        <v>1103</v>
      </c>
      <c r="BD257" s="491">
        <v>2.98E-2</v>
      </c>
      <c r="BE257" s="492">
        <v>0.1555</v>
      </c>
      <c r="BG257" s="510">
        <f t="shared" si="62"/>
        <v>0</v>
      </c>
      <c r="BH257" s="510">
        <f t="shared" si="63"/>
        <v>0</v>
      </c>
      <c r="BJ257" s="520">
        <f t="shared" si="65"/>
        <v>0</v>
      </c>
      <c r="BK257" s="520">
        <f t="shared" si="66"/>
        <v>0</v>
      </c>
      <c r="CB257" s="74"/>
      <c r="CC257" s="74"/>
      <c r="CD257" s="74"/>
      <c r="CE257" s="74"/>
      <c r="CF257" s="74"/>
    </row>
    <row r="258" spans="1:84">
      <c r="A258" s="283" t="s">
        <v>538</v>
      </c>
      <c r="B258" s="283" t="s">
        <v>537</v>
      </c>
      <c r="C258" s="283" t="str">
        <f t="shared" si="68"/>
        <v>28010 SHAW SCHOOL DISTRICT</v>
      </c>
      <c r="D258" s="490">
        <v>0</v>
      </c>
      <c r="E258" s="490">
        <v>0</v>
      </c>
      <c r="F258" s="490">
        <v>0</v>
      </c>
      <c r="G258" s="490">
        <v>12642.68</v>
      </c>
      <c r="H258" s="490">
        <v>0</v>
      </c>
      <c r="I258" s="490">
        <v>0</v>
      </c>
      <c r="J258" s="490">
        <v>0</v>
      </c>
      <c r="K258" s="490">
        <v>0</v>
      </c>
      <c r="L258" s="490">
        <v>360.51</v>
      </c>
      <c r="M258" s="490">
        <v>0</v>
      </c>
      <c r="N258" s="300">
        <v>7.6100000000000001E-2</v>
      </c>
      <c r="O258" s="492">
        <v>0.5403</v>
      </c>
      <c r="P258" s="490">
        <v>0</v>
      </c>
      <c r="Q258" s="493">
        <v>0</v>
      </c>
      <c r="R258" s="493">
        <v>0</v>
      </c>
      <c r="S258" s="494">
        <v>0</v>
      </c>
      <c r="T258" s="495">
        <v>0</v>
      </c>
      <c r="U258" s="495">
        <v>0</v>
      </c>
      <c r="V258" s="490">
        <v>0</v>
      </c>
      <c r="W258" s="495">
        <v>0</v>
      </c>
      <c r="X258" s="495">
        <v>0</v>
      </c>
      <c r="Y258" s="490">
        <v>0</v>
      </c>
      <c r="Z258" s="490">
        <v>0</v>
      </c>
      <c r="AA258" s="490">
        <v>0</v>
      </c>
      <c r="AB258" s="490">
        <v>0</v>
      </c>
      <c r="AC258" s="490">
        <v>0</v>
      </c>
      <c r="AD258" s="490">
        <v>0</v>
      </c>
      <c r="AE258" s="490">
        <v>0</v>
      </c>
      <c r="AF258" s="339">
        <v>0</v>
      </c>
      <c r="AG258" s="339">
        <v>0</v>
      </c>
      <c r="AH258" s="496">
        <v>0</v>
      </c>
      <c r="AI258" s="490">
        <v>0</v>
      </c>
      <c r="AJ258" s="490">
        <v>0</v>
      </c>
      <c r="AK258" s="339">
        <v>0</v>
      </c>
      <c r="AL258" s="339">
        <v>0</v>
      </c>
      <c r="AM258" s="496">
        <v>0</v>
      </c>
      <c r="AN258" s="495">
        <v>0</v>
      </c>
      <c r="AO258" s="495">
        <v>0</v>
      </c>
      <c r="AP258" s="74"/>
      <c r="AQ258" s="303">
        <v>11535.67</v>
      </c>
      <c r="AR258" s="303">
        <v>3667.29</v>
      </c>
      <c r="AS258" s="552"/>
      <c r="AY258" s="67">
        <f t="shared" si="64"/>
        <v>0</v>
      </c>
      <c r="BA258" t="s">
        <v>850</v>
      </c>
      <c r="BB258" t="s">
        <v>537</v>
      </c>
      <c r="BC258" t="s">
        <v>1104</v>
      </c>
      <c r="BD258" s="491">
        <v>7.6100000000000001E-2</v>
      </c>
      <c r="BE258" s="492">
        <v>0.5403</v>
      </c>
      <c r="BG258" s="510">
        <f t="shared" si="62"/>
        <v>0</v>
      </c>
      <c r="BH258" s="510">
        <f t="shared" si="63"/>
        <v>0</v>
      </c>
      <c r="BJ258" s="520">
        <f t="shared" si="65"/>
        <v>0</v>
      </c>
      <c r="BK258" s="520">
        <f t="shared" si="66"/>
        <v>0</v>
      </c>
      <c r="CB258" s="74"/>
      <c r="CC258" s="74"/>
      <c r="CD258" s="74"/>
      <c r="CE258" s="74"/>
      <c r="CF258" s="74"/>
    </row>
    <row r="259" spans="1:84">
      <c r="A259" s="283" t="s">
        <v>540</v>
      </c>
      <c r="B259" s="283" t="s">
        <v>539</v>
      </c>
      <c r="C259" s="283" t="str">
        <f t="shared" si="68"/>
        <v>23309 SHELTON SCHOOL DISTRICT</v>
      </c>
      <c r="D259" s="490">
        <v>0</v>
      </c>
      <c r="E259" s="490">
        <v>187582.32</v>
      </c>
      <c r="F259" s="490">
        <v>126933.57</v>
      </c>
      <c r="G259" s="490">
        <v>8248451.3600000003</v>
      </c>
      <c r="H259" s="490">
        <v>972292.46</v>
      </c>
      <c r="I259" s="490">
        <v>1324017.3799999999</v>
      </c>
      <c r="J259" s="490">
        <v>1932001.48</v>
      </c>
      <c r="K259" s="490">
        <v>1651883.87</v>
      </c>
      <c r="L259" s="490">
        <v>132048.5</v>
      </c>
      <c r="M259" s="490">
        <v>3516714.04</v>
      </c>
      <c r="N259" s="300">
        <v>9.7999999999999997E-3</v>
      </c>
      <c r="O259" s="492">
        <v>0.15140000000000001</v>
      </c>
      <c r="P259" s="490">
        <v>0</v>
      </c>
      <c r="Q259" s="493">
        <v>0</v>
      </c>
      <c r="R259" s="493">
        <v>0</v>
      </c>
      <c r="S259" s="494">
        <v>142005.05000000002</v>
      </c>
      <c r="T259" s="495">
        <v>13987.551000000001</v>
      </c>
      <c r="U259" s="495">
        <v>5589.3</v>
      </c>
      <c r="V259" s="490">
        <v>0</v>
      </c>
      <c r="W259" s="495">
        <v>0</v>
      </c>
      <c r="X259" s="495">
        <v>0</v>
      </c>
      <c r="Y259" s="490">
        <v>0</v>
      </c>
      <c r="Z259" s="490">
        <v>81142.27</v>
      </c>
      <c r="AA259" s="490">
        <v>327694.05</v>
      </c>
      <c r="AB259" s="490">
        <v>1202652.8799999999</v>
      </c>
      <c r="AC259" s="490">
        <v>5943129.4299999997</v>
      </c>
      <c r="AD259" s="490">
        <v>638.74</v>
      </c>
      <c r="AE259" s="490">
        <v>5651385.4100000001</v>
      </c>
      <c r="AF259" s="339">
        <v>8847.708629489307</v>
      </c>
      <c r="AG259" s="339">
        <v>9304.4578858377427</v>
      </c>
      <c r="AH259" s="496">
        <v>456.75</v>
      </c>
      <c r="AI259" s="490">
        <v>131.16999999999999</v>
      </c>
      <c r="AJ259" s="490">
        <v>1132098.48</v>
      </c>
      <c r="AK259" s="339">
        <v>8630.7728901425635</v>
      </c>
      <c r="AL259" s="339">
        <v>9168.6580773042624</v>
      </c>
      <c r="AM259" s="496">
        <v>537.89</v>
      </c>
      <c r="AN259" s="495">
        <v>3155.72</v>
      </c>
      <c r="AO259" s="495">
        <v>0</v>
      </c>
      <c r="AP259" s="74"/>
      <c r="AQ259" s="303">
        <v>449404.71999999991</v>
      </c>
      <c r="AR259" s="303">
        <v>485417.54999999993</v>
      </c>
      <c r="AS259" s="552">
        <v>136063.59999999998</v>
      </c>
      <c r="AY259" s="67">
        <f t="shared" si="64"/>
        <v>0</v>
      </c>
      <c r="BA259" t="s">
        <v>845</v>
      </c>
      <c r="BB259" t="s">
        <v>539</v>
      </c>
      <c r="BC259" t="s">
        <v>1105</v>
      </c>
      <c r="BD259" s="491">
        <v>9.7999999999999997E-3</v>
      </c>
      <c r="BE259" s="492">
        <v>0.15140000000000001</v>
      </c>
      <c r="BG259" s="510">
        <f t="shared" si="62"/>
        <v>0</v>
      </c>
      <c r="BH259" s="510">
        <f t="shared" si="63"/>
        <v>0</v>
      </c>
      <c r="BJ259" s="520">
        <f t="shared" si="65"/>
        <v>0</v>
      </c>
      <c r="BK259" s="520">
        <f t="shared" si="66"/>
        <v>0</v>
      </c>
      <c r="CB259" s="74"/>
      <c r="CC259" s="74"/>
      <c r="CD259" s="74"/>
      <c r="CE259" s="74"/>
      <c r="CF259" s="74"/>
    </row>
    <row r="260" spans="1:84">
      <c r="A260" s="283" t="s">
        <v>542</v>
      </c>
      <c r="B260" s="283" t="s">
        <v>541</v>
      </c>
      <c r="C260" s="283" t="str">
        <f t="shared" si="68"/>
        <v>17412 SHORELINE SCHOOL DISTRICT</v>
      </c>
      <c r="D260" s="490">
        <v>0</v>
      </c>
      <c r="E260" s="490">
        <v>136251.56</v>
      </c>
      <c r="F260" s="490">
        <v>0</v>
      </c>
      <c r="G260" s="490">
        <v>18736837.760000002</v>
      </c>
      <c r="H260" s="490">
        <v>2633562.2799999998</v>
      </c>
      <c r="I260" s="490">
        <v>0</v>
      </c>
      <c r="J260" s="490">
        <v>2020790.17</v>
      </c>
      <c r="K260" s="490">
        <v>1942921.97</v>
      </c>
      <c r="L260" s="490">
        <v>316409.40000000002</v>
      </c>
      <c r="M260" s="490">
        <v>5078048.13</v>
      </c>
      <c r="N260" s="300">
        <v>3.2099999999999997E-2</v>
      </c>
      <c r="O260" s="492">
        <v>0.12839999999999999</v>
      </c>
      <c r="P260" s="490">
        <v>0</v>
      </c>
      <c r="Q260" s="493">
        <v>0</v>
      </c>
      <c r="R260" s="493">
        <v>0</v>
      </c>
      <c r="S260" s="494">
        <v>0</v>
      </c>
      <c r="T260" s="495">
        <v>0</v>
      </c>
      <c r="U260" s="495">
        <v>0</v>
      </c>
      <c r="V260" s="490">
        <v>247410.21999999997</v>
      </c>
      <c r="W260" s="495">
        <v>24257.211000000003</v>
      </c>
      <c r="X260" s="495">
        <v>10570.5</v>
      </c>
      <c r="Y260" s="490">
        <v>10500.86</v>
      </c>
      <c r="Z260" s="490">
        <v>8305.06</v>
      </c>
      <c r="AA260" s="490">
        <v>335550.37</v>
      </c>
      <c r="AB260" s="490">
        <v>307582</v>
      </c>
      <c r="AC260" s="490">
        <v>4504269.8099999996</v>
      </c>
      <c r="AD260" s="490">
        <v>422.99</v>
      </c>
      <c r="AE260" s="490">
        <v>4205176.47</v>
      </c>
      <c r="AF260" s="339">
        <v>9941.5505567507498</v>
      </c>
      <c r="AG260" s="339">
        <v>10648.643726802051</v>
      </c>
      <c r="AH260" s="496">
        <v>707.09</v>
      </c>
      <c r="AI260" s="490">
        <v>29.78</v>
      </c>
      <c r="AJ260" s="490">
        <v>289577.52</v>
      </c>
      <c r="AK260" s="339">
        <v>9723.8925453324373</v>
      </c>
      <c r="AL260" s="339">
        <v>10328.475486903963</v>
      </c>
      <c r="AM260" s="496">
        <v>604.58000000000004</v>
      </c>
      <c r="AN260" s="495">
        <v>0</v>
      </c>
      <c r="AO260" s="495">
        <v>0</v>
      </c>
      <c r="AP260" s="74"/>
      <c r="AQ260" s="303">
        <v>326040.30000000028</v>
      </c>
      <c r="AR260" s="303">
        <v>1072409.56</v>
      </c>
      <c r="AS260" s="552">
        <v>282605.27</v>
      </c>
      <c r="AY260" s="67">
        <f t="shared" si="64"/>
        <v>0</v>
      </c>
      <c r="BA260" t="s">
        <v>856</v>
      </c>
      <c r="BB260" t="s">
        <v>541</v>
      </c>
      <c r="BC260" t="s">
        <v>1106</v>
      </c>
      <c r="BD260" s="491">
        <v>3.2099999999999997E-2</v>
      </c>
      <c r="BE260" s="492">
        <v>0.12839999999999999</v>
      </c>
      <c r="BG260" s="510">
        <f t="shared" si="62"/>
        <v>0</v>
      </c>
      <c r="BH260" s="510">
        <f t="shared" si="63"/>
        <v>0</v>
      </c>
      <c r="BJ260" s="520">
        <f t="shared" si="65"/>
        <v>0</v>
      </c>
      <c r="BK260" s="520">
        <f t="shared" si="66"/>
        <v>0</v>
      </c>
      <c r="CB260" s="74"/>
      <c r="CC260" s="74"/>
      <c r="CD260" s="74"/>
      <c r="CE260" s="74"/>
      <c r="CF260" s="74"/>
    </row>
    <row r="261" spans="1:84">
      <c r="A261" s="283" t="s">
        <v>544</v>
      </c>
      <c r="B261" s="285" t="s">
        <v>543</v>
      </c>
      <c r="C261" s="283" t="str">
        <f t="shared" si="68"/>
        <v>30002 SKAMANIA SCHOOL DISTRICT</v>
      </c>
      <c r="D261" s="490">
        <v>0</v>
      </c>
      <c r="E261" s="490">
        <v>0</v>
      </c>
      <c r="F261" s="490">
        <v>0</v>
      </c>
      <c r="G261" s="490">
        <v>0</v>
      </c>
      <c r="H261" s="490">
        <v>0</v>
      </c>
      <c r="I261" s="490">
        <v>0</v>
      </c>
      <c r="J261" s="490">
        <v>23394.3</v>
      </c>
      <c r="K261" s="490">
        <v>0</v>
      </c>
      <c r="L261" s="490">
        <v>2405.0100000000002</v>
      </c>
      <c r="M261" s="490">
        <v>126347.92</v>
      </c>
      <c r="N261" s="300">
        <v>0.1169</v>
      </c>
      <c r="O261" s="492">
        <v>0.40949999999999998</v>
      </c>
      <c r="P261" s="490">
        <v>0</v>
      </c>
      <c r="Q261" s="493">
        <v>0</v>
      </c>
      <c r="R261" s="493">
        <v>0</v>
      </c>
      <c r="S261" s="494">
        <v>0</v>
      </c>
      <c r="T261" s="495">
        <v>0</v>
      </c>
      <c r="U261" s="495">
        <v>0</v>
      </c>
      <c r="V261" s="490">
        <v>0</v>
      </c>
      <c r="W261" s="495">
        <v>0</v>
      </c>
      <c r="X261" s="495">
        <v>0</v>
      </c>
      <c r="Y261" s="490">
        <v>0</v>
      </c>
      <c r="Z261" s="490">
        <v>0</v>
      </c>
      <c r="AA261" s="490">
        <v>0</v>
      </c>
      <c r="AB261" s="490">
        <v>0</v>
      </c>
      <c r="AC261" s="490">
        <v>0</v>
      </c>
      <c r="AD261" s="490">
        <v>0</v>
      </c>
      <c r="AE261" s="490">
        <v>0</v>
      </c>
      <c r="AF261" s="339">
        <v>0</v>
      </c>
      <c r="AG261" s="339">
        <v>0</v>
      </c>
      <c r="AH261" s="496">
        <v>0</v>
      </c>
      <c r="AI261" s="490">
        <v>0</v>
      </c>
      <c r="AJ261" s="490">
        <v>0</v>
      </c>
      <c r="AK261" s="339">
        <v>0</v>
      </c>
      <c r="AL261" s="339">
        <v>0</v>
      </c>
      <c r="AM261" s="496">
        <v>0</v>
      </c>
      <c r="AN261" s="495">
        <v>24656.78</v>
      </c>
      <c r="AO261" s="495">
        <v>24870.95</v>
      </c>
      <c r="AP261" s="74"/>
      <c r="AQ261" s="303">
        <v>0</v>
      </c>
      <c r="AR261" s="303">
        <v>9167.23</v>
      </c>
      <c r="AS261" s="552">
        <v>12120.43</v>
      </c>
      <c r="AY261" s="67">
        <f t="shared" si="64"/>
        <v>0</v>
      </c>
      <c r="BA261" t="s">
        <v>859</v>
      </c>
      <c r="BB261" t="s">
        <v>543</v>
      </c>
      <c r="BC261" t="s">
        <v>1107</v>
      </c>
      <c r="BD261" s="491">
        <v>0.1169</v>
      </c>
      <c r="BE261" s="492">
        <v>0.40949999999999998</v>
      </c>
      <c r="BG261" s="510">
        <f t="shared" si="62"/>
        <v>0</v>
      </c>
      <c r="BH261" s="510">
        <f t="shared" si="63"/>
        <v>0</v>
      </c>
      <c r="BJ261" s="520">
        <f t="shared" si="65"/>
        <v>0</v>
      </c>
      <c r="BK261" s="520">
        <f t="shared" si="66"/>
        <v>0</v>
      </c>
      <c r="CB261" s="74"/>
      <c r="CC261" s="74"/>
      <c r="CD261" s="74"/>
      <c r="CE261" s="74"/>
      <c r="CF261" s="74"/>
    </row>
    <row r="262" spans="1:84">
      <c r="A262" s="283" t="s">
        <v>546</v>
      </c>
      <c r="B262" s="283" t="s">
        <v>545</v>
      </c>
      <c r="C262" s="283" t="str">
        <f t="shared" si="68"/>
        <v>17404 SKYKOMISH SCHOOL DISTRICT</v>
      </c>
      <c r="D262" s="490">
        <v>0</v>
      </c>
      <c r="E262" s="490">
        <v>0</v>
      </c>
      <c r="F262" s="490">
        <v>828.8</v>
      </c>
      <c r="G262" s="490">
        <v>89691.21</v>
      </c>
      <c r="H262" s="490">
        <v>14155.56</v>
      </c>
      <c r="I262" s="490">
        <v>12257.41</v>
      </c>
      <c r="J262" s="490">
        <v>20429.02</v>
      </c>
      <c r="K262" s="490">
        <v>0</v>
      </c>
      <c r="L262" s="490">
        <v>0</v>
      </c>
      <c r="M262" s="490">
        <v>37640.03</v>
      </c>
      <c r="N262" s="300">
        <v>4.5400000000000003E-2</v>
      </c>
      <c r="O262" s="492">
        <v>0.3382</v>
      </c>
      <c r="P262" s="490">
        <v>0</v>
      </c>
      <c r="Q262" s="493">
        <v>0</v>
      </c>
      <c r="R262" s="493">
        <v>0</v>
      </c>
      <c r="S262" s="494">
        <v>0</v>
      </c>
      <c r="T262" s="495">
        <v>0</v>
      </c>
      <c r="U262" s="495">
        <v>0</v>
      </c>
      <c r="V262" s="490">
        <v>0</v>
      </c>
      <c r="W262" s="495">
        <v>0</v>
      </c>
      <c r="X262" s="495">
        <v>0</v>
      </c>
      <c r="Y262" s="490">
        <v>0</v>
      </c>
      <c r="Z262" s="490">
        <v>0</v>
      </c>
      <c r="AA262" s="490">
        <v>0</v>
      </c>
      <c r="AB262" s="490">
        <v>0</v>
      </c>
      <c r="AC262" s="490">
        <v>9247.69</v>
      </c>
      <c r="AD262" s="490">
        <v>0.91</v>
      </c>
      <c r="AE262" s="490">
        <v>8989.74</v>
      </c>
      <c r="AF262" s="339">
        <v>9878.8351648351636</v>
      </c>
      <c r="AG262" s="339">
        <v>10162.296703296703</v>
      </c>
      <c r="AH262" s="496">
        <v>283.45999999999998</v>
      </c>
      <c r="AI262" s="490">
        <v>0</v>
      </c>
      <c r="AJ262" s="490">
        <v>0</v>
      </c>
      <c r="AK262" s="339">
        <v>0</v>
      </c>
      <c r="AL262" s="339">
        <v>0</v>
      </c>
      <c r="AM262" s="496">
        <v>0</v>
      </c>
      <c r="AN262" s="495">
        <v>0</v>
      </c>
      <c r="AO262" s="495">
        <v>0</v>
      </c>
      <c r="AP262" s="74"/>
      <c r="AQ262" s="303">
        <v>33413.199999999997</v>
      </c>
      <c r="AR262" s="303">
        <v>23382.21</v>
      </c>
      <c r="AS262" s="552">
        <v>11103.78</v>
      </c>
      <c r="AY262" s="67">
        <f t="shared" si="64"/>
        <v>0</v>
      </c>
      <c r="BA262" t="s">
        <v>856</v>
      </c>
      <c r="BB262" t="s">
        <v>545</v>
      </c>
      <c r="BC262" t="s">
        <v>1108</v>
      </c>
      <c r="BD262" s="491">
        <v>4.5400000000000003E-2</v>
      </c>
      <c r="BE262" s="492">
        <v>0.3382</v>
      </c>
      <c r="BG262" s="510">
        <f t="shared" si="62"/>
        <v>0</v>
      </c>
      <c r="BH262" s="510">
        <f t="shared" si="63"/>
        <v>0</v>
      </c>
      <c r="BJ262" s="520">
        <f t="shared" si="65"/>
        <v>0</v>
      </c>
      <c r="BK262" s="520">
        <f t="shared" si="66"/>
        <v>0</v>
      </c>
      <c r="CB262" s="74"/>
      <c r="CC262" s="74"/>
      <c r="CD262" s="74"/>
      <c r="CE262" s="74"/>
      <c r="CF262" s="74"/>
    </row>
    <row r="263" spans="1:84">
      <c r="A263" s="283" t="s">
        <v>548</v>
      </c>
      <c r="B263" s="283" t="s">
        <v>547</v>
      </c>
      <c r="C263" s="283" t="str">
        <f t="shared" si="68"/>
        <v>31201 SNOHOMISH SCHOOL DISTRICT</v>
      </c>
      <c r="D263" s="490">
        <v>0</v>
      </c>
      <c r="E263" s="490">
        <v>135244.96</v>
      </c>
      <c r="F263" s="490">
        <v>0</v>
      </c>
      <c r="G263" s="490">
        <v>17762158.800000001</v>
      </c>
      <c r="H263" s="490">
        <v>2738248.04</v>
      </c>
      <c r="I263" s="490">
        <v>0</v>
      </c>
      <c r="J263" s="490">
        <v>1506024.09</v>
      </c>
      <c r="K263" s="490">
        <v>1120330.99</v>
      </c>
      <c r="L263" s="490">
        <v>334424.48</v>
      </c>
      <c r="M263" s="490">
        <v>6630921.1500000004</v>
      </c>
      <c r="N263" s="300">
        <v>5.11E-2</v>
      </c>
      <c r="O263" s="492">
        <v>0.15640000000000001</v>
      </c>
      <c r="P263" s="490">
        <v>0</v>
      </c>
      <c r="Q263" s="493">
        <v>0</v>
      </c>
      <c r="R263" s="493">
        <v>0</v>
      </c>
      <c r="S263" s="494">
        <v>0</v>
      </c>
      <c r="T263" s="495">
        <v>0</v>
      </c>
      <c r="U263" s="495">
        <v>0</v>
      </c>
      <c r="V263" s="490">
        <v>0</v>
      </c>
      <c r="W263" s="495">
        <v>0</v>
      </c>
      <c r="X263" s="495">
        <v>0</v>
      </c>
      <c r="Y263" s="490">
        <v>10765.93</v>
      </c>
      <c r="Z263" s="490">
        <v>87285.22</v>
      </c>
      <c r="AA263" s="490">
        <v>163807.63</v>
      </c>
      <c r="AB263" s="490">
        <v>1235452.3700000001</v>
      </c>
      <c r="AC263" s="490">
        <v>4707958.93</v>
      </c>
      <c r="AD263" s="490">
        <v>427.17</v>
      </c>
      <c r="AE263" s="490">
        <v>4321578.26</v>
      </c>
      <c r="AF263" s="339">
        <v>10116.7644263408</v>
      </c>
      <c r="AG263" s="339">
        <v>11021.277079382915</v>
      </c>
      <c r="AH263" s="496">
        <v>904.51</v>
      </c>
      <c r="AI263" s="490">
        <v>117.51</v>
      </c>
      <c r="AJ263" s="490">
        <v>1162849.25</v>
      </c>
      <c r="AK263" s="339">
        <v>9895.7471704535783</v>
      </c>
      <c r="AL263" s="339">
        <v>10513.593481405838</v>
      </c>
      <c r="AM263" s="496">
        <v>617.85</v>
      </c>
      <c r="AN263" s="495">
        <v>0</v>
      </c>
      <c r="AO263" s="495">
        <v>0</v>
      </c>
      <c r="AP263" s="74"/>
      <c r="AQ263" s="303">
        <v>0</v>
      </c>
      <c r="AR263" s="303">
        <v>1103363.08</v>
      </c>
      <c r="AS263" s="552">
        <v>279526.3</v>
      </c>
      <c r="AY263" s="67">
        <f t="shared" si="64"/>
        <v>0</v>
      </c>
      <c r="BA263" t="s">
        <v>850</v>
      </c>
      <c r="BB263" t="s">
        <v>547</v>
      </c>
      <c r="BC263" t="s">
        <v>1109</v>
      </c>
      <c r="BD263" s="491">
        <v>5.11E-2</v>
      </c>
      <c r="BE263" s="492">
        <v>0.15640000000000001</v>
      </c>
      <c r="BG263" s="510">
        <f t="shared" ref="BG263:BG326" si="69">+N263-BD263</f>
        <v>0</v>
      </c>
      <c r="BH263" s="510">
        <f t="shared" ref="BH263:BH326" si="70">+O263-BE263</f>
        <v>0</v>
      </c>
      <c r="BJ263" s="520">
        <f t="shared" si="65"/>
        <v>0</v>
      </c>
      <c r="BK263" s="520">
        <f t="shared" si="66"/>
        <v>0</v>
      </c>
      <c r="CB263" s="74"/>
      <c r="CC263" s="74"/>
      <c r="CD263" s="74"/>
      <c r="CE263" s="74"/>
      <c r="CF263" s="74"/>
    </row>
    <row r="264" spans="1:84">
      <c r="A264" s="283" t="s">
        <v>550</v>
      </c>
      <c r="B264" s="283" t="s">
        <v>549</v>
      </c>
      <c r="C264" s="283" t="str">
        <f t="shared" si="68"/>
        <v>17410 SNOQUALMIE VALLEY SCHOOL DISTRICT</v>
      </c>
      <c r="D264" s="490">
        <v>0</v>
      </c>
      <c r="E264" s="490">
        <v>0</v>
      </c>
      <c r="F264" s="490">
        <v>0</v>
      </c>
      <c r="G264" s="490">
        <v>12891549.73</v>
      </c>
      <c r="H264" s="490">
        <v>1483443.72</v>
      </c>
      <c r="I264" s="490">
        <v>0</v>
      </c>
      <c r="J264" s="490">
        <v>661419.43000000005</v>
      </c>
      <c r="K264" s="490">
        <v>592935.94999999995</v>
      </c>
      <c r="L264" s="490">
        <v>244186.83</v>
      </c>
      <c r="M264" s="490">
        <v>4049951.05</v>
      </c>
      <c r="N264" s="300">
        <v>3.0599999999999999E-2</v>
      </c>
      <c r="O264" s="492">
        <v>0.16789999999999999</v>
      </c>
      <c r="P264" s="490">
        <v>0</v>
      </c>
      <c r="Q264" s="493">
        <v>0</v>
      </c>
      <c r="R264" s="493">
        <v>0</v>
      </c>
      <c r="S264" s="494">
        <v>0</v>
      </c>
      <c r="T264" s="495">
        <v>0</v>
      </c>
      <c r="U264" s="495">
        <v>0</v>
      </c>
      <c r="V264" s="490">
        <v>0</v>
      </c>
      <c r="W264" s="495">
        <v>0</v>
      </c>
      <c r="X264" s="495">
        <v>0</v>
      </c>
      <c r="Y264" s="490">
        <v>1955</v>
      </c>
      <c r="Z264" s="490">
        <v>15539.46</v>
      </c>
      <c r="AA264" s="490">
        <v>310153.03000000003</v>
      </c>
      <c r="AB264" s="490">
        <v>449983.37</v>
      </c>
      <c r="AC264" s="490">
        <v>4813736.6100000003</v>
      </c>
      <c r="AD264" s="490">
        <v>430.96</v>
      </c>
      <c r="AE264" s="490">
        <v>4284621.4800000004</v>
      </c>
      <c r="AF264" s="339">
        <v>9942.039818080566</v>
      </c>
      <c r="AG264" s="339">
        <v>11169.799076480416</v>
      </c>
      <c r="AH264" s="496">
        <v>1227.76</v>
      </c>
      <c r="AI264" s="490">
        <v>43.58</v>
      </c>
      <c r="AJ264" s="490">
        <v>423584.98</v>
      </c>
      <c r="AK264" s="339">
        <v>9719.7104176227622</v>
      </c>
      <c r="AL264" s="339">
        <v>10325.455943093162</v>
      </c>
      <c r="AM264" s="496">
        <v>605.75</v>
      </c>
      <c r="AN264" s="495">
        <v>29130.11</v>
      </c>
      <c r="AO264" s="495">
        <v>0</v>
      </c>
      <c r="AP264" s="74"/>
      <c r="AQ264" s="303">
        <v>0</v>
      </c>
      <c r="AR264" s="303">
        <v>766613.84000000008</v>
      </c>
      <c r="AS264" s="552">
        <v>205718.1</v>
      </c>
      <c r="AY264" s="67">
        <f t="shared" ref="AY264:AY327" si="71">+BB264-B264</f>
        <v>0</v>
      </c>
      <c r="BA264" t="s">
        <v>856</v>
      </c>
      <c r="BB264" t="s">
        <v>549</v>
      </c>
      <c r="BC264" t="s">
        <v>1110</v>
      </c>
      <c r="BD264" s="491">
        <v>3.0599999999999999E-2</v>
      </c>
      <c r="BE264" s="492">
        <v>0.16789999999999999</v>
      </c>
      <c r="BG264" s="510">
        <f t="shared" si="69"/>
        <v>0</v>
      </c>
      <c r="BH264" s="510">
        <f t="shared" si="70"/>
        <v>0</v>
      </c>
      <c r="BJ264" s="520">
        <f t="shared" ref="BJ264:BJ327" si="72">+BG264-0</f>
        <v>0</v>
      </c>
      <c r="BK264" s="520">
        <f t="shared" ref="BK264:BK327" si="73">+BH264-0</f>
        <v>0</v>
      </c>
      <c r="CB264" s="74"/>
      <c r="CC264" s="74"/>
      <c r="CD264" s="74"/>
      <c r="CE264" s="74"/>
      <c r="CF264" s="74"/>
    </row>
    <row r="265" spans="1:84">
      <c r="A265" s="283" t="s">
        <v>552</v>
      </c>
      <c r="B265" s="283" t="s">
        <v>551</v>
      </c>
      <c r="C265" s="283" t="str">
        <f t="shared" si="68"/>
        <v>13156 SOAP LAKE SCHOOL DISTRICT</v>
      </c>
      <c r="D265" s="490">
        <v>0</v>
      </c>
      <c r="E265" s="490">
        <v>29025.71</v>
      </c>
      <c r="F265" s="490">
        <v>11244.84</v>
      </c>
      <c r="G265" s="490">
        <v>1035998.23</v>
      </c>
      <c r="H265" s="490">
        <v>188842.21</v>
      </c>
      <c r="I265" s="490">
        <v>150022.06</v>
      </c>
      <c r="J265" s="490">
        <v>275733.05</v>
      </c>
      <c r="K265" s="490">
        <v>213949.73</v>
      </c>
      <c r="L265" s="490">
        <v>14960.67</v>
      </c>
      <c r="M265" s="490">
        <v>407898.34</v>
      </c>
      <c r="N265" s="300">
        <v>5.4100000000000002E-2</v>
      </c>
      <c r="O265" s="492">
        <v>0.2291</v>
      </c>
      <c r="P265" s="490">
        <v>0</v>
      </c>
      <c r="Q265" s="493">
        <v>0</v>
      </c>
      <c r="R265" s="493">
        <v>0</v>
      </c>
      <c r="S265" s="494">
        <v>0</v>
      </c>
      <c r="T265" s="495">
        <v>0</v>
      </c>
      <c r="U265" s="495">
        <v>0</v>
      </c>
      <c r="V265" s="490">
        <v>0</v>
      </c>
      <c r="W265" s="495">
        <v>0</v>
      </c>
      <c r="X265" s="495">
        <v>0</v>
      </c>
      <c r="Y265" s="490">
        <v>0</v>
      </c>
      <c r="Z265" s="490">
        <v>0</v>
      </c>
      <c r="AA265" s="490">
        <v>0</v>
      </c>
      <c r="AB265" s="490">
        <v>0</v>
      </c>
      <c r="AC265" s="490">
        <v>183285.59</v>
      </c>
      <c r="AD265" s="490">
        <v>18.41</v>
      </c>
      <c r="AE265" s="490">
        <v>162898.53</v>
      </c>
      <c r="AF265" s="339">
        <v>8848.372080391091</v>
      </c>
      <c r="AG265" s="339">
        <v>9955.7626290059743</v>
      </c>
      <c r="AH265" s="496">
        <v>1107.3900000000001</v>
      </c>
      <c r="AI265" s="490">
        <v>0</v>
      </c>
      <c r="AJ265" s="490">
        <v>0</v>
      </c>
      <c r="AK265" s="339">
        <v>0</v>
      </c>
      <c r="AL265" s="339">
        <v>0</v>
      </c>
      <c r="AM265" s="496">
        <v>0</v>
      </c>
      <c r="AN265" s="495">
        <v>166.62</v>
      </c>
      <c r="AO265" s="495">
        <v>0</v>
      </c>
      <c r="AP265" s="74"/>
      <c r="AQ265" s="303">
        <v>38031.410000000018</v>
      </c>
      <c r="AR265" s="303">
        <v>62809.67</v>
      </c>
      <c r="AS265" s="552">
        <v>15556.25</v>
      </c>
      <c r="AY265" s="67">
        <f t="shared" si="71"/>
        <v>0</v>
      </c>
      <c r="BA265" t="s">
        <v>871</v>
      </c>
      <c r="BB265" t="s">
        <v>551</v>
      </c>
      <c r="BC265" t="s">
        <v>1111</v>
      </c>
      <c r="BD265" s="491">
        <v>5.4100000000000002E-2</v>
      </c>
      <c r="BE265" s="492">
        <v>0.2291</v>
      </c>
      <c r="BG265" s="510">
        <f t="shared" si="69"/>
        <v>0</v>
      </c>
      <c r="BH265" s="510">
        <f t="shared" si="70"/>
        <v>0</v>
      </c>
      <c r="BJ265" s="520">
        <f t="shared" si="72"/>
        <v>0</v>
      </c>
      <c r="BK265" s="520">
        <f t="shared" si="73"/>
        <v>0</v>
      </c>
      <c r="CB265" s="74"/>
      <c r="CC265" s="74"/>
      <c r="CD265" s="74"/>
      <c r="CE265" s="74"/>
      <c r="CF265" s="74"/>
    </row>
    <row r="266" spans="1:84">
      <c r="A266" s="283" t="s">
        <v>554</v>
      </c>
      <c r="B266" s="283" t="s">
        <v>553</v>
      </c>
      <c r="C266" s="283" t="str">
        <f t="shared" si="68"/>
        <v>25118 SOUTH BEND SCHOOL DISTRICT</v>
      </c>
      <c r="D266" s="490">
        <v>0</v>
      </c>
      <c r="E266" s="490">
        <v>0</v>
      </c>
      <c r="F266" s="490">
        <v>0</v>
      </c>
      <c r="G266" s="490">
        <v>902857.41</v>
      </c>
      <c r="H266" s="490">
        <v>196833.3</v>
      </c>
      <c r="I266" s="490">
        <v>167995.61</v>
      </c>
      <c r="J266" s="490">
        <v>251733.68</v>
      </c>
      <c r="K266" s="490">
        <v>139536.88</v>
      </c>
      <c r="L266" s="490">
        <v>15999.6</v>
      </c>
      <c r="M266" s="490">
        <v>573580.23</v>
      </c>
      <c r="N266" s="300">
        <v>4.1000000000000002E-2</v>
      </c>
      <c r="O266" s="492">
        <v>0.1547</v>
      </c>
      <c r="P266" s="490">
        <v>0</v>
      </c>
      <c r="Q266" s="493">
        <v>0</v>
      </c>
      <c r="R266" s="493">
        <v>0</v>
      </c>
      <c r="S266" s="494">
        <v>0</v>
      </c>
      <c r="T266" s="495">
        <v>0</v>
      </c>
      <c r="U266" s="495">
        <v>0</v>
      </c>
      <c r="V266" s="490">
        <v>0</v>
      </c>
      <c r="W266" s="495">
        <v>0</v>
      </c>
      <c r="X266" s="495">
        <v>0</v>
      </c>
      <c r="Y266" s="490">
        <v>0</v>
      </c>
      <c r="Z266" s="490">
        <v>0</v>
      </c>
      <c r="AA266" s="490">
        <v>0</v>
      </c>
      <c r="AB266" s="490">
        <v>23533.24</v>
      </c>
      <c r="AC266" s="490">
        <v>304523.40000000002</v>
      </c>
      <c r="AD266" s="490">
        <v>32.93</v>
      </c>
      <c r="AE266" s="490">
        <v>291272.7</v>
      </c>
      <c r="AF266" s="339">
        <v>8845.2080170057707</v>
      </c>
      <c r="AG266" s="339">
        <v>9247.5979350136658</v>
      </c>
      <c r="AH266" s="496">
        <v>402.39</v>
      </c>
      <c r="AI266" s="490">
        <v>2.56</v>
      </c>
      <c r="AJ266" s="490">
        <v>22072.92</v>
      </c>
      <c r="AK266" s="339">
        <v>8622.234375</v>
      </c>
      <c r="AL266" s="339">
        <v>9192.671875</v>
      </c>
      <c r="AM266" s="496">
        <v>570.44000000000005</v>
      </c>
      <c r="AN266" s="495">
        <v>0</v>
      </c>
      <c r="AO266" s="495">
        <v>0</v>
      </c>
      <c r="AP266" s="74"/>
      <c r="AQ266" s="303">
        <v>17896.709999999985</v>
      </c>
      <c r="AR266" s="303">
        <v>63905.34</v>
      </c>
      <c r="AS266" s="552">
        <v>25975.8</v>
      </c>
      <c r="AY266" s="67">
        <f t="shared" si="71"/>
        <v>0</v>
      </c>
      <c r="BA266" t="s">
        <v>845</v>
      </c>
      <c r="BB266" t="s">
        <v>553</v>
      </c>
      <c r="BC266" t="s">
        <v>1112</v>
      </c>
      <c r="BD266" s="491">
        <v>4.1000000000000002E-2</v>
      </c>
      <c r="BE266" s="492">
        <v>0.1547</v>
      </c>
      <c r="BG266" s="510">
        <f t="shared" si="69"/>
        <v>0</v>
      </c>
      <c r="BH266" s="510">
        <f t="shared" si="70"/>
        <v>0</v>
      </c>
      <c r="BJ266" s="520">
        <f t="shared" si="72"/>
        <v>0</v>
      </c>
      <c r="BK266" s="520">
        <f t="shared" si="73"/>
        <v>0</v>
      </c>
      <c r="CB266" s="74"/>
      <c r="CC266" s="74"/>
      <c r="CD266" s="74"/>
      <c r="CE266" s="74"/>
      <c r="CF266" s="74"/>
    </row>
    <row r="267" spans="1:84">
      <c r="A267" s="283" t="s">
        <v>556</v>
      </c>
      <c r="B267" s="283" t="s">
        <v>555</v>
      </c>
      <c r="C267" s="283" t="str">
        <f t="shared" si="68"/>
        <v>18402 SOUTH KITSAP SCHOOL DISTRICT</v>
      </c>
      <c r="D267" s="490">
        <v>0</v>
      </c>
      <c r="E267" s="490">
        <v>229036.76</v>
      </c>
      <c r="F267" s="490">
        <v>0</v>
      </c>
      <c r="G267" s="490">
        <v>19035230.34</v>
      </c>
      <c r="H267" s="490">
        <v>3998924.4</v>
      </c>
      <c r="I267" s="490">
        <v>470348.05</v>
      </c>
      <c r="J267" s="490">
        <v>2729076.16</v>
      </c>
      <c r="K267" s="490">
        <v>529887.81000000006</v>
      </c>
      <c r="L267" s="490">
        <v>317130.42</v>
      </c>
      <c r="M267" s="490">
        <v>7547265.9500000002</v>
      </c>
      <c r="N267" s="300">
        <v>4.2200000000000001E-2</v>
      </c>
      <c r="O267" s="492">
        <v>0.14610000000000001</v>
      </c>
      <c r="P267" s="490">
        <v>0</v>
      </c>
      <c r="Q267" s="493">
        <v>0</v>
      </c>
      <c r="R267" s="493">
        <v>0</v>
      </c>
      <c r="S267" s="494">
        <v>0</v>
      </c>
      <c r="T267" s="495">
        <v>0</v>
      </c>
      <c r="U267" s="495">
        <v>0</v>
      </c>
      <c r="V267" s="490">
        <v>0</v>
      </c>
      <c r="W267" s="495">
        <v>0</v>
      </c>
      <c r="X267" s="495">
        <v>0</v>
      </c>
      <c r="Y267" s="490">
        <v>10431.52</v>
      </c>
      <c r="Z267" s="490">
        <v>165142.9</v>
      </c>
      <c r="AA267" s="490">
        <v>0</v>
      </c>
      <c r="AB267" s="490">
        <v>3437249.1</v>
      </c>
      <c r="AC267" s="490">
        <v>7110502.9900000002</v>
      </c>
      <c r="AD267" s="490">
        <v>673.94</v>
      </c>
      <c r="AE267" s="490">
        <v>6700283.2800000003</v>
      </c>
      <c r="AF267" s="339">
        <v>9941.9581565124481</v>
      </c>
      <c r="AG267" s="339">
        <v>10550.646927026144</v>
      </c>
      <c r="AH267" s="496">
        <v>608.69000000000005</v>
      </c>
      <c r="AI267" s="490">
        <v>332.95</v>
      </c>
      <c r="AJ267" s="490">
        <v>3236879.17</v>
      </c>
      <c r="AK267" s="339">
        <v>9721.8176002402761</v>
      </c>
      <c r="AL267" s="339">
        <v>10323.619462381739</v>
      </c>
      <c r="AM267" s="496">
        <v>601.79999999999995</v>
      </c>
      <c r="AN267" s="495">
        <v>0</v>
      </c>
      <c r="AO267" s="495">
        <v>0</v>
      </c>
      <c r="AP267" s="74"/>
      <c r="AQ267" s="303">
        <v>1175718.6600000001</v>
      </c>
      <c r="AR267" s="303">
        <v>1076705.1200000001</v>
      </c>
      <c r="AS267" s="552">
        <v>279671.53999999998</v>
      </c>
      <c r="AY267" s="67">
        <f t="shared" si="71"/>
        <v>0</v>
      </c>
      <c r="BA267" t="s">
        <v>869</v>
      </c>
      <c r="BB267" t="s">
        <v>555</v>
      </c>
      <c r="BC267" t="s">
        <v>1113</v>
      </c>
      <c r="BD267" s="491">
        <v>4.2200000000000001E-2</v>
      </c>
      <c r="BE267" s="492">
        <v>0.14610000000000001</v>
      </c>
      <c r="BG267" s="510">
        <f t="shared" si="69"/>
        <v>0</v>
      </c>
      <c r="BH267" s="510">
        <f t="shared" si="70"/>
        <v>0</v>
      </c>
      <c r="BJ267" s="520">
        <f t="shared" si="72"/>
        <v>0</v>
      </c>
      <c r="BK267" s="520">
        <f t="shared" si="73"/>
        <v>0</v>
      </c>
      <c r="CB267" s="74"/>
      <c r="CC267" s="74"/>
      <c r="CD267" s="74"/>
      <c r="CE267" s="74"/>
      <c r="CF267" s="74"/>
    </row>
    <row r="268" spans="1:84">
      <c r="A268" s="283" t="s">
        <v>558</v>
      </c>
      <c r="B268" s="283" t="s">
        <v>557</v>
      </c>
      <c r="C268" s="283" t="str">
        <f t="shared" si="68"/>
        <v>15206 SOUTH WHIDBEY SCHOOL DISTRICT</v>
      </c>
      <c r="D268" s="490">
        <v>0</v>
      </c>
      <c r="E268" s="490">
        <v>0</v>
      </c>
      <c r="F268" s="490">
        <v>0</v>
      </c>
      <c r="G268" s="490">
        <v>2229694.87</v>
      </c>
      <c r="H268" s="490">
        <v>372263.78</v>
      </c>
      <c r="I268" s="490">
        <v>9513.65</v>
      </c>
      <c r="J268" s="490">
        <v>295045.33</v>
      </c>
      <c r="K268" s="490">
        <v>17495.98</v>
      </c>
      <c r="L268" s="490">
        <v>40006.15</v>
      </c>
      <c r="M268" s="490">
        <v>839928.74</v>
      </c>
      <c r="N268" s="300">
        <v>4.0800000000000003E-2</v>
      </c>
      <c r="O268" s="492">
        <v>0.18290000000000001</v>
      </c>
      <c r="P268" s="490">
        <v>0</v>
      </c>
      <c r="Q268" s="493">
        <v>0</v>
      </c>
      <c r="R268" s="493">
        <v>0</v>
      </c>
      <c r="S268" s="494">
        <v>0</v>
      </c>
      <c r="T268" s="495">
        <v>0</v>
      </c>
      <c r="U268" s="495">
        <v>0</v>
      </c>
      <c r="V268" s="490">
        <v>0</v>
      </c>
      <c r="W268" s="495">
        <v>0</v>
      </c>
      <c r="X268" s="495">
        <v>0</v>
      </c>
      <c r="Y268" s="490">
        <v>1325.33</v>
      </c>
      <c r="Z268" s="490">
        <v>0</v>
      </c>
      <c r="AA268" s="490">
        <v>28524.76</v>
      </c>
      <c r="AB268" s="490">
        <v>0</v>
      </c>
      <c r="AC268" s="490">
        <v>638029.79</v>
      </c>
      <c r="AD268" s="490">
        <v>58.87</v>
      </c>
      <c r="AE268" s="490">
        <v>590326.17000000004</v>
      </c>
      <c r="AF268" s="339">
        <v>10027.623067776458</v>
      </c>
      <c r="AG268" s="339">
        <v>10837.944453881435</v>
      </c>
      <c r="AH268" s="496">
        <v>810.32</v>
      </c>
      <c r="AI268" s="490">
        <v>0</v>
      </c>
      <c r="AJ268" s="490">
        <v>0</v>
      </c>
      <c r="AK268" s="339">
        <v>0</v>
      </c>
      <c r="AL268" s="339">
        <v>0</v>
      </c>
      <c r="AM268" s="496">
        <v>0</v>
      </c>
      <c r="AN268" s="495">
        <v>0</v>
      </c>
      <c r="AO268" s="495">
        <v>0</v>
      </c>
      <c r="AP268" s="74"/>
      <c r="AQ268" s="303">
        <v>0</v>
      </c>
      <c r="AR268" s="303">
        <v>127376.13</v>
      </c>
      <c r="AS268" s="552">
        <v>44536.78</v>
      </c>
      <c r="AY268" s="67">
        <f t="shared" si="71"/>
        <v>0</v>
      </c>
      <c r="BA268" t="s">
        <v>850</v>
      </c>
      <c r="BB268" t="s">
        <v>557</v>
      </c>
      <c r="BC268" t="s">
        <v>1114</v>
      </c>
      <c r="BD268" s="491">
        <v>4.0800000000000003E-2</v>
      </c>
      <c r="BE268" s="492">
        <v>0.18290000000000001</v>
      </c>
      <c r="BG268" s="510">
        <f t="shared" si="69"/>
        <v>0</v>
      </c>
      <c r="BH268" s="510">
        <f t="shared" si="70"/>
        <v>0</v>
      </c>
      <c r="BJ268" s="520">
        <f t="shared" si="72"/>
        <v>0</v>
      </c>
      <c r="BK268" s="520">
        <f t="shared" si="73"/>
        <v>0</v>
      </c>
      <c r="CB268" s="74"/>
      <c r="CC268" s="74"/>
      <c r="CD268" s="74"/>
      <c r="CE268" s="74"/>
      <c r="CF268" s="74"/>
    </row>
    <row r="269" spans="1:84">
      <c r="A269" s="283" t="s">
        <v>560</v>
      </c>
      <c r="B269" s="283" t="s">
        <v>559</v>
      </c>
      <c r="C269" s="283" t="str">
        <f t="shared" si="68"/>
        <v>23042 SOUTHSIDE SCHOOL DISTRICT</v>
      </c>
      <c r="D269" s="490">
        <v>0</v>
      </c>
      <c r="E269" s="490">
        <v>0</v>
      </c>
      <c r="F269" s="490">
        <v>0</v>
      </c>
      <c r="G269" s="490">
        <v>506172.69</v>
      </c>
      <c r="H269" s="490">
        <v>36046.239999999998</v>
      </c>
      <c r="I269" s="490">
        <v>0</v>
      </c>
      <c r="J269" s="490">
        <v>63998.32</v>
      </c>
      <c r="K269" s="490">
        <v>14290.54</v>
      </c>
      <c r="L269" s="490">
        <v>6337.5</v>
      </c>
      <c r="M269" s="490">
        <v>150104.39000000001</v>
      </c>
      <c r="N269" s="300">
        <v>4.3499999999999997E-2</v>
      </c>
      <c r="O269" s="492">
        <v>0.34100000000000003</v>
      </c>
      <c r="P269" s="490">
        <v>0</v>
      </c>
      <c r="Q269" s="493">
        <v>0</v>
      </c>
      <c r="R269" s="493">
        <v>0</v>
      </c>
      <c r="S269" s="494">
        <v>0</v>
      </c>
      <c r="T269" s="495">
        <v>0</v>
      </c>
      <c r="U269" s="495">
        <v>0</v>
      </c>
      <c r="V269" s="490">
        <v>0</v>
      </c>
      <c r="W269" s="495">
        <v>0</v>
      </c>
      <c r="X269" s="495">
        <v>0</v>
      </c>
      <c r="Y269" s="490">
        <v>235.99</v>
      </c>
      <c r="Z269" s="490">
        <v>0</v>
      </c>
      <c r="AA269" s="490">
        <v>0</v>
      </c>
      <c r="AB269" s="490">
        <v>0</v>
      </c>
      <c r="AC269" s="490">
        <v>0</v>
      </c>
      <c r="AD269" s="490">
        <v>0</v>
      </c>
      <c r="AE269" s="490">
        <v>0</v>
      </c>
      <c r="AF269" s="339">
        <v>0</v>
      </c>
      <c r="AG269" s="339">
        <v>0</v>
      </c>
      <c r="AH269" s="496">
        <v>0</v>
      </c>
      <c r="AI269" s="490">
        <v>0</v>
      </c>
      <c r="AJ269" s="490">
        <v>0</v>
      </c>
      <c r="AK269" s="339">
        <v>0</v>
      </c>
      <c r="AL269" s="339">
        <v>0</v>
      </c>
      <c r="AM269" s="496">
        <v>0</v>
      </c>
      <c r="AN269" s="495">
        <v>0</v>
      </c>
      <c r="AO269" s="495">
        <v>0</v>
      </c>
      <c r="AP269" s="74"/>
      <c r="AQ269" s="303">
        <v>32274.030000000006</v>
      </c>
      <c r="AR269" s="303">
        <v>23815.27</v>
      </c>
      <c r="AS269" s="552">
        <v>15635.099999999999</v>
      </c>
      <c r="AY269" s="67">
        <f t="shared" si="71"/>
        <v>0</v>
      </c>
      <c r="BA269" t="s">
        <v>845</v>
      </c>
      <c r="BB269" t="s">
        <v>559</v>
      </c>
      <c r="BC269" t="s">
        <v>1115</v>
      </c>
      <c r="BD269" s="491">
        <v>4.3499999999999997E-2</v>
      </c>
      <c r="BE269" s="492">
        <v>0.34100000000000003</v>
      </c>
      <c r="BG269" s="510">
        <f t="shared" si="69"/>
        <v>0</v>
      </c>
      <c r="BH269" s="510">
        <f t="shared" si="70"/>
        <v>0</v>
      </c>
      <c r="BJ269" s="520">
        <f t="shared" si="72"/>
        <v>0</v>
      </c>
      <c r="BK269" s="520">
        <f t="shared" si="73"/>
        <v>0</v>
      </c>
      <c r="CB269" s="74"/>
      <c r="CC269" s="74"/>
      <c r="CD269" s="74"/>
      <c r="CE269" s="74"/>
      <c r="CF269" s="74"/>
    </row>
    <row r="270" spans="1:84">
      <c r="A270" s="283" t="s">
        <v>562</v>
      </c>
      <c r="B270" s="283" t="s">
        <v>561</v>
      </c>
      <c r="C270" s="283" t="str">
        <f t="shared" si="68"/>
        <v>32081 SPOKANE SCHOOL DISTRICT</v>
      </c>
      <c r="D270" s="490">
        <v>0</v>
      </c>
      <c r="E270" s="490">
        <v>906641.23</v>
      </c>
      <c r="F270" s="490">
        <v>445945.43</v>
      </c>
      <c r="G270" s="490">
        <v>52295687.159999996</v>
      </c>
      <c r="H270" s="490">
        <v>10179748.27</v>
      </c>
      <c r="I270" s="490">
        <v>5523300.6500000004</v>
      </c>
      <c r="J270" s="490">
        <v>11518857.289999999</v>
      </c>
      <c r="K270" s="490">
        <v>3784731.3</v>
      </c>
      <c r="L270" s="490">
        <v>866416.62</v>
      </c>
      <c r="M270" s="490">
        <v>12256273.890000001</v>
      </c>
      <c r="N270" s="300">
        <v>2.7799999999999998E-2</v>
      </c>
      <c r="O270" s="492">
        <v>0.1147</v>
      </c>
      <c r="P270" s="490">
        <v>0</v>
      </c>
      <c r="Q270" s="493">
        <v>0</v>
      </c>
      <c r="R270" s="493">
        <v>0</v>
      </c>
      <c r="S270" s="494">
        <v>0</v>
      </c>
      <c r="T270" s="495">
        <v>0</v>
      </c>
      <c r="U270" s="495">
        <v>0</v>
      </c>
      <c r="V270" s="490">
        <v>0</v>
      </c>
      <c r="W270" s="495">
        <v>0</v>
      </c>
      <c r="X270" s="495">
        <v>0</v>
      </c>
      <c r="Y270" s="490">
        <v>1592.63</v>
      </c>
      <c r="Z270" s="490">
        <v>187619.98</v>
      </c>
      <c r="AA270" s="490">
        <v>0</v>
      </c>
      <c r="AB270" s="490">
        <v>2451125.69</v>
      </c>
      <c r="AC270" s="490">
        <v>10713757.34</v>
      </c>
      <c r="AD270" s="490">
        <v>1133.8800000000001</v>
      </c>
      <c r="AE270" s="490">
        <v>10135553.609999999</v>
      </c>
      <c r="AF270" s="339">
        <v>8938.8238702508188</v>
      </c>
      <c r="AG270" s="339">
        <v>9448.7576639503295</v>
      </c>
      <c r="AH270" s="496">
        <v>509.93</v>
      </c>
      <c r="AI270" s="490">
        <v>264.57</v>
      </c>
      <c r="AJ270" s="490">
        <v>2307368.77</v>
      </c>
      <c r="AK270" s="339">
        <v>8721.2033488301768</v>
      </c>
      <c r="AL270" s="339">
        <v>9264.5639717277099</v>
      </c>
      <c r="AM270" s="496">
        <v>543.36</v>
      </c>
      <c r="AN270" s="495">
        <v>0</v>
      </c>
      <c r="AO270" s="495">
        <v>0</v>
      </c>
      <c r="AP270" s="74"/>
      <c r="AQ270" s="303">
        <v>54301.780000000261</v>
      </c>
      <c r="AR270" s="303">
        <v>3018244.88</v>
      </c>
      <c r="AS270" s="552">
        <v>842339.27</v>
      </c>
      <c r="AY270" s="67">
        <f t="shared" si="71"/>
        <v>0</v>
      </c>
      <c r="BA270" t="s">
        <v>848</v>
      </c>
      <c r="BB270" t="s">
        <v>561</v>
      </c>
      <c r="BC270" t="s">
        <v>1116</v>
      </c>
      <c r="BD270" s="491">
        <v>2.7799999999999998E-2</v>
      </c>
      <c r="BE270" s="492">
        <v>0.1147</v>
      </c>
      <c r="BG270" s="510">
        <f t="shared" si="69"/>
        <v>0</v>
      </c>
      <c r="BH270" s="510">
        <f t="shared" si="70"/>
        <v>0</v>
      </c>
      <c r="BJ270" s="520">
        <f t="shared" si="72"/>
        <v>0</v>
      </c>
      <c r="BK270" s="520">
        <f t="shared" si="73"/>
        <v>0</v>
      </c>
      <c r="CB270" s="74"/>
      <c r="CC270" s="74"/>
      <c r="CD270" s="74"/>
      <c r="CE270" s="74"/>
      <c r="CF270" s="74"/>
    </row>
    <row r="271" spans="1:84">
      <c r="A271" s="283" t="s">
        <v>1117</v>
      </c>
      <c r="B271" s="283" t="s">
        <v>563</v>
      </c>
      <c r="C271" s="286" t="str">
        <f>CONCATENATE(B271," ",A271," CHARTER")</f>
        <v>32901 SPOKANE INT'L CHARTER</v>
      </c>
      <c r="D271" s="490">
        <v>11563.78</v>
      </c>
      <c r="E271" s="490">
        <v>23167.57</v>
      </c>
      <c r="F271" s="490">
        <v>0</v>
      </c>
      <c r="G271" s="490">
        <v>1082576.1499999999</v>
      </c>
      <c r="H271" s="490">
        <v>69675.289999999994</v>
      </c>
      <c r="I271" s="490">
        <v>0</v>
      </c>
      <c r="J271" s="490">
        <v>235549.13</v>
      </c>
      <c r="K271" s="490">
        <v>70731.039999999994</v>
      </c>
      <c r="L271" s="490">
        <v>23049.71</v>
      </c>
      <c r="M271" s="490">
        <v>523971.72</v>
      </c>
      <c r="N271" s="300">
        <v>1.67E-2</v>
      </c>
      <c r="O271" s="492">
        <v>0.42970000000000003</v>
      </c>
      <c r="P271" s="490">
        <v>0</v>
      </c>
      <c r="Q271" s="493">
        <v>0</v>
      </c>
      <c r="R271" s="493">
        <v>0</v>
      </c>
      <c r="S271" s="494">
        <v>0</v>
      </c>
      <c r="T271" s="495">
        <v>0</v>
      </c>
      <c r="U271" s="495">
        <v>0</v>
      </c>
      <c r="V271" s="490">
        <v>0</v>
      </c>
      <c r="W271" s="495">
        <v>0</v>
      </c>
      <c r="X271" s="495">
        <v>0</v>
      </c>
      <c r="Y271" s="490">
        <v>0</v>
      </c>
      <c r="Z271" s="490">
        <v>0</v>
      </c>
      <c r="AA271" s="490">
        <v>0</v>
      </c>
      <c r="AB271" s="490">
        <v>0</v>
      </c>
      <c r="AC271" s="490">
        <v>5363.67</v>
      </c>
      <c r="AD271" s="490">
        <v>0</v>
      </c>
      <c r="AE271" s="490">
        <v>0</v>
      </c>
      <c r="AF271" s="339">
        <v>0</v>
      </c>
      <c r="AG271" s="339">
        <v>0</v>
      </c>
      <c r="AH271" s="496">
        <v>0</v>
      </c>
      <c r="AI271" s="490">
        <v>0</v>
      </c>
      <c r="AJ271" s="490">
        <v>0</v>
      </c>
      <c r="AK271" s="339">
        <v>0</v>
      </c>
      <c r="AL271" s="339">
        <v>0</v>
      </c>
      <c r="AM271" s="496">
        <v>0</v>
      </c>
      <c r="AN271" s="495">
        <v>0</v>
      </c>
      <c r="AO271" s="495">
        <v>0</v>
      </c>
      <c r="AP271" s="74"/>
      <c r="AQ271" s="303">
        <v>0</v>
      </c>
      <c r="AR271" s="303">
        <v>92057.98000000001</v>
      </c>
      <c r="AS271" s="552">
        <v>31320.43</v>
      </c>
      <c r="AY271" s="67">
        <f t="shared" si="71"/>
        <v>0</v>
      </c>
      <c r="BA271" t="s">
        <v>848</v>
      </c>
      <c r="BB271" t="s">
        <v>563</v>
      </c>
      <c r="BC271" t="s">
        <v>1118</v>
      </c>
      <c r="BD271" s="491">
        <v>1.67E-2</v>
      </c>
      <c r="BE271" s="492">
        <v>0.42970000000000003</v>
      </c>
      <c r="BG271" s="510">
        <f t="shared" si="69"/>
        <v>0</v>
      </c>
      <c r="BH271" s="510">
        <f t="shared" si="70"/>
        <v>0</v>
      </c>
      <c r="BJ271" s="520">
        <f t="shared" si="72"/>
        <v>0</v>
      </c>
      <c r="BK271" s="520">
        <f t="shared" si="73"/>
        <v>0</v>
      </c>
      <c r="CB271" s="74"/>
      <c r="CC271" s="74"/>
      <c r="CD271" s="74"/>
      <c r="CE271" s="74"/>
      <c r="CF271" s="74"/>
    </row>
    <row r="272" spans="1:84">
      <c r="A272" s="283" t="s">
        <v>566</v>
      </c>
      <c r="B272" s="283" t="s">
        <v>565</v>
      </c>
      <c r="C272" s="283" t="str">
        <f t="shared" ref="C272:C282" si="74">CONCATENATE(B272," ",A272," SCHOOL DISTRICT")</f>
        <v>22008 SPRAGUE SCHOOL DISTRICT</v>
      </c>
      <c r="D272" s="490">
        <v>0</v>
      </c>
      <c r="E272" s="490">
        <v>0</v>
      </c>
      <c r="F272" s="490">
        <v>590.92999999999995</v>
      </c>
      <c r="G272" s="490">
        <v>112601.98</v>
      </c>
      <c r="H272" s="490">
        <v>14644.69</v>
      </c>
      <c r="I272" s="490">
        <v>10804.93</v>
      </c>
      <c r="J272" s="490">
        <v>29090.15</v>
      </c>
      <c r="K272" s="490">
        <v>0</v>
      </c>
      <c r="L272" s="490">
        <v>1870.08</v>
      </c>
      <c r="M272" s="490">
        <v>165699.63</v>
      </c>
      <c r="N272" s="300">
        <v>4.82E-2</v>
      </c>
      <c r="O272" s="492">
        <v>0.1943</v>
      </c>
      <c r="P272" s="490">
        <v>0</v>
      </c>
      <c r="Q272" s="493">
        <v>0</v>
      </c>
      <c r="R272" s="493">
        <v>0</v>
      </c>
      <c r="S272" s="494">
        <v>0</v>
      </c>
      <c r="T272" s="495">
        <v>0</v>
      </c>
      <c r="U272" s="495">
        <v>0</v>
      </c>
      <c r="V272" s="490">
        <v>0</v>
      </c>
      <c r="W272" s="495">
        <v>0</v>
      </c>
      <c r="X272" s="495">
        <v>0</v>
      </c>
      <c r="Y272" s="490">
        <v>0</v>
      </c>
      <c r="Z272" s="490">
        <v>0</v>
      </c>
      <c r="AA272" s="490">
        <v>0</v>
      </c>
      <c r="AB272" s="490">
        <v>0</v>
      </c>
      <c r="AC272" s="490">
        <v>51832.68</v>
      </c>
      <c r="AD272" s="490">
        <v>5.65</v>
      </c>
      <c r="AE272" s="490">
        <v>50007.03</v>
      </c>
      <c r="AF272" s="339">
        <v>8850.8017699115044</v>
      </c>
      <c r="AG272" s="339">
        <v>9173.9256637168128</v>
      </c>
      <c r="AH272" s="496">
        <v>323.12</v>
      </c>
      <c r="AI272" s="490">
        <v>0</v>
      </c>
      <c r="AJ272" s="490">
        <v>0</v>
      </c>
      <c r="AK272" s="339">
        <v>0</v>
      </c>
      <c r="AL272" s="339">
        <v>0</v>
      </c>
      <c r="AM272" s="496">
        <v>0</v>
      </c>
      <c r="AN272" s="495">
        <v>0.32</v>
      </c>
      <c r="AO272" s="495">
        <v>0</v>
      </c>
      <c r="AP272" s="74"/>
      <c r="AQ272" s="303">
        <v>13177.650000000001</v>
      </c>
      <c r="AR272" s="303">
        <v>19031.84</v>
      </c>
      <c r="AS272" s="552">
        <v>6486.18</v>
      </c>
      <c r="AY272" s="67">
        <f t="shared" si="71"/>
        <v>0</v>
      </c>
      <c r="BA272" t="s">
        <v>848</v>
      </c>
      <c r="BB272" t="s">
        <v>565</v>
      </c>
      <c r="BC272" t="s">
        <v>1119</v>
      </c>
      <c r="BD272" s="491">
        <v>4.82E-2</v>
      </c>
      <c r="BE272" s="492">
        <v>0.1943</v>
      </c>
      <c r="BG272" s="510">
        <f t="shared" si="69"/>
        <v>0</v>
      </c>
      <c r="BH272" s="510">
        <f t="shared" si="70"/>
        <v>0</v>
      </c>
      <c r="BJ272" s="520">
        <f t="shared" si="72"/>
        <v>0</v>
      </c>
      <c r="BK272" s="520">
        <f t="shared" si="73"/>
        <v>0</v>
      </c>
      <c r="CB272" s="74"/>
      <c r="CC272" s="74"/>
      <c r="CD272" s="74"/>
      <c r="CE272" s="74"/>
      <c r="CF272" s="74"/>
    </row>
    <row r="273" spans="1:84">
      <c r="A273" s="283" t="s">
        <v>568</v>
      </c>
      <c r="B273" s="283" t="s">
        <v>567</v>
      </c>
      <c r="C273" s="283" t="str">
        <f t="shared" si="74"/>
        <v>38322 ST JOHN SCHOOL DISTRICT</v>
      </c>
      <c r="D273" s="490">
        <v>0</v>
      </c>
      <c r="E273" s="490">
        <v>0</v>
      </c>
      <c r="F273" s="490">
        <v>0</v>
      </c>
      <c r="G273" s="490">
        <v>216882.88</v>
      </c>
      <c r="H273" s="490">
        <v>27828.18</v>
      </c>
      <c r="I273" s="490">
        <v>21505.93</v>
      </c>
      <c r="J273" s="490">
        <v>46336.43</v>
      </c>
      <c r="K273" s="490">
        <v>0</v>
      </c>
      <c r="L273" s="490">
        <v>3947.95</v>
      </c>
      <c r="M273" s="490">
        <v>417171.74</v>
      </c>
      <c r="N273" s="300">
        <v>3.5400000000000001E-2</v>
      </c>
      <c r="O273" s="492">
        <v>0.22420000000000001</v>
      </c>
      <c r="P273" s="490">
        <v>0</v>
      </c>
      <c r="Q273" s="493">
        <v>0</v>
      </c>
      <c r="R273" s="493">
        <v>0</v>
      </c>
      <c r="S273" s="494">
        <v>0</v>
      </c>
      <c r="T273" s="495">
        <v>0</v>
      </c>
      <c r="U273" s="495">
        <v>0</v>
      </c>
      <c r="V273" s="490">
        <v>0</v>
      </c>
      <c r="W273" s="495">
        <v>0</v>
      </c>
      <c r="X273" s="495">
        <v>0</v>
      </c>
      <c r="Y273" s="490">
        <v>157.69999999999999</v>
      </c>
      <c r="Z273" s="490">
        <v>0</v>
      </c>
      <c r="AA273" s="490">
        <v>0</v>
      </c>
      <c r="AB273" s="490">
        <v>0</v>
      </c>
      <c r="AC273" s="490">
        <v>103186.93</v>
      </c>
      <c r="AD273" s="490">
        <v>11.25</v>
      </c>
      <c r="AE273" s="490">
        <v>99470.43</v>
      </c>
      <c r="AF273" s="339">
        <v>8841.8159999999989</v>
      </c>
      <c r="AG273" s="339">
        <v>9172.1715555555547</v>
      </c>
      <c r="AH273" s="496">
        <v>330.36</v>
      </c>
      <c r="AI273" s="490">
        <v>0</v>
      </c>
      <c r="AJ273" s="490">
        <v>0</v>
      </c>
      <c r="AK273" s="339">
        <v>0</v>
      </c>
      <c r="AL273" s="339">
        <v>0</v>
      </c>
      <c r="AM273" s="496">
        <v>0</v>
      </c>
      <c r="AN273" s="495">
        <v>0</v>
      </c>
      <c r="AO273" s="495">
        <v>0</v>
      </c>
      <c r="AP273" s="74"/>
      <c r="AQ273" s="303">
        <v>5717.2099999999991</v>
      </c>
      <c r="AR273" s="303">
        <v>24284.949999999997</v>
      </c>
      <c r="AS273" s="552">
        <v>14327.99</v>
      </c>
      <c r="AY273" s="67">
        <f t="shared" si="71"/>
        <v>0</v>
      </c>
      <c r="BA273" t="s">
        <v>848</v>
      </c>
      <c r="BB273" t="s">
        <v>567</v>
      </c>
      <c r="BC273" t="s">
        <v>1120</v>
      </c>
      <c r="BD273" s="491">
        <v>3.5400000000000001E-2</v>
      </c>
      <c r="BE273" s="492">
        <v>0.22420000000000001</v>
      </c>
      <c r="BG273" s="510">
        <f t="shared" si="69"/>
        <v>0</v>
      </c>
      <c r="BH273" s="510">
        <f t="shared" si="70"/>
        <v>0</v>
      </c>
      <c r="BJ273" s="520">
        <f t="shared" si="72"/>
        <v>0</v>
      </c>
      <c r="BK273" s="520">
        <f t="shared" si="73"/>
        <v>0</v>
      </c>
      <c r="CB273" s="74"/>
      <c r="CC273" s="74"/>
      <c r="CD273" s="74"/>
      <c r="CE273" s="74"/>
      <c r="CF273" s="74"/>
    </row>
    <row r="274" spans="1:84">
      <c r="A274" s="283" t="s">
        <v>570</v>
      </c>
      <c r="B274" s="283" t="s">
        <v>569</v>
      </c>
      <c r="C274" s="283" t="str">
        <f t="shared" si="74"/>
        <v>31401 STANWOOD SCHOOL DISTRICT</v>
      </c>
      <c r="D274" s="490">
        <v>0</v>
      </c>
      <c r="E274" s="490">
        <v>101743.69</v>
      </c>
      <c r="F274" s="490">
        <v>0</v>
      </c>
      <c r="G274" s="490">
        <v>10291616.710000001</v>
      </c>
      <c r="H274" s="490">
        <v>1773067.96</v>
      </c>
      <c r="I274" s="490">
        <v>0</v>
      </c>
      <c r="J274" s="490">
        <v>1081488.73</v>
      </c>
      <c r="K274" s="490">
        <v>277901.02</v>
      </c>
      <c r="L274" s="490">
        <v>162073.70000000001</v>
      </c>
      <c r="M274" s="490">
        <v>3581028.78</v>
      </c>
      <c r="N274" s="300">
        <v>5.3199999999999997E-2</v>
      </c>
      <c r="O274" s="492">
        <v>0.1447</v>
      </c>
      <c r="P274" s="490">
        <v>0</v>
      </c>
      <c r="Q274" s="493">
        <v>0</v>
      </c>
      <c r="R274" s="493">
        <v>0</v>
      </c>
      <c r="S274" s="494">
        <v>0</v>
      </c>
      <c r="T274" s="495">
        <v>0</v>
      </c>
      <c r="U274" s="495">
        <v>0</v>
      </c>
      <c r="V274" s="490">
        <v>0</v>
      </c>
      <c r="W274" s="495">
        <v>0</v>
      </c>
      <c r="X274" s="495">
        <v>0</v>
      </c>
      <c r="Y274" s="490">
        <v>5441.12</v>
      </c>
      <c r="Z274" s="490">
        <v>1476.82</v>
      </c>
      <c r="AA274" s="490">
        <v>119628.69</v>
      </c>
      <c r="AB274" s="490">
        <v>774766.57</v>
      </c>
      <c r="AC274" s="490">
        <v>3952432.7</v>
      </c>
      <c r="AD274" s="490">
        <v>379.06</v>
      </c>
      <c r="AE274" s="490">
        <v>3731250.51</v>
      </c>
      <c r="AF274" s="339">
        <v>9843.4298264127046</v>
      </c>
      <c r="AG274" s="339">
        <v>10426.93162032396</v>
      </c>
      <c r="AH274" s="496">
        <v>583.5</v>
      </c>
      <c r="AI274" s="490">
        <v>75.77</v>
      </c>
      <c r="AJ274" s="490">
        <v>729196.52</v>
      </c>
      <c r="AK274" s="339">
        <v>9623.8157582156527</v>
      </c>
      <c r="AL274" s="339">
        <v>10225.241784347367</v>
      </c>
      <c r="AM274" s="496">
        <v>601.42999999999995</v>
      </c>
      <c r="AN274" s="495">
        <v>0</v>
      </c>
      <c r="AO274" s="495">
        <v>0</v>
      </c>
      <c r="AP274" s="74"/>
      <c r="AQ274" s="303">
        <v>1.0000000009313226E-2</v>
      </c>
      <c r="AR274" s="303">
        <v>542546.99</v>
      </c>
      <c r="AS274" s="552">
        <v>149192.81</v>
      </c>
      <c r="AY274" s="67">
        <f t="shared" si="71"/>
        <v>0</v>
      </c>
      <c r="BA274" t="s">
        <v>850</v>
      </c>
      <c r="BB274" t="s">
        <v>569</v>
      </c>
      <c r="BC274" t="s">
        <v>1121</v>
      </c>
      <c r="BD274" s="491">
        <v>5.3199999999999997E-2</v>
      </c>
      <c r="BE274" s="492">
        <v>0.1447</v>
      </c>
      <c r="BG274" s="510">
        <f t="shared" si="69"/>
        <v>0</v>
      </c>
      <c r="BH274" s="510">
        <f t="shared" si="70"/>
        <v>0</v>
      </c>
      <c r="BJ274" s="520">
        <f t="shared" si="72"/>
        <v>0</v>
      </c>
      <c r="BK274" s="520">
        <f t="shared" si="73"/>
        <v>0</v>
      </c>
      <c r="CB274" s="74"/>
      <c r="CC274" s="74"/>
      <c r="CD274" s="74"/>
      <c r="CE274" s="74"/>
      <c r="CF274" s="74"/>
    </row>
    <row r="275" spans="1:84">
      <c r="A275" s="283" t="s">
        <v>572</v>
      </c>
      <c r="B275" s="283" t="s">
        <v>571</v>
      </c>
      <c r="C275" s="283" t="str">
        <f t="shared" si="74"/>
        <v>11054 STAR SCHOOL DISTRICT</v>
      </c>
      <c r="D275" s="490">
        <v>1094.98</v>
      </c>
      <c r="E275" s="490">
        <v>0</v>
      </c>
      <c r="F275" s="490">
        <v>0</v>
      </c>
      <c r="G275" s="490">
        <v>0</v>
      </c>
      <c r="H275" s="490">
        <v>0</v>
      </c>
      <c r="I275" s="490">
        <v>0</v>
      </c>
      <c r="J275" s="490">
        <v>0</v>
      </c>
      <c r="K275" s="490">
        <v>0</v>
      </c>
      <c r="L275" s="490">
        <v>0</v>
      </c>
      <c r="M275" s="490">
        <v>113100.9</v>
      </c>
      <c r="N275" s="300">
        <v>4.2599999999999999E-2</v>
      </c>
      <c r="O275" s="492">
        <v>0.22370000000000001</v>
      </c>
      <c r="P275" s="490">
        <v>0</v>
      </c>
      <c r="Q275" s="493">
        <v>0</v>
      </c>
      <c r="R275" s="493">
        <v>0</v>
      </c>
      <c r="S275" s="494">
        <v>0</v>
      </c>
      <c r="T275" s="495">
        <v>0</v>
      </c>
      <c r="U275" s="495">
        <v>0</v>
      </c>
      <c r="V275" s="490">
        <v>0</v>
      </c>
      <c r="W275" s="495">
        <v>0</v>
      </c>
      <c r="X275" s="495">
        <v>0</v>
      </c>
      <c r="Y275" s="490">
        <v>0</v>
      </c>
      <c r="Z275" s="490">
        <v>0</v>
      </c>
      <c r="AA275" s="490">
        <v>0</v>
      </c>
      <c r="AB275" s="490">
        <v>0</v>
      </c>
      <c r="AC275" s="490">
        <v>0</v>
      </c>
      <c r="AD275" s="490">
        <v>0</v>
      </c>
      <c r="AE275" s="490">
        <v>0</v>
      </c>
      <c r="AF275" s="339">
        <v>0</v>
      </c>
      <c r="AG275" s="339">
        <v>0</v>
      </c>
      <c r="AH275" s="496">
        <v>0</v>
      </c>
      <c r="AI275" s="490">
        <v>0</v>
      </c>
      <c r="AJ275" s="490">
        <v>0</v>
      </c>
      <c r="AK275" s="339">
        <v>0</v>
      </c>
      <c r="AL275" s="339">
        <v>0</v>
      </c>
      <c r="AM275" s="496">
        <v>0</v>
      </c>
      <c r="AN275" s="495">
        <v>0</v>
      </c>
      <c r="AO275" s="495">
        <v>0</v>
      </c>
      <c r="AP275" s="74"/>
      <c r="AQ275" s="303">
        <v>3770.9799999999996</v>
      </c>
      <c r="AR275" s="303">
        <v>2933.41</v>
      </c>
      <c r="AS275" s="552"/>
      <c r="AY275" s="67">
        <f t="shared" si="71"/>
        <v>0</v>
      </c>
      <c r="BA275" t="s">
        <v>854</v>
      </c>
      <c r="BB275" t="s">
        <v>571</v>
      </c>
      <c r="BC275" t="s">
        <v>1122</v>
      </c>
      <c r="BD275" s="491">
        <v>4.2599999999999999E-2</v>
      </c>
      <c r="BE275" s="492">
        <v>0.22370000000000001</v>
      </c>
      <c r="BG275" s="510">
        <f t="shared" si="69"/>
        <v>0</v>
      </c>
      <c r="BH275" s="510">
        <f t="shared" si="70"/>
        <v>0</v>
      </c>
      <c r="BJ275" s="520">
        <f t="shared" si="72"/>
        <v>0</v>
      </c>
      <c r="BK275" s="520">
        <f t="shared" si="73"/>
        <v>0</v>
      </c>
      <c r="CB275" s="74"/>
      <c r="CC275" s="74"/>
      <c r="CD275" s="74"/>
      <c r="CE275" s="74"/>
      <c r="CF275" s="74"/>
    </row>
    <row r="276" spans="1:84">
      <c r="A276" s="283" t="s">
        <v>574</v>
      </c>
      <c r="B276" s="283" t="s">
        <v>573</v>
      </c>
      <c r="C276" s="283" t="str">
        <f t="shared" si="74"/>
        <v>07035 STARBUCK SCHOOL DISTRICT</v>
      </c>
      <c r="D276" s="490">
        <v>0</v>
      </c>
      <c r="E276" s="490">
        <v>17431.18</v>
      </c>
      <c r="F276" s="490">
        <v>0</v>
      </c>
      <c r="G276" s="490">
        <v>1101695.44</v>
      </c>
      <c r="H276" s="490">
        <v>0</v>
      </c>
      <c r="I276" s="490">
        <v>7688.12</v>
      </c>
      <c r="J276" s="490">
        <v>231266.67</v>
      </c>
      <c r="K276" s="490">
        <v>0</v>
      </c>
      <c r="L276" s="490">
        <v>0</v>
      </c>
      <c r="M276" s="490">
        <v>58302.21</v>
      </c>
      <c r="N276" s="300">
        <v>0</v>
      </c>
      <c r="O276" s="492">
        <v>6.59E-2</v>
      </c>
      <c r="P276" s="490">
        <v>0</v>
      </c>
      <c r="Q276" s="493">
        <v>0</v>
      </c>
      <c r="R276" s="493">
        <v>0</v>
      </c>
      <c r="S276" s="494">
        <v>0</v>
      </c>
      <c r="T276" s="495">
        <v>0</v>
      </c>
      <c r="U276" s="495">
        <v>0</v>
      </c>
      <c r="V276" s="490">
        <v>0</v>
      </c>
      <c r="W276" s="495">
        <v>0</v>
      </c>
      <c r="X276" s="495">
        <v>0</v>
      </c>
      <c r="Y276" s="490">
        <v>27.96</v>
      </c>
      <c r="Z276" s="490">
        <v>0</v>
      </c>
      <c r="AA276" s="490">
        <v>0</v>
      </c>
      <c r="AB276" s="490">
        <v>0</v>
      </c>
      <c r="AC276" s="490">
        <v>0</v>
      </c>
      <c r="AD276" s="490">
        <v>0</v>
      </c>
      <c r="AE276" s="490">
        <v>0</v>
      </c>
      <c r="AF276" s="339">
        <v>0</v>
      </c>
      <c r="AG276" s="339">
        <v>0</v>
      </c>
      <c r="AH276" s="496">
        <v>0</v>
      </c>
      <c r="AI276" s="490">
        <v>0</v>
      </c>
      <c r="AJ276" s="490">
        <v>0</v>
      </c>
      <c r="AK276" s="339">
        <v>0</v>
      </c>
      <c r="AL276" s="339">
        <v>0</v>
      </c>
      <c r="AM276" s="496">
        <v>0</v>
      </c>
      <c r="AN276" s="495">
        <v>0</v>
      </c>
      <c r="AO276" s="495">
        <v>0</v>
      </c>
      <c r="AP276" s="74"/>
      <c r="AQ276" s="303">
        <v>25743.03</v>
      </c>
      <c r="AR276" s="303">
        <v>13648.61</v>
      </c>
      <c r="AS276" s="552">
        <v>10639.560000000001</v>
      </c>
      <c r="AY276" s="67">
        <f t="shared" si="71"/>
        <v>0</v>
      </c>
      <c r="BA276" t="s">
        <v>854</v>
      </c>
      <c r="BB276" t="s">
        <v>573</v>
      </c>
      <c r="BC276" t="s">
        <v>1123</v>
      </c>
      <c r="BD276" s="491">
        <v>0</v>
      </c>
      <c r="BE276" s="492">
        <v>6.59E-2</v>
      </c>
      <c r="BG276" s="510">
        <f t="shared" si="69"/>
        <v>0</v>
      </c>
      <c r="BH276" s="510">
        <f t="shared" si="70"/>
        <v>0</v>
      </c>
      <c r="BJ276" s="520">
        <f t="shared" si="72"/>
        <v>0</v>
      </c>
      <c r="BK276" s="520">
        <f t="shared" si="73"/>
        <v>0</v>
      </c>
      <c r="CB276" s="74"/>
      <c r="CC276" s="74"/>
      <c r="CD276" s="74"/>
      <c r="CE276" s="74"/>
      <c r="CF276" s="74"/>
    </row>
    <row r="277" spans="1:84">
      <c r="A277" s="283" t="s">
        <v>576</v>
      </c>
      <c r="B277" s="283" t="s">
        <v>575</v>
      </c>
      <c r="C277" s="283" t="str">
        <f t="shared" si="74"/>
        <v>04069 STEHEKIN SCHOOL DISTRICT</v>
      </c>
      <c r="D277" s="490">
        <v>0</v>
      </c>
      <c r="E277" s="490">
        <v>0</v>
      </c>
      <c r="F277" s="490">
        <v>0</v>
      </c>
      <c r="G277" s="490">
        <v>0</v>
      </c>
      <c r="H277" s="490">
        <v>0</v>
      </c>
      <c r="I277" s="490">
        <v>0</v>
      </c>
      <c r="J277" s="490">
        <v>0</v>
      </c>
      <c r="K277" s="490">
        <v>0</v>
      </c>
      <c r="L277" s="490">
        <v>0</v>
      </c>
      <c r="M277" s="490">
        <v>0</v>
      </c>
      <c r="N277" s="300">
        <v>9.7699999999999995E-2</v>
      </c>
      <c r="O277" s="492">
        <v>0.72540000000000004</v>
      </c>
      <c r="P277" s="490">
        <v>0</v>
      </c>
      <c r="Q277" s="493">
        <v>0</v>
      </c>
      <c r="R277" s="493">
        <v>0</v>
      </c>
      <c r="S277" s="494">
        <v>0</v>
      </c>
      <c r="T277" s="495">
        <v>0</v>
      </c>
      <c r="U277" s="495">
        <v>0</v>
      </c>
      <c r="V277" s="490">
        <v>0</v>
      </c>
      <c r="W277" s="495">
        <v>0</v>
      </c>
      <c r="X277" s="495">
        <v>0</v>
      </c>
      <c r="Y277" s="490">
        <v>0</v>
      </c>
      <c r="Z277" s="490">
        <v>0</v>
      </c>
      <c r="AA277" s="490">
        <v>0</v>
      </c>
      <c r="AB277" s="490">
        <v>0</v>
      </c>
      <c r="AC277" s="490">
        <v>0</v>
      </c>
      <c r="AD277" s="490">
        <v>0</v>
      </c>
      <c r="AE277" s="490">
        <v>0</v>
      </c>
      <c r="AF277" s="339">
        <v>0</v>
      </c>
      <c r="AG277" s="339">
        <v>0</v>
      </c>
      <c r="AH277" s="496">
        <v>0</v>
      </c>
      <c r="AI277" s="490">
        <v>0</v>
      </c>
      <c r="AJ277" s="490">
        <v>0</v>
      </c>
      <c r="AK277" s="339">
        <v>0</v>
      </c>
      <c r="AL277" s="339">
        <v>0</v>
      </c>
      <c r="AM277" s="496">
        <v>0</v>
      </c>
      <c r="AN277" s="495">
        <v>0</v>
      </c>
      <c r="AO277" s="495">
        <v>0</v>
      </c>
      <c r="AP277" s="74"/>
      <c r="AQ277" s="303">
        <v>12413.390000000001</v>
      </c>
      <c r="AR277" s="303">
        <v>3249.85</v>
      </c>
      <c r="AS277" s="552"/>
      <c r="AY277" s="67">
        <f t="shared" si="71"/>
        <v>0</v>
      </c>
      <c r="BA277" t="s">
        <v>871</v>
      </c>
      <c r="BB277" t="s">
        <v>575</v>
      </c>
      <c r="BC277" t="s">
        <v>1124</v>
      </c>
      <c r="BD277" s="491">
        <v>9.7699999999999995E-2</v>
      </c>
      <c r="BE277" s="492">
        <v>0.72540000000000004</v>
      </c>
      <c r="BG277" s="510">
        <f t="shared" si="69"/>
        <v>0</v>
      </c>
      <c r="BH277" s="510">
        <f t="shared" si="70"/>
        <v>0</v>
      </c>
      <c r="BJ277" s="520">
        <f t="shared" si="72"/>
        <v>0</v>
      </c>
      <c r="BK277" s="520">
        <f t="shared" si="73"/>
        <v>0</v>
      </c>
      <c r="CB277" s="74"/>
      <c r="CC277" s="74"/>
      <c r="CD277" s="74"/>
      <c r="CE277" s="74"/>
      <c r="CF277" s="74"/>
    </row>
    <row r="278" spans="1:84">
      <c r="A278" s="283" t="s">
        <v>578</v>
      </c>
      <c r="B278" s="283" t="s">
        <v>577</v>
      </c>
      <c r="C278" s="283" t="str">
        <f t="shared" si="74"/>
        <v>27001 STEILACOOM HIST. SCHOOL DISTRICT</v>
      </c>
      <c r="D278" s="490">
        <v>0</v>
      </c>
      <c r="E278" s="490">
        <v>0</v>
      </c>
      <c r="F278" s="490">
        <v>509.64</v>
      </c>
      <c r="G278" s="490">
        <v>5188464.33</v>
      </c>
      <c r="H278" s="490">
        <v>786849.57</v>
      </c>
      <c r="I278" s="490">
        <v>4372.78</v>
      </c>
      <c r="J278" s="490">
        <v>604753.56000000006</v>
      </c>
      <c r="K278" s="490">
        <v>213093.65</v>
      </c>
      <c r="L278" s="490">
        <v>94451.76</v>
      </c>
      <c r="M278" s="490">
        <v>2836929.23</v>
      </c>
      <c r="N278" s="300">
        <v>3.2800000000000003E-2</v>
      </c>
      <c r="O278" s="492">
        <v>0.16170000000000001</v>
      </c>
      <c r="P278" s="490">
        <v>0</v>
      </c>
      <c r="Q278" s="493">
        <v>0</v>
      </c>
      <c r="R278" s="493">
        <v>0</v>
      </c>
      <c r="S278" s="494">
        <v>0</v>
      </c>
      <c r="T278" s="495">
        <v>0</v>
      </c>
      <c r="U278" s="495">
        <v>0</v>
      </c>
      <c r="V278" s="490">
        <v>0</v>
      </c>
      <c r="W278" s="495">
        <v>0</v>
      </c>
      <c r="X278" s="495">
        <v>0</v>
      </c>
      <c r="Y278" s="490">
        <v>3443.62</v>
      </c>
      <c r="Z278" s="490">
        <v>0</v>
      </c>
      <c r="AA278" s="490">
        <v>185812.56</v>
      </c>
      <c r="AB278" s="490">
        <v>130665.23</v>
      </c>
      <c r="AC278" s="490">
        <v>2304001.7200000002</v>
      </c>
      <c r="AD278" s="490">
        <v>229.69</v>
      </c>
      <c r="AE278" s="490">
        <v>2116048.67</v>
      </c>
      <c r="AF278" s="339">
        <v>9212.6286298924642</v>
      </c>
      <c r="AG278" s="339">
        <v>10030.918716530978</v>
      </c>
      <c r="AH278" s="496">
        <v>818.29</v>
      </c>
      <c r="AI278" s="490">
        <v>13.67</v>
      </c>
      <c r="AJ278" s="490">
        <v>122947.16</v>
      </c>
      <c r="AK278" s="339">
        <v>8993.9400146305779</v>
      </c>
      <c r="AL278" s="339">
        <v>9558.5391367959037</v>
      </c>
      <c r="AM278" s="496">
        <v>564.6</v>
      </c>
      <c r="AN278" s="495">
        <v>0</v>
      </c>
      <c r="AO278" s="495">
        <v>0</v>
      </c>
      <c r="AP278" s="74"/>
      <c r="AQ278" s="303">
        <v>36017.489999999991</v>
      </c>
      <c r="AR278" s="303">
        <v>306327.90999999997</v>
      </c>
      <c r="AS278" s="552">
        <v>27314.67</v>
      </c>
      <c r="AY278" s="67">
        <f t="shared" si="71"/>
        <v>0</v>
      </c>
      <c r="BA278" t="s">
        <v>856</v>
      </c>
      <c r="BB278" t="s">
        <v>577</v>
      </c>
      <c r="BC278" t="s">
        <v>1125</v>
      </c>
      <c r="BD278" s="491">
        <v>3.2800000000000003E-2</v>
      </c>
      <c r="BE278" s="492">
        <v>0.16170000000000001</v>
      </c>
      <c r="BG278" s="510">
        <f t="shared" si="69"/>
        <v>0</v>
      </c>
      <c r="BH278" s="510">
        <f t="shared" si="70"/>
        <v>0</v>
      </c>
      <c r="BJ278" s="520">
        <f t="shared" si="72"/>
        <v>0</v>
      </c>
      <c r="BK278" s="520">
        <f t="shared" si="73"/>
        <v>0</v>
      </c>
      <c r="CB278" s="74"/>
      <c r="CC278" s="74"/>
      <c r="CD278" s="74"/>
      <c r="CE278" s="74"/>
      <c r="CF278" s="74"/>
    </row>
    <row r="279" spans="1:84">
      <c r="A279" s="283" t="s">
        <v>580</v>
      </c>
      <c r="B279" s="283" t="s">
        <v>579</v>
      </c>
      <c r="C279" s="283" t="str">
        <f t="shared" si="74"/>
        <v>38304 STEPTOE SCHOOL DISTRICT</v>
      </c>
      <c r="D279" s="490">
        <v>0</v>
      </c>
      <c r="E279" s="490">
        <v>0</v>
      </c>
      <c r="F279" s="490">
        <v>0</v>
      </c>
      <c r="G279" s="490">
        <v>51912.53</v>
      </c>
      <c r="H279" s="490">
        <v>6654.54</v>
      </c>
      <c r="I279" s="490">
        <v>0</v>
      </c>
      <c r="J279" s="490">
        <v>0</v>
      </c>
      <c r="K279" s="490">
        <v>0</v>
      </c>
      <c r="L279" s="490">
        <v>0</v>
      </c>
      <c r="M279" s="490">
        <v>101804.8</v>
      </c>
      <c r="N279" s="300">
        <v>9.9400000000000002E-2</v>
      </c>
      <c r="O279" s="492">
        <v>0.2949</v>
      </c>
      <c r="P279" s="490">
        <v>0</v>
      </c>
      <c r="Q279" s="493">
        <v>0</v>
      </c>
      <c r="R279" s="493">
        <v>0</v>
      </c>
      <c r="S279" s="494">
        <v>0</v>
      </c>
      <c r="T279" s="495">
        <v>0</v>
      </c>
      <c r="U279" s="495">
        <v>0</v>
      </c>
      <c r="V279" s="490">
        <v>0</v>
      </c>
      <c r="W279" s="495">
        <v>0</v>
      </c>
      <c r="X279" s="495">
        <v>0</v>
      </c>
      <c r="Y279" s="490">
        <v>49.21</v>
      </c>
      <c r="Z279" s="490">
        <v>0</v>
      </c>
      <c r="AA279" s="490">
        <v>0</v>
      </c>
      <c r="AB279" s="490">
        <v>0</v>
      </c>
      <c r="AC279" s="490">
        <v>0</v>
      </c>
      <c r="AD279" s="490">
        <v>0</v>
      </c>
      <c r="AE279" s="490">
        <v>0</v>
      </c>
      <c r="AF279" s="339">
        <v>0</v>
      </c>
      <c r="AG279" s="339">
        <v>0</v>
      </c>
      <c r="AH279" s="496">
        <v>0</v>
      </c>
      <c r="AI279" s="490">
        <v>0</v>
      </c>
      <c r="AJ279" s="490">
        <v>0</v>
      </c>
      <c r="AK279" s="339">
        <v>0</v>
      </c>
      <c r="AL279" s="339">
        <v>0</v>
      </c>
      <c r="AM279" s="496">
        <v>0</v>
      </c>
      <c r="AN279" s="495">
        <v>0</v>
      </c>
      <c r="AO279" s="495">
        <v>0</v>
      </c>
      <c r="AP279" s="74"/>
      <c r="AQ279" s="303">
        <v>11252.990000000002</v>
      </c>
      <c r="AR279" s="303">
        <v>6115.29</v>
      </c>
      <c r="AS279" s="552"/>
      <c r="AY279" s="67">
        <f t="shared" si="71"/>
        <v>0</v>
      </c>
      <c r="BA279" t="s">
        <v>848</v>
      </c>
      <c r="BB279" t="s">
        <v>579</v>
      </c>
      <c r="BC279" t="s">
        <v>1126</v>
      </c>
      <c r="BD279" s="491">
        <v>9.9400000000000002E-2</v>
      </c>
      <c r="BE279" s="492">
        <v>0.2949</v>
      </c>
      <c r="BG279" s="510">
        <f t="shared" si="69"/>
        <v>0</v>
      </c>
      <c r="BH279" s="510">
        <f t="shared" si="70"/>
        <v>0</v>
      </c>
      <c r="BJ279" s="520">
        <f t="shared" si="72"/>
        <v>0</v>
      </c>
      <c r="BK279" s="520">
        <f t="shared" si="73"/>
        <v>0</v>
      </c>
      <c r="CB279" s="74"/>
      <c r="CC279" s="74"/>
      <c r="CD279" s="74"/>
      <c r="CE279" s="74"/>
      <c r="CF279" s="74"/>
    </row>
    <row r="280" spans="1:84">
      <c r="A280" s="283" t="s">
        <v>582</v>
      </c>
      <c r="B280" s="283" t="s">
        <v>581</v>
      </c>
      <c r="C280" s="283" t="str">
        <f t="shared" si="74"/>
        <v>30303 STEVENSON-CARSON SCHOOL DISTRICT</v>
      </c>
      <c r="D280" s="490">
        <v>0</v>
      </c>
      <c r="E280" s="490">
        <v>319.89</v>
      </c>
      <c r="F280" s="490">
        <v>17686</v>
      </c>
      <c r="G280" s="490">
        <v>0</v>
      </c>
      <c r="H280" s="490">
        <v>0</v>
      </c>
      <c r="I280" s="490">
        <v>171008.51</v>
      </c>
      <c r="J280" s="490">
        <v>295161.12</v>
      </c>
      <c r="K280" s="490">
        <v>27049.94</v>
      </c>
      <c r="L280" s="490">
        <v>22960.43</v>
      </c>
      <c r="M280" s="490">
        <v>832681.96</v>
      </c>
      <c r="N280" s="300">
        <v>4.9000000000000002E-2</v>
      </c>
      <c r="O280" s="492">
        <v>0.15629999999999999</v>
      </c>
      <c r="P280" s="490">
        <v>0</v>
      </c>
      <c r="Q280" s="493">
        <v>0</v>
      </c>
      <c r="R280" s="493">
        <v>0</v>
      </c>
      <c r="S280" s="494">
        <v>0</v>
      </c>
      <c r="T280" s="495">
        <v>0</v>
      </c>
      <c r="U280" s="495">
        <v>0</v>
      </c>
      <c r="V280" s="490">
        <v>0</v>
      </c>
      <c r="W280" s="495">
        <v>0</v>
      </c>
      <c r="X280" s="495">
        <v>0</v>
      </c>
      <c r="Y280" s="490">
        <v>0</v>
      </c>
      <c r="Z280" s="490">
        <v>8285.84</v>
      </c>
      <c r="AA280" s="490">
        <v>0</v>
      </c>
      <c r="AB280" s="490">
        <v>96556.74</v>
      </c>
      <c r="AC280" s="490">
        <v>302304.14</v>
      </c>
      <c r="AD280" s="490">
        <v>32.43</v>
      </c>
      <c r="AE280" s="490">
        <v>286986</v>
      </c>
      <c r="AF280" s="339">
        <v>8849.3987049028674</v>
      </c>
      <c r="AG280" s="339">
        <v>9321.7434474252241</v>
      </c>
      <c r="AH280" s="496">
        <v>472.34</v>
      </c>
      <c r="AI280" s="490">
        <v>10.53</v>
      </c>
      <c r="AJ280" s="490">
        <v>90819.49</v>
      </c>
      <c r="AK280" s="339">
        <v>8624.832858499527</v>
      </c>
      <c r="AL280" s="339">
        <v>9169.6809116809127</v>
      </c>
      <c r="AM280" s="496">
        <v>544.85</v>
      </c>
      <c r="AN280" s="495">
        <v>0</v>
      </c>
      <c r="AO280" s="495">
        <v>494.47</v>
      </c>
      <c r="AP280" s="74"/>
      <c r="AQ280" s="303">
        <v>180615.06</v>
      </c>
      <c r="AR280" s="303">
        <v>69922.62</v>
      </c>
      <c r="AS280" s="552">
        <v>34196.080000000002</v>
      </c>
      <c r="AY280" s="67">
        <f t="shared" si="71"/>
        <v>0</v>
      </c>
      <c r="BA280" t="s">
        <v>859</v>
      </c>
      <c r="BB280" t="s">
        <v>581</v>
      </c>
      <c r="BC280" t="s">
        <v>1127</v>
      </c>
      <c r="BD280" s="491">
        <v>4.9000000000000002E-2</v>
      </c>
      <c r="BE280" s="492">
        <v>0.15629999999999999</v>
      </c>
      <c r="BG280" s="510">
        <f t="shared" si="69"/>
        <v>0</v>
      </c>
      <c r="BH280" s="510">
        <f t="shared" si="70"/>
        <v>0</v>
      </c>
      <c r="BJ280" s="520">
        <f t="shared" si="72"/>
        <v>0</v>
      </c>
      <c r="BK280" s="520">
        <f t="shared" si="73"/>
        <v>0</v>
      </c>
      <c r="CB280" s="74"/>
      <c r="CC280" s="74"/>
      <c r="CD280" s="74"/>
      <c r="CE280" s="74"/>
      <c r="CF280" s="74"/>
    </row>
    <row r="281" spans="1:84">
      <c r="A281" s="283" t="s">
        <v>584</v>
      </c>
      <c r="B281" s="283" t="s">
        <v>583</v>
      </c>
      <c r="C281" s="283" t="str">
        <f t="shared" si="74"/>
        <v>31311 SULTAN SCHOOL DISTRICT</v>
      </c>
      <c r="D281" s="490">
        <v>0</v>
      </c>
      <c r="E281" s="490">
        <v>80777.740000000005</v>
      </c>
      <c r="F281" s="490">
        <v>14064.25</v>
      </c>
      <c r="G281" s="490">
        <v>4114710.52</v>
      </c>
      <c r="H281" s="490">
        <v>881530.98</v>
      </c>
      <c r="I281" s="490">
        <v>690741.08</v>
      </c>
      <c r="J281" s="490">
        <v>824010.36</v>
      </c>
      <c r="K281" s="490">
        <v>514066.74</v>
      </c>
      <c r="L281" s="490">
        <v>70179.67</v>
      </c>
      <c r="M281" s="490">
        <v>1896096.5</v>
      </c>
      <c r="N281" s="300">
        <v>3.0700000000000002E-2</v>
      </c>
      <c r="O281" s="492">
        <v>0.1598</v>
      </c>
      <c r="P281" s="490">
        <v>0</v>
      </c>
      <c r="Q281" s="493">
        <v>0</v>
      </c>
      <c r="R281" s="493">
        <v>0</v>
      </c>
      <c r="S281" s="494">
        <v>0</v>
      </c>
      <c r="T281" s="495">
        <v>0</v>
      </c>
      <c r="U281" s="495">
        <v>0</v>
      </c>
      <c r="V281" s="490">
        <v>0</v>
      </c>
      <c r="W281" s="495">
        <v>0</v>
      </c>
      <c r="X281" s="495">
        <v>0</v>
      </c>
      <c r="Y281" s="490">
        <v>2288.29</v>
      </c>
      <c r="Z281" s="490">
        <v>0</v>
      </c>
      <c r="AA281" s="490">
        <v>146119.99</v>
      </c>
      <c r="AB281" s="490">
        <v>263904.65000000002</v>
      </c>
      <c r="AC281" s="490">
        <v>1799914.17</v>
      </c>
      <c r="AD281" s="490">
        <v>173.22</v>
      </c>
      <c r="AE281" s="490">
        <v>1722248.41</v>
      </c>
      <c r="AF281" s="339">
        <v>9942.5494169264512</v>
      </c>
      <c r="AG281" s="339">
        <v>10390.914270869414</v>
      </c>
      <c r="AH281" s="496">
        <v>448.36</v>
      </c>
      <c r="AI281" s="490">
        <v>25.56</v>
      </c>
      <c r="AJ281" s="490">
        <v>248450.64</v>
      </c>
      <c r="AK281" s="339">
        <v>9720.2910798122084</v>
      </c>
      <c r="AL281" s="339">
        <v>10324.90805946792</v>
      </c>
      <c r="AM281" s="496">
        <v>604.62</v>
      </c>
      <c r="AN281" s="495">
        <v>0</v>
      </c>
      <c r="AO281" s="495">
        <v>0</v>
      </c>
      <c r="AP281" s="74"/>
      <c r="AQ281" s="303">
        <v>72075.569999999978</v>
      </c>
      <c r="AR281" s="303">
        <v>261883.31</v>
      </c>
      <c r="AS281" s="552">
        <v>68210.009999999995</v>
      </c>
      <c r="AY281" s="67">
        <f t="shared" si="71"/>
        <v>0</v>
      </c>
      <c r="BA281" t="s">
        <v>850</v>
      </c>
      <c r="BB281" t="s">
        <v>583</v>
      </c>
      <c r="BC281" t="s">
        <v>1128</v>
      </c>
      <c r="BD281" s="491">
        <v>3.0700000000000002E-2</v>
      </c>
      <c r="BE281" s="492">
        <v>0.1598</v>
      </c>
      <c r="BG281" s="510">
        <f t="shared" si="69"/>
        <v>0</v>
      </c>
      <c r="BH281" s="510">
        <f t="shared" si="70"/>
        <v>0</v>
      </c>
      <c r="BJ281" s="520">
        <f t="shared" si="72"/>
        <v>0</v>
      </c>
      <c r="BK281" s="520">
        <f t="shared" si="73"/>
        <v>0</v>
      </c>
      <c r="CB281" s="74"/>
      <c r="CC281" s="74"/>
      <c r="CD281" s="74"/>
      <c r="CE281" s="74"/>
      <c r="CF281" s="74"/>
    </row>
    <row r="282" spans="1:84">
      <c r="A282" s="283" t="s">
        <v>586</v>
      </c>
      <c r="B282" s="283" t="s">
        <v>585</v>
      </c>
      <c r="C282" s="283" t="str">
        <f t="shared" si="74"/>
        <v>33202 SUMMIT VALLEY SCHOOL DISTRICT</v>
      </c>
      <c r="D282" s="490">
        <v>0</v>
      </c>
      <c r="E282" s="490">
        <v>0</v>
      </c>
      <c r="F282" s="490">
        <v>0</v>
      </c>
      <c r="G282" s="490">
        <v>135531.38</v>
      </c>
      <c r="H282" s="490">
        <v>12666.92</v>
      </c>
      <c r="I282" s="490">
        <v>23064.34</v>
      </c>
      <c r="J282" s="490">
        <v>42804.09</v>
      </c>
      <c r="K282" s="490">
        <v>0</v>
      </c>
      <c r="L282" s="490">
        <v>2493.4499999999998</v>
      </c>
      <c r="M282" s="490">
        <v>0</v>
      </c>
      <c r="N282" s="300">
        <v>2.7900000000000001E-2</v>
      </c>
      <c r="O282" s="492">
        <v>0.39679999999999999</v>
      </c>
      <c r="P282" s="490">
        <v>0</v>
      </c>
      <c r="Q282" s="493">
        <v>0</v>
      </c>
      <c r="R282" s="493">
        <v>0</v>
      </c>
      <c r="S282" s="494">
        <v>0</v>
      </c>
      <c r="T282" s="495">
        <v>0</v>
      </c>
      <c r="U282" s="495">
        <v>0</v>
      </c>
      <c r="V282" s="490">
        <v>0</v>
      </c>
      <c r="W282" s="495">
        <v>0</v>
      </c>
      <c r="X282" s="495">
        <v>0</v>
      </c>
      <c r="Y282" s="490">
        <v>0</v>
      </c>
      <c r="Z282" s="490">
        <v>0</v>
      </c>
      <c r="AA282" s="490">
        <v>0</v>
      </c>
      <c r="AB282" s="490">
        <v>0</v>
      </c>
      <c r="AC282" s="490">
        <v>0</v>
      </c>
      <c r="AD282" s="490">
        <v>0</v>
      </c>
      <c r="AE282" s="490">
        <v>0</v>
      </c>
      <c r="AF282" s="339">
        <v>0</v>
      </c>
      <c r="AG282" s="339">
        <v>0</v>
      </c>
      <c r="AH282" s="496">
        <v>0</v>
      </c>
      <c r="AI282" s="490">
        <v>0</v>
      </c>
      <c r="AJ282" s="490">
        <v>0</v>
      </c>
      <c r="AK282" s="339">
        <v>0</v>
      </c>
      <c r="AL282" s="339">
        <v>0</v>
      </c>
      <c r="AM282" s="496">
        <v>0</v>
      </c>
      <c r="AN282" s="495">
        <v>0</v>
      </c>
      <c r="AO282" s="495">
        <v>0</v>
      </c>
      <c r="AP282" s="74"/>
      <c r="AQ282" s="303">
        <v>0</v>
      </c>
      <c r="AR282" s="303">
        <v>10900.23</v>
      </c>
      <c r="AS282" s="552">
        <v>12439.95</v>
      </c>
      <c r="AY282" s="67">
        <f t="shared" si="71"/>
        <v>0</v>
      </c>
      <c r="BA282" t="s">
        <v>848</v>
      </c>
      <c r="BB282" t="s">
        <v>585</v>
      </c>
      <c r="BC282" t="s">
        <v>1129</v>
      </c>
      <c r="BD282" s="491">
        <v>2.7900000000000001E-2</v>
      </c>
      <c r="BE282" s="492">
        <v>0.39679999999999999</v>
      </c>
      <c r="BG282" s="510">
        <f t="shared" si="69"/>
        <v>0</v>
      </c>
      <c r="BH282" s="510">
        <f t="shared" si="70"/>
        <v>0</v>
      </c>
      <c r="BJ282" s="520">
        <f t="shared" si="72"/>
        <v>0</v>
      </c>
      <c r="BK282" s="520">
        <f t="shared" si="73"/>
        <v>0</v>
      </c>
      <c r="CB282" s="74"/>
      <c r="CC282" s="74"/>
      <c r="CD282" s="74"/>
      <c r="CE282" s="74"/>
      <c r="CF282" s="74"/>
    </row>
    <row r="283" spans="1:84">
      <c r="A283" s="283" t="s">
        <v>1130</v>
      </c>
      <c r="B283" s="353" t="s">
        <v>587</v>
      </c>
      <c r="C283" s="353" t="str">
        <f>CONCATENATE(B283," ",A283," CHARTER")</f>
        <v>17905 SUMMIT: ATLAS CHARTER</v>
      </c>
      <c r="D283" s="490">
        <v>0</v>
      </c>
      <c r="E283" s="490">
        <v>0</v>
      </c>
      <c r="F283" s="490">
        <v>0</v>
      </c>
      <c r="G283" s="490">
        <v>916329.77</v>
      </c>
      <c r="H283" s="490">
        <v>111207.05</v>
      </c>
      <c r="I283" s="490">
        <v>0</v>
      </c>
      <c r="J283" s="490">
        <v>147569.59</v>
      </c>
      <c r="K283" s="490">
        <v>203666.77</v>
      </c>
      <c r="L283" s="490">
        <v>18506.3</v>
      </c>
      <c r="M283" s="490">
        <v>464467.83</v>
      </c>
      <c r="N283" s="300">
        <v>7.8899999999999998E-2</v>
      </c>
      <c r="O283" s="492">
        <v>0.25729999999999997</v>
      </c>
      <c r="P283" s="490">
        <v>0</v>
      </c>
      <c r="Q283" s="493">
        <v>0</v>
      </c>
      <c r="R283" s="493">
        <v>0</v>
      </c>
      <c r="S283" s="494">
        <v>0</v>
      </c>
      <c r="T283" s="495">
        <v>0</v>
      </c>
      <c r="U283" s="495">
        <v>0</v>
      </c>
      <c r="V283" s="490">
        <v>0</v>
      </c>
      <c r="W283" s="495">
        <v>0</v>
      </c>
      <c r="X283" s="495">
        <v>0</v>
      </c>
      <c r="Y283" s="490">
        <v>0</v>
      </c>
      <c r="Z283" s="490">
        <v>0</v>
      </c>
      <c r="AA283" s="490">
        <v>0</v>
      </c>
      <c r="AB283" s="490">
        <v>0</v>
      </c>
      <c r="AC283" s="490">
        <v>0</v>
      </c>
      <c r="AD283" s="490">
        <v>0</v>
      </c>
      <c r="AE283" s="490">
        <v>0</v>
      </c>
      <c r="AF283" s="339">
        <v>0</v>
      </c>
      <c r="AG283" s="339">
        <v>0</v>
      </c>
      <c r="AH283" s="496">
        <v>0</v>
      </c>
      <c r="AI283" s="490">
        <v>0</v>
      </c>
      <c r="AJ283" s="490">
        <v>0</v>
      </c>
      <c r="AK283" s="339">
        <v>0</v>
      </c>
      <c r="AL283" s="339">
        <v>0</v>
      </c>
      <c r="AM283" s="496">
        <v>0</v>
      </c>
      <c r="AN283" s="495">
        <v>0</v>
      </c>
      <c r="AO283" s="495">
        <v>0</v>
      </c>
      <c r="AP283" s="74"/>
      <c r="AQ283" s="303">
        <v>64640.39</v>
      </c>
      <c r="AR283" s="303">
        <v>53621.120000000003</v>
      </c>
      <c r="AS283" s="552">
        <v>23826.33</v>
      </c>
      <c r="AY283" s="67">
        <f t="shared" si="71"/>
        <v>0</v>
      </c>
      <c r="BA283" t="s">
        <v>882</v>
      </c>
      <c r="BB283" t="s">
        <v>587</v>
      </c>
      <c r="BC283" t="s">
        <v>1131</v>
      </c>
      <c r="BD283" s="491">
        <v>7.8899999999999998E-2</v>
      </c>
      <c r="BE283" s="492">
        <v>0.25729999999999997</v>
      </c>
      <c r="BG283" s="510">
        <f t="shared" si="69"/>
        <v>0</v>
      </c>
      <c r="BH283" s="510">
        <f t="shared" si="70"/>
        <v>0</v>
      </c>
      <c r="BJ283" s="520">
        <f t="shared" si="72"/>
        <v>0</v>
      </c>
      <c r="BK283" s="520">
        <f t="shared" si="73"/>
        <v>0</v>
      </c>
      <c r="CB283" s="74"/>
      <c r="CC283" s="74"/>
      <c r="CD283" s="74"/>
      <c r="CE283" s="74"/>
      <c r="CF283" s="74"/>
    </row>
    <row r="284" spans="1:84">
      <c r="A284" s="283" t="s">
        <v>1132</v>
      </c>
      <c r="B284" s="353" t="s">
        <v>589</v>
      </c>
      <c r="C284" s="353" t="str">
        <f>CONCATENATE(B284," ",A284," CHARTER")</f>
        <v>27905 SUMMIT: OLYMPUS CHARTER</v>
      </c>
      <c r="D284" s="490">
        <v>0</v>
      </c>
      <c r="E284" s="490">
        <v>0</v>
      </c>
      <c r="F284" s="490">
        <v>0</v>
      </c>
      <c r="G284" s="490">
        <v>250014.21</v>
      </c>
      <c r="H284" s="490">
        <v>25277.58</v>
      </c>
      <c r="I284" s="490">
        <v>50946.74</v>
      </c>
      <c r="J284" s="490">
        <v>65634.09</v>
      </c>
      <c r="K284" s="490">
        <v>25365.79</v>
      </c>
      <c r="L284" s="490">
        <v>5048.7700000000004</v>
      </c>
      <c r="M284" s="490">
        <v>35309.440000000002</v>
      </c>
      <c r="N284" s="300">
        <v>0.13450000000000001</v>
      </c>
      <c r="O284" s="492">
        <v>0.36749999999999999</v>
      </c>
      <c r="P284" s="490">
        <v>0</v>
      </c>
      <c r="Q284" s="493">
        <v>0</v>
      </c>
      <c r="R284" s="493">
        <v>0</v>
      </c>
      <c r="S284" s="494">
        <v>0</v>
      </c>
      <c r="T284" s="495">
        <v>0</v>
      </c>
      <c r="U284" s="495">
        <v>0</v>
      </c>
      <c r="V284" s="490">
        <v>0</v>
      </c>
      <c r="W284" s="495">
        <v>0</v>
      </c>
      <c r="X284" s="495">
        <v>0</v>
      </c>
      <c r="Y284" s="490">
        <v>0</v>
      </c>
      <c r="Z284" s="490">
        <v>0</v>
      </c>
      <c r="AA284" s="490">
        <v>0</v>
      </c>
      <c r="AB284" s="490">
        <v>0</v>
      </c>
      <c r="AC284" s="490">
        <v>0</v>
      </c>
      <c r="AD284" s="490">
        <v>0</v>
      </c>
      <c r="AE284" s="490">
        <v>0</v>
      </c>
      <c r="AF284" s="339">
        <v>0</v>
      </c>
      <c r="AG284" s="339">
        <v>0</v>
      </c>
      <c r="AH284" s="496">
        <v>0</v>
      </c>
      <c r="AI284" s="490">
        <v>0</v>
      </c>
      <c r="AJ284" s="490">
        <v>0</v>
      </c>
      <c r="AK284" s="339">
        <v>0</v>
      </c>
      <c r="AL284" s="339">
        <v>0</v>
      </c>
      <c r="AM284" s="496">
        <v>0</v>
      </c>
      <c r="AN284" s="495">
        <v>0</v>
      </c>
      <c r="AO284" s="495">
        <v>0</v>
      </c>
      <c r="AP284" s="74"/>
      <c r="AQ284" s="303">
        <v>31033.889999999996</v>
      </c>
      <c r="AR284" s="303">
        <v>22273.699999999997</v>
      </c>
      <c r="AS284" s="552">
        <v>6308.82</v>
      </c>
      <c r="AY284" s="67">
        <f t="shared" si="71"/>
        <v>0</v>
      </c>
      <c r="BA284" t="s">
        <v>882</v>
      </c>
      <c r="BB284" t="s">
        <v>589</v>
      </c>
      <c r="BC284" t="s">
        <v>1133</v>
      </c>
      <c r="BD284" s="491">
        <v>0.13450000000000001</v>
      </c>
      <c r="BE284" s="492">
        <v>0.36749999999999999</v>
      </c>
      <c r="BG284" s="510">
        <f t="shared" si="69"/>
        <v>0</v>
      </c>
      <c r="BH284" s="510">
        <f t="shared" si="70"/>
        <v>0</v>
      </c>
      <c r="BJ284" s="520">
        <f t="shared" si="72"/>
        <v>0</v>
      </c>
      <c r="BK284" s="520">
        <f t="shared" si="73"/>
        <v>0</v>
      </c>
      <c r="CB284" s="74"/>
      <c r="CC284" s="74"/>
      <c r="CD284" s="74"/>
      <c r="CE284" s="74"/>
      <c r="CF284" s="74"/>
    </row>
    <row r="285" spans="1:84">
      <c r="A285" s="283" t="s">
        <v>1134</v>
      </c>
      <c r="B285" s="353" t="s">
        <v>591</v>
      </c>
      <c r="C285" s="353" t="str">
        <f>CONCATENATE(B285," ",A285," CHARTER")</f>
        <v>17902 SUMMIT: SIERRA CHARTER</v>
      </c>
      <c r="D285" s="490">
        <v>0</v>
      </c>
      <c r="E285" s="490">
        <v>0</v>
      </c>
      <c r="F285" s="490">
        <v>0</v>
      </c>
      <c r="G285" s="490">
        <v>384507.24</v>
      </c>
      <c r="H285" s="490">
        <v>56541.91</v>
      </c>
      <c r="I285" s="490">
        <v>0</v>
      </c>
      <c r="J285" s="490">
        <v>57802.1</v>
      </c>
      <c r="K285" s="490">
        <v>61631.34</v>
      </c>
      <c r="L285" s="490">
        <v>7690.93</v>
      </c>
      <c r="M285" s="490">
        <v>41821.49</v>
      </c>
      <c r="N285" s="300">
        <v>0.13059999999999999</v>
      </c>
      <c r="O285" s="492">
        <v>0.29099999999999998</v>
      </c>
      <c r="P285" s="490">
        <v>0</v>
      </c>
      <c r="Q285" s="493">
        <v>0</v>
      </c>
      <c r="R285" s="493">
        <v>0</v>
      </c>
      <c r="S285" s="494">
        <v>0</v>
      </c>
      <c r="T285" s="495">
        <v>0</v>
      </c>
      <c r="U285" s="495">
        <v>0</v>
      </c>
      <c r="V285" s="490">
        <v>0</v>
      </c>
      <c r="W285" s="495">
        <v>0</v>
      </c>
      <c r="X285" s="495">
        <v>0</v>
      </c>
      <c r="Y285" s="490">
        <v>0</v>
      </c>
      <c r="Z285" s="490">
        <v>0</v>
      </c>
      <c r="AA285" s="490">
        <v>0</v>
      </c>
      <c r="AB285" s="490">
        <v>0</v>
      </c>
      <c r="AC285" s="490">
        <v>1072.74</v>
      </c>
      <c r="AD285" s="490">
        <v>0</v>
      </c>
      <c r="AE285" s="490">
        <v>0</v>
      </c>
      <c r="AF285" s="339">
        <v>0</v>
      </c>
      <c r="AG285" s="339">
        <v>0</v>
      </c>
      <c r="AH285" s="496">
        <v>0</v>
      </c>
      <c r="AI285" s="490">
        <v>0</v>
      </c>
      <c r="AJ285" s="490">
        <v>0</v>
      </c>
      <c r="AK285" s="339">
        <v>0</v>
      </c>
      <c r="AL285" s="339">
        <v>0</v>
      </c>
      <c r="AM285" s="496">
        <v>0</v>
      </c>
      <c r="AN285" s="495">
        <v>0</v>
      </c>
      <c r="AO285" s="495">
        <v>0</v>
      </c>
      <c r="AP285" s="74"/>
      <c r="AQ285" s="303">
        <v>47411.070000000007</v>
      </c>
      <c r="AR285" s="303">
        <v>24836.61</v>
      </c>
      <c r="AS285" s="552">
        <v>17319.82</v>
      </c>
      <c r="AY285" s="67">
        <f t="shared" si="71"/>
        <v>0</v>
      </c>
      <c r="BA285" t="s">
        <v>882</v>
      </c>
      <c r="BB285" t="s">
        <v>591</v>
      </c>
      <c r="BC285" t="s">
        <v>1135</v>
      </c>
      <c r="BD285" s="491">
        <v>0.13059999999999999</v>
      </c>
      <c r="BE285" s="492">
        <v>0.29099999999999998</v>
      </c>
      <c r="BG285" s="510">
        <f t="shared" si="69"/>
        <v>0</v>
      </c>
      <c r="BH285" s="510">
        <f t="shared" si="70"/>
        <v>0</v>
      </c>
      <c r="BJ285" s="520">
        <f t="shared" si="72"/>
        <v>0</v>
      </c>
      <c r="BK285" s="520">
        <f t="shared" si="73"/>
        <v>0</v>
      </c>
      <c r="CB285" s="74"/>
      <c r="CC285" s="74"/>
      <c r="CD285" s="74"/>
      <c r="CE285" s="74"/>
      <c r="CF285" s="74"/>
    </row>
    <row r="286" spans="1:84">
      <c r="A286" s="283" t="s">
        <v>1136</v>
      </c>
      <c r="B286" s="283" t="s">
        <v>593</v>
      </c>
      <c r="C286" s="283" t="str">
        <f>CONCATENATE(B286," ",A286," SCHOOL DISTRICT")</f>
        <v>27320 SUMNER SCHOOL DISTRICT</v>
      </c>
      <c r="D286" s="490">
        <v>0</v>
      </c>
      <c r="E286" s="490">
        <v>182139.78</v>
      </c>
      <c r="F286" s="490">
        <v>0</v>
      </c>
      <c r="G286" s="490">
        <v>18462881.25</v>
      </c>
      <c r="H286" s="490">
        <v>3093545.15</v>
      </c>
      <c r="I286" s="490">
        <v>135169.5</v>
      </c>
      <c r="J286" s="490">
        <v>2194037.5499999998</v>
      </c>
      <c r="K286" s="490">
        <v>1083401.42</v>
      </c>
      <c r="L286" s="490">
        <v>340562.9</v>
      </c>
      <c r="M286" s="490">
        <v>5600489.5199999996</v>
      </c>
      <c r="N286" s="300">
        <v>4.7600000000000003E-2</v>
      </c>
      <c r="O286" s="492">
        <v>0.14219999999999999</v>
      </c>
      <c r="P286" s="490">
        <v>0</v>
      </c>
      <c r="Q286" s="493">
        <v>0</v>
      </c>
      <c r="R286" s="493">
        <v>0</v>
      </c>
      <c r="S286" s="494">
        <v>0</v>
      </c>
      <c r="T286" s="495">
        <v>0</v>
      </c>
      <c r="U286" s="495">
        <v>0</v>
      </c>
      <c r="V286" s="490">
        <v>0</v>
      </c>
      <c r="W286" s="495">
        <v>0</v>
      </c>
      <c r="X286" s="495">
        <v>0</v>
      </c>
      <c r="Y286" s="490">
        <v>7911.72</v>
      </c>
      <c r="Z286" s="490">
        <v>73126.02</v>
      </c>
      <c r="AA286" s="490">
        <v>272194.05</v>
      </c>
      <c r="AB286" s="490">
        <v>1197132.4099999999</v>
      </c>
      <c r="AC286" s="490">
        <v>5813863.3799999999</v>
      </c>
      <c r="AD286" s="490">
        <v>556.5</v>
      </c>
      <c r="AE286" s="490">
        <v>5329868.0199999996</v>
      </c>
      <c r="AF286" s="339">
        <v>9577.4807187780771</v>
      </c>
      <c r="AG286" s="339">
        <v>10447.19385444744</v>
      </c>
      <c r="AH286" s="496">
        <v>869.71</v>
      </c>
      <c r="AI286" s="490">
        <v>120.45</v>
      </c>
      <c r="AJ286" s="490">
        <v>1127159.54</v>
      </c>
      <c r="AK286" s="339">
        <v>9357.904026567041</v>
      </c>
      <c r="AL286" s="339">
        <v>9938.8327936903279</v>
      </c>
      <c r="AM286" s="496">
        <v>580.92999999999995</v>
      </c>
      <c r="AN286" s="495">
        <v>0</v>
      </c>
      <c r="AO286" s="495">
        <v>0</v>
      </c>
      <c r="AP286" s="74"/>
      <c r="AQ286" s="303">
        <v>0</v>
      </c>
      <c r="AR286" s="303">
        <v>1126296.78</v>
      </c>
      <c r="AS286" s="552">
        <v>308311.78000000003</v>
      </c>
      <c r="AY286" s="67">
        <f t="shared" si="71"/>
        <v>0</v>
      </c>
      <c r="BA286" t="s">
        <v>856</v>
      </c>
      <c r="BB286" t="s">
        <v>593</v>
      </c>
      <c r="BC286" t="s">
        <v>1137</v>
      </c>
      <c r="BD286" s="491">
        <v>4.7600000000000003E-2</v>
      </c>
      <c r="BE286" s="492">
        <v>0.14219999999999999</v>
      </c>
      <c r="BG286" s="510">
        <f t="shared" si="69"/>
        <v>0</v>
      </c>
      <c r="BH286" s="510">
        <f t="shared" si="70"/>
        <v>0</v>
      </c>
      <c r="BJ286" s="520">
        <f t="shared" si="72"/>
        <v>0</v>
      </c>
      <c r="BK286" s="520">
        <f t="shared" si="73"/>
        <v>0</v>
      </c>
      <c r="CB286" s="74"/>
      <c r="CC286" s="74"/>
      <c r="CD286" s="74"/>
      <c r="CE286" s="74"/>
      <c r="CF286" s="74"/>
    </row>
    <row r="287" spans="1:84">
      <c r="A287" s="283" t="s">
        <v>596</v>
      </c>
      <c r="B287" s="283" t="s">
        <v>595</v>
      </c>
      <c r="C287" s="283" t="str">
        <f>CONCATENATE(B287," ",A287," SCHOOL DISTRICT")</f>
        <v>39201 SUNNYSIDE SCHOOL DISTRICT</v>
      </c>
      <c r="D287" s="490">
        <v>0</v>
      </c>
      <c r="E287" s="490">
        <v>382101.34</v>
      </c>
      <c r="F287" s="490">
        <v>195280.95</v>
      </c>
      <c r="G287" s="490">
        <v>9816193.5199999996</v>
      </c>
      <c r="H287" s="490">
        <v>2105757.37</v>
      </c>
      <c r="I287" s="490">
        <v>1908937.16</v>
      </c>
      <c r="J287" s="490">
        <v>3908677.15</v>
      </c>
      <c r="K287" s="490">
        <v>3217514.14</v>
      </c>
      <c r="L287" s="490">
        <v>182229.01</v>
      </c>
      <c r="M287" s="490">
        <v>3492870.97</v>
      </c>
      <c r="N287" s="300">
        <v>5.5399999999999998E-2</v>
      </c>
      <c r="O287" s="492">
        <v>0.17369999999999999</v>
      </c>
      <c r="P287" s="490">
        <v>0</v>
      </c>
      <c r="Q287" s="493">
        <v>0</v>
      </c>
      <c r="R287" s="493">
        <v>0</v>
      </c>
      <c r="S287" s="494">
        <v>0</v>
      </c>
      <c r="T287" s="495">
        <v>0</v>
      </c>
      <c r="U287" s="495">
        <v>0</v>
      </c>
      <c r="V287" s="490">
        <v>0</v>
      </c>
      <c r="W287" s="495">
        <v>0</v>
      </c>
      <c r="X287" s="495">
        <v>0</v>
      </c>
      <c r="Y287" s="490">
        <v>488.75</v>
      </c>
      <c r="Z287" s="490">
        <v>30320.18</v>
      </c>
      <c r="AA287" s="490">
        <v>0</v>
      </c>
      <c r="AB287" s="490">
        <v>402834.5</v>
      </c>
      <c r="AC287" s="490">
        <v>2663391.63</v>
      </c>
      <c r="AD287" s="490">
        <v>280.31</v>
      </c>
      <c r="AE287" s="490">
        <v>2480032.77</v>
      </c>
      <c r="AF287" s="339">
        <v>8847.4644857479216</v>
      </c>
      <c r="AG287" s="339">
        <v>9501.5933430844416</v>
      </c>
      <c r="AH287" s="496">
        <v>654.13</v>
      </c>
      <c r="AI287" s="490">
        <v>43.95</v>
      </c>
      <c r="AJ287" s="490">
        <v>379264.18</v>
      </c>
      <c r="AK287" s="339">
        <v>8629.4466439135376</v>
      </c>
      <c r="AL287" s="339">
        <v>9165.7451649601808</v>
      </c>
      <c r="AM287" s="496">
        <v>536.29999999999995</v>
      </c>
      <c r="AN287" s="495">
        <v>5964.54</v>
      </c>
      <c r="AO287" s="495">
        <v>0</v>
      </c>
      <c r="AP287" s="74"/>
      <c r="AQ287" s="303">
        <v>152793.61000000022</v>
      </c>
      <c r="AR287" s="303">
        <v>706641</v>
      </c>
      <c r="AS287" s="552">
        <v>195319.3</v>
      </c>
      <c r="AY287" s="67">
        <f t="shared" si="71"/>
        <v>0</v>
      </c>
      <c r="BA287" t="s">
        <v>865</v>
      </c>
      <c r="BB287" t="s">
        <v>595</v>
      </c>
      <c r="BC287" t="s">
        <v>1138</v>
      </c>
      <c r="BD287" s="491">
        <v>5.5399999999999998E-2</v>
      </c>
      <c r="BE287" s="492">
        <v>0.17369999999999999</v>
      </c>
      <c r="BG287" s="510">
        <f t="shared" si="69"/>
        <v>0</v>
      </c>
      <c r="BH287" s="510">
        <f t="shared" si="70"/>
        <v>0</v>
      </c>
      <c r="BJ287" s="520">
        <f t="shared" si="72"/>
        <v>0</v>
      </c>
      <c r="BK287" s="520">
        <f t="shared" si="73"/>
        <v>0</v>
      </c>
      <c r="CB287" s="74"/>
      <c r="CC287" s="74"/>
      <c r="CD287" s="74"/>
      <c r="CE287" s="74"/>
      <c r="CF287" s="74"/>
    </row>
    <row r="288" spans="1:84">
      <c r="A288" s="283" t="s">
        <v>1139</v>
      </c>
      <c r="B288" s="283" t="s">
        <v>597</v>
      </c>
      <c r="C288" s="286" t="str">
        <f>CONCATENATE(B288," ",A288," TRIBAL COMPACT")</f>
        <v>18902 SUQUAMISH TRIBAL COMPACT</v>
      </c>
      <c r="D288" s="490">
        <v>0</v>
      </c>
      <c r="E288" s="490">
        <v>4097.49</v>
      </c>
      <c r="F288" s="490">
        <v>0</v>
      </c>
      <c r="G288" s="490">
        <v>124975.23</v>
      </c>
      <c r="H288" s="490">
        <v>27359.77</v>
      </c>
      <c r="I288" s="490">
        <v>26918.25</v>
      </c>
      <c r="J288" s="490">
        <v>40257.18</v>
      </c>
      <c r="K288" s="490">
        <v>0</v>
      </c>
      <c r="L288" s="490">
        <v>0</v>
      </c>
      <c r="M288" s="490">
        <v>61686.45</v>
      </c>
      <c r="N288" s="300">
        <v>6.5799999999999997E-2</v>
      </c>
      <c r="O288" s="492">
        <v>9.3100000000000002E-2</v>
      </c>
      <c r="P288" s="490">
        <v>0</v>
      </c>
      <c r="Q288" s="493">
        <v>0</v>
      </c>
      <c r="R288" s="493">
        <v>0</v>
      </c>
      <c r="S288" s="494">
        <v>0</v>
      </c>
      <c r="T288" s="495">
        <v>0</v>
      </c>
      <c r="U288" s="495">
        <v>0</v>
      </c>
      <c r="V288" s="490">
        <v>0</v>
      </c>
      <c r="W288" s="495">
        <v>0</v>
      </c>
      <c r="X288" s="495">
        <v>0</v>
      </c>
      <c r="Y288" s="490">
        <v>0</v>
      </c>
      <c r="Z288" s="490">
        <v>0</v>
      </c>
      <c r="AA288" s="490">
        <v>0</v>
      </c>
      <c r="AB288" s="490">
        <v>0</v>
      </c>
      <c r="AC288" s="490">
        <v>44877.24</v>
      </c>
      <c r="AD288" s="490">
        <v>4.3499999999999996</v>
      </c>
      <c r="AE288" s="490">
        <v>43399.8</v>
      </c>
      <c r="AF288" s="339">
        <v>9976.9655172413804</v>
      </c>
      <c r="AG288" s="339">
        <v>10316.606896551724</v>
      </c>
      <c r="AH288" s="496">
        <v>339.64</v>
      </c>
      <c r="AI288" s="490">
        <v>0</v>
      </c>
      <c r="AJ288" s="490">
        <v>0</v>
      </c>
      <c r="AK288" s="339">
        <v>0</v>
      </c>
      <c r="AL288" s="339">
        <v>0</v>
      </c>
      <c r="AM288" s="496">
        <v>0</v>
      </c>
      <c r="AN288" s="495">
        <v>0</v>
      </c>
      <c r="AO288" s="495">
        <v>0</v>
      </c>
      <c r="AP288" s="74"/>
      <c r="AQ288" s="303">
        <v>93015.82</v>
      </c>
      <c r="AR288" s="303">
        <v>24208.429999999997</v>
      </c>
      <c r="AS288" s="552"/>
      <c r="AY288" s="67">
        <f t="shared" si="71"/>
        <v>0</v>
      </c>
      <c r="BA288" t="s">
        <v>882</v>
      </c>
      <c r="BB288" t="s">
        <v>597</v>
      </c>
      <c r="BC288" t="s">
        <v>1140</v>
      </c>
      <c r="BD288" s="491">
        <v>6.5799999999999997E-2</v>
      </c>
      <c r="BE288" s="492">
        <v>9.3100000000000002E-2</v>
      </c>
      <c r="BG288" s="510">
        <f t="shared" si="69"/>
        <v>0</v>
      </c>
      <c r="BH288" s="510">
        <f t="shared" si="70"/>
        <v>0</v>
      </c>
      <c r="BJ288" s="520">
        <f t="shared" si="72"/>
        <v>0</v>
      </c>
      <c r="BK288" s="520">
        <f t="shared" si="73"/>
        <v>0</v>
      </c>
      <c r="CB288" s="74"/>
      <c r="CC288" s="74"/>
      <c r="CD288" s="74"/>
      <c r="CE288" s="74"/>
      <c r="CF288" s="74"/>
    </row>
    <row r="289" spans="1:84">
      <c r="A289" s="283" t="s">
        <v>600</v>
      </c>
      <c r="B289" s="283" t="s">
        <v>599</v>
      </c>
      <c r="C289" s="283" t="str">
        <f t="shared" ref="C289:C307" si="75">CONCATENATE(B289," ",A289," SCHOOL DISTRICT")</f>
        <v>27010 TACOMA SCHOOL DISTRICT</v>
      </c>
      <c r="D289" s="490">
        <v>0</v>
      </c>
      <c r="E289" s="490">
        <v>533936.97</v>
      </c>
      <c r="F289" s="490">
        <v>248915.25</v>
      </c>
      <c r="G289" s="490">
        <v>56425263.409999996</v>
      </c>
      <c r="H289" s="490">
        <v>10771887.57</v>
      </c>
      <c r="I289" s="490">
        <v>5784635.5099999998</v>
      </c>
      <c r="J289" s="490">
        <v>11298014.050000001</v>
      </c>
      <c r="K289" s="490">
        <v>5890276.5599999996</v>
      </c>
      <c r="L289" s="490">
        <v>887207.7</v>
      </c>
      <c r="M289" s="490">
        <v>17741171.210000001</v>
      </c>
      <c r="N289" s="300">
        <v>4.4600000000000001E-2</v>
      </c>
      <c r="O289" s="492">
        <v>0.13100000000000001</v>
      </c>
      <c r="P289" s="490">
        <v>194914.77</v>
      </c>
      <c r="Q289" s="541">
        <v>17726.060999999998</v>
      </c>
      <c r="R289" s="493">
        <v>7672.1</v>
      </c>
      <c r="S289" s="494">
        <v>538168.9</v>
      </c>
      <c r="T289" s="495">
        <v>0</v>
      </c>
      <c r="U289" s="495">
        <v>17626.37</v>
      </c>
      <c r="V289" s="490">
        <v>0</v>
      </c>
      <c r="W289" s="495">
        <v>0</v>
      </c>
      <c r="X289" s="495">
        <v>0</v>
      </c>
      <c r="Y289" s="490">
        <v>0</v>
      </c>
      <c r="Z289" s="490">
        <v>0</v>
      </c>
      <c r="AA289" s="490">
        <v>0</v>
      </c>
      <c r="AB289" s="490">
        <v>2833460.97</v>
      </c>
      <c r="AC289" s="490">
        <v>14949243.609999999</v>
      </c>
      <c r="AD289" s="490">
        <v>1487.22</v>
      </c>
      <c r="AE289" s="490">
        <v>14243344.4</v>
      </c>
      <c r="AF289" s="339">
        <v>9577.1603394252361</v>
      </c>
      <c r="AG289" s="339">
        <v>10051.803774828202</v>
      </c>
      <c r="AH289" s="496">
        <v>474.64</v>
      </c>
      <c r="AI289" s="490">
        <v>285.08999999999997</v>
      </c>
      <c r="AJ289" s="490">
        <v>2667817.13</v>
      </c>
      <c r="AK289" s="339">
        <v>9357.8067627766668</v>
      </c>
      <c r="AL289" s="339">
        <v>9938.8297379774831</v>
      </c>
      <c r="AM289" s="496">
        <v>581.02</v>
      </c>
      <c r="AN289" s="495">
        <v>0</v>
      </c>
      <c r="AO289" s="495">
        <v>0</v>
      </c>
      <c r="AP289" s="74"/>
      <c r="AQ289" s="303">
        <v>0</v>
      </c>
      <c r="AR289" s="303">
        <v>3193139.0300000003</v>
      </c>
      <c r="AS289" s="552">
        <v>841845.48</v>
      </c>
      <c r="AY289" s="67">
        <f t="shared" si="71"/>
        <v>0</v>
      </c>
      <c r="BA289" t="s">
        <v>856</v>
      </c>
      <c r="BB289" t="s">
        <v>599</v>
      </c>
      <c r="BC289" t="s">
        <v>1141</v>
      </c>
      <c r="BD289" s="491">
        <v>4.4600000000000001E-2</v>
      </c>
      <c r="BE289" s="492">
        <v>0.13100000000000001</v>
      </c>
      <c r="BG289" s="510">
        <f t="shared" si="69"/>
        <v>0</v>
      </c>
      <c r="BH289" s="510">
        <f t="shared" si="70"/>
        <v>0</v>
      </c>
      <c r="BJ289" s="520">
        <f t="shared" si="72"/>
        <v>0</v>
      </c>
      <c r="BK289" s="520">
        <f t="shared" si="73"/>
        <v>0</v>
      </c>
      <c r="CB289" s="74"/>
      <c r="CC289" s="74"/>
      <c r="CD289" s="74"/>
      <c r="CE289" s="74"/>
      <c r="CF289" s="74"/>
    </row>
    <row r="290" spans="1:84">
      <c r="A290" s="283" t="s">
        <v>602</v>
      </c>
      <c r="B290" s="283" t="s">
        <v>601</v>
      </c>
      <c r="C290" s="283" t="str">
        <f t="shared" si="75"/>
        <v>14077 TAHOLAH SCHOOL DISTRICT</v>
      </c>
      <c r="D290" s="490">
        <v>0</v>
      </c>
      <c r="E290" s="490">
        <v>0</v>
      </c>
      <c r="F290" s="490">
        <v>0</v>
      </c>
      <c r="G290" s="490">
        <v>310123.31</v>
      </c>
      <c r="H290" s="490">
        <v>26619.94</v>
      </c>
      <c r="I290" s="490">
        <v>52466.18</v>
      </c>
      <c r="J290" s="490">
        <v>89660</v>
      </c>
      <c r="K290" s="490">
        <v>0</v>
      </c>
      <c r="L290" s="490">
        <v>0</v>
      </c>
      <c r="M290" s="490">
        <v>91699.77</v>
      </c>
      <c r="N290" s="300">
        <v>8.8200000000000001E-2</v>
      </c>
      <c r="O290" s="492">
        <v>0.46100000000000002</v>
      </c>
      <c r="P290" s="490">
        <v>0</v>
      </c>
      <c r="Q290" s="493">
        <v>0</v>
      </c>
      <c r="R290" s="493">
        <v>0</v>
      </c>
      <c r="S290" s="494">
        <v>0</v>
      </c>
      <c r="T290" s="495">
        <v>0</v>
      </c>
      <c r="U290" s="495">
        <v>0</v>
      </c>
      <c r="V290" s="490">
        <v>0</v>
      </c>
      <c r="W290" s="495">
        <v>0</v>
      </c>
      <c r="X290" s="495">
        <v>0</v>
      </c>
      <c r="Y290" s="490">
        <v>0</v>
      </c>
      <c r="Z290" s="490">
        <v>0</v>
      </c>
      <c r="AA290" s="490">
        <v>0</v>
      </c>
      <c r="AB290" s="490">
        <v>0</v>
      </c>
      <c r="AC290" s="490">
        <v>51145.2</v>
      </c>
      <c r="AD290" s="490">
        <v>5.45</v>
      </c>
      <c r="AE290" s="490">
        <v>48222.27</v>
      </c>
      <c r="AF290" s="339">
        <v>8848.1229357798165</v>
      </c>
      <c r="AG290" s="339">
        <v>9384.4403669724761</v>
      </c>
      <c r="AH290" s="496">
        <v>536.32000000000005</v>
      </c>
      <c r="AI290" s="490">
        <v>0</v>
      </c>
      <c r="AJ290" s="490">
        <v>0</v>
      </c>
      <c r="AK290" s="339">
        <v>0</v>
      </c>
      <c r="AL290" s="339">
        <v>0</v>
      </c>
      <c r="AM290" s="496">
        <v>0</v>
      </c>
      <c r="AN290" s="495">
        <v>0</v>
      </c>
      <c r="AO290" s="495">
        <v>85</v>
      </c>
      <c r="AP290" s="74"/>
      <c r="AQ290" s="303">
        <v>0</v>
      </c>
      <c r="AR290" s="303">
        <v>27761.14</v>
      </c>
      <c r="AS290" s="552">
        <v>8562.4599999999991</v>
      </c>
      <c r="AY290" s="67">
        <f t="shared" si="71"/>
        <v>0</v>
      </c>
      <c r="BA290" t="s">
        <v>845</v>
      </c>
      <c r="BB290" t="s">
        <v>601</v>
      </c>
      <c r="BC290" t="s">
        <v>1142</v>
      </c>
      <c r="BD290" s="491">
        <v>8.8200000000000001E-2</v>
      </c>
      <c r="BE290" s="492">
        <v>0.46100000000000002</v>
      </c>
      <c r="BG290" s="510">
        <f t="shared" si="69"/>
        <v>0</v>
      </c>
      <c r="BH290" s="510">
        <f t="shared" si="70"/>
        <v>0</v>
      </c>
      <c r="BJ290" s="520">
        <f t="shared" si="72"/>
        <v>0</v>
      </c>
      <c r="BK290" s="520">
        <f t="shared" si="73"/>
        <v>0</v>
      </c>
      <c r="CB290" s="74"/>
      <c r="CC290" s="74"/>
      <c r="CD290" s="74"/>
      <c r="CE290" s="74"/>
      <c r="CF290" s="74"/>
    </row>
    <row r="291" spans="1:84">
      <c r="A291" s="283" t="s">
        <v>604</v>
      </c>
      <c r="B291" s="283" t="s">
        <v>603</v>
      </c>
      <c r="C291" s="283" t="str">
        <f t="shared" si="75"/>
        <v>17409 TAHOMA SCHOOL DISTRICT</v>
      </c>
      <c r="D291" s="490">
        <v>0</v>
      </c>
      <c r="E291" s="490">
        <v>0</v>
      </c>
      <c r="F291" s="490">
        <v>0</v>
      </c>
      <c r="G291" s="490">
        <v>18329939.949999999</v>
      </c>
      <c r="H291" s="490">
        <v>2435980.91</v>
      </c>
      <c r="I291" s="490">
        <v>0</v>
      </c>
      <c r="J291" s="490">
        <v>1221726.1499999999</v>
      </c>
      <c r="K291" s="490">
        <v>983405.69</v>
      </c>
      <c r="L291" s="490">
        <v>318334.46999999997</v>
      </c>
      <c r="M291" s="490">
        <v>6564968.2599999998</v>
      </c>
      <c r="N291" s="300">
        <v>5.5199999999999999E-2</v>
      </c>
      <c r="O291" s="492">
        <v>0.14280000000000001</v>
      </c>
      <c r="P291" s="490">
        <v>0</v>
      </c>
      <c r="Q291" s="493">
        <v>0</v>
      </c>
      <c r="R291" s="493">
        <v>0</v>
      </c>
      <c r="S291" s="494">
        <v>0</v>
      </c>
      <c r="T291" s="495">
        <v>0</v>
      </c>
      <c r="U291" s="495">
        <v>0</v>
      </c>
      <c r="V291" s="490">
        <v>0</v>
      </c>
      <c r="W291" s="495">
        <v>0</v>
      </c>
      <c r="X291" s="495">
        <v>0</v>
      </c>
      <c r="Y291" s="490">
        <v>10351</v>
      </c>
      <c r="Z291" s="490">
        <v>43981.68</v>
      </c>
      <c r="AA291" s="490">
        <v>179641.13</v>
      </c>
      <c r="AB291" s="490">
        <v>366481.35</v>
      </c>
      <c r="AC291" s="490">
        <v>5891269.2599999998</v>
      </c>
      <c r="AD291" s="490">
        <v>529.09</v>
      </c>
      <c r="AE291" s="490">
        <v>5352788.08</v>
      </c>
      <c r="AF291" s="339">
        <v>10116.970798918897</v>
      </c>
      <c r="AG291" s="339">
        <v>11134.720482337598</v>
      </c>
      <c r="AH291" s="496">
        <v>1017.75</v>
      </c>
      <c r="AI291" s="490">
        <v>34.86</v>
      </c>
      <c r="AJ291" s="490">
        <v>344762.57</v>
      </c>
      <c r="AK291" s="339">
        <v>9889.9188181296613</v>
      </c>
      <c r="AL291" s="339">
        <v>10512.947504302925</v>
      </c>
      <c r="AM291" s="496">
        <v>623.03</v>
      </c>
      <c r="AN291" s="495">
        <v>113.14</v>
      </c>
      <c r="AO291" s="495">
        <v>0</v>
      </c>
      <c r="AP291" s="74"/>
      <c r="AQ291" s="303">
        <v>320605.38000000024</v>
      </c>
      <c r="AR291" s="303">
        <v>1052831.27</v>
      </c>
      <c r="AS291" s="552">
        <v>274704.51</v>
      </c>
      <c r="AY291" s="67">
        <f t="shared" si="71"/>
        <v>0</v>
      </c>
      <c r="BA291" t="s">
        <v>856</v>
      </c>
      <c r="BB291" t="s">
        <v>603</v>
      </c>
      <c r="BC291" t="s">
        <v>1143</v>
      </c>
      <c r="BD291" s="491">
        <v>5.5199999999999999E-2</v>
      </c>
      <c r="BE291" s="492">
        <v>0.14280000000000001</v>
      </c>
      <c r="BG291" s="510">
        <f t="shared" si="69"/>
        <v>0</v>
      </c>
      <c r="BH291" s="510">
        <f t="shared" si="70"/>
        <v>0</v>
      </c>
      <c r="BJ291" s="520">
        <f t="shared" si="72"/>
        <v>0</v>
      </c>
      <c r="BK291" s="520">
        <f t="shared" si="73"/>
        <v>0</v>
      </c>
      <c r="CB291" s="74"/>
      <c r="CC291" s="74"/>
      <c r="CD291" s="74"/>
      <c r="CE291" s="74"/>
      <c r="CF291" s="74"/>
    </row>
    <row r="292" spans="1:84">
      <c r="A292" s="283" t="s">
        <v>606</v>
      </c>
      <c r="B292" s="283" t="s">
        <v>605</v>
      </c>
      <c r="C292" s="283" t="str">
        <f t="shared" si="75"/>
        <v>38265 TEKOA SCHOOL DISTRICT</v>
      </c>
      <c r="D292" s="490">
        <v>0</v>
      </c>
      <c r="E292" s="490">
        <v>8533.2800000000007</v>
      </c>
      <c r="F292" s="490">
        <v>5956.86</v>
      </c>
      <c r="G292" s="490">
        <v>321115.65000000002</v>
      </c>
      <c r="H292" s="490">
        <v>47845.11</v>
      </c>
      <c r="I292" s="490">
        <v>61513.15</v>
      </c>
      <c r="J292" s="490">
        <v>87936.3</v>
      </c>
      <c r="K292" s="490">
        <v>0</v>
      </c>
      <c r="L292" s="490">
        <v>5813.11</v>
      </c>
      <c r="M292" s="490">
        <v>267756.44</v>
      </c>
      <c r="N292" s="300">
        <v>4.2700000000000002E-2</v>
      </c>
      <c r="O292" s="492">
        <v>0.1913</v>
      </c>
      <c r="P292" s="490">
        <v>0</v>
      </c>
      <c r="Q292" s="493">
        <v>0</v>
      </c>
      <c r="R292" s="493">
        <v>0</v>
      </c>
      <c r="S292" s="494">
        <v>0</v>
      </c>
      <c r="T292" s="495">
        <v>0</v>
      </c>
      <c r="U292" s="495">
        <v>0</v>
      </c>
      <c r="V292" s="490">
        <v>0</v>
      </c>
      <c r="W292" s="495">
        <v>0</v>
      </c>
      <c r="X292" s="495">
        <v>0</v>
      </c>
      <c r="Y292" s="490">
        <v>0</v>
      </c>
      <c r="Z292" s="490">
        <v>0</v>
      </c>
      <c r="AA292" s="490">
        <v>13611.01</v>
      </c>
      <c r="AB292" s="490">
        <v>83178.490000000005</v>
      </c>
      <c r="AC292" s="490">
        <v>247978.34</v>
      </c>
      <c r="AD292" s="490">
        <v>26.76</v>
      </c>
      <c r="AE292" s="490">
        <v>239094.59</v>
      </c>
      <c r="AF292" s="339">
        <v>8934.7754110612841</v>
      </c>
      <c r="AG292" s="339">
        <v>9266.7541106128538</v>
      </c>
      <c r="AH292" s="496">
        <v>331.98</v>
      </c>
      <c r="AI292" s="490">
        <v>8.9700000000000006</v>
      </c>
      <c r="AJ292" s="490">
        <v>78153.56</v>
      </c>
      <c r="AK292" s="339">
        <v>8712.7714604236335</v>
      </c>
      <c r="AL292" s="339">
        <v>9272.9643255295432</v>
      </c>
      <c r="AM292" s="496">
        <v>560.19000000000005</v>
      </c>
      <c r="AN292" s="495">
        <v>0</v>
      </c>
      <c r="AO292" s="495">
        <v>0</v>
      </c>
      <c r="AP292" s="74"/>
      <c r="AQ292" s="303">
        <v>7234.8100000000013</v>
      </c>
      <c r="AR292" s="303">
        <v>30011.799999999996</v>
      </c>
      <c r="AS292" s="552">
        <v>16157.95</v>
      </c>
      <c r="AY292" s="67">
        <f t="shared" si="71"/>
        <v>0</v>
      </c>
      <c r="BA292" t="s">
        <v>848</v>
      </c>
      <c r="BB292" t="s">
        <v>605</v>
      </c>
      <c r="BC292" t="s">
        <v>1144</v>
      </c>
      <c r="BD292" s="491">
        <v>4.2700000000000002E-2</v>
      </c>
      <c r="BE292" s="492">
        <v>0.1913</v>
      </c>
      <c r="BG292" s="510">
        <f t="shared" si="69"/>
        <v>0</v>
      </c>
      <c r="BH292" s="510">
        <f t="shared" si="70"/>
        <v>0</v>
      </c>
      <c r="BJ292" s="520">
        <f t="shared" si="72"/>
        <v>0</v>
      </c>
      <c r="BK292" s="520">
        <f t="shared" si="73"/>
        <v>0</v>
      </c>
      <c r="CB292" s="74"/>
      <c r="CC292" s="74"/>
      <c r="CD292" s="74"/>
      <c r="CE292" s="74"/>
      <c r="CF292" s="74"/>
    </row>
    <row r="293" spans="1:84">
      <c r="A293" s="283" t="s">
        <v>608</v>
      </c>
      <c r="B293" s="283" t="s">
        <v>607</v>
      </c>
      <c r="C293" s="283" t="str">
        <f t="shared" si="75"/>
        <v>34402 TENINO SCHOOL DISTRICT</v>
      </c>
      <c r="D293" s="490">
        <v>0</v>
      </c>
      <c r="E293" s="490">
        <v>18943.43</v>
      </c>
      <c r="F293" s="490">
        <v>2926.53</v>
      </c>
      <c r="G293" s="490">
        <v>2279342.2999999998</v>
      </c>
      <c r="H293" s="490">
        <v>466669.25</v>
      </c>
      <c r="I293" s="490">
        <v>189397.65</v>
      </c>
      <c r="J293" s="490">
        <v>415573.56</v>
      </c>
      <c r="K293" s="490">
        <v>25416.74</v>
      </c>
      <c r="L293" s="490">
        <v>37401.620000000003</v>
      </c>
      <c r="M293" s="490">
        <v>1219904.6100000001</v>
      </c>
      <c r="N293" s="300">
        <v>4.3499999999999997E-2</v>
      </c>
      <c r="O293" s="492">
        <v>0.18959999999999999</v>
      </c>
      <c r="P293" s="490">
        <v>0</v>
      </c>
      <c r="Q293" s="493">
        <v>0</v>
      </c>
      <c r="R293" s="493">
        <v>0</v>
      </c>
      <c r="S293" s="494">
        <v>0</v>
      </c>
      <c r="T293" s="495">
        <v>0</v>
      </c>
      <c r="U293" s="495">
        <v>0</v>
      </c>
      <c r="V293" s="490">
        <v>0</v>
      </c>
      <c r="W293" s="495">
        <v>0</v>
      </c>
      <c r="X293" s="495">
        <v>0</v>
      </c>
      <c r="Y293" s="490">
        <v>1445</v>
      </c>
      <c r="Z293" s="490">
        <v>27836.799999999999</v>
      </c>
      <c r="AA293" s="490">
        <v>67285.77</v>
      </c>
      <c r="AB293" s="490">
        <v>344282.54</v>
      </c>
      <c r="AC293" s="490">
        <v>785509.38</v>
      </c>
      <c r="AD293" s="490">
        <v>82.5</v>
      </c>
      <c r="AE293" s="490">
        <v>729948.72</v>
      </c>
      <c r="AF293" s="339">
        <v>8847.8632727272725</v>
      </c>
      <c r="AG293" s="339">
        <v>9521.3258181818182</v>
      </c>
      <c r="AH293" s="496">
        <v>673.46</v>
      </c>
      <c r="AI293" s="490">
        <v>37.54</v>
      </c>
      <c r="AJ293" s="490">
        <v>324109.3</v>
      </c>
      <c r="AK293" s="339">
        <v>8633.705380927011</v>
      </c>
      <c r="AL293" s="339">
        <v>9171.0852424080986</v>
      </c>
      <c r="AM293" s="496">
        <v>537.38</v>
      </c>
      <c r="AN293" s="495">
        <v>212.67</v>
      </c>
      <c r="AO293" s="495">
        <v>1923.06</v>
      </c>
      <c r="AP293" s="74"/>
      <c r="AQ293" s="303">
        <v>0</v>
      </c>
      <c r="AR293" s="303">
        <v>131706.1</v>
      </c>
      <c r="AS293" s="552">
        <v>14176.13</v>
      </c>
      <c r="AY293" s="67">
        <f t="shared" si="71"/>
        <v>0</v>
      </c>
      <c r="BA293" t="s">
        <v>845</v>
      </c>
      <c r="BB293" t="s">
        <v>607</v>
      </c>
      <c r="BC293" t="s">
        <v>1145</v>
      </c>
      <c r="BD293" s="491">
        <v>4.3499999999999997E-2</v>
      </c>
      <c r="BE293" s="492">
        <v>0.18959999999999999</v>
      </c>
      <c r="BG293" s="510">
        <f t="shared" si="69"/>
        <v>0</v>
      </c>
      <c r="BH293" s="510">
        <f t="shared" si="70"/>
        <v>0</v>
      </c>
      <c r="BJ293" s="520">
        <f t="shared" si="72"/>
        <v>0</v>
      </c>
      <c r="BK293" s="520">
        <f t="shared" si="73"/>
        <v>0</v>
      </c>
      <c r="CB293" s="74"/>
      <c r="CC293" s="74"/>
      <c r="CD293" s="74"/>
      <c r="CE293" s="74"/>
      <c r="CF293" s="74"/>
    </row>
    <row r="294" spans="1:84">
      <c r="A294" s="283" t="s">
        <v>610</v>
      </c>
      <c r="B294" s="283" t="s">
        <v>609</v>
      </c>
      <c r="C294" s="283" t="str">
        <f t="shared" si="75"/>
        <v>19400 THORP SCHOOL DISTRICT</v>
      </c>
      <c r="D294" s="490">
        <v>0</v>
      </c>
      <c r="E294" s="490">
        <v>0</v>
      </c>
      <c r="F294" s="490">
        <v>0</v>
      </c>
      <c r="G294" s="490">
        <v>463164.97</v>
      </c>
      <c r="H294" s="490">
        <v>40888.230000000003</v>
      </c>
      <c r="I294" s="490">
        <v>0</v>
      </c>
      <c r="J294" s="490">
        <v>79912.31</v>
      </c>
      <c r="K294" s="490">
        <v>6014.73</v>
      </c>
      <c r="L294" s="490">
        <v>0</v>
      </c>
      <c r="M294" s="490">
        <v>219256.65</v>
      </c>
      <c r="N294" s="300">
        <v>6.1899999999999997E-2</v>
      </c>
      <c r="O294" s="492">
        <v>0.28660000000000002</v>
      </c>
      <c r="P294" s="490">
        <v>0</v>
      </c>
      <c r="Q294" s="493">
        <v>0</v>
      </c>
      <c r="R294" s="493">
        <v>0</v>
      </c>
      <c r="S294" s="494">
        <v>0</v>
      </c>
      <c r="T294" s="495">
        <v>0</v>
      </c>
      <c r="U294" s="495">
        <v>0</v>
      </c>
      <c r="V294" s="490">
        <v>0</v>
      </c>
      <c r="W294" s="495">
        <v>0</v>
      </c>
      <c r="X294" s="495">
        <v>0</v>
      </c>
      <c r="Y294" s="490">
        <v>0</v>
      </c>
      <c r="Z294" s="490">
        <v>0</v>
      </c>
      <c r="AA294" s="490">
        <v>0</v>
      </c>
      <c r="AB294" s="490">
        <v>19120.52</v>
      </c>
      <c r="AC294" s="490">
        <v>112948.26</v>
      </c>
      <c r="AD294" s="490">
        <v>11.83</v>
      </c>
      <c r="AE294" s="490">
        <v>108983.21</v>
      </c>
      <c r="AF294" s="339">
        <v>9212.4437869822486</v>
      </c>
      <c r="AG294" s="339">
        <v>9547.6128486897705</v>
      </c>
      <c r="AH294" s="496">
        <v>335.17</v>
      </c>
      <c r="AI294" s="490">
        <v>2.02</v>
      </c>
      <c r="AJ294" s="490">
        <v>18139.490000000002</v>
      </c>
      <c r="AK294" s="339">
        <v>8979.9455445544554</v>
      </c>
      <c r="AL294" s="339">
        <v>9465.6039603960398</v>
      </c>
      <c r="AM294" s="496">
        <v>485.66</v>
      </c>
      <c r="AN294" s="495">
        <v>0</v>
      </c>
      <c r="AO294" s="495">
        <v>0</v>
      </c>
      <c r="AP294" s="74"/>
      <c r="AQ294" s="303">
        <v>0</v>
      </c>
      <c r="AR294" s="303">
        <v>37982.83</v>
      </c>
      <c r="AS294" s="552"/>
      <c r="AY294" s="67">
        <f t="shared" si="71"/>
        <v>0</v>
      </c>
      <c r="BA294" t="s">
        <v>865</v>
      </c>
      <c r="BB294" t="s">
        <v>609</v>
      </c>
      <c r="BC294" t="s">
        <v>1146</v>
      </c>
      <c r="BD294" s="491">
        <v>6.1899999999999997E-2</v>
      </c>
      <c r="BE294" s="492">
        <v>0.28660000000000002</v>
      </c>
      <c r="BG294" s="510">
        <f t="shared" si="69"/>
        <v>0</v>
      </c>
      <c r="BH294" s="510">
        <f t="shared" si="70"/>
        <v>0</v>
      </c>
      <c r="BJ294" s="520">
        <f t="shared" si="72"/>
        <v>0</v>
      </c>
      <c r="BK294" s="520">
        <f t="shared" si="73"/>
        <v>0</v>
      </c>
      <c r="CB294" s="74"/>
      <c r="CC294" s="74"/>
      <c r="CD294" s="74"/>
      <c r="CE294" s="74"/>
      <c r="CF294" s="74"/>
    </row>
    <row r="295" spans="1:84">
      <c r="A295" s="283" t="s">
        <v>612</v>
      </c>
      <c r="B295" s="283" t="s">
        <v>611</v>
      </c>
      <c r="C295" s="283" t="str">
        <f t="shared" si="75"/>
        <v>21237 TOLEDO SCHOOL DISTRICT</v>
      </c>
      <c r="D295" s="490">
        <v>0</v>
      </c>
      <c r="E295" s="490">
        <v>5126.62</v>
      </c>
      <c r="F295" s="490">
        <v>0</v>
      </c>
      <c r="G295" s="490">
        <v>1574017.57</v>
      </c>
      <c r="H295" s="490">
        <v>386129.16</v>
      </c>
      <c r="I295" s="490">
        <v>69440.08</v>
      </c>
      <c r="J295" s="490">
        <v>255881.96</v>
      </c>
      <c r="K295" s="490">
        <v>11526.57</v>
      </c>
      <c r="L295" s="490">
        <v>25894.71</v>
      </c>
      <c r="M295" s="490">
        <v>829278.34</v>
      </c>
      <c r="N295" s="300">
        <v>2.7199999999999998E-2</v>
      </c>
      <c r="O295" s="492">
        <v>0.20699999999999999</v>
      </c>
      <c r="P295" s="490">
        <v>0</v>
      </c>
      <c r="Q295" s="493">
        <v>0</v>
      </c>
      <c r="R295" s="493">
        <v>0</v>
      </c>
      <c r="S295" s="494">
        <v>0</v>
      </c>
      <c r="T295" s="495">
        <v>0</v>
      </c>
      <c r="U295" s="495">
        <v>0</v>
      </c>
      <c r="V295" s="490">
        <v>0</v>
      </c>
      <c r="W295" s="495">
        <v>0</v>
      </c>
      <c r="X295" s="495">
        <v>0</v>
      </c>
      <c r="Y295" s="490">
        <v>968.55</v>
      </c>
      <c r="Z295" s="490">
        <v>17257.330000000002</v>
      </c>
      <c r="AA295" s="490">
        <v>31956.46</v>
      </c>
      <c r="AB295" s="490">
        <v>342480.32</v>
      </c>
      <c r="AC295" s="490">
        <v>616577.9</v>
      </c>
      <c r="AD295" s="490">
        <v>63.65</v>
      </c>
      <c r="AE295" s="490">
        <v>568619.79</v>
      </c>
      <c r="AF295" s="339">
        <v>8933.5395129615099</v>
      </c>
      <c r="AG295" s="339">
        <v>9687.0054988216816</v>
      </c>
      <c r="AH295" s="496">
        <v>753.47</v>
      </c>
      <c r="AI295" s="490">
        <v>36.97</v>
      </c>
      <c r="AJ295" s="490">
        <v>322265.7</v>
      </c>
      <c r="AK295" s="339">
        <v>8716.9515823640795</v>
      </c>
      <c r="AL295" s="339">
        <v>9263.7360021639179</v>
      </c>
      <c r="AM295" s="496">
        <v>546.78</v>
      </c>
      <c r="AN295" s="495">
        <v>0</v>
      </c>
      <c r="AO295" s="495">
        <v>0</v>
      </c>
      <c r="AP295" s="74"/>
      <c r="AQ295" s="303">
        <v>64441.270000000011</v>
      </c>
      <c r="AR295" s="303">
        <v>86531.13</v>
      </c>
      <c r="AS295" s="552">
        <v>34108.94</v>
      </c>
      <c r="AY295" s="67">
        <f t="shared" si="71"/>
        <v>0</v>
      </c>
      <c r="BA295" t="s">
        <v>845</v>
      </c>
      <c r="BB295" t="s">
        <v>611</v>
      </c>
      <c r="BC295" t="s">
        <v>1147</v>
      </c>
      <c r="BD295" s="491">
        <v>2.7199999999999998E-2</v>
      </c>
      <c r="BE295" s="492">
        <v>0.20699999999999999</v>
      </c>
      <c r="BG295" s="510">
        <f t="shared" si="69"/>
        <v>0</v>
      </c>
      <c r="BH295" s="510">
        <f t="shared" si="70"/>
        <v>0</v>
      </c>
      <c r="BJ295" s="520">
        <f t="shared" si="72"/>
        <v>0</v>
      </c>
      <c r="BK295" s="520">
        <f t="shared" si="73"/>
        <v>0</v>
      </c>
      <c r="CB295" s="74"/>
      <c r="CC295" s="74"/>
      <c r="CD295" s="74"/>
      <c r="CE295" s="74"/>
      <c r="CF295" s="74"/>
    </row>
    <row r="296" spans="1:84">
      <c r="A296" s="283" t="s">
        <v>614</v>
      </c>
      <c r="B296" s="283" t="s">
        <v>613</v>
      </c>
      <c r="C296" s="283" t="str">
        <f t="shared" si="75"/>
        <v>24404 TONASKET SCHOOL DISTRICT</v>
      </c>
      <c r="D296" s="490">
        <v>0</v>
      </c>
      <c r="E296" s="490">
        <v>0</v>
      </c>
      <c r="F296" s="490">
        <v>22729.97</v>
      </c>
      <c r="G296" s="490">
        <v>1458029.56</v>
      </c>
      <c r="H296" s="490">
        <v>205412.72</v>
      </c>
      <c r="I296" s="490">
        <v>342536.5</v>
      </c>
      <c r="J296" s="490">
        <v>608815.26</v>
      </c>
      <c r="K296" s="490">
        <v>208743.91</v>
      </c>
      <c r="L296" s="490">
        <v>32830.31</v>
      </c>
      <c r="M296" s="490">
        <v>1154596.74</v>
      </c>
      <c r="N296" s="300">
        <v>6.3399999999999998E-2</v>
      </c>
      <c r="O296" s="492">
        <v>0.1933</v>
      </c>
      <c r="P296" s="490">
        <v>0</v>
      </c>
      <c r="Q296" s="493">
        <v>0</v>
      </c>
      <c r="R296" s="493">
        <v>0</v>
      </c>
      <c r="S296" s="494">
        <v>0</v>
      </c>
      <c r="T296" s="495">
        <v>0</v>
      </c>
      <c r="U296" s="495">
        <v>0</v>
      </c>
      <c r="V296" s="490">
        <v>0</v>
      </c>
      <c r="W296" s="495">
        <v>0</v>
      </c>
      <c r="X296" s="495">
        <v>0</v>
      </c>
      <c r="Y296" s="490">
        <v>0</v>
      </c>
      <c r="Z296" s="490">
        <v>0</v>
      </c>
      <c r="AA296" s="490">
        <v>14374.88</v>
      </c>
      <c r="AB296" s="490">
        <v>94505.4</v>
      </c>
      <c r="AC296" s="490">
        <v>397389.34</v>
      </c>
      <c r="AD296" s="490">
        <v>40.520000000000003</v>
      </c>
      <c r="AE296" s="490">
        <v>358535.65</v>
      </c>
      <c r="AF296" s="339">
        <v>8848.3625370187565</v>
      </c>
      <c r="AG296" s="339">
        <v>9807.2393879565643</v>
      </c>
      <c r="AH296" s="496">
        <v>958.88</v>
      </c>
      <c r="AI296" s="490">
        <v>10.31</v>
      </c>
      <c r="AJ296" s="490">
        <v>88959.23</v>
      </c>
      <c r="AK296" s="339">
        <v>8628.4413191076619</v>
      </c>
      <c r="AL296" s="339">
        <v>9166.3821532492711</v>
      </c>
      <c r="AM296" s="496">
        <v>537.94000000000005</v>
      </c>
      <c r="AN296" s="495">
        <v>0</v>
      </c>
      <c r="AO296" s="495">
        <v>0</v>
      </c>
      <c r="AP296" s="74"/>
      <c r="AQ296" s="303">
        <v>21921.550000000003</v>
      </c>
      <c r="AR296" s="303">
        <v>110232.49</v>
      </c>
      <c r="AS296" s="552">
        <v>42096.84</v>
      </c>
      <c r="AY296" s="67">
        <f t="shared" si="71"/>
        <v>0</v>
      </c>
      <c r="BA296" t="s">
        <v>871</v>
      </c>
      <c r="BB296" t="s">
        <v>613</v>
      </c>
      <c r="BC296" t="s">
        <v>1148</v>
      </c>
      <c r="BD296" s="491">
        <v>6.3399999999999998E-2</v>
      </c>
      <c r="BE296" s="492">
        <v>0.1933</v>
      </c>
      <c r="BG296" s="510">
        <f t="shared" si="69"/>
        <v>0</v>
      </c>
      <c r="BH296" s="510">
        <f t="shared" si="70"/>
        <v>0</v>
      </c>
      <c r="BJ296" s="520">
        <f t="shared" si="72"/>
        <v>0</v>
      </c>
      <c r="BK296" s="520">
        <f t="shared" si="73"/>
        <v>0</v>
      </c>
      <c r="CB296" s="74"/>
      <c r="CC296" s="74"/>
      <c r="CD296" s="74"/>
      <c r="CE296" s="74"/>
      <c r="CF296" s="74"/>
    </row>
    <row r="297" spans="1:84">
      <c r="A297" s="283" t="s">
        <v>616</v>
      </c>
      <c r="B297" s="283" t="s">
        <v>615</v>
      </c>
      <c r="C297" s="283" t="str">
        <f t="shared" si="75"/>
        <v>39202 TOPPENISH SCHOOL DISTRICT</v>
      </c>
      <c r="D297" s="490">
        <v>130968.86</v>
      </c>
      <c r="E297" s="490">
        <v>263146.83</v>
      </c>
      <c r="F297" s="490">
        <v>81187.66</v>
      </c>
      <c r="G297" s="490">
        <v>5616335.0099999998</v>
      </c>
      <c r="H297" s="490">
        <v>619480.77</v>
      </c>
      <c r="I297" s="490">
        <v>1090153.3500000001</v>
      </c>
      <c r="J297" s="490">
        <v>2681592.31</v>
      </c>
      <c r="K297" s="490">
        <v>1954026.63</v>
      </c>
      <c r="L297" s="490">
        <v>117815.12</v>
      </c>
      <c r="M297" s="490">
        <v>2050754.74</v>
      </c>
      <c r="N297" s="300">
        <v>7.0800000000000002E-2</v>
      </c>
      <c r="O297" s="492">
        <v>0.20050000000000001</v>
      </c>
      <c r="P297" s="490">
        <v>0</v>
      </c>
      <c r="Q297" s="493">
        <v>0</v>
      </c>
      <c r="R297" s="493">
        <v>0</v>
      </c>
      <c r="S297" s="494">
        <v>0</v>
      </c>
      <c r="T297" s="495">
        <v>0</v>
      </c>
      <c r="U297" s="495">
        <v>0</v>
      </c>
      <c r="V297" s="490">
        <v>0</v>
      </c>
      <c r="W297" s="495">
        <v>0</v>
      </c>
      <c r="X297" s="495">
        <v>0</v>
      </c>
      <c r="Y297" s="490">
        <v>0</v>
      </c>
      <c r="Z297" s="490">
        <v>113605.99</v>
      </c>
      <c r="AA297" s="490">
        <v>103914.17</v>
      </c>
      <c r="AB297" s="490">
        <v>1569139.49</v>
      </c>
      <c r="AC297" s="490">
        <v>4962086.09</v>
      </c>
      <c r="AD297" s="490">
        <v>538.30999999999995</v>
      </c>
      <c r="AE297" s="490">
        <v>4762873.38</v>
      </c>
      <c r="AF297" s="339">
        <v>8847.8263082610392</v>
      </c>
      <c r="AG297" s="339">
        <v>9217.8969181326756</v>
      </c>
      <c r="AH297" s="496">
        <v>370.07</v>
      </c>
      <c r="AI297" s="490">
        <v>171.15</v>
      </c>
      <c r="AJ297" s="490">
        <v>1477013.06</v>
      </c>
      <c r="AK297" s="339">
        <v>8629.9331580484959</v>
      </c>
      <c r="AL297" s="339">
        <v>9168.2120362255337</v>
      </c>
      <c r="AM297" s="496">
        <v>538.28</v>
      </c>
      <c r="AN297" s="495">
        <v>708.01</v>
      </c>
      <c r="AO297" s="495">
        <v>0</v>
      </c>
      <c r="AP297" s="74"/>
      <c r="AQ297" s="303">
        <v>218844.28000000009</v>
      </c>
      <c r="AR297" s="303">
        <v>408016.13</v>
      </c>
      <c r="AS297" s="552">
        <v>122033.94</v>
      </c>
      <c r="AY297" s="67">
        <f t="shared" si="71"/>
        <v>0</v>
      </c>
      <c r="BA297" t="s">
        <v>865</v>
      </c>
      <c r="BB297" t="s">
        <v>615</v>
      </c>
      <c r="BC297" t="s">
        <v>1149</v>
      </c>
      <c r="BD297" s="491">
        <v>7.0800000000000002E-2</v>
      </c>
      <c r="BE297" s="492">
        <v>0.20050000000000001</v>
      </c>
      <c r="BG297" s="510">
        <f t="shared" si="69"/>
        <v>0</v>
      </c>
      <c r="BH297" s="510">
        <f t="shared" si="70"/>
        <v>0</v>
      </c>
      <c r="BJ297" s="520">
        <f t="shared" si="72"/>
        <v>0</v>
      </c>
      <c r="BK297" s="520">
        <f t="shared" si="73"/>
        <v>0</v>
      </c>
      <c r="CB297" s="74"/>
      <c r="CC297" s="74"/>
      <c r="CD297" s="74"/>
      <c r="CE297" s="74"/>
      <c r="CF297" s="74"/>
    </row>
    <row r="298" spans="1:84">
      <c r="A298" s="283" t="s">
        <v>618</v>
      </c>
      <c r="B298" s="283" t="s">
        <v>617</v>
      </c>
      <c r="C298" s="283" t="str">
        <f t="shared" si="75"/>
        <v>36300 TOUCHET SCHOOL DISTRICT</v>
      </c>
      <c r="D298" s="490">
        <v>0</v>
      </c>
      <c r="E298" s="490">
        <v>0</v>
      </c>
      <c r="F298" s="490">
        <v>0</v>
      </c>
      <c r="G298" s="490">
        <v>180896.47</v>
      </c>
      <c r="H298" s="490">
        <v>12891.34</v>
      </c>
      <c r="I298" s="490">
        <v>0</v>
      </c>
      <c r="J298" s="490">
        <v>68050.17</v>
      </c>
      <c r="K298" s="490">
        <v>56447.61</v>
      </c>
      <c r="L298" s="490">
        <v>6856.96</v>
      </c>
      <c r="M298" s="490">
        <v>192262.36</v>
      </c>
      <c r="N298" s="300">
        <v>4.3799999999999999E-2</v>
      </c>
      <c r="O298" s="492">
        <v>0.37890000000000001</v>
      </c>
      <c r="P298" s="490">
        <v>0</v>
      </c>
      <c r="Q298" s="493">
        <v>0</v>
      </c>
      <c r="R298" s="493">
        <v>0</v>
      </c>
      <c r="S298" s="494">
        <v>0</v>
      </c>
      <c r="T298" s="495">
        <v>0</v>
      </c>
      <c r="U298" s="495">
        <v>0</v>
      </c>
      <c r="V298" s="490">
        <v>0</v>
      </c>
      <c r="W298" s="495">
        <v>0</v>
      </c>
      <c r="X298" s="495">
        <v>0</v>
      </c>
      <c r="Y298" s="490">
        <v>258.36</v>
      </c>
      <c r="Z298" s="490">
        <v>0</v>
      </c>
      <c r="AA298" s="490">
        <v>0</v>
      </c>
      <c r="AB298" s="490">
        <v>30276.78</v>
      </c>
      <c r="AC298" s="490">
        <v>112214.42</v>
      </c>
      <c r="AD298" s="490">
        <v>11.97</v>
      </c>
      <c r="AE298" s="490">
        <v>105952.44</v>
      </c>
      <c r="AF298" s="339">
        <v>8851.4987468671679</v>
      </c>
      <c r="AG298" s="339">
        <v>9374.6382623224727</v>
      </c>
      <c r="AH298" s="496">
        <v>523.14</v>
      </c>
      <c r="AI298" s="490">
        <v>3.3</v>
      </c>
      <c r="AJ298" s="490">
        <v>28484.7</v>
      </c>
      <c r="AK298" s="339">
        <v>8631.7272727272739</v>
      </c>
      <c r="AL298" s="339">
        <v>9174.7818181818184</v>
      </c>
      <c r="AM298" s="496">
        <v>543.04999999999995</v>
      </c>
      <c r="AN298" s="495">
        <v>0</v>
      </c>
      <c r="AO298" s="495">
        <v>0</v>
      </c>
      <c r="AP298" s="74"/>
      <c r="AQ298" s="303">
        <v>26035.980000000007</v>
      </c>
      <c r="AR298" s="303">
        <v>27464.22</v>
      </c>
      <c r="AS298" s="552">
        <v>16622.689999999999</v>
      </c>
      <c r="AY298" s="67">
        <f t="shared" si="71"/>
        <v>0</v>
      </c>
      <c r="BA298" t="s">
        <v>854</v>
      </c>
      <c r="BB298" t="s">
        <v>617</v>
      </c>
      <c r="BC298" t="s">
        <v>1150</v>
      </c>
      <c r="BD298" s="491">
        <v>4.3799999999999999E-2</v>
      </c>
      <c r="BE298" s="492">
        <v>0.37890000000000001</v>
      </c>
      <c r="BG298" s="510">
        <f t="shared" si="69"/>
        <v>0</v>
      </c>
      <c r="BH298" s="510">
        <f t="shared" si="70"/>
        <v>0</v>
      </c>
      <c r="BJ298" s="520">
        <f t="shared" si="72"/>
        <v>0</v>
      </c>
      <c r="BK298" s="520">
        <f t="shared" si="73"/>
        <v>0</v>
      </c>
      <c r="CB298" s="74"/>
      <c r="CC298" s="74"/>
      <c r="CD298" s="74"/>
      <c r="CE298" s="74"/>
      <c r="CF298" s="74"/>
    </row>
    <row r="299" spans="1:84">
      <c r="A299" s="283" t="s">
        <v>620</v>
      </c>
      <c r="B299" s="283" t="s">
        <v>619</v>
      </c>
      <c r="C299" s="283" t="str">
        <f t="shared" si="75"/>
        <v>08130 TOUTLE LAKE SCHOOL DISTRICT</v>
      </c>
      <c r="D299" s="490">
        <v>0</v>
      </c>
      <c r="E299" s="490">
        <v>17783.91</v>
      </c>
      <c r="F299" s="490">
        <v>0</v>
      </c>
      <c r="G299" s="490">
        <v>0</v>
      </c>
      <c r="H299" s="490">
        <v>0</v>
      </c>
      <c r="I299" s="490">
        <v>0</v>
      </c>
      <c r="J299" s="490">
        <v>203352.7</v>
      </c>
      <c r="K299" s="490">
        <v>0</v>
      </c>
      <c r="L299" s="490">
        <v>0</v>
      </c>
      <c r="M299" s="490">
        <v>601491.22</v>
      </c>
      <c r="N299" s="300">
        <v>3.8100000000000002E-2</v>
      </c>
      <c r="O299" s="492">
        <v>0.15939999999999999</v>
      </c>
      <c r="P299" s="490">
        <v>0</v>
      </c>
      <c r="Q299" s="493">
        <v>0</v>
      </c>
      <c r="R299" s="493">
        <v>0</v>
      </c>
      <c r="S299" s="494">
        <v>0</v>
      </c>
      <c r="T299" s="495">
        <v>0</v>
      </c>
      <c r="U299" s="495">
        <v>0</v>
      </c>
      <c r="V299" s="490">
        <v>0</v>
      </c>
      <c r="W299" s="495">
        <v>0</v>
      </c>
      <c r="X299" s="495">
        <v>0</v>
      </c>
      <c r="Y299" s="490">
        <v>752.7</v>
      </c>
      <c r="Z299" s="490">
        <v>15155.98</v>
      </c>
      <c r="AA299" s="490">
        <v>0</v>
      </c>
      <c r="AB299" s="490">
        <v>108656.77</v>
      </c>
      <c r="AC299" s="490">
        <v>263341.25</v>
      </c>
      <c r="AD299" s="490">
        <v>25.69</v>
      </c>
      <c r="AE299" s="490">
        <v>229598.77</v>
      </c>
      <c r="AF299" s="339">
        <v>8937.2818217205131</v>
      </c>
      <c r="AG299" s="339">
        <v>10250.729855975087</v>
      </c>
      <c r="AH299" s="496">
        <v>1313.45</v>
      </c>
      <c r="AI299" s="490">
        <v>11.72</v>
      </c>
      <c r="AJ299" s="490">
        <v>102342.78</v>
      </c>
      <c r="AK299" s="339">
        <v>8732.3191126279853</v>
      </c>
      <c r="AL299" s="339">
        <v>9271.0554607508529</v>
      </c>
      <c r="AM299" s="496">
        <v>538.74</v>
      </c>
      <c r="AN299" s="495">
        <v>0</v>
      </c>
      <c r="AO299" s="495">
        <v>0</v>
      </c>
      <c r="AP299" s="74"/>
      <c r="AQ299" s="303">
        <v>65367.160000000011</v>
      </c>
      <c r="AR299" s="303">
        <v>61898.04</v>
      </c>
      <c r="AS299" s="552"/>
      <c r="AY299" s="67">
        <f t="shared" si="71"/>
        <v>0</v>
      </c>
      <c r="BA299" t="s">
        <v>859</v>
      </c>
      <c r="BB299" t="s">
        <v>619</v>
      </c>
      <c r="BC299" t="s">
        <v>1151</v>
      </c>
      <c r="BD299" s="491">
        <v>3.8100000000000002E-2</v>
      </c>
      <c r="BE299" s="492">
        <v>0.15939999999999999</v>
      </c>
      <c r="BG299" s="510">
        <f t="shared" si="69"/>
        <v>0</v>
      </c>
      <c r="BH299" s="510">
        <f t="shared" si="70"/>
        <v>0</v>
      </c>
      <c r="BJ299" s="520">
        <f t="shared" si="72"/>
        <v>0</v>
      </c>
      <c r="BK299" s="520">
        <f t="shared" si="73"/>
        <v>0</v>
      </c>
      <c r="CB299" s="74"/>
      <c r="CC299" s="74"/>
      <c r="CD299" s="74"/>
      <c r="CE299" s="74"/>
      <c r="CF299" s="74"/>
    </row>
    <row r="300" spans="1:84">
      <c r="A300" s="283" t="s">
        <v>622</v>
      </c>
      <c r="B300" s="283" t="s">
        <v>621</v>
      </c>
      <c r="C300" s="283" t="str">
        <f t="shared" si="75"/>
        <v>20400 TROUT LAKE SCHOOL DISTRICT</v>
      </c>
      <c r="D300" s="490">
        <v>0</v>
      </c>
      <c r="E300" s="490">
        <v>0</v>
      </c>
      <c r="F300" s="490">
        <v>0</v>
      </c>
      <c r="G300" s="490">
        <v>0</v>
      </c>
      <c r="H300" s="490">
        <v>0</v>
      </c>
      <c r="I300" s="490">
        <v>0</v>
      </c>
      <c r="J300" s="490">
        <v>43219.65</v>
      </c>
      <c r="K300" s="490">
        <v>25722.959999999999</v>
      </c>
      <c r="L300" s="490">
        <v>6129.7</v>
      </c>
      <c r="M300" s="490">
        <v>140501.57999999999</v>
      </c>
      <c r="N300" s="300">
        <v>3.7499999999999999E-2</v>
      </c>
      <c r="O300" s="492">
        <v>0.2142</v>
      </c>
      <c r="P300" s="490">
        <v>0</v>
      </c>
      <c r="Q300" s="493">
        <v>0</v>
      </c>
      <c r="R300" s="493">
        <v>0</v>
      </c>
      <c r="S300" s="494">
        <v>0</v>
      </c>
      <c r="T300" s="495">
        <v>0</v>
      </c>
      <c r="U300" s="495">
        <v>0</v>
      </c>
      <c r="V300" s="490">
        <v>0</v>
      </c>
      <c r="W300" s="495">
        <v>0</v>
      </c>
      <c r="X300" s="495">
        <v>0</v>
      </c>
      <c r="Y300" s="490">
        <v>232.63</v>
      </c>
      <c r="Z300" s="490">
        <v>0</v>
      </c>
      <c r="AA300" s="490">
        <v>0</v>
      </c>
      <c r="AB300" s="490">
        <v>0</v>
      </c>
      <c r="AC300" s="490">
        <v>877.69</v>
      </c>
      <c r="AD300" s="490">
        <v>0</v>
      </c>
      <c r="AE300" s="490">
        <v>0</v>
      </c>
      <c r="AF300" s="339">
        <v>0</v>
      </c>
      <c r="AG300" s="339">
        <v>0</v>
      </c>
      <c r="AH300" s="496">
        <v>0</v>
      </c>
      <c r="AI300" s="490">
        <v>0</v>
      </c>
      <c r="AJ300" s="490">
        <v>0</v>
      </c>
      <c r="AK300" s="339">
        <v>0</v>
      </c>
      <c r="AL300" s="339">
        <v>0</v>
      </c>
      <c r="AM300" s="496">
        <v>0</v>
      </c>
      <c r="AN300" s="495">
        <v>0</v>
      </c>
      <c r="AO300" s="495">
        <v>0</v>
      </c>
      <c r="AP300" s="74"/>
      <c r="AQ300" s="303">
        <v>0</v>
      </c>
      <c r="AR300" s="303">
        <v>26309.289999999997</v>
      </c>
      <c r="AS300" s="552"/>
      <c r="AY300" s="67">
        <f t="shared" si="71"/>
        <v>0</v>
      </c>
      <c r="BA300" t="s">
        <v>859</v>
      </c>
      <c r="BB300" t="s">
        <v>621</v>
      </c>
      <c r="BC300" t="s">
        <v>1152</v>
      </c>
      <c r="BD300" s="491">
        <v>3.7499999999999999E-2</v>
      </c>
      <c r="BE300" s="492">
        <v>0.2142</v>
      </c>
      <c r="BG300" s="510">
        <f t="shared" si="69"/>
        <v>0</v>
      </c>
      <c r="BH300" s="510">
        <f t="shared" si="70"/>
        <v>0</v>
      </c>
      <c r="BJ300" s="520">
        <f t="shared" si="72"/>
        <v>0</v>
      </c>
      <c r="BK300" s="520">
        <f t="shared" si="73"/>
        <v>0</v>
      </c>
      <c r="CB300" s="74"/>
      <c r="CC300" s="74"/>
      <c r="CD300" s="74"/>
      <c r="CE300" s="74"/>
      <c r="CF300" s="74"/>
    </row>
    <row r="301" spans="1:84">
      <c r="A301" s="283" t="s">
        <v>1153</v>
      </c>
      <c r="B301" s="283" t="s">
        <v>623</v>
      </c>
      <c r="C301" s="283" t="str">
        <f t="shared" si="75"/>
        <v>17406 TUKWILA SCHOOL DISTRICT</v>
      </c>
      <c r="D301" s="490">
        <v>0</v>
      </c>
      <c r="E301" s="490">
        <v>142723.92000000001</v>
      </c>
      <c r="F301" s="490">
        <v>61091.47</v>
      </c>
      <c r="G301" s="490">
        <v>5399082.4199999999</v>
      </c>
      <c r="H301" s="490">
        <v>909281.67</v>
      </c>
      <c r="I301" s="490">
        <v>885417.57</v>
      </c>
      <c r="J301" s="490">
        <v>1445412.93</v>
      </c>
      <c r="K301" s="490">
        <v>2332663.44</v>
      </c>
      <c r="L301" s="490">
        <v>95055</v>
      </c>
      <c r="M301" s="490">
        <v>1167953.3400000001</v>
      </c>
      <c r="N301" s="300">
        <v>3.1600000000000003E-2</v>
      </c>
      <c r="O301" s="492">
        <v>0.1646</v>
      </c>
      <c r="P301" s="490">
        <v>0</v>
      </c>
      <c r="Q301" s="493">
        <v>0</v>
      </c>
      <c r="R301" s="493">
        <v>0</v>
      </c>
      <c r="S301" s="494">
        <v>0</v>
      </c>
      <c r="T301" s="495">
        <v>0</v>
      </c>
      <c r="U301" s="495">
        <v>0</v>
      </c>
      <c r="V301" s="490">
        <v>0</v>
      </c>
      <c r="W301" s="495">
        <v>0</v>
      </c>
      <c r="X301" s="495">
        <v>0</v>
      </c>
      <c r="Y301" s="490">
        <v>0</v>
      </c>
      <c r="Z301" s="490">
        <v>0</v>
      </c>
      <c r="AA301" s="490">
        <v>80721.22</v>
      </c>
      <c r="AB301" s="490">
        <v>118959.54</v>
      </c>
      <c r="AC301" s="490">
        <v>1804723.81</v>
      </c>
      <c r="AD301" s="490">
        <v>167.57</v>
      </c>
      <c r="AE301" s="490">
        <v>1666054.75</v>
      </c>
      <c r="AF301" s="339">
        <v>9942.4404726383</v>
      </c>
      <c r="AG301" s="339">
        <v>10769.969624634481</v>
      </c>
      <c r="AH301" s="496">
        <v>827.53</v>
      </c>
      <c r="AI301" s="490">
        <v>11.51</v>
      </c>
      <c r="AJ301" s="490">
        <v>111772.71</v>
      </c>
      <c r="AK301" s="339">
        <v>9710.9218071242412</v>
      </c>
      <c r="AL301" s="339">
        <v>10335.320590790616</v>
      </c>
      <c r="AM301" s="496">
        <v>624.4</v>
      </c>
      <c r="AN301" s="495">
        <v>0</v>
      </c>
      <c r="AO301" s="495">
        <v>0</v>
      </c>
      <c r="AP301" s="74"/>
      <c r="AQ301" s="303">
        <v>662929.69999999995</v>
      </c>
      <c r="AR301" s="303">
        <v>376085.78</v>
      </c>
      <c r="AS301" s="552">
        <v>82791.56</v>
      </c>
      <c r="AY301" s="67">
        <f t="shared" si="71"/>
        <v>0</v>
      </c>
      <c r="BA301" t="s">
        <v>856</v>
      </c>
      <c r="BB301" t="s">
        <v>623</v>
      </c>
      <c r="BC301" t="s">
        <v>1154</v>
      </c>
      <c r="BD301" s="491">
        <v>3.1600000000000003E-2</v>
      </c>
      <c r="BE301" s="492">
        <v>0.1646</v>
      </c>
      <c r="BG301" s="510">
        <f t="shared" si="69"/>
        <v>0</v>
      </c>
      <c r="BH301" s="510">
        <f t="shared" si="70"/>
        <v>0</v>
      </c>
      <c r="BJ301" s="520">
        <f t="shared" si="72"/>
        <v>0</v>
      </c>
      <c r="BK301" s="520">
        <f t="shared" si="73"/>
        <v>0</v>
      </c>
      <c r="CB301" s="74"/>
      <c r="CC301" s="74"/>
      <c r="CD301" s="74"/>
      <c r="CE301" s="74"/>
      <c r="CF301" s="74"/>
    </row>
    <row r="302" spans="1:84">
      <c r="A302" s="283" t="s">
        <v>626</v>
      </c>
      <c r="B302" s="283" t="s">
        <v>625</v>
      </c>
      <c r="C302" s="283" t="str">
        <f t="shared" si="75"/>
        <v>34033 TUMWATER SCHOOL DISTRICT</v>
      </c>
      <c r="D302" s="490">
        <v>0</v>
      </c>
      <c r="E302" s="490">
        <v>136563.22</v>
      </c>
      <c r="F302" s="490">
        <v>0</v>
      </c>
      <c r="G302" s="490">
        <v>11318346.23</v>
      </c>
      <c r="H302" s="490">
        <v>1913087.04</v>
      </c>
      <c r="I302" s="490">
        <v>0</v>
      </c>
      <c r="J302" s="490">
        <v>1451286.78</v>
      </c>
      <c r="K302" s="490">
        <v>269886.98</v>
      </c>
      <c r="L302" s="490">
        <v>197293.55</v>
      </c>
      <c r="M302" s="490">
        <v>4099114.17</v>
      </c>
      <c r="N302" s="300">
        <v>2.3199999999999998E-2</v>
      </c>
      <c r="O302" s="492">
        <v>0.14199999999999999</v>
      </c>
      <c r="P302" s="490">
        <v>0</v>
      </c>
      <c r="Q302" s="493">
        <v>0</v>
      </c>
      <c r="R302" s="493">
        <v>0</v>
      </c>
      <c r="S302" s="494">
        <v>158712.00999999998</v>
      </c>
      <c r="T302" s="495">
        <v>16169.140000000003</v>
      </c>
      <c r="U302" s="495">
        <v>5984.84</v>
      </c>
      <c r="V302" s="490">
        <v>0</v>
      </c>
      <c r="W302" s="495">
        <v>0</v>
      </c>
      <c r="X302" s="495">
        <v>0</v>
      </c>
      <c r="Y302" s="490">
        <v>1070.33</v>
      </c>
      <c r="Z302" s="490">
        <v>117131.98</v>
      </c>
      <c r="AA302" s="490">
        <v>364081.82</v>
      </c>
      <c r="AB302" s="490">
        <v>1262993.8</v>
      </c>
      <c r="AC302" s="490">
        <v>3991497.67</v>
      </c>
      <c r="AD302" s="490">
        <v>412.04</v>
      </c>
      <c r="AE302" s="490">
        <v>3645563.2</v>
      </c>
      <c r="AF302" s="339">
        <v>8847.5953790894091</v>
      </c>
      <c r="AG302" s="339">
        <v>9687.1606397437135</v>
      </c>
      <c r="AH302" s="496">
        <v>839.57</v>
      </c>
      <c r="AI302" s="490">
        <v>137.75</v>
      </c>
      <c r="AJ302" s="490">
        <v>1188702.97</v>
      </c>
      <c r="AK302" s="339">
        <v>8629.4226497277668</v>
      </c>
      <c r="AL302" s="339">
        <v>9168.739019963703</v>
      </c>
      <c r="AM302" s="496">
        <v>539.32000000000005</v>
      </c>
      <c r="AN302" s="495">
        <v>2581.63</v>
      </c>
      <c r="AO302" s="495">
        <v>9979.52</v>
      </c>
      <c r="AP302" s="74"/>
      <c r="AQ302" s="303">
        <v>261353.8899999999</v>
      </c>
      <c r="AR302" s="303">
        <v>639307.03</v>
      </c>
      <c r="AS302" s="552">
        <v>186866.65</v>
      </c>
      <c r="AY302" s="67">
        <f t="shared" si="71"/>
        <v>0</v>
      </c>
      <c r="BA302" t="s">
        <v>845</v>
      </c>
      <c r="BB302" t="s">
        <v>625</v>
      </c>
      <c r="BC302" t="s">
        <v>1155</v>
      </c>
      <c r="BD302" s="491">
        <v>2.3199999999999998E-2</v>
      </c>
      <c r="BE302" s="492">
        <v>0.14199999999999999</v>
      </c>
      <c r="BG302" s="510">
        <f t="shared" si="69"/>
        <v>0</v>
      </c>
      <c r="BH302" s="510">
        <f t="shared" si="70"/>
        <v>0</v>
      </c>
      <c r="BJ302" s="520">
        <f t="shared" si="72"/>
        <v>0</v>
      </c>
      <c r="BK302" s="520">
        <f t="shared" si="73"/>
        <v>0</v>
      </c>
      <c r="CB302" s="74"/>
      <c r="CC302" s="74"/>
      <c r="CD302" s="74"/>
      <c r="CE302" s="74"/>
      <c r="CF302" s="74"/>
    </row>
    <row r="303" spans="1:84">
      <c r="A303" s="283" t="s">
        <v>628</v>
      </c>
      <c r="B303" s="283" t="s">
        <v>627</v>
      </c>
      <c r="C303" s="283" t="str">
        <f t="shared" si="75"/>
        <v>39002 UNION GAP SCHOOL DISTRICT</v>
      </c>
      <c r="D303" s="490">
        <v>1436.95</v>
      </c>
      <c r="E303" s="490">
        <v>0</v>
      </c>
      <c r="F303" s="490">
        <v>17524.28</v>
      </c>
      <c r="G303" s="490">
        <v>953007.75</v>
      </c>
      <c r="H303" s="490">
        <v>109351.08</v>
      </c>
      <c r="I303" s="490">
        <v>170489.05</v>
      </c>
      <c r="J303" s="490">
        <v>328095.31</v>
      </c>
      <c r="K303" s="490">
        <v>231914.99</v>
      </c>
      <c r="L303" s="490">
        <v>16207.36</v>
      </c>
      <c r="M303" s="490">
        <v>143687.97</v>
      </c>
      <c r="N303" s="300">
        <v>2.0799999999999999E-2</v>
      </c>
      <c r="O303" s="492">
        <v>0.24679999999999999</v>
      </c>
      <c r="P303" s="490">
        <v>0</v>
      </c>
      <c r="Q303" s="493">
        <v>0</v>
      </c>
      <c r="R303" s="493">
        <v>0</v>
      </c>
      <c r="S303" s="494">
        <v>0</v>
      </c>
      <c r="T303" s="495">
        <v>0</v>
      </c>
      <c r="U303" s="495">
        <v>0</v>
      </c>
      <c r="V303" s="490">
        <v>0</v>
      </c>
      <c r="W303" s="495">
        <v>0</v>
      </c>
      <c r="X303" s="495">
        <v>0</v>
      </c>
      <c r="Y303" s="490">
        <v>639.74</v>
      </c>
      <c r="Z303" s="490">
        <v>0</v>
      </c>
      <c r="AA303" s="490">
        <v>0</v>
      </c>
      <c r="AB303" s="490">
        <v>0</v>
      </c>
      <c r="AC303" s="490">
        <v>0</v>
      </c>
      <c r="AD303" s="490">
        <v>0</v>
      </c>
      <c r="AE303" s="490">
        <v>0</v>
      </c>
      <c r="AF303" s="339">
        <v>0</v>
      </c>
      <c r="AG303" s="339">
        <v>0</v>
      </c>
      <c r="AH303" s="496">
        <v>0</v>
      </c>
      <c r="AI303" s="490">
        <v>0</v>
      </c>
      <c r="AJ303" s="490">
        <v>0</v>
      </c>
      <c r="AK303" s="339">
        <v>0</v>
      </c>
      <c r="AL303" s="339">
        <v>0</v>
      </c>
      <c r="AM303" s="496">
        <v>0</v>
      </c>
      <c r="AN303" s="495">
        <v>0</v>
      </c>
      <c r="AO303" s="495">
        <v>0</v>
      </c>
      <c r="AP303" s="74"/>
      <c r="AQ303" s="303">
        <v>41935.090000000004</v>
      </c>
      <c r="AR303" s="303">
        <v>65681.7</v>
      </c>
      <c r="AS303" s="552">
        <v>26876.26</v>
      </c>
      <c r="AY303" s="67">
        <f t="shared" si="71"/>
        <v>0</v>
      </c>
      <c r="BA303" t="s">
        <v>865</v>
      </c>
      <c r="BB303" t="s">
        <v>627</v>
      </c>
      <c r="BC303" t="s">
        <v>1156</v>
      </c>
      <c r="BD303" s="491">
        <v>2.0799999999999999E-2</v>
      </c>
      <c r="BE303" s="492">
        <v>0.24679999999999999</v>
      </c>
      <c r="BG303" s="510">
        <f t="shared" si="69"/>
        <v>0</v>
      </c>
      <c r="BH303" s="510">
        <f t="shared" si="70"/>
        <v>0</v>
      </c>
      <c r="BJ303" s="520">
        <f t="shared" si="72"/>
        <v>0</v>
      </c>
      <c r="BK303" s="520">
        <f t="shared" si="73"/>
        <v>0</v>
      </c>
      <c r="CB303" s="74"/>
      <c r="CC303" s="74"/>
      <c r="CD303" s="74"/>
      <c r="CE303" s="74"/>
      <c r="CF303" s="74"/>
    </row>
    <row r="304" spans="1:84">
      <c r="A304" s="283" t="s">
        <v>630</v>
      </c>
      <c r="B304" s="283" t="s">
        <v>629</v>
      </c>
      <c r="C304" s="283" t="str">
        <f t="shared" si="75"/>
        <v>27083 UNIVERSITY PLACE SCHOOL DISTRICT</v>
      </c>
      <c r="D304" s="490">
        <v>0</v>
      </c>
      <c r="E304" s="490">
        <v>0</v>
      </c>
      <c r="F304" s="490">
        <v>0</v>
      </c>
      <c r="G304" s="490">
        <v>7340853.4000000004</v>
      </c>
      <c r="H304" s="490">
        <v>1449378.75</v>
      </c>
      <c r="I304" s="490">
        <v>0</v>
      </c>
      <c r="J304" s="490">
        <v>1585703.42</v>
      </c>
      <c r="K304" s="490">
        <v>627485.98</v>
      </c>
      <c r="L304" s="490">
        <v>178635.82</v>
      </c>
      <c r="M304" s="490">
        <v>2800811.13</v>
      </c>
      <c r="N304" s="300">
        <v>4.1099999999999998E-2</v>
      </c>
      <c r="O304" s="492">
        <v>0.15040000000000001</v>
      </c>
      <c r="P304" s="490">
        <v>0</v>
      </c>
      <c r="Q304" s="493">
        <v>0</v>
      </c>
      <c r="R304" s="493">
        <v>0</v>
      </c>
      <c r="S304" s="494">
        <v>0</v>
      </c>
      <c r="T304" s="495">
        <v>0</v>
      </c>
      <c r="U304" s="495">
        <v>0</v>
      </c>
      <c r="V304" s="490">
        <v>0</v>
      </c>
      <c r="W304" s="495">
        <v>0</v>
      </c>
      <c r="X304" s="495">
        <v>0</v>
      </c>
      <c r="Y304" s="490">
        <v>6309.02</v>
      </c>
      <c r="Z304" s="490">
        <v>0</v>
      </c>
      <c r="AA304" s="490">
        <v>31658.959999999999</v>
      </c>
      <c r="AB304" s="490">
        <v>0</v>
      </c>
      <c r="AC304" s="490">
        <v>3012951.97</v>
      </c>
      <c r="AD304" s="490">
        <v>296.64</v>
      </c>
      <c r="AE304" s="490">
        <v>2784657.05</v>
      </c>
      <c r="AF304" s="339">
        <v>9387.3282429881328</v>
      </c>
      <c r="AG304" s="339">
        <v>10156.930858953616</v>
      </c>
      <c r="AH304" s="496">
        <v>769.6</v>
      </c>
      <c r="AI304" s="490">
        <v>0</v>
      </c>
      <c r="AJ304" s="490">
        <v>0</v>
      </c>
      <c r="AK304" s="339">
        <v>0</v>
      </c>
      <c r="AL304" s="339">
        <v>0</v>
      </c>
      <c r="AM304" s="496">
        <v>0</v>
      </c>
      <c r="AN304" s="495">
        <v>0</v>
      </c>
      <c r="AO304" s="495">
        <v>0</v>
      </c>
      <c r="AP304" s="74"/>
      <c r="AQ304" s="303">
        <v>11929.580000000075</v>
      </c>
      <c r="AR304" s="303">
        <v>565878.38</v>
      </c>
      <c r="AS304" s="552">
        <v>172691.76</v>
      </c>
      <c r="AY304" s="67">
        <f t="shared" si="71"/>
        <v>0</v>
      </c>
      <c r="BA304" t="s">
        <v>856</v>
      </c>
      <c r="BB304" t="s">
        <v>629</v>
      </c>
      <c r="BC304" t="s">
        <v>1157</v>
      </c>
      <c r="BD304" s="491">
        <v>4.1099999999999998E-2</v>
      </c>
      <c r="BE304" s="492">
        <v>0.15040000000000001</v>
      </c>
      <c r="BG304" s="510">
        <f t="shared" si="69"/>
        <v>0</v>
      </c>
      <c r="BH304" s="510">
        <f t="shared" si="70"/>
        <v>0</v>
      </c>
      <c r="BJ304" s="520">
        <f t="shared" si="72"/>
        <v>0</v>
      </c>
      <c r="BK304" s="520">
        <f t="shared" si="73"/>
        <v>0</v>
      </c>
      <c r="CB304" s="74"/>
      <c r="CC304" s="74"/>
      <c r="CD304" s="74"/>
      <c r="CE304" s="74"/>
      <c r="CF304" s="74"/>
    </row>
    <row r="305" spans="1:84">
      <c r="A305" s="283" t="s">
        <v>632</v>
      </c>
      <c r="B305" s="283" t="s">
        <v>631</v>
      </c>
      <c r="C305" s="283" t="str">
        <f t="shared" si="75"/>
        <v>33070 VALLEY SCHOOL DISTRICT</v>
      </c>
      <c r="D305" s="490">
        <v>0</v>
      </c>
      <c r="E305" s="490">
        <v>0</v>
      </c>
      <c r="F305" s="490">
        <v>7634.55</v>
      </c>
      <c r="G305" s="490">
        <v>1100145.08</v>
      </c>
      <c r="H305" s="490">
        <v>105905.37</v>
      </c>
      <c r="I305" s="490">
        <v>68361.86</v>
      </c>
      <c r="J305" s="490">
        <v>180047.25</v>
      </c>
      <c r="K305" s="490">
        <v>73290.02</v>
      </c>
      <c r="L305" s="490">
        <v>29713.51</v>
      </c>
      <c r="M305" s="490">
        <v>1490250.7</v>
      </c>
      <c r="N305" s="300">
        <v>5.6500000000000002E-2</v>
      </c>
      <c r="O305" s="492">
        <v>0.20730000000000001</v>
      </c>
      <c r="P305" s="490">
        <v>0</v>
      </c>
      <c r="Q305" s="493">
        <v>0</v>
      </c>
      <c r="R305" s="493">
        <v>0</v>
      </c>
      <c r="S305" s="494">
        <v>0</v>
      </c>
      <c r="T305" s="495">
        <v>0</v>
      </c>
      <c r="U305" s="495">
        <v>0</v>
      </c>
      <c r="V305" s="490">
        <v>0</v>
      </c>
      <c r="W305" s="495">
        <v>0</v>
      </c>
      <c r="X305" s="495">
        <v>0</v>
      </c>
      <c r="Y305" s="490">
        <v>1228.03</v>
      </c>
      <c r="Z305" s="490">
        <v>0</v>
      </c>
      <c r="AA305" s="490">
        <v>0</v>
      </c>
      <c r="AB305" s="490">
        <v>0</v>
      </c>
      <c r="AC305" s="490">
        <v>0</v>
      </c>
      <c r="AD305" s="490">
        <v>0</v>
      </c>
      <c r="AE305" s="490">
        <v>0</v>
      </c>
      <c r="AF305" s="339">
        <v>0</v>
      </c>
      <c r="AG305" s="339">
        <v>0</v>
      </c>
      <c r="AH305" s="496">
        <v>0</v>
      </c>
      <c r="AI305" s="490">
        <v>0</v>
      </c>
      <c r="AJ305" s="490">
        <v>0</v>
      </c>
      <c r="AK305" s="339">
        <v>0</v>
      </c>
      <c r="AL305" s="339">
        <v>0</v>
      </c>
      <c r="AM305" s="496">
        <v>0</v>
      </c>
      <c r="AN305" s="495">
        <v>0</v>
      </c>
      <c r="AO305" s="495">
        <v>0</v>
      </c>
      <c r="AP305" s="74"/>
      <c r="AQ305" s="303">
        <v>4120.2699999999968</v>
      </c>
      <c r="AR305" s="303">
        <v>42134.1</v>
      </c>
      <c r="AS305" s="552">
        <v>16796.98</v>
      </c>
      <c r="AY305" s="67">
        <f t="shared" si="71"/>
        <v>0</v>
      </c>
      <c r="BA305" t="s">
        <v>848</v>
      </c>
      <c r="BB305" t="s">
        <v>631</v>
      </c>
      <c r="BC305" t="s">
        <v>1158</v>
      </c>
      <c r="BD305" s="491">
        <v>5.6500000000000002E-2</v>
      </c>
      <c r="BE305" s="492">
        <v>0.20730000000000001</v>
      </c>
      <c r="BG305" s="510">
        <f t="shared" si="69"/>
        <v>0</v>
      </c>
      <c r="BH305" s="510">
        <f t="shared" si="70"/>
        <v>0</v>
      </c>
      <c r="BJ305" s="520">
        <f t="shared" si="72"/>
        <v>0</v>
      </c>
      <c r="BK305" s="520">
        <f t="shared" si="73"/>
        <v>0</v>
      </c>
      <c r="CB305" s="74"/>
      <c r="CC305" s="74"/>
      <c r="CD305" s="74"/>
      <c r="CE305" s="74"/>
      <c r="CF305" s="74"/>
    </row>
    <row r="306" spans="1:84">
      <c r="A306" s="283" t="s">
        <v>634</v>
      </c>
      <c r="B306" s="283" t="s">
        <v>633</v>
      </c>
      <c r="C306" s="283" t="str">
        <f t="shared" si="75"/>
        <v>06037 VANCOUVER SCHOOL DISTRICT</v>
      </c>
      <c r="D306" s="490">
        <v>0</v>
      </c>
      <c r="E306" s="490">
        <v>0</v>
      </c>
      <c r="F306" s="490">
        <v>160442.54</v>
      </c>
      <c r="G306" s="490">
        <v>43113203.020000003</v>
      </c>
      <c r="H306" s="490">
        <v>8449528.5</v>
      </c>
      <c r="I306" s="490">
        <v>4095095.49</v>
      </c>
      <c r="J306" s="490">
        <v>7779916.2300000004</v>
      </c>
      <c r="K306" s="490">
        <v>5964688.6200000001</v>
      </c>
      <c r="L306" s="490">
        <v>669470.49</v>
      </c>
      <c r="M306" s="490">
        <v>12987645.91</v>
      </c>
      <c r="N306" s="300">
        <v>5.45E-2</v>
      </c>
      <c r="O306" s="492">
        <v>0.15129999999999999</v>
      </c>
      <c r="P306" s="490">
        <v>0</v>
      </c>
      <c r="Q306" s="493">
        <v>0</v>
      </c>
      <c r="R306" s="493">
        <v>0</v>
      </c>
      <c r="S306" s="494">
        <v>0</v>
      </c>
      <c r="T306" s="495">
        <v>0</v>
      </c>
      <c r="U306" s="495">
        <v>0</v>
      </c>
      <c r="V306" s="490">
        <v>0</v>
      </c>
      <c r="W306" s="495">
        <v>0</v>
      </c>
      <c r="X306" s="495">
        <v>0</v>
      </c>
      <c r="Y306" s="490">
        <v>12378.69</v>
      </c>
      <c r="Z306" s="490">
        <v>246590.25</v>
      </c>
      <c r="AA306" s="490">
        <v>246227.92</v>
      </c>
      <c r="AB306" s="490">
        <v>2599673.37</v>
      </c>
      <c r="AC306" s="490">
        <v>14081187.390000001</v>
      </c>
      <c r="AD306" s="490">
        <v>1467.36</v>
      </c>
      <c r="AE306" s="490">
        <v>13517892.52</v>
      </c>
      <c r="AF306" s="339">
        <v>9212.3899520226805</v>
      </c>
      <c r="AG306" s="339">
        <v>9596.2731640497223</v>
      </c>
      <c r="AH306" s="496">
        <v>383.88</v>
      </c>
      <c r="AI306" s="490">
        <v>272.10000000000002</v>
      </c>
      <c r="AJ306" s="490">
        <v>2447424.4700000002</v>
      </c>
      <c r="AK306" s="339">
        <v>8994.5772510106581</v>
      </c>
      <c r="AL306" s="339">
        <v>9554.1101433296571</v>
      </c>
      <c r="AM306" s="496">
        <v>559.53</v>
      </c>
      <c r="AN306" s="495">
        <v>0</v>
      </c>
      <c r="AO306" s="495">
        <v>29.31</v>
      </c>
      <c r="AP306" s="74"/>
      <c r="AQ306" s="303">
        <v>0</v>
      </c>
      <c r="AR306" s="303">
        <v>2404373.1599999997</v>
      </c>
      <c r="AS306" s="552">
        <v>622192.72</v>
      </c>
      <c r="AY306" s="67">
        <f t="shared" si="71"/>
        <v>0</v>
      </c>
      <c r="BA306" t="s">
        <v>859</v>
      </c>
      <c r="BB306" t="s">
        <v>633</v>
      </c>
      <c r="BC306" t="s">
        <v>1159</v>
      </c>
      <c r="BD306" s="491">
        <v>5.45E-2</v>
      </c>
      <c r="BE306" s="492">
        <v>0.15129999999999999</v>
      </c>
      <c r="BG306" s="510">
        <f t="shared" si="69"/>
        <v>0</v>
      </c>
      <c r="BH306" s="510">
        <f t="shared" si="70"/>
        <v>0</v>
      </c>
      <c r="BJ306" s="520">
        <f t="shared" si="72"/>
        <v>0</v>
      </c>
      <c r="BK306" s="520">
        <f t="shared" si="73"/>
        <v>0</v>
      </c>
      <c r="CB306" s="74"/>
      <c r="CC306" s="74"/>
      <c r="CD306" s="74"/>
      <c r="CE306" s="74"/>
      <c r="CF306" s="74"/>
    </row>
    <row r="307" spans="1:84">
      <c r="A307" s="283" t="s">
        <v>636</v>
      </c>
      <c r="B307" s="283" t="s">
        <v>635</v>
      </c>
      <c r="C307" s="283" t="str">
        <f t="shared" si="75"/>
        <v>17402 VASHON ISLAND SCHOOL DISTRICT</v>
      </c>
      <c r="D307" s="490">
        <v>0</v>
      </c>
      <c r="E307" s="490">
        <v>0</v>
      </c>
      <c r="F307" s="490">
        <v>1623.86</v>
      </c>
      <c r="G307" s="490">
        <v>2359035.14</v>
      </c>
      <c r="H307" s="490">
        <v>288977.07</v>
      </c>
      <c r="I307" s="490">
        <v>19289.98</v>
      </c>
      <c r="J307" s="490">
        <v>283314.28000000003</v>
      </c>
      <c r="K307" s="490">
        <v>154526.10999999999</v>
      </c>
      <c r="L307" s="490">
        <v>48757.52</v>
      </c>
      <c r="M307" s="490">
        <v>1322263.71</v>
      </c>
      <c r="N307" s="300">
        <v>4.7100000000000003E-2</v>
      </c>
      <c r="O307" s="492">
        <v>0.21740000000000001</v>
      </c>
      <c r="P307" s="490">
        <v>0</v>
      </c>
      <c r="Q307" s="493">
        <v>0</v>
      </c>
      <c r="R307" s="493">
        <v>0</v>
      </c>
      <c r="S307" s="494">
        <v>0</v>
      </c>
      <c r="T307" s="495">
        <v>0</v>
      </c>
      <c r="U307" s="495">
        <v>0</v>
      </c>
      <c r="V307" s="490">
        <v>0</v>
      </c>
      <c r="W307" s="495">
        <v>0</v>
      </c>
      <c r="X307" s="495">
        <v>0</v>
      </c>
      <c r="Y307" s="490">
        <v>1597.11</v>
      </c>
      <c r="Z307" s="490">
        <v>11661.19</v>
      </c>
      <c r="AA307" s="490">
        <v>0</v>
      </c>
      <c r="AB307" s="490">
        <v>452243.98</v>
      </c>
      <c r="AC307" s="490">
        <v>838862.28</v>
      </c>
      <c r="AD307" s="490">
        <v>82.14</v>
      </c>
      <c r="AE307" s="490">
        <v>801055.79</v>
      </c>
      <c r="AF307" s="339">
        <v>9752.3227416605805</v>
      </c>
      <c r="AG307" s="339">
        <v>10212.591672753835</v>
      </c>
      <c r="AH307" s="496">
        <v>460.27</v>
      </c>
      <c r="AI307" s="490">
        <v>44.65</v>
      </c>
      <c r="AJ307" s="490">
        <v>425596.52</v>
      </c>
      <c r="AK307" s="339">
        <v>9531.8369540873464</v>
      </c>
      <c r="AL307" s="339">
        <v>10128.64456886898</v>
      </c>
      <c r="AM307" s="496">
        <v>596.80999999999995</v>
      </c>
      <c r="AN307" s="495">
        <v>0</v>
      </c>
      <c r="AO307" s="495">
        <v>0</v>
      </c>
      <c r="AP307" s="74"/>
      <c r="AQ307" s="303">
        <v>0</v>
      </c>
      <c r="AR307" s="303">
        <v>148313.4</v>
      </c>
      <c r="AS307" s="552">
        <v>54528.92</v>
      </c>
      <c r="AY307" s="67">
        <f t="shared" si="71"/>
        <v>0</v>
      </c>
      <c r="BA307" t="s">
        <v>856</v>
      </c>
      <c r="BB307" t="s">
        <v>635</v>
      </c>
      <c r="BC307" t="s">
        <v>1160</v>
      </c>
      <c r="BD307" s="491">
        <v>4.7100000000000003E-2</v>
      </c>
      <c r="BE307" s="492">
        <v>0.21740000000000001</v>
      </c>
      <c r="BG307" s="510">
        <f t="shared" si="69"/>
        <v>0</v>
      </c>
      <c r="BH307" s="510">
        <f t="shared" si="70"/>
        <v>0</v>
      </c>
      <c r="BJ307" s="520">
        <f t="shared" si="72"/>
        <v>0</v>
      </c>
      <c r="BK307" s="520">
        <f t="shared" si="73"/>
        <v>0</v>
      </c>
      <c r="CB307" s="74"/>
      <c r="CC307" s="74"/>
      <c r="CD307" s="74"/>
      <c r="CE307" s="74"/>
      <c r="CF307" s="74"/>
    </row>
    <row r="308" spans="1:84">
      <c r="A308" s="283" t="s">
        <v>638</v>
      </c>
      <c r="B308" s="283" t="s">
        <v>637</v>
      </c>
      <c r="C308" s="286" t="str">
        <f>CONCATENATE(B308," ",A308," TRIBAL COMPACT")</f>
        <v>34901 WA HE LUT TRIBAL COMPACT</v>
      </c>
      <c r="D308" s="490">
        <v>11296.24</v>
      </c>
      <c r="E308" s="490">
        <v>0</v>
      </c>
      <c r="F308" s="490">
        <v>3761.18</v>
      </c>
      <c r="G308" s="490">
        <v>219836.53</v>
      </c>
      <c r="H308" s="490">
        <v>60618.32</v>
      </c>
      <c r="I308" s="490">
        <v>41784.19</v>
      </c>
      <c r="J308" s="490">
        <v>90409.600000000006</v>
      </c>
      <c r="K308" s="490">
        <v>0</v>
      </c>
      <c r="L308" s="490">
        <v>0</v>
      </c>
      <c r="M308" s="490">
        <v>240660.82</v>
      </c>
      <c r="N308" s="300">
        <v>3.7100000000000001E-2</v>
      </c>
      <c r="O308" s="492">
        <v>0.14399999999999999</v>
      </c>
      <c r="P308" s="490">
        <v>0</v>
      </c>
      <c r="Q308" s="493">
        <v>0</v>
      </c>
      <c r="R308" s="493">
        <v>0</v>
      </c>
      <c r="S308" s="494">
        <v>0</v>
      </c>
      <c r="T308" s="495">
        <v>0</v>
      </c>
      <c r="U308" s="495">
        <v>0</v>
      </c>
      <c r="V308" s="490">
        <v>0</v>
      </c>
      <c r="W308" s="495">
        <v>0</v>
      </c>
      <c r="X308" s="495">
        <v>0</v>
      </c>
      <c r="Y308" s="490">
        <v>0</v>
      </c>
      <c r="Z308" s="490">
        <v>0</v>
      </c>
      <c r="AA308" s="490">
        <v>0</v>
      </c>
      <c r="AB308" s="490">
        <v>0</v>
      </c>
      <c r="AC308" s="490">
        <v>0</v>
      </c>
      <c r="AD308" s="490">
        <v>0</v>
      </c>
      <c r="AE308" s="490">
        <v>0</v>
      </c>
      <c r="AF308" s="339">
        <v>0</v>
      </c>
      <c r="AG308" s="339">
        <v>0</v>
      </c>
      <c r="AH308" s="496">
        <v>0</v>
      </c>
      <c r="AI308" s="490">
        <v>0</v>
      </c>
      <c r="AJ308" s="490">
        <v>0</v>
      </c>
      <c r="AK308" s="339">
        <v>0</v>
      </c>
      <c r="AL308" s="339">
        <v>0</v>
      </c>
      <c r="AM308" s="496">
        <v>0</v>
      </c>
      <c r="AN308" s="495">
        <v>0</v>
      </c>
      <c r="AO308" s="495">
        <v>0</v>
      </c>
      <c r="AP308" s="74"/>
      <c r="AQ308" s="303">
        <v>0</v>
      </c>
      <c r="AR308" s="303">
        <v>16711.43</v>
      </c>
      <c r="AS308" s="552">
        <v>17797.18</v>
      </c>
      <c r="AY308" s="67">
        <f t="shared" si="71"/>
        <v>0</v>
      </c>
      <c r="BA308" t="s">
        <v>882</v>
      </c>
      <c r="BB308" t="s">
        <v>637</v>
      </c>
      <c r="BC308" s="11" t="s">
        <v>1161</v>
      </c>
      <c r="BD308" s="491">
        <v>3.7100000000000001E-2</v>
      </c>
      <c r="BE308" s="492">
        <v>0.14399999999999999</v>
      </c>
      <c r="BG308" s="510">
        <f t="shared" si="69"/>
        <v>0</v>
      </c>
      <c r="BH308" s="510">
        <f t="shared" si="70"/>
        <v>0</v>
      </c>
      <c r="BJ308" s="520">
        <f t="shared" si="72"/>
        <v>0</v>
      </c>
      <c r="BK308" s="520">
        <f t="shared" si="73"/>
        <v>0</v>
      </c>
      <c r="CB308" s="74"/>
      <c r="CC308" s="74"/>
      <c r="CD308" s="74"/>
      <c r="CE308" s="74"/>
      <c r="CF308" s="74"/>
    </row>
    <row r="309" spans="1:84">
      <c r="A309" s="283" t="s">
        <v>640</v>
      </c>
      <c r="B309" s="285" t="s">
        <v>639</v>
      </c>
      <c r="C309" s="283" t="str">
        <f t="shared" ref="C309:C321" si="76">CONCATENATE(B309," ",A309," SCHOOL DISTRICT")</f>
        <v>35200 WAHKIAKUM SCHOOL DISTRICT</v>
      </c>
      <c r="D309" s="490">
        <v>0</v>
      </c>
      <c r="E309" s="490">
        <v>0</v>
      </c>
      <c r="F309" s="490">
        <v>7698.06</v>
      </c>
      <c r="G309" s="490">
        <v>0</v>
      </c>
      <c r="H309" s="490">
        <v>0</v>
      </c>
      <c r="I309" s="490">
        <v>135762.32</v>
      </c>
      <c r="J309" s="490">
        <v>171557.14</v>
      </c>
      <c r="K309" s="490">
        <v>0</v>
      </c>
      <c r="L309" s="490">
        <v>12684.05</v>
      </c>
      <c r="M309" s="490">
        <v>404676.26</v>
      </c>
      <c r="N309" s="300">
        <v>2.06E-2</v>
      </c>
      <c r="O309" s="492">
        <v>0.2656</v>
      </c>
      <c r="P309" s="490">
        <v>0</v>
      </c>
      <c r="Q309" s="493">
        <v>0</v>
      </c>
      <c r="R309" s="493">
        <v>0</v>
      </c>
      <c r="S309" s="494">
        <v>0</v>
      </c>
      <c r="T309" s="495">
        <v>0</v>
      </c>
      <c r="U309" s="495">
        <v>0</v>
      </c>
      <c r="V309" s="490">
        <v>0</v>
      </c>
      <c r="W309" s="495">
        <v>0</v>
      </c>
      <c r="X309" s="495">
        <v>0</v>
      </c>
      <c r="Y309" s="490">
        <v>0</v>
      </c>
      <c r="Z309" s="490">
        <v>0</v>
      </c>
      <c r="AA309" s="490">
        <v>0</v>
      </c>
      <c r="AB309" s="490">
        <v>0</v>
      </c>
      <c r="AC309" s="490">
        <v>256078.65</v>
      </c>
      <c r="AD309" s="490">
        <v>27.03</v>
      </c>
      <c r="AE309" s="490">
        <v>243975.83</v>
      </c>
      <c r="AF309" s="339">
        <v>9026.1128375878652</v>
      </c>
      <c r="AG309" s="339">
        <v>9473.867924528302</v>
      </c>
      <c r="AH309" s="496">
        <v>447.76</v>
      </c>
      <c r="AI309" s="490">
        <v>0</v>
      </c>
      <c r="AJ309" s="490">
        <v>0</v>
      </c>
      <c r="AK309" s="339">
        <v>0</v>
      </c>
      <c r="AL309" s="339">
        <v>0</v>
      </c>
      <c r="AM309" s="496">
        <v>0</v>
      </c>
      <c r="AN309" s="495">
        <v>0</v>
      </c>
      <c r="AO309" s="495">
        <v>5387.4</v>
      </c>
      <c r="AP309" s="74"/>
      <c r="AQ309" s="303">
        <v>0</v>
      </c>
      <c r="AR309" s="303">
        <v>44078.659999999996</v>
      </c>
      <c r="AS309" s="552">
        <v>21822.1</v>
      </c>
      <c r="AY309" s="67">
        <f t="shared" si="71"/>
        <v>0</v>
      </c>
      <c r="BA309" t="s">
        <v>859</v>
      </c>
      <c r="BB309" t="s">
        <v>639</v>
      </c>
      <c r="BC309" t="s">
        <v>1162</v>
      </c>
      <c r="BD309" s="491">
        <v>2.06E-2</v>
      </c>
      <c r="BE309" s="492">
        <v>0.2656</v>
      </c>
      <c r="BG309" s="510">
        <f t="shared" si="69"/>
        <v>0</v>
      </c>
      <c r="BH309" s="510">
        <f t="shared" si="70"/>
        <v>0</v>
      </c>
      <c r="BJ309" s="520">
        <f t="shared" si="72"/>
        <v>0</v>
      </c>
      <c r="BK309" s="520">
        <f t="shared" si="73"/>
        <v>0</v>
      </c>
      <c r="CB309" s="74"/>
      <c r="CC309" s="74"/>
      <c r="CD309" s="74"/>
      <c r="CE309" s="74"/>
      <c r="CF309" s="74"/>
    </row>
    <row r="310" spans="1:84">
      <c r="A310" s="283" t="s">
        <v>642</v>
      </c>
      <c r="B310" s="283" t="s">
        <v>641</v>
      </c>
      <c r="C310" s="283" t="str">
        <f t="shared" si="76"/>
        <v>13073 WAHLUKE SCHOOL DISTRICT</v>
      </c>
      <c r="D310" s="490">
        <v>0</v>
      </c>
      <c r="E310" s="490">
        <v>100252.87</v>
      </c>
      <c r="F310" s="490">
        <v>0</v>
      </c>
      <c r="G310" s="490">
        <v>3657124.33</v>
      </c>
      <c r="H310" s="490">
        <v>623368.18000000005</v>
      </c>
      <c r="I310" s="490">
        <v>718526.69</v>
      </c>
      <c r="J310" s="490">
        <v>1478091.26</v>
      </c>
      <c r="K310" s="490">
        <v>2076210.72</v>
      </c>
      <c r="L310" s="490">
        <v>69192.990000000005</v>
      </c>
      <c r="M310" s="490">
        <v>1370229.07</v>
      </c>
      <c r="N310" s="300">
        <v>2.76E-2</v>
      </c>
      <c r="O310" s="492">
        <v>0.14949999999999999</v>
      </c>
      <c r="P310" s="490">
        <v>0</v>
      </c>
      <c r="Q310" s="493">
        <v>0</v>
      </c>
      <c r="R310" s="493">
        <v>0</v>
      </c>
      <c r="S310" s="494">
        <v>0</v>
      </c>
      <c r="T310" s="495">
        <v>0</v>
      </c>
      <c r="U310" s="495">
        <v>0</v>
      </c>
      <c r="V310" s="490">
        <v>0</v>
      </c>
      <c r="W310" s="495">
        <v>0</v>
      </c>
      <c r="X310" s="495">
        <v>0</v>
      </c>
      <c r="Y310" s="490">
        <v>2779.28</v>
      </c>
      <c r="Z310" s="490">
        <v>44799.76</v>
      </c>
      <c r="AA310" s="490">
        <v>11322.3</v>
      </c>
      <c r="AB310" s="490">
        <v>504452.96</v>
      </c>
      <c r="AC310" s="490">
        <v>1693997.73</v>
      </c>
      <c r="AD310" s="490">
        <v>182.34</v>
      </c>
      <c r="AE310" s="490">
        <v>1613098.08</v>
      </c>
      <c r="AF310" s="339">
        <v>8846.6495557749258</v>
      </c>
      <c r="AG310" s="339">
        <v>9290.324284304048</v>
      </c>
      <c r="AH310" s="496">
        <v>443.67</v>
      </c>
      <c r="AI310" s="490">
        <v>55.02</v>
      </c>
      <c r="AJ310" s="490">
        <v>474665.3</v>
      </c>
      <c r="AK310" s="339">
        <v>8627.1410396219544</v>
      </c>
      <c r="AL310" s="339">
        <v>9168.5379861868405</v>
      </c>
      <c r="AM310" s="496">
        <v>541.4</v>
      </c>
      <c r="AN310" s="495">
        <v>0</v>
      </c>
      <c r="AO310" s="495">
        <v>475000</v>
      </c>
      <c r="AP310" s="74"/>
      <c r="AQ310" s="303">
        <v>120358.30999999988</v>
      </c>
      <c r="AR310" s="303">
        <v>278787.96000000008</v>
      </c>
      <c r="AS310" s="552">
        <v>60425.78</v>
      </c>
      <c r="AY310" s="67">
        <f t="shared" si="71"/>
        <v>0</v>
      </c>
      <c r="BA310" t="s">
        <v>865</v>
      </c>
      <c r="BB310" t="s">
        <v>641</v>
      </c>
      <c r="BC310" t="s">
        <v>1163</v>
      </c>
      <c r="BD310" s="491">
        <v>2.76E-2</v>
      </c>
      <c r="BE310" s="492">
        <v>0.14949999999999999</v>
      </c>
      <c r="BG310" s="510">
        <f t="shared" si="69"/>
        <v>0</v>
      </c>
      <c r="BH310" s="510">
        <f t="shared" si="70"/>
        <v>0</v>
      </c>
      <c r="BJ310" s="520">
        <f t="shared" si="72"/>
        <v>0</v>
      </c>
      <c r="BK310" s="520">
        <f t="shared" si="73"/>
        <v>0</v>
      </c>
      <c r="CB310" s="74"/>
      <c r="CC310" s="74"/>
      <c r="CD310" s="74"/>
      <c r="CE310" s="74"/>
      <c r="CF310" s="74"/>
    </row>
    <row r="311" spans="1:84">
      <c r="A311" s="283" t="s">
        <v>644</v>
      </c>
      <c r="B311" s="283" t="s">
        <v>643</v>
      </c>
      <c r="C311" s="283" t="str">
        <f t="shared" si="76"/>
        <v>36401 WAITSBURG SCHOOL DISTRICT</v>
      </c>
      <c r="D311" s="490">
        <v>0</v>
      </c>
      <c r="E311" s="490">
        <v>0</v>
      </c>
      <c r="F311" s="490">
        <v>0</v>
      </c>
      <c r="G311" s="490">
        <v>0</v>
      </c>
      <c r="H311" s="490">
        <v>0</v>
      </c>
      <c r="I311" s="490">
        <v>57453.04</v>
      </c>
      <c r="J311" s="490">
        <v>104412.86</v>
      </c>
      <c r="K311" s="490">
        <v>0</v>
      </c>
      <c r="L311" s="490">
        <v>0</v>
      </c>
      <c r="M311" s="490">
        <v>130186.1</v>
      </c>
      <c r="N311" s="300">
        <v>7.22E-2</v>
      </c>
      <c r="O311" s="492">
        <v>0.31909999999999999</v>
      </c>
      <c r="P311" s="490">
        <v>0</v>
      </c>
      <c r="Q311" s="493">
        <v>0</v>
      </c>
      <c r="R311" s="493">
        <v>0</v>
      </c>
      <c r="S311" s="494">
        <v>0</v>
      </c>
      <c r="T311" s="495">
        <v>0</v>
      </c>
      <c r="U311" s="495">
        <v>0</v>
      </c>
      <c r="V311" s="490">
        <v>0</v>
      </c>
      <c r="W311" s="495">
        <v>0</v>
      </c>
      <c r="X311" s="495">
        <v>0</v>
      </c>
      <c r="Y311" s="490">
        <v>0</v>
      </c>
      <c r="Z311" s="490">
        <v>0</v>
      </c>
      <c r="AA311" s="490">
        <v>0</v>
      </c>
      <c r="AB311" s="490">
        <v>24510.99</v>
      </c>
      <c r="AC311" s="490">
        <v>220018.94</v>
      </c>
      <c r="AD311" s="490">
        <v>23.49</v>
      </c>
      <c r="AE311" s="490">
        <v>207955.67</v>
      </c>
      <c r="AF311" s="339">
        <v>8852.9446573009809</v>
      </c>
      <c r="AG311" s="339">
        <v>9366.4938271604951</v>
      </c>
      <c r="AH311" s="496">
        <v>513.54999999999995</v>
      </c>
      <c r="AI311" s="490">
        <v>2.66</v>
      </c>
      <c r="AJ311" s="490">
        <v>22830.09</v>
      </c>
      <c r="AK311" s="339">
        <v>8582.7406015037595</v>
      </c>
      <c r="AL311" s="339">
        <v>9214.6578947368416</v>
      </c>
      <c r="AM311" s="496">
        <v>631.91999999999996</v>
      </c>
      <c r="AN311" s="495">
        <v>0</v>
      </c>
      <c r="AO311" s="495">
        <v>0</v>
      </c>
      <c r="AP311" s="74"/>
      <c r="AQ311" s="303">
        <v>31682.260000000002</v>
      </c>
      <c r="AR311" s="303">
        <v>31909.17</v>
      </c>
      <c r="AS311" s="552">
        <v>17958.849999999999</v>
      </c>
      <c r="AY311" s="67">
        <f t="shared" si="71"/>
        <v>0</v>
      </c>
      <c r="BA311" t="s">
        <v>854</v>
      </c>
      <c r="BB311" t="s">
        <v>643</v>
      </c>
      <c r="BC311" t="s">
        <v>1164</v>
      </c>
      <c r="BD311" s="491">
        <v>7.22E-2</v>
      </c>
      <c r="BE311" s="492">
        <v>0.31909999999999999</v>
      </c>
      <c r="BG311" s="510">
        <f t="shared" si="69"/>
        <v>0</v>
      </c>
      <c r="BH311" s="510">
        <f t="shared" si="70"/>
        <v>0</v>
      </c>
      <c r="BJ311" s="520">
        <f t="shared" si="72"/>
        <v>0</v>
      </c>
      <c r="BK311" s="520">
        <f t="shared" si="73"/>
        <v>0</v>
      </c>
      <c r="CB311" s="74"/>
      <c r="CC311" s="74"/>
      <c r="CD311" s="74"/>
      <c r="CE311" s="74"/>
      <c r="CF311" s="74"/>
    </row>
    <row r="312" spans="1:84">
      <c r="A312" s="283" t="s">
        <v>646</v>
      </c>
      <c r="B312" s="283" t="s">
        <v>645</v>
      </c>
      <c r="C312" s="283" t="str">
        <f t="shared" si="76"/>
        <v>36140 WALLA WALLA SCHOOL DISTRICT</v>
      </c>
      <c r="D312" s="490">
        <v>0</v>
      </c>
      <c r="E312" s="490">
        <v>204502.33</v>
      </c>
      <c r="F312" s="490">
        <v>0</v>
      </c>
      <c r="G312" s="490">
        <v>9118177.9100000001</v>
      </c>
      <c r="H312" s="490">
        <v>1727239.76</v>
      </c>
      <c r="I312" s="490">
        <v>1476949.36</v>
      </c>
      <c r="J312" s="490">
        <v>2455240.71</v>
      </c>
      <c r="K312" s="490">
        <v>1339886.83</v>
      </c>
      <c r="L312" s="490">
        <v>161709.78</v>
      </c>
      <c r="M312" s="490">
        <v>2093932.81</v>
      </c>
      <c r="N312" s="300">
        <v>4.3299999999999998E-2</v>
      </c>
      <c r="O312" s="492">
        <v>0.17810000000000001</v>
      </c>
      <c r="P312" s="490">
        <v>0</v>
      </c>
      <c r="Q312" s="493">
        <v>0</v>
      </c>
      <c r="R312" s="493">
        <v>0</v>
      </c>
      <c r="S312" s="494">
        <v>170591.33000000002</v>
      </c>
      <c r="T312" s="495">
        <v>15314.940000000031</v>
      </c>
      <c r="U312" s="495">
        <v>5930.3</v>
      </c>
      <c r="V312" s="490">
        <v>0</v>
      </c>
      <c r="W312" s="495">
        <v>0</v>
      </c>
      <c r="X312" s="495">
        <v>0</v>
      </c>
      <c r="Y312" s="490">
        <v>1894.61</v>
      </c>
      <c r="Z312" s="490">
        <v>1214.52</v>
      </c>
      <c r="AA312" s="490">
        <v>208026.94</v>
      </c>
      <c r="AB312" s="490">
        <v>463780.25</v>
      </c>
      <c r="AC312" s="490">
        <v>2661599.12</v>
      </c>
      <c r="AD312" s="490">
        <v>273.54000000000002</v>
      </c>
      <c r="AE312" s="490">
        <v>2444016.29</v>
      </c>
      <c r="AF312" s="339">
        <v>8934.7674563135188</v>
      </c>
      <c r="AG312" s="339">
        <v>9730.2007750237626</v>
      </c>
      <c r="AH312" s="496">
        <v>795.43</v>
      </c>
      <c r="AI312" s="490">
        <v>50.06</v>
      </c>
      <c r="AJ312" s="490">
        <v>436444.34</v>
      </c>
      <c r="AK312" s="339">
        <v>8718.4246903715539</v>
      </c>
      <c r="AL312" s="339">
        <v>9264.4876148621643</v>
      </c>
      <c r="AM312" s="496">
        <v>546.05999999999995</v>
      </c>
      <c r="AN312" s="495">
        <v>0</v>
      </c>
      <c r="AO312" s="495">
        <v>0</v>
      </c>
      <c r="AP312" s="74"/>
      <c r="AQ312" s="303">
        <v>337244.48999999976</v>
      </c>
      <c r="AR312" s="303">
        <v>564319.28</v>
      </c>
      <c r="AS312" s="552">
        <v>170338.96</v>
      </c>
      <c r="AY312" s="67">
        <f t="shared" si="71"/>
        <v>0</v>
      </c>
      <c r="BA312" t="s">
        <v>854</v>
      </c>
      <c r="BB312" t="s">
        <v>645</v>
      </c>
      <c r="BC312" t="s">
        <v>1165</v>
      </c>
      <c r="BD312" s="491">
        <v>4.3299999999999998E-2</v>
      </c>
      <c r="BE312" s="492">
        <v>0.17810000000000001</v>
      </c>
      <c r="BG312" s="510">
        <f t="shared" si="69"/>
        <v>0</v>
      </c>
      <c r="BH312" s="510">
        <f t="shared" si="70"/>
        <v>0</v>
      </c>
      <c r="BJ312" s="520">
        <f t="shared" si="72"/>
        <v>0</v>
      </c>
      <c r="BK312" s="520">
        <f t="shared" si="73"/>
        <v>0</v>
      </c>
      <c r="CB312" s="74"/>
      <c r="CC312" s="74"/>
      <c r="CD312" s="74"/>
      <c r="CE312" s="74"/>
      <c r="CF312" s="74"/>
    </row>
    <row r="313" spans="1:84">
      <c r="A313" s="283" t="s">
        <v>648</v>
      </c>
      <c r="B313" s="283" t="s">
        <v>647</v>
      </c>
      <c r="C313" s="283" t="str">
        <f t="shared" si="76"/>
        <v>39207 WAPATO SCHOOL DISTRICT</v>
      </c>
      <c r="D313" s="490">
        <v>0</v>
      </c>
      <c r="E313" s="490">
        <v>186642.95</v>
      </c>
      <c r="F313" s="490">
        <v>64706.13</v>
      </c>
      <c r="G313" s="490">
        <v>4288566.17</v>
      </c>
      <c r="H313" s="490">
        <v>830182.64</v>
      </c>
      <c r="I313" s="490">
        <v>955923.08</v>
      </c>
      <c r="J313" s="490">
        <v>1832575.52</v>
      </c>
      <c r="K313" s="490">
        <v>1766922.68</v>
      </c>
      <c r="L313" s="490">
        <v>91426.2</v>
      </c>
      <c r="M313" s="490">
        <v>1727049.85</v>
      </c>
      <c r="N313" s="300">
        <v>4.4900000000000002E-2</v>
      </c>
      <c r="O313" s="492">
        <v>0.1658</v>
      </c>
      <c r="P313" s="490">
        <v>0</v>
      </c>
      <c r="Q313" s="493">
        <v>0</v>
      </c>
      <c r="R313" s="493">
        <v>0</v>
      </c>
      <c r="S313" s="494">
        <v>0</v>
      </c>
      <c r="T313" s="495">
        <v>0</v>
      </c>
      <c r="U313" s="495">
        <v>0</v>
      </c>
      <c r="V313" s="490">
        <v>0</v>
      </c>
      <c r="W313" s="495">
        <v>0</v>
      </c>
      <c r="X313" s="495">
        <v>0</v>
      </c>
      <c r="Y313" s="490">
        <v>0</v>
      </c>
      <c r="Z313" s="490">
        <v>64045.49</v>
      </c>
      <c r="AA313" s="490">
        <v>0</v>
      </c>
      <c r="AB313" s="490">
        <v>606201.78</v>
      </c>
      <c r="AC313" s="490">
        <v>2229644.13</v>
      </c>
      <c r="AD313" s="490">
        <v>240.88</v>
      </c>
      <c r="AE313" s="490">
        <v>2131333.0099999998</v>
      </c>
      <c r="AF313" s="339">
        <v>8848.1111341746928</v>
      </c>
      <c r="AG313" s="339">
        <v>9256.2443125207574</v>
      </c>
      <c r="AH313" s="496">
        <v>408.13</v>
      </c>
      <c r="AI313" s="490">
        <v>66.12</v>
      </c>
      <c r="AJ313" s="490">
        <v>570550.9</v>
      </c>
      <c r="AK313" s="339">
        <v>8629.0214761040534</v>
      </c>
      <c r="AL313" s="339">
        <v>9168.2059891107074</v>
      </c>
      <c r="AM313" s="496">
        <v>539.17999999999995</v>
      </c>
      <c r="AN313" s="495">
        <v>1271.0899999999999</v>
      </c>
      <c r="AO313" s="495">
        <v>0</v>
      </c>
      <c r="AP313" s="74"/>
      <c r="AQ313" s="303">
        <v>545882.80000000005</v>
      </c>
      <c r="AR313" s="303">
        <v>353542.60000000003</v>
      </c>
      <c r="AS313" s="552">
        <v>74172.94</v>
      </c>
      <c r="AY313" s="67">
        <f t="shared" si="71"/>
        <v>0</v>
      </c>
      <c r="BA313" t="s">
        <v>865</v>
      </c>
      <c r="BB313" t="s">
        <v>647</v>
      </c>
      <c r="BC313" t="s">
        <v>1166</v>
      </c>
      <c r="BD313" s="491">
        <v>4.4900000000000002E-2</v>
      </c>
      <c r="BE313" s="492">
        <v>0.1658</v>
      </c>
      <c r="BG313" s="510">
        <f t="shared" si="69"/>
        <v>0</v>
      </c>
      <c r="BH313" s="510">
        <f t="shared" si="70"/>
        <v>0</v>
      </c>
      <c r="BJ313" s="520">
        <f t="shared" si="72"/>
        <v>0</v>
      </c>
      <c r="BK313" s="520">
        <f t="shared" si="73"/>
        <v>0</v>
      </c>
      <c r="CB313" s="74"/>
      <c r="CC313" s="74"/>
      <c r="CD313" s="74"/>
      <c r="CE313" s="74"/>
      <c r="CF313" s="74"/>
    </row>
    <row r="314" spans="1:84">
      <c r="A314" s="283" t="s">
        <v>650</v>
      </c>
      <c r="B314" s="283" t="s">
        <v>649</v>
      </c>
      <c r="C314" s="283" t="str">
        <f t="shared" si="76"/>
        <v>13146 WARDEN SCHOOL DISTRICT</v>
      </c>
      <c r="D314" s="490">
        <v>2754.33</v>
      </c>
      <c r="E314" s="490">
        <v>27578.14</v>
      </c>
      <c r="F314" s="490">
        <v>19347.77</v>
      </c>
      <c r="G314" s="490">
        <v>1412773.5</v>
      </c>
      <c r="H314" s="490">
        <v>325900.36</v>
      </c>
      <c r="I314" s="490">
        <v>262330.81</v>
      </c>
      <c r="J314" s="490">
        <v>514064.49</v>
      </c>
      <c r="K314" s="490">
        <v>440658.88</v>
      </c>
      <c r="L314" s="490">
        <v>27323.96</v>
      </c>
      <c r="M314" s="490">
        <v>414787.25</v>
      </c>
      <c r="N314" s="300">
        <v>4.1300000000000003E-2</v>
      </c>
      <c r="O314" s="492">
        <v>0.16</v>
      </c>
      <c r="P314" s="490">
        <v>0</v>
      </c>
      <c r="Q314" s="493">
        <v>0</v>
      </c>
      <c r="R314" s="493">
        <v>0</v>
      </c>
      <c r="S314" s="494">
        <v>0</v>
      </c>
      <c r="T314" s="495">
        <v>0</v>
      </c>
      <c r="U314" s="495">
        <v>0</v>
      </c>
      <c r="V314" s="490">
        <v>0</v>
      </c>
      <c r="W314" s="495">
        <v>0</v>
      </c>
      <c r="X314" s="495">
        <v>0</v>
      </c>
      <c r="Y314" s="490">
        <v>1054.67</v>
      </c>
      <c r="Z314" s="490">
        <v>9134.25</v>
      </c>
      <c r="AA314" s="490">
        <v>55705.54</v>
      </c>
      <c r="AB314" s="490">
        <v>70173.86</v>
      </c>
      <c r="AC314" s="490">
        <v>610848.67000000004</v>
      </c>
      <c r="AD314" s="490">
        <v>65.010000000000005</v>
      </c>
      <c r="AE314" s="490">
        <v>575213.12</v>
      </c>
      <c r="AF314" s="339">
        <v>8848.0713736348243</v>
      </c>
      <c r="AG314" s="339">
        <v>9396.2262728810947</v>
      </c>
      <c r="AH314" s="496">
        <v>548.15</v>
      </c>
      <c r="AI314" s="490">
        <v>7.64</v>
      </c>
      <c r="AJ314" s="490">
        <v>65924.740000000005</v>
      </c>
      <c r="AK314" s="339">
        <v>8628.892670157069</v>
      </c>
      <c r="AL314" s="339">
        <v>9185.060209424084</v>
      </c>
      <c r="AM314" s="496">
        <v>556.16999999999996</v>
      </c>
      <c r="AN314" s="495">
        <v>1131.18</v>
      </c>
      <c r="AO314" s="495">
        <v>0</v>
      </c>
      <c r="AP314" s="74"/>
      <c r="AQ314" s="303">
        <v>6731.2099999999919</v>
      </c>
      <c r="AR314" s="303">
        <v>101972.20000000001</v>
      </c>
      <c r="AS314" s="552">
        <v>35648.43</v>
      </c>
      <c r="AY314" s="67">
        <f t="shared" si="71"/>
        <v>0</v>
      </c>
      <c r="BA314" t="s">
        <v>871</v>
      </c>
      <c r="BB314" t="s">
        <v>649</v>
      </c>
      <c r="BC314" t="s">
        <v>1167</v>
      </c>
      <c r="BD314" s="491">
        <v>4.1300000000000003E-2</v>
      </c>
      <c r="BE314" s="492">
        <v>0.16</v>
      </c>
      <c r="BG314" s="510">
        <f t="shared" si="69"/>
        <v>0</v>
      </c>
      <c r="BH314" s="510">
        <f t="shared" si="70"/>
        <v>0</v>
      </c>
      <c r="BJ314" s="520">
        <f t="shared" si="72"/>
        <v>0</v>
      </c>
      <c r="BK314" s="520">
        <f t="shared" si="73"/>
        <v>0</v>
      </c>
      <c r="CB314" s="74"/>
      <c r="CC314" s="74"/>
      <c r="CD314" s="74"/>
      <c r="CE314" s="74"/>
      <c r="CF314" s="74"/>
    </row>
    <row r="315" spans="1:84">
      <c r="A315" s="283" t="s">
        <v>652</v>
      </c>
      <c r="B315" s="283" t="s">
        <v>651</v>
      </c>
      <c r="C315" s="283" t="str">
        <f t="shared" si="76"/>
        <v>06112 WASHOUGAL SCHOOL DISTRICT</v>
      </c>
      <c r="D315" s="490">
        <v>0</v>
      </c>
      <c r="E315" s="490">
        <v>0</v>
      </c>
      <c r="F315" s="490">
        <v>0</v>
      </c>
      <c r="G315" s="490">
        <v>5855228.0899999999</v>
      </c>
      <c r="H315" s="490">
        <v>994495.62</v>
      </c>
      <c r="I315" s="490">
        <v>0</v>
      </c>
      <c r="J315" s="490">
        <v>734624.71</v>
      </c>
      <c r="K315" s="490">
        <v>201923.41</v>
      </c>
      <c r="L315" s="490">
        <v>84722.35</v>
      </c>
      <c r="M315" s="490">
        <v>2481935.2799999998</v>
      </c>
      <c r="N315" s="300">
        <v>3.2599999999999997E-2</v>
      </c>
      <c r="O315" s="492">
        <v>0.13569999999999999</v>
      </c>
      <c r="P315" s="490">
        <v>0</v>
      </c>
      <c r="Q315" s="493">
        <v>0</v>
      </c>
      <c r="R315" s="493">
        <v>0</v>
      </c>
      <c r="S315" s="494">
        <v>0</v>
      </c>
      <c r="T315" s="495">
        <v>0</v>
      </c>
      <c r="U315" s="495">
        <v>0</v>
      </c>
      <c r="V315" s="490">
        <v>0</v>
      </c>
      <c r="W315" s="495">
        <v>0</v>
      </c>
      <c r="X315" s="495">
        <v>0</v>
      </c>
      <c r="Y315" s="490">
        <v>3151.71</v>
      </c>
      <c r="Z315" s="490">
        <v>37220.19</v>
      </c>
      <c r="AA315" s="490">
        <v>117253.18</v>
      </c>
      <c r="AB315" s="490">
        <v>382239.28</v>
      </c>
      <c r="AC315" s="490">
        <v>1840532.82</v>
      </c>
      <c r="AD315" s="490">
        <v>191.62</v>
      </c>
      <c r="AE315" s="490">
        <v>1765287.25</v>
      </c>
      <c r="AF315" s="339">
        <v>9212.4373760567796</v>
      </c>
      <c r="AG315" s="339">
        <v>9605.118567999165</v>
      </c>
      <c r="AH315" s="496">
        <v>392.68</v>
      </c>
      <c r="AI315" s="490">
        <v>40.020000000000003</v>
      </c>
      <c r="AJ315" s="490">
        <v>359867.07</v>
      </c>
      <c r="AK315" s="339">
        <v>8992.1806596701645</v>
      </c>
      <c r="AL315" s="339">
        <v>9551.2063968015991</v>
      </c>
      <c r="AM315" s="496">
        <v>559.03</v>
      </c>
      <c r="AN315" s="495">
        <v>0</v>
      </c>
      <c r="AO315" s="495">
        <v>1930.85</v>
      </c>
      <c r="AP315" s="74"/>
      <c r="AQ315" s="303">
        <v>60027.600000000035</v>
      </c>
      <c r="AR315" s="303">
        <v>286357.08999999997</v>
      </c>
      <c r="AS315" s="552">
        <v>91215.17</v>
      </c>
      <c r="AY315" s="67">
        <f t="shared" si="71"/>
        <v>0</v>
      </c>
      <c r="BA315" t="s">
        <v>859</v>
      </c>
      <c r="BB315" t="s">
        <v>651</v>
      </c>
      <c r="BC315" t="s">
        <v>1168</v>
      </c>
      <c r="BD315" s="491">
        <v>3.2599999999999997E-2</v>
      </c>
      <c r="BE315" s="492">
        <v>0.13569999999999999</v>
      </c>
      <c r="BG315" s="510">
        <f t="shared" si="69"/>
        <v>0</v>
      </c>
      <c r="BH315" s="510">
        <f t="shared" si="70"/>
        <v>0</v>
      </c>
      <c r="BJ315" s="520">
        <f t="shared" si="72"/>
        <v>0</v>
      </c>
      <c r="BK315" s="520">
        <f t="shared" si="73"/>
        <v>0</v>
      </c>
      <c r="CB315" s="74"/>
      <c r="CC315" s="74"/>
      <c r="CD315" s="74"/>
      <c r="CE315" s="74"/>
      <c r="CF315" s="74"/>
    </row>
    <row r="316" spans="1:84">
      <c r="A316" s="283" t="s">
        <v>654</v>
      </c>
      <c r="B316" s="283" t="s">
        <v>653</v>
      </c>
      <c r="C316" s="283" t="str">
        <f t="shared" si="76"/>
        <v>01109 WASHTUCNA SCHOOL DISTRICT</v>
      </c>
      <c r="D316" s="490">
        <v>0</v>
      </c>
      <c r="E316" s="490">
        <v>1171.1500000000001</v>
      </c>
      <c r="F316" s="490">
        <v>2441.4</v>
      </c>
      <c r="G316" s="490">
        <v>113553.5</v>
      </c>
      <c r="H316" s="490">
        <v>10655.06</v>
      </c>
      <c r="I316" s="490">
        <v>19428.080000000002</v>
      </c>
      <c r="J316" s="490">
        <v>31583.59</v>
      </c>
      <c r="K316" s="490">
        <v>0</v>
      </c>
      <c r="L316" s="490">
        <v>1973.97</v>
      </c>
      <c r="M316" s="490">
        <v>152010.79</v>
      </c>
      <c r="N316" s="300">
        <v>5.3199999999999997E-2</v>
      </c>
      <c r="O316" s="492">
        <v>0.31080000000000002</v>
      </c>
      <c r="P316" s="490">
        <v>0</v>
      </c>
      <c r="Q316" s="493">
        <v>0</v>
      </c>
      <c r="R316" s="493">
        <v>0</v>
      </c>
      <c r="S316" s="494">
        <v>0</v>
      </c>
      <c r="T316" s="495">
        <v>0</v>
      </c>
      <c r="U316" s="495">
        <v>0</v>
      </c>
      <c r="V316" s="490">
        <v>0</v>
      </c>
      <c r="W316" s="495">
        <v>0</v>
      </c>
      <c r="X316" s="495">
        <v>0</v>
      </c>
      <c r="Y316" s="490">
        <v>0</v>
      </c>
      <c r="Z316" s="490">
        <v>0</v>
      </c>
      <c r="AA316" s="490">
        <v>0</v>
      </c>
      <c r="AB316" s="490">
        <v>2587.85</v>
      </c>
      <c r="AC316" s="490">
        <v>33151.29</v>
      </c>
      <c r="AD316" s="490">
        <v>3.61</v>
      </c>
      <c r="AE316" s="490">
        <v>31913.24</v>
      </c>
      <c r="AF316" s="339">
        <v>8840.2326869806093</v>
      </c>
      <c r="AG316" s="339">
        <v>9183.182825484766</v>
      </c>
      <c r="AH316" s="496">
        <v>342.95</v>
      </c>
      <c r="AI316" s="490">
        <v>0.28000000000000003</v>
      </c>
      <c r="AJ316" s="490">
        <v>2452.79</v>
      </c>
      <c r="AK316" s="339">
        <v>8759.9642857142844</v>
      </c>
      <c r="AL316" s="339">
        <v>9242.3214285714275</v>
      </c>
      <c r="AM316" s="496">
        <v>482.36</v>
      </c>
      <c r="AN316" s="495">
        <v>0</v>
      </c>
      <c r="AO316" s="495">
        <v>0</v>
      </c>
      <c r="AP316" s="74"/>
      <c r="AQ316" s="303">
        <v>9071.0999999999985</v>
      </c>
      <c r="AR316" s="303">
        <v>20289.310000000001</v>
      </c>
      <c r="AS316" s="552">
        <v>12004.24</v>
      </c>
      <c r="AY316" s="67">
        <f t="shared" si="71"/>
        <v>0</v>
      </c>
      <c r="BA316" t="s">
        <v>848</v>
      </c>
      <c r="BB316" t="s">
        <v>653</v>
      </c>
      <c r="BC316" t="s">
        <v>1169</v>
      </c>
      <c r="BD316" s="491">
        <v>5.3199999999999997E-2</v>
      </c>
      <c r="BE316" s="492">
        <v>0.31080000000000002</v>
      </c>
      <c r="BG316" s="510">
        <f t="shared" si="69"/>
        <v>0</v>
      </c>
      <c r="BH316" s="510">
        <f t="shared" si="70"/>
        <v>0</v>
      </c>
      <c r="BJ316" s="520">
        <f t="shared" si="72"/>
        <v>0</v>
      </c>
      <c r="BK316" s="520">
        <f t="shared" si="73"/>
        <v>0</v>
      </c>
      <c r="CB316" s="74"/>
      <c r="CC316" s="74"/>
      <c r="CD316" s="74"/>
      <c r="CE316" s="74"/>
      <c r="CF316" s="74"/>
    </row>
    <row r="317" spans="1:84">
      <c r="A317" s="283" t="s">
        <v>656</v>
      </c>
      <c r="B317" s="283" t="s">
        <v>655</v>
      </c>
      <c r="C317" s="283" t="str">
        <f t="shared" si="76"/>
        <v>09209 WATERVILLE SCHOOL DISTRICT</v>
      </c>
      <c r="D317" s="490">
        <v>0</v>
      </c>
      <c r="E317" s="490">
        <v>2257.34</v>
      </c>
      <c r="F317" s="490">
        <v>0</v>
      </c>
      <c r="G317" s="490">
        <v>0</v>
      </c>
      <c r="H317" s="490">
        <v>0</v>
      </c>
      <c r="I317" s="490">
        <v>34492.61</v>
      </c>
      <c r="J317" s="490">
        <v>80932.95</v>
      </c>
      <c r="K317" s="490">
        <v>32051.65</v>
      </c>
      <c r="L317" s="490">
        <v>7064.74</v>
      </c>
      <c r="M317" s="490">
        <v>279141.03000000003</v>
      </c>
      <c r="N317" s="300">
        <v>5.4899999999999997E-2</v>
      </c>
      <c r="O317" s="492">
        <v>0.25659999999999999</v>
      </c>
      <c r="P317" s="490">
        <v>0</v>
      </c>
      <c r="Q317" s="493">
        <v>0</v>
      </c>
      <c r="R317" s="493">
        <v>0</v>
      </c>
      <c r="S317" s="494">
        <v>0</v>
      </c>
      <c r="T317" s="495">
        <v>0</v>
      </c>
      <c r="U317" s="495">
        <v>0</v>
      </c>
      <c r="V317" s="490">
        <v>0</v>
      </c>
      <c r="W317" s="495">
        <v>0</v>
      </c>
      <c r="X317" s="495">
        <v>0</v>
      </c>
      <c r="Y317" s="490">
        <v>296.38</v>
      </c>
      <c r="Z317" s="490">
        <v>0</v>
      </c>
      <c r="AA317" s="490">
        <v>0</v>
      </c>
      <c r="AB317" s="490">
        <v>20478.88</v>
      </c>
      <c r="AC317" s="490">
        <v>118100.27</v>
      </c>
      <c r="AD317" s="490">
        <v>12.6</v>
      </c>
      <c r="AE317" s="490">
        <v>111468.14</v>
      </c>
      <c r="AF317" s="339">
        <v>8846.6777777777788</v>
      </c>
      <c r="AG317" s="339">
        <v>9373.0373015873029</v>
      </c>
      <c r="AH317" s="496">
        <v>526.36</v>
      </c>
      <c r="AI317" s="490">
        <v>2.25</v>
      </c>
      <c r="AJ317" s="490">
        <v>19385.64</v>
      </c>
      <c r="AK317" s="339">
        <v>8615.84</v>
      </c>
      <c r="AL317" s="339">
        <v>9101.7244444444441</v>
      </c>
      <c r="AM317" s="496">
        <v>485.88</v>
      </c>
      <c r="AN317" s="495">
        <v>0</v>
      </c>
      <c r="AO317" s="495">
        <v>0</v>
      </c>
      <c r="AP317" s="74"/>
      <c r="AQ317" s="303">
        <v>103.77000000000044</v>
      </c>
      <c r="AR317" s="303">
        <v>30286.859999999997</v>
      </c>
      <c r="AS317" s="552">
        <v>17523.150000000001</v>
      </c>
      <c r="AY317" s="67">
        <f t="shared" si="71"/>
        <v>0</v>
      </c>
      <c r="BA317" t="s">
        <v>871</v>
      </c>
      <c r="BB317" t="s">
        <v>655</v>
      </c>
      <c r="BC317" t="s">
        <v>1170</v>
      </c>
      <c r="BD317" s="491">
        <v>5.4899999999999997E-2</v>
      </c>
      <c r="BE317" s="492">
        <v>0.25659999999999999</v>
      </c>
      <c r="BG317" s="510">
        <f t="shared" si="69"/>
        <v>0</v>
      </c>
      <c r="BH317" s="510">
        <f t="shared" si="70"/>
        <v>0</v>
      </c>
      <c r="BJ317" s="520">
        <f t="shared" si="72"/>
        <v>0</v>
      </c>
      <c r="BK317" s="520">
        <f t="shared" si="73"/>
        <v>0</v>
      </c>
      <c r="CB317" s="74"/>
      <c r="CC317" s="74"/>
      <c r="CD317" s="74"/>
      <c r="CE317" s="74"/>
      <c r="CF317" s="74"/>
    </row>
    <row r="318" spans="1:84">
      <c r="A318" s="283" t="s">
        <v>658</v>
      </c>
      <c r="B318" s="283" t="s">
        <v>657</v>
      </c>
      <c r="C318" s="283" t="str">
        <f t="shared" si="76"/>
        <v>33049 WELLPINIT SCHOOL DISTRICT</v>
      </c>
      <c r="D318" s="490">
        <v>0</v>
      </c>
      <c r="E318" s="490">
        <v>0</v>
      </c>
      <c r="F318" s="490">
        <v>0</v>
      </c>
      <c r="G318" s="490">
        <v>710215.92</v>
      </c>
      <c r="H318" s="490">
        <v>58903.71</v>
      </c>
      <c r="I318" s="490">
        <v>118750.15</v>
      </c>
      <c r="J318" s="490">
        <v>222124.07</v>
      </c>
      <c r="K318" s="490">
        <v>0</v>
      </c>
      <c r="L318" s="490">
        <v>12363.32</v>
      </c>
      <c r="M318" s="490">
        <v>381992.44</v>
      </c>
      <c r="N318" s="300">
        <v>5.1299999999999998E-2</v>
      </c>
      <c r="O318" s="492">
        <v>0.41049999999999998</v>
      </c>
      <c r="P318" s="490">
        <v>0</v>
      </c>
      <c r="Q318" s="493">
        <v>0</v>
      </c>
      <c r="R318" s="493">
        <v>0</v>
      </c>
      <c r="S318" s="494">
        <v>0</v>
      </c>
      <c r="T318" s="495">
        <v>0</v>
      </c>
      <c r="U318" s="495">
        <v>0</v>
      </c>
      <c r="V318" s="490">
        <v>0</v>
      </c>
      <c r="W318" s="495">
        <v>0</v>
      </c>
      <c r="X318" s="495">
        <v>0</v>
      </c>
      <c r="Y318" s="490">
        <v>0</v>
      </c>
      <c r="Z318" s="490">
        <v>0</v>
      </c>
      <c r="AA318" s="490">
        <v>0</v>
      </c>
      <c r="AB318" s="490">
        <v>0</v>
      </c>
      <c r="AC318" s="490">
        <v>127229.23</v>
      </c>
      <c r="AD318" s="490">
        <v>13.53</v>
      </c>
      <c r="AE318" s="490">
        <v>119565.51</v>
      </c>
      <c r="AF318" s="339">
        <v>8837.0665188470066</v>
      </c>
      <c r="AG318" s="339">
        <v>9403.4907612712486</v>
      </c>
      <c r="AH318" s="496">
        <v>566.41999999999996</v>
      </c>
      <c r="AI318" s="490">
        <v>0</v>
      </c>
      <c r="AJ318" s="490">
        <v>0</v>
      </c>
      <c r="AK318" s="339">
        <v>0</v>
      </c>
      <c r="AL318" s="339">
        <v>0</v>
      </c>
      <c r="AM318" s="496">
        <v>0</v>
      </c>
      <c r="AN318" s="495">
        <v>0</v>
      </c>
      <c r="AO318" s="495">
        <v>0</v>
      </c>
      <c r="AP318" s="74"/>
      <c r="AQ318" s="303">
        <v>0</v>
      </c>
      <c r="AR318" s="303">
        <v>46085.759999999995</v>
      </c>
      <c r="AS318" s="552">
        <v>19846.91</v>
      </c>
      <c r="AY318" s="67">
        <f t="shared" si="71"/>
        <v>0</v>
      </c>
      <c r="BA318" t="s">
        <v>848</v>
      </c>
      <c r="BB318" t="s">
        <v>657</v>
      </c>
      <c r="BC318" t="s">
        <v>1171</v>
      </c>
      <c r="BD318" s="491">
        <v>5.1299999999999998E-2</v>
      </c>
      <c r="BE318" s="492">
        <v>0.41049999999999998</v>
      </c>
      <c r="BG318" s="510">
        <f t="shared" si="69"/>
        <v>0</v>
      </c>
      <c r="BH318" s="510">
        <f t="shared" si="70"/>
        <v>0</v>
      </c>
      <c r="BJ318" s="520">
        <f t="shared" si="72"/>
        <v>0</v>
      </c>
      <c r="BK318" s="520">
        <f t="shared" si="73"/>
        <v>0</v>
      </c>
      <c r="CB318" s="74"/>
      <c r="CC318" s="74"/>
      <c r="CD318" s="74"/>
      <c r="CE318" s="74"/>
      <c r="CF318" s="74"/>
    </row>
    <row r="319" spans="1:84">
      <c r="A319" s="283" t="s">
        <v>660</v>
      </c>
      <c r="B319" s="283" t="s">
        <v>659</v>
      </c>
      <c r="C319" s="283" t="str">
        <f t="shared" si="76"/>
        <v>04246 WENATCHEE SCHOOL DISTRICT</v>
      </c>
      <c r="D319" s="490">
        <v>0</v>
      </c>
      <c r="E319" s="490">
        <v>286714.65999999997</v>
      </c>
      <c r="F319" s="490">
        <v>130846.45</v>
      </c>
      <c r="G319" s="490">
        <v>13126340.779999999</v>
      </c>
      <c r="H319" s="490">
        <v>1574301.77</v>
      </c>
      <c r="I319" s="490">
        <v>1868921.26</v>
      </c>
      <c r="J319" s="490">
        <v>2832588.71</v>
      </c>
      <c r="K319" s="490">
        <v>2574134.33</v>
      </c>
      <c r="L319" s="490">
        <v>213972.9</v>
      </c>
      <c r="M319" s="490">
        <v>2545198.69</v>
      </c>
      <c r="N319" s="300">
        <v>3.4200000000000001E-2</v>
      </c>
      <c r="O319" s="492">
        <v>0.122</v>
      </c>
      <c r="P319" s="490">
        <v>0</v>
      </c>
      <c r="Q319" s="493">
        <v>0</v>
      </c>
      <c r="R319" s="493">
        <v>0</v>
      </c>
      <c r="S319" s="494">
        <v>203320.61</v>
      </c>
      <c r="T319" s="495">
        <v>0</v>
      </c>
      <c r="U319" s="495">
        <v>6603.41</v>
      </c>
      <c r="V319" s="490">
        <v>0</v>
      </c>
      <c r="W319" s="495">
        <v>0</v>
      </c>
      <c r="X319" s="495">
        <v>0</v>
      </c>
      <c r="Y319" s="490">
        <v>7931.85</v>
      </c>
      <c r="Z319" s="490">
        <v>107486.76</v>
      </c>
      <c r="AA319" s="490">
        <v>175303.48</v>
      </c>
      <c r="AB319" s="490">
        <v>2645430.83</v>
      </c>
      <c r="AC319" s="490">
        <v>5927614.8099999996</v>
      </c>
      <c r="AD319" s="490">
        <v>623.46</v>
      </c>
      <c r="AE319" s="490">
        <v>5573024.4100000001</v>
      </c>
      <c r="AF319" s="339">
        <v>8938.8644179257681</v>
      </c>
      <c r="AG319" s="339">
        <v>9507.6104481442253</v>
      </c>
      <c r="AH319" s="496">
        <v>568.75</v>
      </c>
      <c r="AI319" s="490">
        <v>285.55</v>
      </c>
      <c r="AJ319" s="490">
        <v>2490312.27</v>
      </c>
      <c r="AK319" s="339">
        <v>8721.1075818595691</v>
      </c>
      <c r="AL319" s="339">
        <v>9264.3348975661011</v>
      </c>
      <c r="AM319" s="496">
        <v>543.23</v>
      </c>
      <c r="AN319" s="495">
        <v>6832.71</v>
      </c>
      <c r="AO319" s="495">
        <v>0</v>
      </c>
      <c r="AP319" s="74"/>
      <c r="AQ319" s="303">
        <v>158459.88000000012</v>
      </c>
      <c r="AR319" s="303">
        <v>757492.92</v>
      </c>
      <c r="AS319" s="552">
        <v>215216.43</v>
      </c>
      <c r="AY319" s="67">
        <f t="shared" si="71"/>
        <v>0</v>
      </c>
      <c r="BA319" t="s">
        <v>871</v>
      </c>
      <c r="BB319" t="s">
        <v>659</v>
      </c>
      <c r="BC319" t="s">
        <v>1172</v>
      </c>
      <c r="BD319" s="491">
        <v>3.4200000000000001E-2</v>
      </c>
      <c r="BE319" s="492">
        <v>0.122</v>
      </c>
      <c r="BG319" s="510">
        <f t="shared" si="69"/>
        <v>0</v>
      </c>
      <c r="BH319" s="510">
        <f t="shared" si="70"/>
        <v>0</v>
      </c>
      <c r="BJ319" s="520">
        <f t="shared" si="72"/>
        <v>0</v>
      </c>
      <c r="BK319" s="520">
        <f t="shared" si="73"/>
        <v>0</v>
      </c>
      <c r="CB319" s="74"/>
      <c r="CC319" s="74"/>
      <c r="CD319" s="74"/>
      <c r="CE319" s="74"/>
      <c r="CF319" s="74"/>
    </row>
    <row r="320" spans="1:84">
      <c r="A320" s="283" t="s">
        <v>662</v>
      </c>
      <c r="B320" s="283" t="s">
        <v>661</v>
      </c>
      <c r="C320" s="283" t="str">
        <f t="shared" si="76"/>
        <v>32363 WEST VALLEY (SPOKANE) SCHOOL DISTRICT</v>
      </c>
      <c r="D320" s="490">
        <v>0</v>
      </c>
      <c r="E320" s="490">
        <v>0</v>
      </c>
      <c r="F320" s="490">
        <v>0</v>
      </c>
      <c r="G320" s="490">
        <v>5636459.6600000001</v>
      </c>
      <c r="H320" s="490">
        <v>758285.95</v>
      </c>
      <c r="I320" s="490">
        <v>571309.76</v>
      </c>
      <c r="J320" s="490">
        <v>1296381.73</v>
      </c>
      <c r="K320" s="490">
        <v>204456.74</v>
      </c>
      <c r="L320" s="490">
        <v>100568.8</v>
      </c>
      <c r="M320" s="490">
        <v>2032493.89</v>
      </c>
      <c r="N320" s="300">
        <v>4.9000000000000002E-2</v>
      </c>
      <c r="O320" s="492">
        <v>0.1444</v>
      </c>
      <c r="P320" s="490">
        <v>0</v>
      </c>
      <c r="Q320" s="493">
        <v>0</v>
      </c>
      <c r="R320" s="493">
        <v>0</v>
      </c>
      <c r="S320" s="494">
        <v>0</v>
      </c>
      <c r="T320" s="495">
        <v>0</v>
      </c>
      <c r="U320" s="495">
        <v>0</v>
      </c>
      <c r="V320" s="490">
        <v>0</v>
      </c>
      <c r="W320" s="495">
        <v>0</v>
      </c>
      <c r="X320" s="495">
        <v>0</v>
      </c>
      <c r="Y320" s="490">
        <v>3831.71</v>
      </c>
      <c r="Z320" s="490">
        <v>62420.43</v>
      </c>
      <c r="AA320" s="490">
        <v>0</v>
      </c>
      <c r="AB320" s="490">
        <v>737975.21</v>
      </c>
      <c r="AC320" s="490">
        <v>1799193.32</v>
      </c>
      <c r="AD320" s="490">
        <v>193.11</v>
      </c>
      <c r="AE320" s="490">
        <v>1708524.26</v>
      </c>
      <c r="AF320" s="339">
        <v>8847.4147377142563</v>
      </c>
      <c r="AG320" s="339">
        <v>9316.9350111335498</v>
      </c>
      <c r="AH320" s="496">
        <v>469.52</v>
      </c>
      <c r="AI320" s="490">
        <v>80.5</v>
      </c>
      <c r="AJ320" s="490">
        <v>694701.78</v>
      </c>
      <c r="AK320" s="339">
        <v>8629.8357763975164</v>
      </c>
      <c r="AL320" s="339">
        <v>9167.3939130434774</v>
      </c>
      <c r="AM320" s="496">
        <v>537.55999999999995</v>
      </c>
      <c r="AN320" s="495">
        <v>0</v>
      </c>
      <c r="AO320" s="495">
        <v>0</v>
      </c>
      <c r="AP320" s="74"/>
      <c r="AQ320" s="303">
        <v>0</v>
      </c>
      <c r="AR320" s="303">
        <v>293748.42</v>
      </c>
      <c r="AS320" s="552">
        <v>111286.58</v>
      </c>
      <c r="AY320" s="67">
        <f t="shared" si="71"/>
        <v>0</v>
      </c>
      <c r="BA320" t="s">
        <v>848</v>
      </c>
      <c r="BB320" t="s">
        <v>661</v>
      </c>
      <c r="BC320" t="s">
        <v>1173</v>
      </c>
      <c r="BD320" s="491">
        <v>4.9000000000000002E-2</v>
      </c>
      <c r="BE320" s="492">
        <v>0.1444</v>
      </c>
      <c r="BG320" s="510">
        <f t="shared" si="69"/>
        <v>0</v>
      </c>
      <c r="BH320" s="510">
        <f t="shared" si="70"/>
        <v>0</v>
      </c>
      <c r="BJ320" s="520">
        <f t="shared" si="72"/>
        <v>0</v>
      </c>
      <c r="BK320" s="520">
        <f t="shared" si="73"/>
        <v>0</v>
      </c>
      <c r="CB320" s="74"/>
      <c r="CC320" s="74"/>
      <c r="CD320" s="74"/>
      <c r="CE320" s="74"/>
      <c r="CF320" s="74"/>
    </row>
    <row r="321" spans="1:84">
      <c r="A321" s="283" t="s">
        <v>664</v>
      </c>
      <c r="B321" s="283" t="s">
        <v>663</v>
      </c>
      <c r="C321" s="283" t="str">
        <f t="shared" si="76"/>
        <v>39208 WEST VALLEY (YAKIMA) SCHOOL DISTRICT</v>
      </c>
      <c r="D321" s="490">
        <v>0</v>
      </c>
      <c r="E321" s="490">
        <v>158438.63</v>
      </c>
      <c r="F321" s="490">
        <v>27854.07</v>
      </c>
      <c r="G321" s="490">
        <v>8741347.5500000007</v>
      </c>
      <c r="H321" s="490">
        <v>1402363.59</v>
      </c>
      <c r="I321" s="490">
        <v>537089.88</v>
      </c>
      <c r="J321" s="490">
        <v>1779564.15</v>
      </c>
      <c r="K321" s="490">
        <v>813717.24</v>
      </c>
      <c r="L321" s="490">
        <v>162610.99</v>
      </c>
      <c r="M321" s="490">
        <v>2968143.79</v>
      </c>
      <c r="N321" s="300">
        <v>7.0000000000000007E-2</v>
      </c>
      <c r="O321" s="492">
        <v>0.18590000000000001</v>
      </c>
      <c r="P321" s="490">
        <v>0</v>
      </c>
      <c r="Q321" s="493">
        <v>0</v>
      </c>
      <c r="R321" s="493">
        <v>0</v>
      </c>
      <c r="S321" s="494">
        <v>0</v>
      </c>
      <c r="T321" s="495">
        <v>0</v>
      </c>
      <c r="U321" s="495">
        <v>0</v>
      </c>
      <c r="V321" s="490">
        <v>0</v>
      </c>
      <c r="W321" s="495">
        <v>0</v>
      </c>
      <c r="X321" s="495">
        <v>0</v>
      </c>
      <c r="Y321" s="490">
        <v>5800.14</v>
      </c>
      <c r="Z321" s="490">
        <v>241360.75</v>
      </c>
      <c r="AA321" s="490">
        <v>4648.78</v>
      </c>
      <c r="AB321" s="490">
        <v>2690701.31</v>
      </c>
      <c r="AC321" s="490">
        <v>3385786.03</v>
      </c>
      <c r="AD321" s="490">
        <v>355.08</v>
      </c>
      <c r="AE321" s="490">
        <v>3173960.66</v>
      </c>
      <c r="AF321" s="339">
        <v>8938.7198941083716</v>
      </c>
      <c r="AG321" s="339">
        <v>9535.2766418835199</v>
      </c>
      <c r="AH321" s="496">
        <v>596.55999999999995</v>
      </c>
      <c r="AI321" s="490">
        <v>290.44</v>
      </c>
      <c r="AJ321" s="490">
        <v>2533069.36</v>
      </c>
      <c r="AK321" s="339">
        <v>8721.4893265390438</v>
      </c>
      <c r="AL321" s="339">
        <v>9264.2243148326688</v>
      </c>
      <c r="AM321" s="496">
        <v>542.73</v>
      </c>
      <c r="AN321" s="495">
        <v>1400</v>
      </c>
      <c r="AO321" s="495">
        <v>0</v>
      </c>
      <c r="AP321" s="74"/>
      <c r="AQ321" s="303">
        <v>0</v>
      </c>
      <c r="AR321" s="303">
        <v>555067.79</v>
      </c>
      <c r="AS321" s="552">
        <v>162525.32999999999</v>
      </c>
      <c r="AY321" s="67">
        <f t="shared" si="71"/>
        <v>0</v>
      </c>
      <c r="BA321" t="s">
        <v>865</v>
      </c>
      <c r="BB321" t="s">
        <v>663</v>
      </c>
      <c r="BC321" t="s">
        <v>1174</v>
      </c>
      <c r="BD321" s="491">
        <v>7.0000000000000007E-2</v>
      </c>
      <c r="BE321" s="492">
        <v>0.18590000000000001</v>
      </c>
      <c r="BG321" s="510">
        <f t="shared" si="69"/>
        <v>0</v>
      </c>
      <c r="BH321" s="510">
        <f t="shared" si="70"/>
        <v>0</v>
      </c>
      <c r="BJ321" s="520">
        <f t="shared" si="72"/>
        <v>0</v>
      </c>
      <c r="BK321" s="520">
        <f t="shared" si="73"/>
        <v>0</v>
      </c>
      <c r="CB321" s="74"/>
      <c r="CC321" s="74"/>
      <c r="CD321" s="74"/>
      <c r="CE321" s="74"/>
      <c r="CF321" s="74"/>
    </row>
    <row r="322" spans="1:84">
      <c r="A322" s="283" t="s">
        <v>666</v>
      </c>
      <c r="B322" s="354" t="s">
        <v>665</v>
      </c>
      <c r="C322" s="353" t="str">
        <f>CONCATENATE(B322," ",A322," CHARTER")</f>
        <v>37902 WHATCOM INTERGENERATIONAL CHARTER</v>
      </c>
      <c r="D322" s="490">
        <v>0</v>
      </c>
      <c r="E322" s="490">
        <v>0</v>
      </c>
      <c r="F322" s="490">
        <v>0</v>
      </c>
      <c r="G322" s="490">
        <v>119070.14</v>
      </c>
      <c r="H322" s="490">
        <v>23808.3</v>
      </c>
      <c r="I322" s="490">
        <v>0</v>
      </c>
      <c r="J322" s="490">
        <v>31431.88</v>
      </c>
      <c r="K322" s="490">
        <v>0</v>
      </c>
      <c r="L322" s="490">
        <v>2434.87</v>
      </c>
      <c r="M322" s="490">
        <v>0</v>
      </c>
      <c r="N322" s="300">
        <v>3.7100000000000001E-2</v>
      </c>
      <c r="O322" s="492">
        <v>0.14399999999999999</v>
      </c>
      <c r="P322" s="490">
        <v>0</v>
      </c>
      <c r="Q322" s="493">
        <v>0</v>
      </c>
      <c r="R322" s="493">
        <v>0</v>
      </c>
      <c r="S322" s="494">
        <v>0</v>
      </c>
      <c r="T322" s="495">
        <v>0</v>
      </c>
      <c r="U322" s="495">
        <v>0</v>
      </c>
      <c r="V322" s="490">
        <v>0</v>
      </c>
      <c r="W322" s="495">
        <v>0</v>
      </c>
      <c r="X322" s="495">
        <v>0</v>
      </c>
      <c r="Y322" s="490">
        <v>0</v>
      </c>
      <c r="Z322" s="490">
        <v>0</v>
      </c>
      <c r="AA322" s="490">
        <v>0</v>
      </c>
      <c r="AB322" s="490">
        <v>0</v>
      </c>
      <c r="AC322" s="490">
        <v>18431.52</v>
      </c>
      <c r="AD322" s="490">
        <v>0</v>
      </c>
      <c r="AE322" s="490">
        <v>0</v>
      </c>
      <c r="AF322" s="339">
        <v>0</v>
      </c>
      <c r="AG322" s="339">
        <v>0</v>
      </c>
      <c r="AH322" s="496">
        <v>0</v>
      </c>
      <c r="AI322" s="490">
        <v>0</v>
      </c>
      <c r="AJ322" s="490">
        <v>0</v>
      </c>
      <c r="AK322" s="339">
        <v>0</v>
      </c>
      <c r="AL322" s="339">
        <v>0</v>
      </c>
      <c r="AM322" s="496">
        <v>0</v>
      </c>
      <c r="AN322" s="495">
        <v>0</v>
      </c>
      <c r="AO322" s="495">
        <v>0</v>
      </c>
      <c r="AP322" s="74"/>
      <c r="AQ322" s="303">
        <v>16872.560000000001</v>
      </c>
      <c r="AR322" s="303">
        <v>15738.35</v>
      </c>
      <c r="AS322" s="552"/>
      <c r="AY322" s="67">
        <f t="shared" si="71"/>
        <v>0</v>
      </c>
      <c r="BA322" t="s">
        <v>882</v>
      </c>
      <c r="BB322" t="s">
        <v>665</v>
      </c>
      <c r="BC322" s="11" t="s">
        <v>1175</v>
      </c>
      <c r="BD322" s="491">
        <v>3.7100000000000001E-2</v>
      </c>
      <c r="BE322" s="492">
        <v>0.14399999999999999</v>
      </c>
      <c r="BG322" s="510">
        <f t="shared" si="69"/>
        <v>0</v>
      </c>
      <c r="BH322" s="510">
        <f t="shared" si="70"/>
        <v>0</v>
      </c>
      <c r="BJ322" s="520">
        <f t="shared" si="72"/>
        <v>0</v>
      </c>
      <c r="BK322" s="520">
        <f t="shared" si="73"/>
        <v>0</v>
      </c>
      <c r="CB322" s="74"/>
      <c r="CC322" s="74"/>
      <c r="CD322" s="74"/>
      <c r="CE322" s="74"/>
      <c r="CF322" s="74"/>
    </row>
    <row r="323" spans="1:84">
      <c r="A323" s="283" t="s">
        <v>668</v>
      </c>
      <c r="B323" s="283" t="s">
        <v>667</v>
      </c>
      <c r="C323" s="283" t="str">
        <f>CONCATENATE(B323," ",A323," SCHOOL DISTRICT")</f>
        <v>21303 WHITE PASS SCHOOL DISTRICT</v>
      </c>
      <c r="D323" s="490">
        <v>0</v>
      </c>
      <c r="E323" s="490">
        <v>14263.27</v>
      </c>
      <c r="F323" s="490">
        <v>8706.19</v>
      </c>
      <c r="G323" s="490">
        <v>743585.23</v>
      </c>
      <c r="H323" s="490">
        <v>99782.15</v>
      </c>
      <c r="I323" s="490">
        <v>108049.12</v>
      </c>
      <c r="J323" s="490">
        <v>164047.67000000001</v>
      </c>
      <c r="K323" s="490">
        <v>0</v>
      </c>
      <c r="L323" s="490">
        <v>10077.66</v>
      </c>
      <c r="M323" s="490">
        <v>523187.18</v>
      </c>
      <c r="N323" s="300">
        <v>5.9400000000000001E-2</v>
      </c>
      <c r="O323" s="492">
        <v>0.21840000000000001</v>
      </c>
      <c r="P323" s="490">
        <v>0</v>
      </c>
      <c r="Q323" s="493">
        <v>0</v>
      </c>
      <c r="R323" s="493">
        <v>0</v>
      </c>
      <c r="S323" s="494">
        <v>0</v>
      </c>
      <c r="T323" s="495">
        <v>0</v>
      </c>
      <c r="U323" s="495">
        <v>0</v>
      </c>
      <c r="V323" s="490">
        <v>0</v>
      </c>
      <c r="W323" s="495">
        <v>0</v>
      </c>
      <c r="X323" s="495">
        <v>0</v>
      </c>
      <c r="Y323" s="490">
        <v>417.17</v>
      </c>
      <c r="Z323" s="490">
        <v>4804.5</v>
      </c>
      <c r="AA323" s="490">
        <v>0</v>
      </c>
      <c r="AB323" s="490">
        <v>71472.05</v>
      </c>
      <c r="AC323" s="490">
        <v>182662.18</v>
      </c>
      <c r="AD323" s="490">
        <v>19.61</v>
      </c>
      <c r="AE323" s="490">
        <v>173448.98</v>
      </c>
      <c r="AF323" s="339">
        <v>8844.925038245794</v>
      </c>
      <c r="AG323" s="339">
        <v>9314.7465578786341</v>
      </c>
      <c r="AH323" s="496">
        <v>469.82</v>
      </c>
      <c r="AI323" s="490">
        <v>7.8</v>
      </c>
      <c r="AJ323" s="490">
        <v>67255.39</v>
      </c>
      <c r="AK323" s="339">
        <v>8622.4858974358976</v>
      </c>
      <c r="AL323" s="339">
        <v>9163.0833333333339</v>
      </c>
      <c r="AM323" s="496">
        <v>540.6</v>
      </c>
      <c r="AN323" s="495">
        <v>212.11</v>
      </c>
      <c r="AO323" s="495">
        <v>0</v>
      </c>
      <c r="AP323" s="74"/>
      <c r="AQ323" s="303">
        <v>60551.840000000004</v>
      </c>
      <c r="AR323" s="303">
        <v>43167.42</v>
      </c>
      <c r="AS323" s="552">
        <v>20921.64</v>
      </c>
      <c r="AY323" s="67">
        <f t="shared" si="71"/>
        <v>0</v>
      </c>
      <c r="BA323" t="s">
        <v>845</v>
      </c>
      <c r="BB323" t="s">
        <v>667</v>
      </c>
      <c r="BC323" t="s">
        <v>1176</v>
      </c>
      <c r="BD323" s="491">
        <v>5.9400000000000001E-2</v>
      </c>
      <c r="BE323" s="492">
        <v>0.21840000000000001</v>
      </c>
      <c r="BG323" s="510">
        <f t="shared" si="69"/>
        <v>0</v>
      </c>
      <c r="BH323" s="510">
        <f t="shared" si="70"/>
        <v>0</v>
      </c>
      <c r="BJ323" s="520">
        <f t="shared" si="72"/>
        <v>0</v>
      </c>
      <c r="BK323" s="520">
        <f t="shared" si="73"/>
        <v>0</v>
      </c>
      <c r="CB323" s="74"/>
      <c r="CC323" s="74"/>
      <c r="CD323" s="74"/>
      <c r="CE323" s="74"/>
      <c r="CF323" s="74"/>
    </row>
    <row r="324" spans="1:84">
      <c r="A324" s="283" t="s">
        <v>670</v>
      </c>
      <c r="B324" s="283" t="s">
        <v>669</v>
      </c>
      <c r="C324" s="283" t="str">
        <f>CONCATENATE(B324," ",A324," SCHOOL DISTRICT")</f>
        <v>27416 WHITE RIVER SCHOOL DISTRICT</v>
      </c>
      <c r="D324" s="490">
        <v>0</v>
      </c>
      <c r="E324" s="490">
        <v>84042.61</v>
      </c>
      <c r="F324" s="490">
        <v>0</v>
      </c>
      <c r="G324" s="490">
        <v>7084399.9100000001</v>
      </c>
      <c r="H324" s="490">
        <v>1256177.05</v>
      </c>
      <c r="I324" s="490">
        <v>0</v>
      </c>
      <c r="J324" s="490">
        <v>930852.6</v>
      </c>
      <c r="K324" s="490">
        <v>343914.23999999999</v>
      </c>
      <c r="L324" s="490">
        <v>135337.10999999999</v>
      </c>
      <c r="M324" s="490">
        <v>3445649</v>
      </c>
      <c r="N324" s="300">
        <v>3.78E-2</v>
      </c>
      <c r="O324" s="492">
        <v>0.1502</v>
      </c>
      <c r="P324" s="490">
        <v>0</v>
      </c>
      <c r="Q324" s="493">
        <v>0</v>
      </c>
      <c r="R324" s="493">
        <v>0</v>
      </c>
      <c r="S324" s="494">
        <v>0</v>
      </c>
      <c r="T324" s="495">
        <v>0</v>
      </c>
      <c r="U324" s="495">
        <v>0</v>
      </c>
      <c r="V324" s="490">
        <v>224248.94999999998</v>
      </c>
      <c r="W324" s="495">
        <v>22359.432000000001</v>
      </c>
      <c r="X324" s="495">
        <v>9575.4599999999991</v>
      </c>
      <c r="Y324" s="490">
        <v>3006.32</v>
      </c>
      <c r="Z324" s="490">
        <v>32951.870000000003</v>
      </c>
      <c r="AA324" s="490">
        <v>224296.72</v>
      </c>
      <c r="AB324" s="490">
        <v>257633.96</v>
      </c>
      <c r="AC324" s="490">
        <v>2967303.21</v>
      </c>
      <c r="AD324" s="490">
        <v>300.88</v>
      </c>
      <c r="AE324" s="490">
        <v>2771868.96</v>
      </c>
      <c r="AF324" s="339">
        <v>9212.5397500664712</v>
      </c>
      <c r="AG324" s="339">
        <v>9862.0819263493759</v>
      </c>
      <c r="AH324" s="496">
        <v>649.54</v>
      </c>
      <c r="AI324" s="490">
        <v>26.96</v>
      </c>
      <c r="AJ324" s="490">
        <v>242416.69</v>
      </c>
      <c r="AK324" s="339">
        <v>8991.7169881305635</v>
      </c>
      <c r="AL324" s="339">
        <v>9556.1557863501475</v>
      </c>
      <c r="AM324" s="496">
        <v>564.44000000000005</v>
      </c>
      <c r="AN324" s="495">
        <v>0</v>
      </c>
      <c r="AO324" s="495">
        <v>0</v>
      </c>
      <c r="AP324" s="74"/>
      <c r="AQ324" s="303">
        <v>0</v>
      </c>
      <c r="AR324" s="303">
        <v>451901.42000000004</v>
      </c>
      <c r="AS324" s="552">
        <v>147362.85</v>
      </c>
      <c r="AY324" s="67">
        <f t="shared" si="71"/>
        <v>0</v>
      </c>
      <c r="BA324" t="s">
        <v>856</v>
      </c>
      <c r="BB324" t="s">
        <v>669</v>
      </c>
      <c r="BC324" t="s">
        <v>1177</v>
      </c>
      <c r="BD324" s="491">
        <v>3.78E-2</v>
      </c>
      <c r="BE324" s="492">
        <v>0.1502</v>
      </c>
      <c r="BG324" s="510">
        <f t="shared" si="69"/>
        <v>0</v>
      </c>
      <c r="BH324" s="510">
        <f t="shared" si="70"/>
        <v>0</v>
      </c>
      <c r="BJ324" s="520">
        <f t="shared" si="72"/>
        <v>0</v>
      </c>
      <c r="BK324" s="520">
        <f t="shared" si="73"/>
        <v>0</v>
      </c>
      <c r="CB324" s="74"/>
      <c r="CC324" s="74"/>
      <c r="CD324" s="74"/>
      <c r="CE324" s="74"/>
      <c r="CF324" s="74"/>
    </row>
    <row r="325" spans="1:84">
      <c r="A325" s="283" t="s">
        <v>672</v>
      </c>
      <c r="B325" s="283" t="s">
        <v>671</v>
      </c>
      <c r="C325" s="283" t="str">
        <f>CONCATENATE(B325," ",A325," SCHOOL DISTRICT")</f>
        <v>20405 WHITE SALMON SCHOOL DISTRICT</v>
      </c>
      <c r="D325" s="490">
        <v>0</v>
      </c>
      <c r="E325" s="490">
        <v>12163.34</v>
      </c>
      <c r="F325" s="490">
        <v>0</v>
      </c>
      <c r="G325" s="490">
        <v>0</v>
      </c>
      <c r="H325" s="490">
        <v>0</v>
      </c>
      <c r="I325" s="490">
        <v>0</v>
      </c>
      <c r="J325" s="490">
        <v>349456.32</v>
      </c>
      <c r="K325" s="490">
        <v>285782.92</v>
      </c>
      <c r="L325" s="490">
        <v>33537.5</v>
      </c>
      <c r="M325" s="490">
        <v>1408563.91</v>
      </c>
      <c r="N325" s="300">
        <v>4.6600000000000003E-2</v>
      </c>
      <c r="O325" s="492">
        <v>0.18959999999999999</v>
      </c>
      <c r="P325" s="490">
        <v>0</v>
      </c>
      <c r="Q325" s="493">
        <v>0</v>
      </c>
      <c r="R325" s="493">
        <v>0</v>
      </c>
      <c r="S325" s="494">
        <v>0</v>
      </c>
      <c r="T325" s="495">
        <v>0</v>
      </c>
      <c r="U325" s="495">
        <v>0</v>
      </c>
      <c r="V325" s="490">
        <v>0</v>
      </c>
      <c r="W325" s="495">
        <v>0</v>
      </c>
      <c r="X325" s="495">
        <v>0</v>
      </c>
      <c r="Y325" s="490">
        <v>1234.74</v>
      </c>
      <c r="Z325" s="490">
        <v>0</v>
      </c>
      <c r="AA325" s="490">
        <v>5874.58</v>
      </c>
      <c r="AB325" s="490">
        <v>0</v>
      </c>
      <c r="AC325" s="490">
        <v>573077.78</v>
      </c>
      <c r="AD325" s="490">
        <v>61.15</v>
      </c>
      <c r="AE325" s="490">
        <v>551704.48</v>
      </c>
      <c r="AF325" s="339">
        <v>9022.1501226492237</v>
      </c>
      <c r="AG325" s="339">
        <v>9371.6726083401481</v>
      </c>
      <c r="AH325" s="496">
        <v>349.52</v>
      </c>
      <c r="AI325" s="490">
        <v>0</v>
      </c>
      <c r="AJ325" s="490">
        <v>0</v>
      </c>
      <c r="AK325" s="339">
        <v>0</v>
      </c>
      <c r="AL325" s="339">
        <v>0</v>
      </c>
      <c r="AM325" s="496">
        <v>0</v>
      </c>
      <c r="AN325" s="495">
        <v>0</v>
      </c>
      <c r="AO325" s="495">
        <v>0</v>
      </c>
      <c r="AP325" s="74"/>
      <c r="AQ325" s="303">
        <v>8273.1300000000192</v>
      </c>
      <c r="AR325" s="303">
        <v>98829.6</v>
      </c>
      <c r="AS325" s="552">
        <v>42387.3</v>
      </c>
      <c r="AY325" s="67">
        <f t="shared" si="71"/>
        <v>0</v>
      </c>
      <c r="BA325" t="s">
        <v>859</v>
      </c>
      <c r="BB325" t="s">
        <v>671</v>
      </c>
      <c r="BC325" t="s">
        <v>1178</v>
      </c>
      <c r="BD325" s="491">
        <v>4.6600000000000003E-2</v>
      </c>
      <c r="BE325" s="492">
        <v>0.18959999999999999</v>
      </c>
      <c r="BG325" s="510">
        <f t="shared" si="69"/>
        <v>0</v>
      </c>
      <c r="BH325" s="510">
        <f t="shared" si="70"/>
        <v>0</v>
      </c>
      <c r="BJ325" s="520">
        <f t="shared" si="72"/>
        <v>0</v>
      </c>
      <c r="BK325" s="520">
        <f t="shared" si="73"/>
        <v>0</v>
      </c>
      <c r="CB325" s="74"/>
      <c r="CC325" s="74"/>
      <c r="CD325" s="74"/>
      <c r="CE325" s="74"/>
      <c r="CF325" s="74"/>
    </row>
    <row r="326" spans="1:84">
      <c r="A326" s="283" t="s">
        <v>674</v>
      </c>
      <c r="B326" s="353" t="s">
        <v>673</v>
      </c>
      <c r="C326" s="353" t="str">
        <f>CONCATENATE(B326," ",A326," CHARTER")</f>
        <v>17917 WHY NOT YOU CHARTER</v>
      </c>
      <c r="D326" s="490">
        <v>0</v>
      </c>
      <c r="E326" s="490">
        <v>0</v>
      </c>
      <c r="F326" s="490">
        <v>0</v>
      </c>
      <c r="G326" s="490">
        <v>279491.43</v>
      </c>
      <c r="H326" s="490">
        <v>46811.35</v>
      </c>
      <c r="I326" s="490">
        <v>0</v>
      </c>
      <c r="J326" s="490">
        <v>74625.97</v>
      </c>
      <c r="K326" s="490">
        <v>0</v>
      </c>
      <c r="L326" s="490">
        <v>0</v>
      </c>
      <c r="M326" s="490">
        <v>0</v>
      </c>
      <c r="N326" s="300">
        <v>3.7100000000000001E-2</v>
      </c>
      <c r="O326" s="492">
        <v>0.14399999999999999</v>
      </c>
      <c r="P326" s="490">
        <v>0</v>
      </c>
      <c r="Q326" s="493">
        <v>0</v>
      </c>
      <c r="R326" s="493">
        <v>0</v>
      </c>
      <c r="S326" s="494">
        <v>0</v>
      </c>
      <c r="T326" s="495">
        <v>0</v>
      </c>
      <c r="U326" s="495">
        <v>0</v>
      </c>
      <c r="V326" s="490">
        <v>0</v>
      </c>
      <c r="W326" s="495">
        <v>0</v>
      </c>
      <c r="X326" s="495">
        <v>0</v>
      </c>
      <c r="Y326" s="490">
        <v>0</v>
      </c>
      <c r="Z326" s="490">
        <v>0</v>
      </c>
      <c r="AA326" s="490">
        <v>0</v>
      </c>
      <c r="AB326" s="490">
        <v>0</v>
      </c>
      <c r="AC326" s="490">
        <v>8679.39</v>
      </c>
      <c r="AD326" s="490">
        <v>0</v>
      </c>
      <c r="AE326" s="490">
        <v>0</v>
      </c>
      <c r="AF326" s="339">
        <v>0</v>
      </c>
      <c r="AG326" s="339">
        <v>0</v>
      </c>
      <c r="AH326" s="496">
        <v>0</v>
      </c>
      <c r="AI326" s="490">
        <v>0</v>
      </c>
      <c r="AJ326" s="490">
        <v>0</v>
      </c>
      <c r="AK326" s="339">
        <v>0</v>
      </c>
      <c r="AL326" s="339">
        <v>0</v>
      </c>
      <c r="AM326" s="496">
        <v>0</v>
      </c>
      <c r="AN326" s="495">
        <v>0</v>
      </c>
      <c r="AO326" s="495">
        <v>0</v>
      </c>
      <c r="AP326" s="74"/>
      <c r="AQ326" s="303">
        <v>24352.129999999997</v>
      </c>
      <c r="AR326" s="303">
        <v>22354.25</v>
      </c>
      <c r="AS326" s="552">
        <v>14269.900000000001</v>
      </c>
      <c r="AY326" s="67">
        <f t="shared" si="71"/>
        <v>0</v>
      </c>
      <c r="BA326" t="s">
        <v>882</v>
      </c>
      <c r="BB326" t="s">
        <v>673</v>
      </c>
      <c r="BC326" s="11" t="s">
        <v>1179</v>
      </c>
      <c r="BD326" s="491">
        <v>3.7100000000000001E-2</v>
      </c>
      <c r="BE326" s="492">
        <v>0.14399999999999999</v>
      </c>
      <c r="BG326" s="510">
        <f t="shared" si="69"/>
        <v>0</v>
      </c>
      <c r="BH326" s="510">
        <f t="shared" si="70"/>
        <v>0</v>
      </c>
      <c r="BJ326" s="520">
        <f t="shared" si="72"/>
        <v>0</v>
      </c>
      <c r="BK326" s="520">
        <f t="shared" si="73"/>
        <v>0</v>
      </c>
      <c r="CB326" s="74"/>
      <c r="CC326" s="74"/>
      <c r="CD326" s="74"/>
      <c r="CE326" s="74"/>
      <c r="CF326" s="74"/>
    </row>
    <row r="327" spans="1:84">
      <c r="A327" s="283" t="s">
        <v>676</v>
      </c>
      <c r="B327" s="283" t="s">
        <v>675</v>
      </c>
      <c r="C327" s="283" t="str">
        <f t="shared" ref="C327:C337" si="77">CONCATENATE(B327," ",A327," SCHOOL DISTRICT")</f>
        <v>22200 WILBUR SCHOOL DISTRICT</v>
      </c>
      <c r="D327" s="490">
        <v>0</v>
      </c>
      <c r="E327" s="490">
        <v>0</v>
      </c>
      <c r="F327" s="490">
        <v>0</v>
      </c>
      <c r="G327" s="490">
        <v>348112.93</v>
      </c>
      <c r="H327" s="490">
        <v>52162.78</v>
      </c>
      <c r="I327" s="490">
        <v>0</v>
      </c>
      <c r="J327" s="490">
        <v>63582.75</v>
      </c>
      <c r="K327" s="490">
        <v>0</v>
      </c>
      <c r="L327" s="490">
        <v>0</v>
      </c>
      <c r="M327" s="490">
        <v>0</v>
      </c>
      <c r="N327" s="300">
        <v>3.32E-2</v>
      </c>
      <c r="O327" s="492">
        <v>0.25790000000000002</v>
      </c>
      <c r="P327" s="490">
        <v>0</v>
      </c>
      <c r="Q327" s="493">
        <v>0</v>
      </c>
      <c r="R327" s="493">
        <v>0</v>
      </c>
      <c r="S327" s="494">
        <v>0</v>
      </c>
      <c r="T327" s="495">
        <v>0</v>
      </c>
      <c r="U327" s="495">
        <v>0</v>
      </c>
      <c r="V327" s="490">
        <v>0</v>
      </c>
      <c r="W327" s="495">
        <v>0</v>
      </c>
      <c r="X327" s="495">
        <v>0</v>
      </c>
      <c r="Y327" s="490">
        <v>0</v>
      </c>
      <c r="Z327" s="490">
        <v>0</v>
      </c>
      <c r="AA327" s="490">
        <v>0</v>
      </c>
      <c r="AB327" s="490">
        <v>23285.55</v>
      </c>
      <c r="AC327" s="490">
        <v>134763.56</v>
      </c>
      <c r="AD327" s="490">
        <v>14.7</v>
      </c>
      <c r="AE327" s="490">
        <v>130020.98</v>
      </c>
      <c r="AF327" s="339">
        <v>8844.9646258503399</v>
      </c>
      <c r="AG327" s="339">
        <v>9167.5891156462585</v>
      </c>
      <c r="AH327" s="496">
        <v>322.62</v>
      </c>
      <c r="AI327" s="490">
        <v>2.5299999999999998</v>
      </c>
      <c r="AJ327" s="490">
        <v>21818.78</v>
      </c>
      <c r="AK327" s="339">
        <v>8624.02371541502</v>
      </c>
      <c r="AL327" s="339">
        <v>9203.774703557312</v>
      </c>
      <c r="AM327" s="496">
        <v>579.75</v>
      </c>
      <c r="AN327" s="495">
        <v>0</v>
      </c>
      <c r="AO327" s="495">
        <v>0</v>
      </c>
      <c r="AP327" s="74"/>
      <c r="AQ327" s="303">
        <v>328.61000000000058</v>
      </c>
      <c r="AR327" s="303">
        <v>27601.68</v>
      </c>
      <c r="AS327" s="552">
        <v>16535.560000000001</v>
      </c>
      <c r="AY327" s="67">
        <f t="shared" si="71"/>
        <v>0</v>
      </c>
      <c r="BA327" t="s">
        <v>848</v>
      </c>
      <c r="BB327" t="s">
        <v>675</v>
      </c>
      <c r="BC327" t="s">
        <v>1180</v>
      </c>
      <c r="BD327" s="491">
        <v>3.32E-2</v>
      </c>
      <c r="BE327" s="492">
        <v>0.25790000000000002</v>
      </c>
      <c r="BG327" s="510">
        <f t="shared" ref="BG327:BG337" si="78">+N327-BD327</f>
        <v>0</v>
      </c>
      <c r="BH327" s="510">
        <f t="shared" ref="BH327:BH337" si="79">+O327-BE327</f>
        <v>0</v>
      </c>
      <c r="BJ327" s="520">
        <f t="shared" si="72"/>
        <v>0</v>
      </c>
      <c r="BK327" s="520">
        <f t="shared" si="73"/>
        <v>0</v>
      </c>
      <c r="CB327" s="74"/>
      <c r="CC327" s="74"/>
      <c r="CD327" s="74"/>
      <c r="CE327" s="74"/>
      <c r="CF327" s="74"/>
    </row>
    <row r="328" spans="1:84">
      <c r="A328" s="283" t="s">
        <v>678</v>
      </c>
      <c r="B328" s="283" t="s">
        <v>677</v>
      </c>
      <c r="C328" s="283" t="str">
        <f t="shared" si="77"/>
        <v>25160 WILLAPA VALLEY SCHOOL DISTRICT</v>
      </c>
      <c r="D328" s="490">
        <v>0</v>
      </c>
      <c r="E328" s="490">
        <v>0</v>
      </c>
      <c r="F328" s="490">
        <v>0</v>
      </c>
      <c r="G328" s="490">
        <v>595569.69999999995</v>
      </c>
      <c r="H328" s="490">
        <v>96085.95</v>
      </c>
      <c r="I328" s="490">
        <v>0</v>
      </c>
      <c r="J328" s="490">
        <v>94750.78</v>
      </c>
      <c r="K328" s="490">
        <v>7859.79</v>
      </c>
      <c r="L328" s="490">
        <v>10077.66</v>
      </c>
      <c r="M328" s="490">
        <v>511640.24</v>
      </c>
      <c r="N328" s="300">
        <v>2.7099999999999999E-2</v>
      </c>
      <c r="O328" s="492">
        <v>0.1905</v>
      </c>
      <c r="P328" s="490">
        <v>0</v>
      </c>
      <c r="Q328" s="493">
        <v>0</v>
      </c>
      <c r="R328" s="493">
        <v>0</v>
      </c>
      <c r="S328" s="494">
        <v>0</v>
      </c>
      <c r="T328" s="495">
        <v>0</v>
      </c>
      <c r="U328" s="495">
        <v>0</v>
      </c>
      <c r="V328" s="490">
        <v>0</v>
      </c>
      <c r="W328" s="495">
        <v>0</v>
      </c>
      <c r="X328" s="495">
        <v>0</v>
      </c>
      <c r="Y328" s="490">
        <v>0</v>
      </c>
      <c r="Z328" s="490">
        <v>0</v>
      </c>
      <c r="AA328" s="490">
        <v>0</v>
      </c>
      <c r="AB328" s="490">
        <v>39034.410000000003</v>
      </c>
      <c r="AC328" s="490">
        <v>221384.6</v>
      </c>
      <c r="AD328" s="490">
        <v>22.92</v>
      </c>
      <c r="AE328" s="490">
        <v>202860.28</v>
      </c>
      <c r="AF328" s="339">
        <v>8850.7975567190224</v>
      </c>
      <c r="AG328" s="339">
        <v>9659.013961605584</v>
      </c>
      <c r="AH328" s="496">
        <v>808.22</v>
      </c>
      <c r="AI328" s="490">
        <v>4.25</v>
      </c>
      <c r="AJ328" s="490">
        <v>36656.870000000003</v>
      </c>
      <c r="AK328" s="339">
        <v>8625.145882352941</v>
      </c>
      <c r="AL328" s="339">
        <v>9184.5670588235298</v>
      </c>
      <c r="AM328" s="496">
        <v>559.41999999999996</v>
      </c>
      <c r="AN328" s="495">
        <v>0</v>
      </c>
      <c r="AO328" s="495">
        <v>0</v>
      </c>
      <c r="AP328" s="74"/>
      <c r="AQ328" s="303">
        <v>60564.54</v>
      </c>
      <c r="AR328" s="303">
        <v>41497.39</v>
      </c>
      <c r="AS328" s="552">
        <v>20921.64</v>
      </c>
      <c r="AY328" s="67">
        <f t="shared" ref="AY328:AY337" si="80">+BB328-B328</f>
        <v>0</v>
      </c>
      <c r="BA328" t="s">
        <v>845</v>
      </c>
      <c r="BB328" t="s">
        <v>677</v>
      </c>
      <c r="BC328" t="s">
        <v>1181</v>
      </c>
      <c r="BD328" s="491">
        <v>2.7099999999999999E-2</v>
      </c>
      <c r="BE328" s="492">
        <v>0.1905</v>
      </c>
      <c r="BG328" s="510">
        <f t="shared" si="78"/>
        <v>0</v>
      </c>
      <c r="BH328" s="510">
        <f t="shared" si="79"/>
        <v>0</v>
      </c>
      <c r="BJ328" s="520">
        <f t="shared" ref="BJ328:BJ337" si="81">+BG328-0</f>
        <v>0</v>
      </c>
      <c r="BK328" s="520">
        <f t="shared" ref="BK328:BK337" si="82">+BH328-0</f>
        <v>0</v>
      </c>
      <c r="CB328" s="74"/>
      <c r="CC328" s="74"/>
      <c r="CD328" s="74"/>
      <c r="CE328" s="74"/>
      <c r="CF328" s="74"/>
    </row>
    <row r="329" spans="1:84">
      <c r="A329" s="283" t="s">
        <v>680</v>
      </c>
      <c r="B329" s="283" t="s">
        <v>679</v>
      </c>
      <c r="C329" s="283" t="str">
        <f t="shared" si="77"/>
        <v>13167 WILSON CREEK SCHOOL DISTRICT</v>
      </c>
      <c r="D329" s="490">
        <v>0</v>
      </c>
      <c r="E329" s="490">
        <v>0</v>
      </c>
      <c r="F329" s="490">
        <v>0</v>
      </c>
      <c r="G329" s="490">
        <v>186235.92</v>
      </c>
      <c r="H329" s="490">
        <v>20974.59</v>
      </c>
      <c r="I329" s="490">
        <v>34878.58</v>
      </c>
      <c r="J329" s="490">
        <v>50943.88</v>
      </c>
      <c r="K329" s="490">
        <v>0</v>
      </c>
      <c r="L329" s="490">
        <v>0</v>
      </c>
      <c r="M329" s="490">
        <v>272619.53000000003</v>
      </c>
      <c r="N329" s="300">
        <v>6.3500000000000001E-2</v>
      </c>
      <c r="O329" s="492">
        <v>0.29139999999999999</v>
      </c>
      <c r="P329" s="490">
        <v>0</v>
      </c>
      <c r="Q329" s="493">
        <v>0</v>
      </c>
      <c r="R329" s="493">
        <v>0</v>
      </c>
      <c r="S329" s="494">
        <v>0</v>
      </c>
      <c r="T329" s="495">
        <v>0</v>
      </c>
      <c r="U329" s="495">
        <v>0</v>
      </c>
      <c r="V329" s="490">
        <v>0</v>
      </c>
      <c r="W329" s="495">
        <v>0</v>
      </c>
      <c r="X329" s="495">
        <v>0</v>
      </c>
      <c r="Y329" s="490">
        <v>130.86000000000001</v>
      </c>
      <c r="Z329" s="490">
        <v>468.64</v>
      </c>
      <c r="AA329" s="490">
        <v>0</v>
      </c>
      <c r="AB329" s="490">
        <v>37854</v>
      </c>
      <c r="AC329" s="490">
        <v>112652.75</v>
      </c>
      <c r="AD329" s="490">
        <v>11.7</v>
      </c>
      <c r="AE329" s="490">
        <v>104588.95</v>
      </c>
      <c r="AF329" s="339">
        <v>8939.2264957264961</v>
      </c>
      <c r="AG329" s="339">
        <v>9628.4401709401718</v>
      </c>
      <c r="AH329" s="496">
        <v>689.21</v>
      </c>
      <c r="AI329" s="490">
        <v>4.08</v>
      </c>
      <c r="AJ329" s="490">
        <v>35752.300000000003</v>
      </c>
      <c r="AK329" s="339">
        <v>8762.8186274509808</v>
      </c>
      <c r="AL329" s="339">
        <v>9277.9411764705874</v>
      </c>
      <c r="AM329" s="496">
        <v>515.12</v>
      </c>
      <c r="AN329" s="495">
        <v>290.43</v>
      </c>
      <c r="AO329" s="495">
        <v>0</v>
      </c>
      <c r="AP329" s="74"/>
      <c r="AQ329" s="303">
        <v>43832.380000000012</v>
      </c>
      <c r="AR329" s="303">
        <v>23304.02</v>
      </c>
      <c r="AS329" s="552">
        <v>13630.869999999999</v>
      </c>
      <c r="AY329" s="67">
        <f t="shared" si="80"/>
        <v>0</v>
      </c>
      <c r="BA329" t="s">
        <v>871</v>
      </c>
      <c r="BB329" t="s">
        <v>679</v>
      </c>
      <c r="BC329" t="s">
        <v>1182</v>
      </c>
      <c r="BD329" s="491">
        <v>6.3500000000000001E-2</v>
      </c>
      <c r="BE329" s="492">
        <v>0.29139999999999999</v>
      </c>
      <c r="BG329" s="510">
        <f t="shared" si="78"/>
        <v>0</v>
      </c>
      <c r="BH329" s="510">
        <f t="shared" si="79"/>
        <v>0</v>
      </c>
      <c r="BJ329" s="520">
        <f t="shared" si="81"/>
        <v>0</v>
      </c>
      <c r="BK329" s="520">
        <f t="shared" si="82"/>
        <v>0</v>
      </c>
      <c r="CB329" s="74"/>
      <c r="CC329" s="74"/>
      <c r="CD329" s="74"/>
      <c r="CE329" s="74"/>
      <c r="CF329" s="74"/>
    </row>
    <row r="330" spans="1:84">
      <c r="A330" s="283" t="s">
        <v>682</v>
      </c>
      <c r="B330" s="283" t="s">
        <v>681</v>
      </c>
      <c r="C330" s="283" t="str">
        <f t="shared" si="77"/>
        <v>21232 WINLOCK SCHOOL DISTRICT</v>
      </c>
      <c r="D330" s="490">
        <v>0</v>
      </c>
      <c r="E330" s="490">
        <v>201.82</v>
      </c>
      <c r="F330" s="490">
        <v>0</v>
      </c>
      <c r="G330" s="490">
        <v>1667547.29</v>
      </c>
      <c r="H330" s="490">
        <v>181333.9</v>
      </c>
      <c r="I330" s="490">
        <v>244361.45</v>
      </c>
      <c r="J330" s="490">
        <v>395607.66</v>
      </c>
      <c r="K330" s="490">
        <v>69886.38</v>
      </c>
      <c r="L330" s="490">
        <v>23252.38</v>
      </c>
      <c r="M330" s="490">
        <v>733157.68</v>
      </c>
      <c r="N330" s="300">
        <v>1.6899999999999998E-2</v>
      </c>
      <c r="O330" s="492">
        <v>0.20169999999999999</v>
      </c>
      <c r="P330" s="490">
        <v>0</v>
      </c>
      <c r="Q330" s="493">
        <v>0</v>
      </c>
      <c r="R330" s="493">
        <v>0</v>
      </c>
      <c r="S330" s="494">
        <v>0</v>
      </c>
      <c r="T330" s="495">
        <v>0</v>
      </c>
      <c r="U330" s="495">
        <v>0</v>
      </c>
      <c r="V330" s="490">
        <v>0</v>
      </c>
      <c r="W330" s="495">
        <v>0</v>
      </c>
      <c r="X330" s="495">
        <v>0</v>
      </c>
      <c r="Y330" s="490">
        <v>935</v>
      </c>
      <c r="Z330" s="490">
        <v>0</v>
      </c>
      <c r="AA330" s="490">
        <v>0</v>
      </c>
      <c r="AB330" s="490">
        <v>130280.25</v>
      </c>
      <c r="AC330" s="490">
        <v>551744.53</v>
      </c>
      <c r="AD330" s="490">
        <v>57.1</v>
      </c>
      <c r="AE330" s="490">
        <v>510116.15</v>
      </c>
      <c r="AF330" s="339">
        <v>8933.7329246935205</v>
      </c>
      <c r="AG330" s="339">
        <v>9662.7763572679505</v>
      </c>
      <c r="AH330" s="496">
        <v>729.04</v>
      </c>
      <c r="AI330" s="490">
        <v>14.07</v>
      </c>
      <c r="AJ330" s="490">
        <v>122775.57</v>
      </c>
      <c r="AK330" s="339">
        <v>8726.0533049040514</v>
      </c>
      <c r="AL330" s="339">
        <v>9259.4349680170581</v>
      </c>
      <c r="AM330" s="496">
        <v>533.38</v>
      </c>
      <c r="AN330" s="495">
        <v>0</v>
      </c>
      <c r="AO330" s="495">
        <v>0</v>
      </c>
      <c r="AP330" s="74"/>
      <c r="AQ330" s="303">
        <v>143913.71</v>
      </c>
      <c r="AR330" s="303">
        <v>86948.76</v>
      </c>
      <c r="AS330" s="552">
        <v>33266.58</v>
      </c>
      <c r="AY330" s="67">
        <f t="shared" si="80"/>
        <v>0</v>
      </c>
      <c r="BA330" t="s">
        <v>845</v>
      </c>
      <c r="BB330" t="s">
        <v>681</v>
      </c>
      <c r="BC330" t="s">
        <v>1183</v>
      </c>
      <c r="BD330" s="491">
        <v>1.6899999999999998E-2</v>
      </c>
      <c r="BE330" s="492">
        <v>0.20169999999999999</v>
      </c>
      <c r="BG330" s="510">
        <f t="shared" si="78"/>
        <v>0</v>
      </c>
      <c r="BH330" s="510">
        <f t="shared" si="79"/>
        <v>0</v>
      </c>
      <c r="BJ330" s="520">
        <f t="shared" si="81"/>
        <v>0</v>
      </c>
      <c r="BK330" s="520">
        <f t="shared" si="82"/>
        <v>0</v>
      </c>
      <c r="CB330" s="74"/>
      <c r="CC330" s="74"/>
      <c r="CD330" s="74"/>
      <c r="CE330" s="74"/>
      <c r="CF330" s="74"/>
    </row>
    <row r="331" spans="1:84">
      <c r="A331" s="283" t="s">
        <v>684</v>
      </c>
      <c r="B331" s="283" t="s">
        <v>683</v>
      </c>
      <c r="C331" s="283" t="str">
        <f t="shared" si="77"/>
        <v>14117 WISHKAH VALLEY SCHOOL DISTRICT</v>
      </c>
      <c r="D331" s="490">
        <v>0</v>
      </c>
      <c r="E331" s="490">
        <v>0</v>
      </c>
      <c r="F331" s="490">
        <v>0</v>
      </c>
      <c r="G331" s="490">
        <v>240849.48</v>
      </c>
      <c r="H331" s="490">
        <v>31309.41</v>
      </c>
      <c r="I331" s="490">
        <v>47375.37</v>
      </c>
      <c r="J331" s="490">
        <v>72933.16</v>
      </c>
      <c r="K331" s="490">
        <v>0</v>
      </c>
      <c r="L331" s="490">
        <v>0</v>
      </c>
      <c r="M331" s="490">
        <v>112134.14</v>
      </c>
      <c r="N331" s="300">
        <v>5.4199999999999998E-2</v>
      </c>
      <c r="O331" s="492">
        <v>0.31309999999999999</v>
      </c>
      <c r="P331" s="490">
        <v>0</v>
      </c>
      <c r="Q331" s="493">
        <v>0</v>
      </c>
      <c r="R331" s="493">
        <v>0</v>
      </c>
      <c r="S331" s="494">
        <v>0</v>
      </c>
      <c r="T331" s="495">
        <v>0</v>
      </c>
      <c r="U331" s="495">
        <v>0</v>
      </c>
      <c r="V331" s="490">
        <v>0</v>
      </c>
      <c r="W331" s="495">
        <v>0</v>
      </c>
      <c r="X331" s="495">
        <v>0</v>
      </c>
      <c r="Y331" s="490">
        <v>202.43</v>
      </c>
      <c r="Z331" s="490">
        <v>0</v>
      </c>
      <c r="AA331" s="490">
        <v>0</v>
      </c>
      <c r="AB331" s="490">
        <v>43995.16</v>
      </c>
      <c r="AC331" s="490">
        <v>124476.02</v>
      </c>
      <c r="AD331" s="490">
        <v>13.22</v>
      </c>
      <c r="AE331" s="490">
        <v>116985.87</v>
      </c>
      <c r="AF331" s="339">
        <v>8849.1580937972758</v>
      </c>
      <c r="AG331" s="339">
        <v>9415.7352496217845</v>
      </c>
      <c r="AH331" s="496">
        <v>566.58000000000004</v>
      </c>
      <c r="AI331" s="490">
        <v>4.8</v>
      </c>
      <c r="AJ331" s="490">
        <v>41442.9</v>
      </c>
      <c r="AK331" s="339">
        <v>8633.9375</v>
      </c>
      <c r="AL331" s="339">
        <v>9165.6583333333347</v>
      </c>
      <c r="AM331" s="496">
        <v>531.72</v>
      </c>
      <c r="AN331" s="495">
        <v>4366.51</v>
      </c>
      <c r="AO331" s="495">
        <v>0</v>
      </c>
      <c r="AP331" s="74"/>
      <c r="AQ331" s="303">
        <v>0</v>
      </c>
      <c r="AR331" s="303">
        <v>27649.56</v>
      </c>
      <c r="AS331" s="552">
        <v>14560.369999999999</v>
      </c>
      <c r="AY331" s="67">
        <f t="shared" si="80"/>
        <v>0</v>
      </c>
      <c r="BA331" t="s">
        <v>845</v>
      </c>
      <c r="BB331" t="s">
        <v>683</v>
      </c>
      <c r="BC331" t="s">
        <v>1184</v>
      </c>
      <c r="BD331" s="491">
        <v>5.4199999999999998E-2</v>
      </c>
      <c r="BE331" s="492">
        <v>0.31309999999999999</v>
      </c>
      <c r="BG331" s="510">
        <f t="shared" si="78"/>
        <v>0</v>
      </c>
      <c r="BH331" s="510">
        <f t="shared" si="79"/>
        <v>0</v>
      </c>
      <c r="BJ331" s="520">
        <f t="shared" si="81"/>
        <v>0</v>
      </c>
      <c r="BK331" s="520">
        <f t="shared" si="82"/>
        <v>0</v>
      </c>
      <c r="CB331" s="74"/>
      <c r="CC331" s="74"/>
      <c r="CD331" s="74"/>
      <c r="CE331" s="74"/>
      <c r="CF331" s="74"/>
    </row>
    <row r="332" spans="1:84">
      <c r="A332" s="283" t="s">
        <v>686</v>
      </c>
      <c r="B332" s="283" t="s">
        <v>685</v>
      </c>
      <c r="C332" s="283" t="str">
        <f t="shared" si="77"/>
        <v>20094 WISHRAM SCHOOL DISTRICT</v>
      </c>
      <c r="D332" s="490">
        <v>0</v>
      </c>
      <c r="E332" s="490">
        <v>1747.4</v>
      </c>
      <c r="F332" s="490">
        <v>0</v>
      </c>
      <c r="G332" s="490">
        <v>0</v>
      </c>
      <c r="H332" s="490">
        <v>0</v>
      </c>
      <c r="I332" s="490">
        <v>21090.36</v>
      </c>
      <c r="J332" s="490">
        <v>41245.67</v>
      </c>
      <c r="K332" s="490">
        <v>0</v>
      </c>
      <c r="L332" s="490">
        <v>0</v>
      </c>
      <c r="M332" s="490">
        <v>123240.81</v>
      </c>
      <c r="N332" s="300">
        <v>3.32E-2</v>
      </c>
      <c r="O332" s="492">
        <v>0.4</v>
      </c>
      <c r="P332" s="490">
        <v>0</v>
      </c>
      <c r="Q332" s="493">
        <v>0</v>
      </c>
      <c r="R332" s="493">
        <v>0</v>
      </c>
      <c r="S332" s="494">
        <v>0</v>
      </c>
      <c r="T332" s="495">
        <v>0</v>
      </c>
      <c r="U332" s="495">
        <v>0</v>
      </c>
      <c r="V332" s="490">
        <v>0</v>
      </c>
      <c r="W332" s="495">
        <v>0</v>
      </c>
      <c r="X332" s="495">
        <v>0</v>
      </c>
      <c r="Y332" s="490">
        <v>109.61</v>
      </c>
      <c r="Z332" s="490">
        <v>0</v>
      </c>
      <c r="AA332" s="490">
        <v>0</v>
      </c>
      <c r="AB332" s="490">
        <v>0</v>
      </c>
      <c r="AC332" s="490">
        <v>73467.44</v>
      </c>
      <c r="AD332" s="490">
        <v>8.01</v>
      </c>
      <c r="AE332" s="490">
        <v>70806.53</v>
      </c>
      <c r="AF332" s="339">
        <v>8839.7665418227225</v>
      </c>
      <c r="AG332" s="339">
        <v>9171.9650436953816</v>
      </c>
      <c r="AH332" s="496">
        <v>332.2</v>
      </c>
      <c r="AI332" s="490">
        <v>0</v>
      </c>
      <c r="AJ332" s="490">
        <v>0</v>
      </c>
      <c r="AK332" s="339">
        <v>0</v>
      </c>
      <c r="AL332" s="339">
        <v>0</v>
      </c>
      <c r="AM332" s="496">
        <v>0</v>
      </c>
      <c r="AN332" s="495">
        <v>0</v>
      </c>
      <c r="AO332" s="495">
        <v>0</v>
      </c>
      <c r="AP332" s="74"/>
      <c r="AQ332" s="303">
        <v>7664.4699999999975</v>
      </c>
      <c r="AR332" s="303">
        <v>21064.83</v>
      </c>
      <c r="AS332" s="552">
        <v>11917.1</v>
      </c>
      <c r="AY332" s="67">
        <f t="shared" si="80"/>
        <v>0</v>
      </c>
      <c r="BA332" t="s">
        <v>859</v>
      </c>
      <c r="BB332" t="s">
        <v>685</v>
      </c>
      <c r="BC332" t="s">
        <v>1185</v>
      </c>
      <c r="BD332" s="491">
        <v>3.32E-2</v>
      </c>
      <c r="BE332" s="492">
        <v>0.4</v>
      </c>
      <c r="BG332" s="510">
        <f t="shared" si="78"/>
        <v>0</v>
      </c>
      <c r="BH332" s="510">
        <f t="shared" si="79"/>
        <v>0</v>
      </c>
      <c r="BJ332" s="520">
        <f t="shared" si="81"/>
        <v>0</v>
      </c>
      <c r="BK332" s="520">
        <f t="shared" si="82"/>
        <v>0</v>
      </c>
      <c r="CB332" s="74"/>
      <c r="CC332" s="74"/>
      <c r="CD332" s="74"/>
      <c r="CE332" s="74"/>
      <c r="CF332" s="74"/>
    </row>
    <row r="333" spans="1:84">
      <c r="A333" s="283" t="s">
        <v>688</v>
      </c>
      <c r="B333" s="283" t="s">
        <v>687</v>
      </c>
      <c r="C333" s="283" t="str">
        <f t="shared" si="77"/>
        <v>08404 WOODLAND SCHOOL DISTRICT</v>
      </c>
      <c r="D333" s="490">
        <v>0</v>
      </c>
      <c r="E333" s="490">
        <v>0</v>
      </c>
      <c r="F333" s="490">
        <v>0</v>
      </c>
      <c r="G333" s="490">
        <v>4798007.87</v>
      </c>
      <c r="H333" s="490">
        <v>763526.22</v>
      </c>
      <c r="I333" s="490">
        <v>123009.79</v>
      </c>
      <c r="J333" s="490">
        <v>674475.91</v>
      </c>
      <c r="K333" s="490">
        <v>313779.34999999998</v>
      </c>
      <c r="L333" s="490">
        <v>70335.820000000007</v>
      </c>
      <c r="M333" s="490">
        <v>7553903.0999999996</v>
      </c>
      <c r="N333" s="300">
        <v>1.6400000000000001E-2</v>
      </c>
      <c r="O333" s="492">
        <v>0.128</v>
      </c>
      <c r="P333" s="490">
        <v>0</v>
      </c>
      <c r="Q333" s="493">
        <v>0</v>
      </c>
      <c r="R333" s="493">
        <v>0</v>
      </c>
      <c r="S333" s="494">
        <v>0</v>
      </c>
      <c r="T333" s="495">
        <v>0</v>
      </c>
      <c r="U333" s="495">
        <v>0</v>
      </c>
      <c r="V333" s="490">
        <v>0</v>
      </c>
      <c r="W333" s="495">
        <v>0</v>
      </c>
      <c r="X333" s="495">
        <v>0</v>
      </c>
      <c r="Y333" s="490">
        <v>2703.23</v>
      </c>
      <c r="Z333" s="490">
        <v>0</v>
      </c>
      <c r="AA333" s="490">
        <v>0</v>
      </c>
      <c r="AB333" s="490">
        <v>35008.51</v>
      </c>
      <c r="AC333" s="490">
        <v>636235.72</v>
      </c>
      <c r="AD333" s="490">
        <v>67.41</v>
      </c>
      <c r="AE333" s="490">
        <v>596413.34</v>
      </c>
      <c r="AF333" s="339">
        <v>8847.5499184097316</v>
      </c>
      <c r="AG333" s="339">
        <v>9438.298768728675</v>
      </c>
      <c r="AH333" s="496">
        <v>590.75</v>
      </c>
      <c r="AI333" s="490">
        <v>3.82</v>
      </c>
      <c r="AJ333" s="490">
        <v>32932.35</v>
      </c>
      <c r="AK333" s="339">
        <v>8621.034031413612</v>
      </c>
      <c r="AL333" s="339">
        <v>9164.5314136125671</v>
      </c>
      <c r="AM333" s="496">
        <v>543.5</v>
      </c>
      <c r="AN333" s="495">
        <v>657.4</v>
      </c>
      <c r="AO333" s="495">
        <v>0</v>
      </c>
      <c r="AP333" s="74"/>
      <c r="AQ333" s="303">
        <v>0</v>
      </c>
      <c r="AR333" s="303">
        <v>232695.49</v>
      </c>
      <c r="AS333" s="552">
        <v>80990.649999999994</v>
      </c>
      <c r="AY333" s="67">
        <f t="shared" si="80"/>
        <v>0</v>
      </c>
      <c r="BA333" t="s">
        <v>859</v>
      </c>
      <c r="BB333" t="s">
        <v>687</v>
      </c>
      <c r="BC333" t="s">
        <v>1186</v>
      </c>
      <c r="BD333" s="491">
        <v>1.6400000000000001E-2</v>
      </c>
      <c r="BE333" s="492">
        <v>0.128</v>
      </c>
      <c r="BG333" s="510">
        <f t="shared" si="78"/>
        <v>0</v>
      </c>
      <c r="BH333" s="510">
        <f t="shared" si="79"/>
        <v>0</v>
      </c>
      <c r="BJ333" s="520">
        <f t="shared" si="81"/>
        <v>0</v>
      </c>
      <c r="BK333" s="520">
        <f t="shared" si="82"/>
        <v>0</v>
      </c>
      <c r="CB333" s="74"/>
      <c r="CC333" s="74"/>
      <c r="CD333" s="74"/>
      <c r="CE333" s="74"/>
      <c r="CF333" s="74"/>
    </row>
    <row r="334" spans="1:84">
      <c r="A334" s="283" t="s">
        <v>1187</v>
      </c>
      <c r="B334" s="283" t="s">
        <v>689</v>
      </c>
      <c r="C334" s="283" t="str">
        <f t="shared" si="77"/>
        <v>39901 YAKAMA SCHOOL DISTRICT</v>
      </c>
      <c r="D334" s="490">
        <v>0</v>
      </c>
      <c r="E334" s="490">
        <v>0</v>
      </c>
      <c r="F334" s="490">
        <v>0</v>
      </c>
      <c r="G334" s="490">
        <v>210919.25</v>
      </c>
      <c r="H334" s="490">
        <v>0</v>
      </c>
      <c r="I334" s="490">
        <v>0</v>
      </c>
      <c r="J334" s="490">
        <v>0</v>
      </c>
      <c r="K334" s="490">
        <v>0</v>
      </c>
      <c r="L334" s="490">
        <v>0</v>
      </c>
      <c r="M334" s="490">
        <v>0</v>
      </c>
      <c r="N334" s="300">
        <v>3.7100000000000001E-2</v>
      </c>
      <c r="O334" s="492">
        <v>0.14399999999999999</v>
      </c>
      <c r="P334" s="490">
        <v>0</v>
      </c>
      <c r="Q334" s="493">
        <v>0</v>
      </c>
      <c r="R334" s="493">
        <v>0</v>
      </c>
      <c r="S334" s="494">
        <v>0</v>
      </c>
      <c r="T334" s="495">
        <v>0</v>
      </c>
      <c r="U334" s="495">
        <v>0</v>
      </c>
      <c r="V334" s="490">
        <v>0</v>
      </c>
      <c r="W334" s="495">
        <v>0</v>
      </c>
      <c r="X334" s="495">
        <v>0</v>
      </c>
      <c r="Y334" s="490">
        <v>0</v>
      </c>
      <c r="Z334" s="490">
        <v>0</v>
      </c>
      <c r="AA334" s="490">
        <v>0</v>
      </c>
      <c r="AB334" s="490">
        <v>0</v>
      </c>
      <c r="AC334" s="490">
        <v>0</v>
      </c>
      <c r="AD334" s="490">
        <v>0</v>
      </c>
      <c r="AE334" s="490">
        <v>0</v>
      </c>
      <c r="AF334" s="339">
        <v>0</v>
      </c>
      <c r="AG334" s="339">
        <v>0</v>
      </c>
      <c r="AH334" s="496">
        <v>0</v>
      </c>
      <c r="AI334" s="490">
        <v>0</v>
      </c>
      <c r="AJ334" s="490">
        <v>0</v>
      </c>
      <c r="AK334" s="339">
        <v>0</v>
      </c>
      <c r="AL334" s="339">
        <v>0</v>
      </c>
      <c r="AM334" s="496">
        <v>0</v>
      </c>
      <c r="AN334" s="495">
        <v>0</v>
      </c>
      <c r="AO334" s="495">
        <v>0</v>
      </c>
      <c r="AP334" s="74"/>
      <c r="AQ334" s="303">
        <v>67619.42</v>
      </c>
      <c r="AR334" s="303">
        <v>21062.93</v>
      </c>
      <c r="AS334" s="552"/>
      <c r="AY334" s="67">
        <f t="shared" si="80"/>
        <v>0</v>
      </c>
      <c r="BA334" t="s">
        <v>882</v>
      </c>
      <c r="BB334" t="s">
        <v>689</v>
      </c>
      <c r="BC334" s="11" t="s">
        <v>1188</v>
      </c>
      <c r="BD334" s="491">
        <v>3.7100000000000001E-2</v>
      </c>
      <c r="BE334" s="492">
        <v>0.14399999999999999</v>
      </c>
      <c r="BG334" s="510">
        <f t="shared" si="78"/>
        <v>0</v>
      </c>
      <c r="BH334" s="510">
        <f t="shared" si="79"/>
        <v>0</v>
      </c>
      <c r="BJ334" s="520">
        <f t="shared" si="81"/>
        <v>0</v>
      </c>
      <c r="BK334" s="520">
        <f t="shared" si="82"/>
        <v>0</v>
      </c>
      <c r="CB334" s="74"/>
      <c r="CC334" s="74"/>
      <c r="CD334" s="74"/>
      <c r="CE334" s="74"/>
      <c r="CF334" s="74"/>
    </row>
    <row r="335" spans="1:84">
      <c r="A335" s="283" t="s">
        <v>692</v>
      </c>
      <c r="B335" s="283" t="s">
        <v>691</v>
      </c>
      <c r="C335" s="283" t="str">
        <f t="shared" si="77"/>
        <v>39007 YAKIMA SCHOOL DISTRICT</v>
      </c>
      <c r="D335" s="490">
        <v>0</v>
      </c>
      <c r="E335" s="490">
        <v>670729.76</v>
      </c>
      <c r="F335" s="490">
        <v>166757.94</v>
      </c>
      <c r="G335" s="490">
        <v>25552657.34</v>
      </c>
      <c r="H335" s="490">
        <v>5837240.5599999996</v>
      </c>
      <c r="I335" s="490">
        <v>4509388.72</v>
      </c>
      <c r="J335" s="490">
        <v>8683617.3599999994</v>
      </c>
      <c r="K335" s="490">
        <v>7677998.6900000004</v>
      </c>
      <c r="L335" s="490">
        <v>458793.2</v>
      </c>
      <c r="M335" s="490">
        <v>4340730.41</v>
      </c>
      <c r="N335" s="300">
        <v>2.01E-2</v>
      </c>
      <c r="O335" s="492">
        <v>0.1226</v>
      </c>
      <c r="P335" s="490">
        <v>0</v>
      </c>
      <c r="Q335" s="493">
        <v>0</v>
      </c>
      <c r="R335" s="493">
        <v>0</v>
      </c>
      <c r="S335" s="494">
        <v>357680.85000000003</v>
      </c>
      <c r="T335" s="495">
        <v>0</v>
      </c>
      <c r="U335" s="495">
        <v>12501.99</v>
      </c>
      <c r="V335" s="490">
        <v>0</v>
      </c>
      <c r="W335" s="495">
        <v>0</v>
      </c>
      <c r="X335" s="495">
        <v>0</v>
      </c>
      <c r="Y335" s="490">
        <v>0</v>
      </c>
      <c r="Z335" s="490">
        <v>0</v>
      </c>
      <c r="AA335" s="490">
        <v>15.4</v>
      </c>
      <c r="AB335" s="490">
        <v>2012547.99</v>
      </c>
      <c r="AC335" s="490">
        <v>9063308.0299999993</v>
      </c>
      <c r="AD335" s="490">
        <v>966.06</v>
      </c>
      <c r="AE335" s="490">
        <v>8547466.0899999999</v>
      </c>
      <c r="AF335" s="339">
        <v>8847.7590315301331</v>
      </c>
      <c r="AG335" s="339">
        <v>9381.7237335155169</v>
      </c>
      <c r="AH335" s="496">
        <v>533.96</v>
      </c>
      <c r="AI335" s="490">
        <v>219.5</v>
      </c>
      <c r="AJ335" s="490">
        <v>1894374.97</v>
      </c>
      <c r="AK335" s="339">
        <v>8630.4098861047842</v>
      </c>
      <c r="AL335" s="339">
        <v>9168.7835535307513</v>
      </c>
      <c r="AM335" s="496">
        <v>538.37</v>
      </c>
      <c r="AN335" s="495">
        <v>0</v>
      </c>
      <c r="AO335" s="495">
        <v>0</v>
      </c>
      <c r="AP335" s="74"/>
      <c r="AQ335" s="303">
        <v>1637565.6400000001</v>
      </c>
      <c r="AR335" s="303">
        <v>1746286.7999999998</v>
      </c>
      <c r="AS335" s="552">
        <v>447301.26999999996</v>
      </c>
      <c r="AY335" s="67">
        <f t="shared" si="80"/>
        <v>0</v>
      </c>
      <c r="BA335" t="s">
        <v>865</v>
      </c>
      <c r="BB335" t="s">
        <v>691</v>
      </c>
      <c r="BC335" t="s">
        <v>1189</v>
      </c>
      <c r="BD335" s="491">
        <v>2.01E-2</v>
      </c>
      <c r="BE335" s="492">
        <v>0.1226</v>
      </c>
      <c r="BG335" s="510">
        <f t="shared" si="78"/>
        <v>0</v>
      </c>
      <c r="BH335" s="510">
        <f t="shared" si="79"/>
        <v>0</v>
      </c>
      <c r="BJ335" s="520">
        <f t="shared" si="81"/>
        <v>0</v>
      </c>
      <c r="BK335" s="520">
        <f t="shared" si="82"/>
        <v>0</v>
      </c>
      <c r="CB335" s="74"/>
      <c r="CC335" s="74"/>
      <c r="CD335" s="74"/>
      <c r="CE335" s="74"/>
      <c r="CF335" s="74"/>
    </row>
    <row r="336" spans="1:84">
      <c r="A336" s="283" t="s">
        <v>694</v>
      </c>
      <c r="B336" s="283" t="s">
        <v>693</v>
      </c>
      <c r="C336" s="283" t="str">
        <f t="shared" si="77"/>
        <v>34002 YELM SCHOOL DISTRICT</v>
      </c>
      <c r="D336" s="490">
        <v>0</v>
      </c>
      <c r="E336" s="490">
        <v>159224.57999999999</v>
      </c>
      <c r="F336" s="490">
        <v>13379.04</v>
      </c>
      <c r="G336" s="490">
        <v>11223961.91</v>
      </c>
      <c r="H336" s="490">
        <v>1892593.82</v>
      </c>
      <c r="I336" s="490">
        <v>208690.27</v>
      </c>
      <c r="J336" s="490">
        <v>1809231.99</v>
      </c>
      <c r="K336" s="490">
        <v>351325.25</v>
      </c>
      <c r="L336" s="490">
        <v>178190.23</v>
      </c>
      <c r="M336" s="490">
        <v>4855792.08</v>
      </c>
      <c r="N336" s="300">
        <v>3.2399999999999998E-2</v>
      </c>
      <c r="O336" s="492">
        <v>0.14369999999999999</v>
      </c>
      <c r="P336" s="490">
        <v>0</v>
      </c>
      <c r="Q336" s="493">
        <v>0</v>
      </c>
      <c r="R336" s="493">
        <v>0</v>
      </c>
      <c r="S336" s="494">
        <v>0</v>
      </c>
      <c r="T336" s="495">
        <v>0</v>
      </c>
      <c r="U336" s="495">
        <v>0</v>
      </c>
      <c r="V336" s="490">
        <v>0</v>
      </c>
      <c r="W336" s="495">
        <v>0</v>
      </c>
      <c r="X336" s="495">
        <v>0</v>
      </c>
      <c r="Y336" s="490">
        <v>2001.98</v>
      </c>
      <c r="Z336" s="490">
        <v>0</v>
      </c>
      <c r="AA336" s="490">
        <v>314089.2</v>
      </c>
      <c r="AB336" s="490">
        <v>288319.35999999999</v>
      </c>
      <c r="AC336" s="490">
        <v>4473439.87</v>
      </c>
      <c r="AD336" s="490">
        <v>455.39</v>
      </c>
      <c r="AE336" s="490">
        <v>4195251.1399999997</v>
      </c>
      <c r="AF336" s="339">
        <v>9212.435802279364</v>
      </c>
      <c r="AG336" s="339">
        <v>9823.3159928852201</v>
      </c>
      <c r="AH336" s="496">
        <v>610.88</v>
      </c>
      <c r="AI336" s="490">
        <v>30.18</v>
      </c>
      <c r="AJ336" s="490">
        <v>271517.82</v>
      </c>
      <c r="AK336" s="339">
        <v>8996.6143141153079</v>
      </c>
      <c r="AL336" s="339">
        <v>9553.3253810470505</v>
      </c>
      <c r="AM336" s="496">
        <v>556.71</v>
      </c>
      <c r="AN336" s="495">
        <v>1298.67</v>
      </c>
      <c r="AO336" s="495">
        <v>8499.8700000000008</v>
      </c>
      <c r="AP336" s="74"/>
      <c r="AQ336" s="303">
        <v>108296.5</v>
      </c>
      <c r="AR336" s="303">
        <v>606454.88</v>
      </c>
      <c r="AS336" s="552">
        <v>176235.47999999998</v>
      </c>
      <c r="AY336" s="67">
        <f t="shared" si="80"/>
        <v>0</v>
      </c>
      <c r="BA336" t="s">
        <v>845</v>
      </c>
      <c r="BB336" t="s">
        <v>693</v>
      </c>
      <c r="BC336" t="s">
        <v>1190</v>
      </c>
      <c r="BD336" s="491">
        <v>3.2399999999999998E-2</v>
      </c>
      <c r="BE336" s="492">
        <v>0.14369999999999999</v>
      </c>
      <c r="BG336" s="510">
        <f t="shared" si="78"/>
        <v>0</v>
      </c>
      <c r="BH336" s="510">
        <f t="shared" si="79"/>
        <v>0</v>
      </c>
      <c r="BJ336" s="520">
        <f t="shared" si="81"/>
        <v>0</v>
      </c>
      <c r="BK336" s="520">
        <f t="shared" si="82"/>
        <v>0</v>
      </c>
      <c r="CB336" s="74"/>
      <c r="CC336" s="74"/>
      <c r="CD336" s="74"/>
      <c r="CE336" s="74"/>
      <c r="CF336" s="74"/>
    </row>
    <row r="337" spans="1:84" ht="15" thickBot="1">
      <c r="A337" s="283" t="s">
        <v>696</v>
      </c>
      <c r="B337" s="283" t="s">
        <v>695</v>
      </c>
      <c r="C337" s="283" t="str">
        <f t="shared" si="77"/>
        <v>39205 ZILLAH SCHOOL DISTRICT</v>
      </c>
      <c r="D337" s="490">
        <v>0</v>
      </c>
      <c r="E337" s="490">
        <v>0</v>
      </c>
      <c r="F337" s="490">
        <v>6326.44</v>
      </c>
      <c r="G337" s="490">
        <v>1685787.92</v>
      </c>
      <c r="H337" s="490">
        <v>210293.52</v>
      </c>
      <c r="I337" s="490">
        <v>394171.53</v>
      </c>
      <c r="J337" s="490">
        <v>584088.64</v>
      </c>
      <c r="K337" s="490">
        <v>286525.24</v>
      </c>
      <c r="L337" s="490">
        <v>38544.449999999997</v>
      </c>
      <c r="M337" s="490">
        <v>590659.44999999995</v>
      </c>
      <c r="N337" s="300">
        <v>7.7799999999999994E-2</v>
      </c>
      <c r="O337" s="492">
        <v>0.24149999999999999</v>
      </c>
      <c r="P337" s="490">
        <v>0</v>
      </c>
      <c r="Q337" s="493">
        <v>0</v>
      </c>
      <c r="R337" s="493">
        <v>0</v>
      </c>
      <c r="S337" s="494">
        <v>0</v>
      </c>
      <c r="T337" s="495">
        <v>0</v>
      </c>
      <c r="U337" s="495">
        <v>0</v>
      </c>
      <c r="V337" s="490">
        <v>0</v>
      </c>
      <c r="W337" s="495">
        <v>0</v>
      </c>
      <c r="X337" s="495">
        <v>0</v>
      </c>
      <c r="Y337" s="490">
        <v>1503.16</v>
      </c>
      <c r="Z337" s="490">
        <v>0</v>
      </c>
      <c r="AA337" s="490">
        <v>43433.87</v>
      </c>
      <c r="AB337" s="490">
        <v>0</v>
      </c>
      <c r="AC337" s="490">
        <v>690590.09</v>
      </c>
      <c r="AD337" s="490">
        <v>73.53</v>
      </c>
      <c r="AE337" s="490">
        <v>650658.26</v>
      </c>
      <c r="AF337" s="339">
        <v>8848.8815449476406</v>
      </c>
      <c r="AG337" s="339">
        <v>9391.9500883992914</v>
      </c>
      <c r="AH337" s="496">
        <v>543.07000000000005</v>
      </c>
      <c r="AI337" s="490">
        <v>0</v>
      </c>
      <c r="AJ337" s="490">
        <v>0</v>
      </c>
      <c r="AK337" s="339">
        <v>0</v>
      </c>
      <c r="AL337" s="339">
        <v>0</v>
      </c>
      <c r="AM337" s="496">
        <v>0</v>
      </c>
      <c r="AN337" s="495">
        <v>100</v>
      </c>
      <c r="AO337" s="495">
        <v>0</v>
      </c>
      <c r="AP337" s="74"/>
      <c r="AQ337" s="303">
        <v>0</v>
      </c>
      <c r="AR337" s="303">
        <v>136462.32</v>
      </c>
      <c r="AS337" s="554">
        <v>46889.58</v>
      </c>
      <c r="AY337" s="67">
        <f t="shared" si="80"/>
        <v>0</v>
      </c>
      <c r="BA337" t="s">
        <v>865</v>
      </c>
      <c r="BB337" t="s">
        <v>695</v>
      </c>
      <c r="BC337" t="s">
        <v>1191</v>
      </c>
      <c r="BD337" s="491">
        <v>7.7799999999999994E-2</v>
      </c>
      <c r="BE337" s="492">
        <v>0.24149999999999999</v>
      </c>
      <c r="BG337" s="510">
        <f t="shared" si="78"/>
        <v>0</v>
      </c>
      <c r="BH337" s="510">
        <f t="shared" si="79"/>
        <v>0</v>
      </c>
      <c r="BJ337" s="520">
        <f t="shared" si="81"/>
        <v>0</v>
      </c>
      <c r="BK337" s="520">
        <f t="shared" si="82"/>
        <v>0</v>
      </c>
      <c r="CB337" s="74"/>
      <c r="CC337" s="74"/>
      <c r="CD337" s="74"/>
      <c r="CE337" s="74"/>
      <c r="CF337" s="74"/>
    </row>
    <row r="338" spans="1:84" ht="15" thickTop="1">
      <c r="A338" s="74">
        <f>COUNTA(DISNAME)</f>
        <v>331</v>
      </c>
      <c r="B338" s="74"/>
      <c r="C338" s="74"/>
      <c r="D338" s="349"/>
      <c r="E338" s="349"/>
      <c r="F338" s="349"/>
      <c r="G338" s="349"/>
      <c r="H338" s="349"/>
      <c r="I338" s="349"/>
      <c r="J338" s="349"/>
      <c r="K338" s="349"/>
      <c r="L338" s="349"/>
      <c r="M338" s="349"/>
      <c r="N338" s="74"/>
      <c r="O338" s="74"/>
      <c r="P338" s="349"/>
      <c r="Q338" s="349"/>
      <c r="R338" s="349"/>
      <c r="S338" s="349"/>
      <c r="T338" s="349"/>
      <c r="U338" s="349"/>
      <c r="V338" s="349"/>
      <c r="W338" s="350"/>
      <c r="X338" s="350"/>
      <c r="Y338" s="349"/>
      <c r="Z338" s="349"/>
      <c r="AA338" s="349"/>
      <c r="AB338" s="349"/>
      <c r="AC338" s="349"/>
      <c r="AD338" s="349"/>
      <c r="AE338" s="351"/>
      <c r="AF338" s="351"/>
      <c r="AG338" s="351"/>
      <c r="AH338" s="349"/>
      <c r="AI338" s="349"/>
      <c r="AJ338" s="351"/>
      <c r="AK338" s="351"/>
      <c r="AL338" s="351"/>
      <c r="AM338" s="351"/>
      <c r="AN338" s="349"/>
      <c r="AO338" s="349"/>
      <c r="CB338" s="74"/>
      <c r="CC338" s="74"/>
      <c r="CD338" s="74"/>
      <c r="CE338" s="74"/>
      <c r="CF338" s="74"/>
    </row>
    <row r="339" spans="1:84">
      <c r="BF339" s="74"/>
      <c r="BG339" s="74"/>
      <c r="BH339" s="74"/>
      <c r="BI339" s="74"/>
      <c r="BJ339" s="74"/>
      <c r="BK339" s="352"/>
      <c r="BL339" s="74"/>
      <c r="BM339" s="74"/>
      <c r="BN339" s="74"/>
      <c r="BO339" s="74"/>
      <c r="BP339" s="74"/>
      <c r="BQ339" s="74"/>
      <c r="BR339" s="74"/>
      <c r="BS339" s="74"/>
      <c r="BT339" s="74"/>
      <c r="BU339" s="74"/>
      <c r="BV339" s="74"/>
      <c r="BW339" s="74"/>
      <c r="BX339" s="74"/>
      <c r="BY339" s="74"/>
      <c r="BZ339" s="74"/>
      <c r="CE339" s="74"/>
      <c r="CF339" s="74"/>
    </row>
  </sheetData>
  <sortState xmlns:xlrd2="http://schemas.microsoft.com/office/spreadsheetml/2017/richdata2" ref="BA7:BE337">
    <sortCondition ref="BC7:BC337"/>
  </sortState>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33"/>
  </sheetPr>
  <dimension ref="A1:K349"/>
  <sheetViews>
    <sheetView workbookViewId="0">
      <pane ySplit="6" topLeftCell="A7" activePane="bottomLeft" state="frozen"/>
      <selection pane="bottomLeft" activeCell="E7" sqref="E7"/>
    </sheetView>
  </sheetViews>
  <sheetFormatPr defaultColWidth="9.140625" defaultRowHeight="14.45"/>
  <cols>
    <col min="1" max="1" width="8.42578125" customWidth="1"/>
    <col min="2" max="2" width="13.42578125" customWidth="1"/>
    <col min="3" max="3" width="25.5703125" bestFit="1" customWidth="1"/>
    <col min="4" max="4" width="9.7109375" bestFit="1" customWidth="1"/>
    <col min="6" max="6" width="11.7109375" bestFit="1" customWidth="1"/>
    <col min="7" max="7" width="12" bestFit="1" customWidth="1"/>
    <col min="8" max="8" width="2.28515625" customWidth="1"/>
    <col min="10" max="11" width="9.28515625" bestFit="1" customWidth="1"/>
  </cols>
  <sheetData>
    <row r="1" spans="1:11" ht="15" thickBot="1">
      <c r="A1" s="167" t="s">
        <v>1192</v>
      </c>
      <c r="B1" s="212" t="s">
        <v>1193</v>
      </c>
      <c r="C1" s="213"/>
      <c r="D1" s="214"/>
      <c r="E1" s="215"/>
      <c r="F1" s="215"/>
      <c r="H1" s="216"/>
    </row>
    <row r="2" spans="1:11" ht="28.9">
      <c r="A2" s="164" t="s">
        <v>1194</v>
      </c>
      <c r="B2" s="80" t="s">
        <v>1195</v>
      </c>
      <c r="C2" s="81" t="s">
        <v>1196</v>
      </c>
      <c r="D2" s="82" t="s">
        <v>1197</v>
      </c>
      <c r="E2" s="82" t="s">
        <v>1198</v>
      </c>
      <c r="F2" s="83" t="s">
        <v>1199</v>
      </c>
      <c r="H2" s="216"/>
    </row>
    <row r="3" spans="1:11">
      <c r="B3" s="121"/>
      <c r="C3" s="122"/>
      <c r="D3" s="67" t="s">
        <v>776</v>
      </c>
      <c r="E3" s="67" t="s">
        <v>777</v>
      </c>
      <c r="F3" s="67" t="s">
        <v>1200</v>
      </c>
      <c r="H3" s="216"/>
    </row>
    <row r="4" spans="1:11">
      <c r="B4" s="86" t="s">
        <v>1201</v>
      </c>
      <c r="C4" s="87"/>
      <c r="D4" s="67" t="s">
        <v>715</v>
      </c>
      <c r="E4" s="67" t="s">
        <v>812</v>
      </c>
      <c r="F4" s="67" t="s">
        <v>1202</v>
      </c>
      <c r="H4" s="216"/>
      <c r="I4" s="127"/>
      <c r="J4" s="127"/>
      <c r="K4" s="69"/>
    </row>
    <row r="5" spans="1:11">
      <c r="B5" s="84" t="s">
        <v>25</v>
      </c>
      <c r="C5" t="s">
        <v>1203</v>
      </c>
      <c r="D5" s="67" t="s">
        <v>839</v>
      </c>
      <c r="E5" s="67" t="s">
        <v>839</v>
      </c>
      <c r="F5" s="67" t="s">
        <v>839</v>
      </c>
      <c r="H5" s="216"/>
      <c r="I5" s="127"/>
      <c r="J5" s="69"/>
      <c r="K5" s="69"/>
    </row>
    <row r="6" spans="1:11">
      <c r="B6" s="85" t="s">
        <v>1204</v>
      </c>
      <c r="C6" t="s">
        <v>844</v>
      </c>
      <c r="D6" s="87"/>
      <c r="E6" s="87"/>
      <c r="F6" s="87"/>
      <c r="H6" s="216"/>
      <c r="I6" s="356"/>
      <c r="J6" s="357"/>
      <c r="K6" s="357"/>
    </row>
    <row r="7" spans="1:11">
      <c r="B7" t="s">
        <v>31</v>
      </c>
      <c r="C7" t="s">
        <v>846</v>
      </c>
      <c r="D7" s="12">
        <v>2.5899999999999999E-2</v>
      </c>
      <c r="E7" s="12">
        <v>0.1603</v>
      </c>
      <c r="F7" s="12">
        <v>0.2092</v>
      </c>
      <c r="H7" s="216"/>
      <c r="I7" s="281"/>
      <c r="J7" s="300"/>
      <c r="K7" s="358"/>
    </row>
    <row r="8" spans="1:11">
      <c r="B8" t="s">
        <v>35</v>
      </c>
      <c r="C8" t="s">
        <v>847</v>
      </c>
      <c r="D8" s="12">
        <v>5.1799999999999999E-2</v>
      </c>
      <c r="E8" s="12">
        <v>0.19220000000000001</v>
      </c>
      <c r="F8" s="12">
        <v>0.2213</v>
      </c>
      <c r="H8" s="216"/>
      <c r="I8" s="281"/>
      <c r="J8" s="300"/>
      <c r="K8" s="358"/>
    </row>
    <row r="9" spans="1:11">
      <c r="B9" t="s">
        <v>37</v>
      </c>
      <c r="C9" t="s">
        <v>849</v>
      </c>
      <c r="D9" s="12">
        <v>0.26400000000000001</v>
      </c>
      <c r="E9" s="12">
        <v>0.3513</v>
      </c>
      <c r="F9" s="12">
        <v>0.35210000000000002</v>
      </c>
      <c r="H9" s="216"/>
      <c r="I9" s="281"/>
      <c r="J9" s="300"/>
      <c r="K9" s="358"/>
    </row>
    <row r="10" spans="1:11">
      <c r="B10" t="s">
        <v>41</v>
      </c>
      <c r="C10" t="s">
        <v>851</v>
      </c>
      <c r="D10" s="12">
        <v>7.8899999999999998E-2</v>
      </c>
      <c r="E10" s="12">
        <v>0.19400000000000001</v>
      </c>
      <c r="F10" s="12">
        <v>0.21529999999999999</v>
      </c>
      <c r="H10" s="216"/>
      <c r="I10" s="281"/>
      <c r="J10" s="300"/>
      <c r="K10" s="358"/>
    </row>
    <row r="11" spans="1:11">
      <c r="B11" t="s">
        <v>43</v>
      </c>
      <c r="C11" t="s">
        <v>852</v>
      </c>
      <c r="D11" s="12">
        <v>2.0199999999999999E-2</v>
      </c>
      <c r="E11" s="12">
        <v>0.1087</v>
      </c>
      <c r="F11" s="12">
        <v>9.6000000000000002E-2</v>
      </c>
      <c r="H11" s="216"/>
      <c r="I11" s="281"/>
      <c r="J11" s="300"/>
      <c r="K11" s="358"/>
    </row>
    <row r="12" spans="1:11">
      <c r="B12" t="s">
        <v>45</v>
      </c>
      <c r="C12" t="s">
        <v>855</v>
      </c>
      <c r="D12" s="12">
        <v>3.7600000000000001E-2</v>
      </c>
      <c r="E12" s="12">
        <v>0.19339999999999999</v>
      </c>
      <c r="F12" s="12">
        <v>0.1512</v>
      </c>
      <c r="H12" s="216"/>
      <c r="I12" s="281"/>
      <c r="J12" s="300"/>
      <c r="K12" s="358"/>
    </row>
    <row r="13" spans="1:11">
      <c r="B13" t="s">
        <v>47</v>
      </c>
      <c r="C13" t="s">
        <v>857</v>
      </c>
      <c r="D13" s="12">
        <v>3.5000000000000003E-2</v>
      </c>
      <c r="E13" s="12">
        <v>0.1242</v>
      </c>
      <c r="F13" s="12">
        <v>0.10349999999999999</v>
      </c>
      <c r="H13" s="216"/>
      <c r="I13" s="281"/>
      <c r="J13" s="300"/>
      <c r="K13" s="358"/>
    </row>
    <row r="14" spans="1:11">
      <c r="B14" t="s">
        <v>49</v>
      </c>
      <c r="C14" t="s">
        <v>858</v>
      </c>
      <c r="D14" s="12">
        <v>2.52E-2</v>
      </c>
      <c r="E14" s="12">
        <v>0.17050000000000001</v>
      </c>
      <c r="F14" s="12">
        <v>0.17280000000000001</v>
      </c>
      <c r="H14" s="216"/>
      <c r="I14" s="281"/>
      <c r="J14" s="300"/>
      <c r="K14" s="358"/>
    </row>
    <row r="15" spans="1:11">
      <c r="B15" t="s">
        <v>51</v>
      </c>
      <c r="C15" t="s">
        <v>860</v>
      </c>
      <c r="D15" s="12">
        <v>3.6999999999999998E-2</v>
      </c>
      <c r="E15" s="12">
        <v>0.14960000000000001</v>
      </c>
      <c r="F15" s="12">
        <v>0.15840000000000001</v>
      </c>
      <c r="H15" s="216"/>
      <c r="I15" s="281"/>
      <c r="J15" s="300"/>
      <c r="K15" s="358"/>
    </row>
    <row r="16" spans="1:11">
      <c r="B16" t="s">
        <v>53</v>
      </c>
      <c r="C16" t="s">
        <v>861</v>
      </c>
      <c r="D16" s="12">
        <v>2.5700000000000001E-2</v>
      </c>
      <c r="E16" s="12">
        <v>0.1348</v>
      </c>
      <c r="F16" s="12">
        <v>0.1416</v>
      </c>
      <c r="H16" s="216"/>
      <c r="I16" s="281"/>
      <c r="J16" s="300"/>
      <c r="K16" s="358"/>
    </row>
    <row r="17" spans="2:11">
      <c r="B17" t="s">
        <v>55</v>
      </c>
      <c r="C17" t="s">
        <v>862</v>
      </c>
      <c r="D17" s="12">
        <v>2.6800000000000001E-2</v>
      </c>
      <c r="E17" s="12">
        <v>0.13300000000000001</v>
      </c>
      <c r="F17" s="12">
        <v>0.13500000000000001</v>
      </c>
      <c r="H17" s="216"/>
      <c r="I17" s="281"/>
      <c r="J17" s="300"/>
      <c r="K17" s="358"/>
    </row>
    <row r="18" spans="2:11">
      <c r="B18" t="s">
        <v>57</v>
      </c>
      <c r="C18" t="s">
        <v>863</v>
      </c>
      <c r="D18" s="12">
        <v>1.6299999999999999E-2</v>
      </c>
      <c r="E18" s="12">
        <v>0.28810000000000002</v>
      </c>
      <c r="F18" s="12">
        <v>0.12479999999999999</v>
      </c>
      <c r="H18" s="216"/>
      <c r="I18" s="281"/>
      <c r="J18" s="300"/>
      <c r="K18" s="358"/>
    </row>
    <row r="19" spans="2:11">
      <c r="B19" t="s">
        <v>59</v>
      </c>
      <c r="C19" t="s">
        <v>864</v>
      </c>
      <c r="D19" s="12">
        <v>3.7900000000000003E-2</v>
      </c>
      <c r="E19" s="12">
        <v>0.13819999999999999</v>
      </c>
      <c r="F19" s="12">
        <v>0.1239</v>
      </c>
      <c r="H19" s="216"/>
      <c r="I19" s="281"/>
      <c r="J19" s="300"/>
      <c r="K19" s="358"/>
    </row>
    <row r="20" spans="2:11">
      <c r="B20" t="s">
        <v>61</v>
      </c>
      <c r="C20" t="s">
        <v>866</v>
      </c>
      <c r="D20" s="12">
        <v>2.4199999999999999E-2</v>
      </c>
      <c r="E20" s="12">
        <v>0.2621</v>
      </c>
      <c r="F20" s="12">
        <v>0.1575</v>
      </c>
      <c r="H20" s="216"/>
      <c r="I20" s="281"/>
      <c r="J20" s="300"/>
      <c r="K20" s="358"/>
    </row>
    <row r="21" spans="2:11">
      <c r="B21" t="s">
        <v>63</v>
      </c>
      <c r="C21" t="s">
        <v>867</v>
      </c>
      <c r="D21" s="12">
        <v>3.8800000000000001E-2</v>
      </c>
      <c r="E21" s="12">
        <v>0.1419</v>
      </c>
      <c r="F21" s="12">
        <v>0.1239</v>
      </c>
      <c r="H21" s="216"/>
      <c r="I21" s="281"/>
      <c r="J21" s="300"/>
      <c r="K21" s="358"/>
    </row>
    <row r="22" spans="2:11">
      <c r="B22" t="s">
        <v>65</v>
      </c>
      <c r="C22" t="s">
        <v>868</v>
      </c>
      <c r="D22" s="12">
        <v>7.3999999999999996E-2</v>
      </c>
      <c r="E22" s="12">
        <v>0.25519999999999998</v>
      </c>
      <c r="F22" s="12">
        <v>0.2616</v>
      </c>
      <c r="H22" s="216"/>
      <c r="I22" s="281"/>
      <c r="J22" s="300"/>
      <c r="K22" s="358"/>
    </row>
    <row r="23" spans="2:11">
      <c r="B23" t="s">
        <v>67</v>
      </c>
      <c r="C23" t="s">
        <v>870</v>
      </c>
      <c r="D23" s="12">
        <v>5.2699999999999997E-2</v>
      </c>
      <c r="E23" s="12">
        <v>0.1573</v>
      </c>
      <c r="F23" s="12">
        <v>0.15140000000000001</v>
      </c>
      <c r="H23" s="216"/>
      <c r="I23" s="281"/>
      <c r="J23" s="300"/>
      <c r="K23" s="358"/>
    </row>
    <row r="24" spans="2:11">
      <c r="B24" t="s">
        <v>69</v>
      </c>
      <c r="C24" t="s">
        <v>872</v>
      </c>
      <c r="D24" s="12">
        <v>4.3299999999999998E-2</v>
      </c>
      <c r="E24" s="12">
        <v>0.15479999999999999</v>
      </c>
      <c r="F24" s="12">
        <v>0.16439999999999999</v>
      </c>
      <c r="H24" s="216"/>
      <c r="I24" s="281"/>
      <c r="J24" s="300"/>
      <c r="K24" s="358"/>
    </row>
    <row r="25" spans="2:11">
      <c r="B25" t="s">
        <v>71</v>
      </c>
      <c r="C25" t="s">
        <v>873</v>
      </c>
      <c r="D25" s="12">
        <v>4.87E-2</v>
      </c>
      <c r="E25" s="12">
        <v>0.1696</v>
      </c>
      <c r="F25" s="12">
        <v>0.14080000000000001</v>
      </c>
      <c r="H25" s="216"/>
      <c r="I25" s="281"/>
      <c r="J25" s="300"/>
      <c r="K25" s="358"/>
    </row>
    <row r="26" spans="2:11">
      <c r="B26" t="s">
        <v>73</v>
      </c>
      <c r="C26" t="s">
        <v>874</v>
      </c>
      <c r="D26" s="12">
        <v>7.0199999999999999E-2</v>
      </c>
      <c r="E26" s="12">
        <v>0.3846</v>
      </c>
      <c r="F26" s="12">
        <v>0.36499999999999999</v>
      </c>
      <c r="H26" s="216"/>
      <c r="I26" s="281"/>
      <c r="J26" s="300"/>
      <c r="K26" s="358"/>
    </row>
    <row r="27" spans="2:11">
      <c r="B27" t="s">
        <v>75</v>
      </c>
      <c r="C27" t="s">
        <v>875</v>
      </c>
      <c r="D27" s="12">
        <v>3.5700000000000003E-2</v>
      </c>
      <c r="E27" s="12">
        <v>0.1401</v>
      </c>
      <c r="F27" s="12">
        <v>0.13900000000000001</v>
      </c>
      <c r="H27" s="216"/>
      <c r="I27" s="281"/>
      <c r="J27" s="300"/>
      <c r="K27" s="358"/>
    </row>
    <row r="28" spans="2:11">
      <c r="B28" t="s">
        <v>77</v>
      </c>
      <c r="C28" t="s">
        <v>876</v>
      </c>
      <c r="D28" s="12">
        <v>3.6799999999999999E-2</v>
      </c>
      <c r="E28" s="12">
        <v>0.1447</v>
      </c>
      <c r="F28" s="12">
        <v>0.16159999999999999</v>
      </c>
      <c r="H28" s="216"/>
      <c r="I28" s="281"/>
      <c r="J28" s="300"/>
      <c r="K28" s="358"/>
    </row>
    <row r="29" spans="2:11">
      <c r="B29" t="s">
        <v>79</v>
      </c>
      <c r="C29" t="s">
        <v>877</v>
      </c>
      <c r="D29" s="12">
        <v>3.0099999999999998E-2</v>
      </c>
      <c r="E29" s="12">
        <v>0.2253</v>
      </c>
      <c r="F29" s="12">
        <v>0.1837</v>
      </c>
      <c r="H29" s="216"/>
      <c r="I29" s="281"/>
      <c r="J29" s="300"/>
      <c r="K29" s="358"/>
    </row>
    <row r="30" spans="2:11">
      <c r="B30" t="s">
        <v>81</v>
      </c>
      <c r="C30" t="s">
        <v>878</v>
      </c>
      <c r="D30" s="12">
        <v>5.11E-2</v>
      </c>
      <c r="E30" s="12">
        <v>0.40329999999999999</v>
      </c>
      <c r="F30" s="12">
        <v>0.5806</v>
      </c>
      <c r="H30" s="216"/>
      <c r="I30" s="281"/>
      <c r="J30" s="300"/>
      <c r="K30" s="358"/>
    </row>
    <row r="31" spans="2:11">
      <c r="B31" t="s">
        <v>83</v>
      </c>
      <c r="C31" t="s">
        <v>879</v>
      </c>
      <c r="D31" s="12">
        <v>2.8799999999999999E-2</v>
      </c>
      <c r="E31" s="12">
        <v>0.14610000000000001</v>
      </c>
      <c r="F31" s="12">
        <v>0.13789999999999999</v>
      </c>
      <c r="H31" s="216"/>
      <c r="I31" s="281"/>
      <c r="J31" s="300"/>
      <c r="K31" s="358"/>
    </row>
    <row r="32" spans="2:11">
      <c r="B32" t="s">
        <v>85</v>
      </c>
      <c r="C32" t="s">
        <v>880</v>
      </c>
      <c r="D32" s="12">
        <v>2.81E-2</v>
      </c>
      <c r="E32" s="12">
        <v>0.14949999999999999</v>
      </c>
      <c r="F32" s="12">
        <v>0.13689999999999999</v>
      </c>
      <c r="H32" s="216"/>
      <c r="I32" s="281"/>
      <c r="J32" s="300"/>
      <c r="K32" s="358"/>
    </row>
    <row r="33" spans="2:11">
      <c r="B33" t="s">
        <v>87</v>
      </c>
      <c r="C33" t="s">
        <v>881</v>
      </c>
      <c r="D33" s="12">
        <v>5.91E-2</v>
      </c>
      <c r="E33" s="12">
        <v>0.1988</v>
      </c>
      <c r="F33" s="12">
        <v>0.2056</v>
      </c>
      <c r="H33" s="216"/>
      <c r="I33" s="281"/>
      <c r="J33" s="300"/>
      <c r="K33" s="358"/>
    </row>
    <row r="34" spans="2:11">
      <c r="B34" t="s">
        <v>89</v>
      </c>
      <c r="C34" s="11" t="s">
        <v>883</v>
      </c>
      <c r="D34" s="360">
        <v>3.7100000000000001E-2</v>
      </c>
      <c r="E34" s="360">
        <v>0.14399999999999999</v>
      </c>
      <c r="F34" s="360">
        <v>0.14119999999999999</v>
      </c>
      <c r="H34" s="216"/>
      <c r="I34" s="281"/>
      <c r="J34" s="300"/>
      <c r="K34" s="358"/>
    </row>
    <row r="35" spans="2:11">
      <c r="B35" t="s">
        <v>91</v>
      </c>
      <c r="C35" t="s">
        <v>884</v>
      </c>
      <c r="D35" s="12">
        <v>0.13100000000000001</v>
      </c>
      <c r="E35" s="12">
        <v>0.318</v>
      </c>
      <c r="F35" s="12">
        <v>0.33689999999999998</v>
      </c>
      <c r="H35" s="216"/>
      <c r="I35" s="281"/>
      <c r="J35" s="300"/>
      <c r="K35" s="358"/>
    </row>
    <row r="36" spans="2:11">
      <c r="B36" t="s">
        <v>93</v>
      </c>
      <c r="C36" t="s">
        <v>885</v>
      </c>
      <c r="D36" s="12">
        <v>3.5799999999999998E-2</v>
      </c>
      <c r="E36" s="12">
        <v>0.13589999999999999</v>
      </c>
      <c r="F36" s="12">
        <v>0.1356</v>
      </c>
      <c r="H36" s="216"/>
      <c r="I36" s="281"/>
      <c r="J36" s="300"/>
      <c r="K36" s="358"/>
    </row>
    <row r="37" spans="2:11">
      <c r="B37" t="s">
        <v>95</v>
      </c>
      <c r="C37" t="s">
        <v>886</v>
      </c>
      <c r="D37" s="12">
        <v>5.04E-2</v>
      </c>
      <c r="E37" s="12">
        <v>0.13370000000000001</v>
      </c>
      <c r="F37" s="12">
        <v>0.14849999999999999</v>
      </c>
      <c r="H37" s="216"/>
      <c r="I37" s="281"/>
      <c r="J37" s="300"/>
      <c r="K37" s="358"/>
    </row>
    <row r="38" spans="2:11">
      <c r="B38" t="s">
        <v>97</v>
      </c>
      <c r="C38" t="s">
        <v>887</v>
      </c>
      <c r="D38" s="12">
        <v>1.6E-2</v>
      </c>
      <c r="E38" s="12">
        <v>0.1386</v>
      </c>
      <c r="F38" s="12">
        <v>0.14530000000000001</v>
      </c>
      <c r="H38" s="216"/>
      <c r="I38" s="281"/>
      <c r="J38" s="300"/>
      <c r="K38" s="358"/>
    </row>
    <row r="39" spans="2:11">
      <c r="B39" t="s">
        <v>99</v>
      </c>
      <c r="C39" t="s">
        <v>888</v>
      </c>
      <c r="D39" s="12">
        <v>3.1399999999999997E-2</v>
      </c>
      <c r="E39" s="12">
        <v>0.1585</v>
      </c>
      <c r="F39" s="12">
        <v>0.1837</v>
      </c>
      <c r="H39" s="216"/>
      <c r="I39" s="281"/>
      <c r="J39" s="300"/>
      <c r="K39" s="358"/>
    </row>
    <row r="40" spans="2:11">
      <c r="B40" t="s">
        <v>101</v>
      </c>
      <c r="C40" t="s">
        <v>889</v>
      </c>
      <c r="D40" s="12">
        <v>9.1999999999999998E-3</v>
      </c>
      <c r="E40" s="12">
        <v>0.14180000000000001</v>
      </c>
      <c r="F40" s="12">
        <v>0.15129999999999999</v>
      </c>
      <c r="H40" s="216"/>
      <c r="I40" s="281"/>
      <c r="J40" s="300"/>
      <c r="K40" s="358"/>
    </row>
    <row r="41" spans="2:11">
      <c r="B41" t="s">
        <v>103</v>
      </c>
      <c r="C41" t="s">
        <v>890</v>
      </c>
      <c r="D41" s="12">
        <v>4.2500000000000003E-2</v>
      </c>
      <c r="E41" s="12">
        <v>0.15110000000000001</v>
      </c>
      <c r="F41" s="12">
        <v>0.1608</v>
      </c>
      <c r="H41" s="216"/>
      <c r="I41" s="281"/>
      <c r="J41" s="300"/>
      <c r="K41" s="358"/>
    </row>
    <row r="42" spans="2:11">
      <c r="B42" t="s">
        <v>105</v>
      </c>
      <c r="C42" s="11" t="s">
        <v>892</v>
      </c>
      <c r="D42" s="360">
        <v>3.7100000000000001E-2</v>
      </c>
      <c r="E42" s="360">
        <v>0.14399999999999999</v>
      </c>
      <c r="F42" s="360">
        <v>0.14119999999999999</v>
      </c>
      <c r="H42" s="216"/>
      <c r="I42" s="281"/>
      <c r="J42" s="300"/>
      <c r="K42" s="358"/>
    </row>
    <row r="43" spans="2:11">
      <c r="B43" t="s">
        <v>107</v>
      </c>
      <c r="C43" t="s">
        <v>893</v>
      </c>
      <c r="D43" s="12">
        <v>4.0300000000000002E-2</v>
      </c>
      <c r="E43" s="12">
        <v>0.22220000000000001</v>
      </c>
      <c r="F43" s="12">
        <v>0.184</v>
      </c>
      <c r="H43" s="216"/>
      <c r="I43" s="281"/>
      <c r="J43" s="300"/>
      <c r="K43" s="358"/>
    </row>
    <row r="44" spans="2:11">
      <c r="B44" t="s">
        <v>109</v>
      </c>
      <c r="C44" t="s">
        <v>894</v>
      </c>
      <c r="D44" s="12">
        <v>4.9599999999999998E-2</v>
      </c>
      <c r="E44" s="12">
        <v>0.1966</v>
      </c>
      <c r="F44" s="12">
        <v>0.20399999999999999</v>
      </c>
      <c r="H44" s="216"/>
      <c r="I44" s="281"/>
      <c r="J44" s="300"/>
      <c r="K44" s="358"/>
    </row>
    <row r="45" spans="2:11">
      <c r="B45" t="s">
        <v>111</v>
      </c>
      <c r="C45" t="s">
        <v>895</v>
      </c>
      <c r="D45" s="12">
        <v>6.1600000000000002E-2</v>
      </c>
      <c r="E45" s="12">
        <v>0.20699999999999999</v>
      </c>
      <c r="F45" s="12">
        <v>0.16700000000000001</v>
      </c>
      <c r="H45" s="216"/>
      <c r="I45" s="281"/>
      <c r="J45" s="300"/>
      <c r="K45" s="358"/>
    </row>
    <row r="46" spans="2:11">
      <c r="B46" t="s">
        <v>113</v>
      </c>
      <c r="C46" t="s">
        <v>896</v>
      </c>
      <c r="D46" s="361">
        <v>4.8099999999999997E-2</v>
      </c>
      <c r="E46" s="12">
        <v>0.161</v>
      </c>
      <c r="F46" s="12">
        <v>0.1593</v>
      </c>
      <c r="H46" s="216"/>
      <c r="I46" s="281"/>
      <c r="J46" s="300"/>
      <c r="K46" s="358"/>
    </row>
    <row r="47" spans="2:11">
      <c r="B47" t="s">
        <v>115</v>
      </c>
      <c r="C47" t="s">
        <v>897</v>
      </c>
      <c r="D47" s="12">
        <v>5.04E-2</v>
      </c>
      <c r="E47" s="12">
        <v>0.23530000000000001</v>
      </c>
      <c r="F47" s="12">
        <v>0.2646</v>
      </c>
      <c r="H47" s="216"/>
      <c r="I47" s="281"/>
      <c r="J47" s="300"/>
      <c r="K47" s="358"/>
    </row>
    <row r="48" spans="2:11">
      <c r="B48" t="s">
        <v>117</v>
      </c>
      <c r="C48" t="s">
        <v>898</v>
      </c>
      <c r="D48" s="12">
        <v>2.8199999999999999E-2</v>
      </c>
      <c r="E48" s="12">
        <v>0.13969999999999999</v>
      </c>
      <c r="F48" s="12">
        <v>0.1472</v>
      </c>
      <c r="H48" s="216"/>
      <c r="I48" s="281"/>
      <c r="J48" s="300"/>
      <c r="K48" s="358"/>
    </row>
    <row r="49" spans="2:11">
      <c r="B49" t="s">
        <v>119</v>
      </c>
      <c r="C49" t="s">
        <v>899</v>
      </c>
      <c r="D49" s="12">
        <v>3.7900000000000003E-2</v>
      </c>
      <c r="E49" s="12">
        <v>0.1784</v>
      </c>
      <c r="F49" s="12">
        <v>0.16159999999999999</v>
      </c>
      <c r="H49" s="216"/>
      <c r="I49" s="281"/>
      <c r="J49" s="300"/>
      <c r="K49" s="358"/>
    </row>
    <row r="50" spans="2:11">
      <c r="B50" t="s">
        <v>121</v>
      </c>
      <c r="C50" t="s">
        <v>900</v>
      </c>
      <c r="D50" s="12">
        <v>3.4099999999999998E-2</v>
      </c>
      <c r="E50" s="12">
        <v>0.30880000000000002</v>
      </c>
      <c r="F50" s="12">
        <v>0.34079999999999999</v>
      </c>
      <c r="H50" s="216"/>
      <c r="I50" s="281"/>
      <c r="J50" s="300"/>
      <c r="K50" s="358"/>
    </row>
    <row r="51" spans="2:11">
      <c r="B51" t="s">
        <v>123</v>
      </c>
      <c r="C51" t="s">
        <v>902</v>
      </c>
      <c r="D51" s="12">
        <v>3.5999999999999997E-2</v>
      </c>
      <c r="E51" s="12">
        <v>0.2029</v>
      </c>
      <c r="F51" s="12">
        <v>0.2263</v>
      </c>
      <c r="H51" s="216"/>
      <c r="I51" s="281"/>
      <c r="J51" s="300"/>
      <c r="K51" s="358"/>
    </row>
    <row r="52" spans="2:11">
      <c r="B52" t="s">
        <v>125</v>
      </c>
      <c r="C52" t="s">
        <v>903</v>
      </c>
      <c r="D52" s="12">
        <v>3.5700000000000003E-2</v>
      </c>
      <c r="E52" s="12">
        <v>0.19059999999999999</v>
      </c>
      <c r="F52" s="12">
        <v>0.2114</v>
      </c>
      <c r="H52" s="216"/>
      <c r="I52" s="281"/>
      <c r="J52" s="300"/>
      <c r="K52" s="358"/>
    </row>
    <row r="53" spans="2:11">
      <c r="B53" t="s">
        <v>127</v>
      </c>
      <c r="C53" t="s">
        <v>904</v>
      </c>
      <c r="D53" s="12">
        <v>5.8900000000000001E-2</v>
      </c>
      <c r="E53" s="12">
        <v>0.23150000000000001</v>
      </c>
      <c r="F53" s="12">
        <v>0.23710000000000001</v>
      </c>
      <c r="H53" s="216"/>
      <c r="I53" s="281"/>
      <c r="J53" s="300"/>
      <c r="K53" s="358"/>
    </row>
    <row r="54" spans="2:11">
      <c r="B54" t="s">
        <v>129</v>
      </c>
      <c r="C54" t="s">
        <v>905</v>
      </c>
      <c r="D54" s="12">
        <v>1.7399999999999999E-2</v>
      </c>
      <c r="E54" s="12">
        <v>0.18820000000000001</v>
      </c>
      <c r="F54" s="12">
        <v>0.1623</v>
      </c>
      <c r="H54" s="216"/>
      <c r="I54" s="281"/>
      <c r="J54" s="300"/>
      <c r="K54" s="358"/>
    </row>
    <row r="55" spans="2:11">
      <c r="B55" t="s">
        <v>131</v>
      </c>
      <c r="C55" t="s">
        <v>906</v>
      </c>
      <c r="D55" s="12">
        <v>5.8200000000000002E-2</v>
      </c>
      <c r="E55" s="12">
        <v>0.27679999999999999</v>
      </c>
      <c r="F55" s="12">
        <v>0.30399999999999999</v>
      </c>
      <c r="H55" s="216"/>
      <c r="I55" s="281"/>
      <c r="J55" s="300"/>
      <c r="K55" s="358"/>
    </row>
    <row r="56" spans="2:11">
      <c r="B56" t="s">
        <v>133</v>
      </c>
      <c r="C56" t="s">
        <v>908</v>
      </c>
      <c r="D56" s="12">
        <v>2.52E-2</v>
      </c>
      <c r="E56" s="12">
        <v>0.19689999999999999</v>
      </c>
      <c r="F56" s="12">
        <v>0.1908</v>
      </c>
      <c r="H56" s="216"/>
      <c r="I56" s="281"/>
      <c r="J56" s="300"/>
      <c r="K56" s="358"/>
    </row>
    <row r="57" spans="2:11">
      <c r="B57" t="s">
        <v>135</v>
      </c>
      <c r="C57" t="s">
        <v>909</v>
      </c>
      <c r="D57" s="12">
        <v>5.6500000000000002E-2</v>
      </c>
      <c r="E57" s="12">
        <v>0.23669999999999999</v>
      </c>
      <c r="F57" s="12">
        <v>0.19919999999999999</v>
      </c>
      <c r="H57" s="216"/>
      <c r="I57" s="281"/>
      <c r="J57" s="300"/>
      <c r="K57" s="358"/>
    </row>
    <row r="58" spans="2:11">
      <c r="B58" t="s">
        <v>137</v>
      </c>
      <c r="C58" t="s">
        <v>910</v>
      </c>
      <c r="D58" s="12">
        <v>9.1800000000000007E-2</v>
      </c>
      <c r="E58" s="12">
        <v>0.21410000000000001</v>
      </c>
      <c r="F58" s="12">
        <v>0.23400000000000001</v>
      </c>
      <c r="H58" s="216"/>
      <c r="I58" s="281"/>
      <c r="J58" s="300"/>
      <c r="K58" s="358"/>
    </row>
    <row r="59" spans="2:11">
      <c r="B59" t="s">
        <v>139</v>
      </c>
      <c r="C59" t="s">
        <v>911</v>
      </c>
      <c r="D59" s="12">
        <v>7.1400000000000005E-2</v>
      </c>
      <c r="E59" s="12">
        <v>0.26800000000000002</v>
      </c>
      <c r="F59" s="12">
        <v>0.27989999999999998</v>
      </c>
      <c r="H59" s="216"/>
      <c r="I59" s="281"/>
      <c r="J59" s="300"/>
      <c r="K59" s="358"/>
    </row>
    <row r="60" spans="2:11">
      <c r="B60" t="s">
        <v>141</v>
      </c>
      <c r="C60" t="s">
        <v>912</v>
      </c>
      <c r="D60" s="12">
        <v>7.7399999999999997E-2</v>
      </c>
      <c r="E60" s="12">
        <v>0.32990000000000003</v>
      </c>
      <c r="F60" s="12">
        <v>0.40150000000000002</v>
      </c>
      <c r="H60" s="216"/>
      <c r="I60" s="281"/>
      <c r="J60" s="300"/>
      <c r="K60" s="358"/>
    </row>
    <row r="61" spans="2:11">
      <c r="B61" t="s">
        <v>143</v>
      </c>
      <c r="C61" t="s">
        <v>913</v>
      </c>
      <c r="D61" s="12">
        <v>3.9199999999999999E-2</v>
      </c>
      <c r="E61" s="12">
        <v>0.22789999999999999</v>
      </c>
      <c r="F61" s="12">
        <v>0.28089999999999998</v>
      </c>
      <c r="H61" s="216"/>
      <c r="I61" s="281"/>
      <c r="J61" s="300"/>
      <c r="K61" s="358"/>
    </row>
    <row r="62" spans="2:11">
      <c r="B62" t="s">
        <v>145</v>
      </c>
      <c r="C62" t="s">
        <v>914</v>
      </c>
      <c r="D62" s="12">
        <v>2.4199999999999999E-2</v>
      </c>
      <c r="E62" s="12">
        <v>0.28799999999999998</v>
      </c>
      <c r="F62" s="12">
        <v>0.29409999999999997</v>
      </c>
      <c r="H62" s="216"/>
      <c r="I62" s="281"/>
      <c r="J62" s="300"/>
      <c r="K62" s="358"/>
    </row>
    <row r="63" spans="2:11">
      <c r="B63" t="s">
        <v>147</v>
      </c>
      <c r="C63" t="s">
        <v>915</v>
      </c>
      <c r="D63" s="12">
        <v>4.5100000000000001E-2</v>
      </c>
      <c r="E63" s="12">
        <v>0.24379999999999999</v>
      </c>
      <c r="F63" s="12">
        <v>0.21940000000000001</v>
      </c>
      <c r="H63" s="216"/>
      <c r="I63" s="281"/>
      <c r="J63" s="300"/>
      <c r="K63" s="358"/>
    </row>
    <row r="64" spans="2:11">
      <c r="B64" t="s">
        <v>149</v>
      </c>
      <c r="C64" t="s">
        <v>916</v>
      </c>
      <c r="D64" s="12">
        <v>3.4099999999999998E-2</v>
      </c>
      <c r="E64" s="12">
        <v>0.20369999999999999</v>
      </c>
      <c r="F64" s="12">
        <v>0.22489999999999999</v>
      </c>
      <c r="H64" s="216"/>
      <c r="I64" s="281"/>
      <c r="J64" s="300"/>
      <c r="K64" s="358"/>
    </row>
    <row r="65" spans="2:11">
      <c r="B65" t="s">
        <v>151</v>
      </c>
      <c r="C65" t="s">
        <v>917</v>
      </c>
      <c r="D65" s="12">
        <v>4.7600000000000003E-2</v>
      </c>
      <c r="E65" s="12">
        <v>0.25600000000000001</v>
      </c>
      <c r="F65" s="12">
        <v>0.27429999999999999</v>
      </c>
      <c r="H65" s="216"/>
      <c r="I65" s="281"/>
      <c r="J65" s="300"/>
      <c r="K65" s="358"/>
    </row>
    <row r="66" spans="2:11">
      <c r="B66" t="s">
        <v>153</v>
      </c>
      <c r="C66" t="s">
        <v>918</v>
      </c>
      <c r="D66" s="12">
        <v>4.7E-2</v>
      </c>
      <c r="E66" s="12">
        <v>0.1837</v>
      </c>
      <c r="F66" s="12">
        <v>0.22720000000000001</v>
      </c>
      <c r="H66" s="216"/>
      <c r="I66" s="281"/>
      <c r="J66" s="300"/>
      <c r="K66" s="358"/>
    </row>
    <row r="67" spans="2:11">
      <c r="B67" t="s">
        <v>155</v>
      </c>
      <c r="C67" t="s">
        <v>919</v>
      </c>
      <c r="D67" s="12">
        <v>1.35E-2</v>
      </c>
      <c r="E67" s="12">
        <v>0.1646</v>
      </c>
      <c r="F67" s="12">
        <v>0.14399999999999999</v>
      </c>
      <c r="H67" s="216"/>
      <c r="I67" s="281"/>
      <c r="J67" s="300"/>
      <c r="K67" s="358"/>
    </row>
    <row r="68" spans="2:11">
      <c r="B68" t="s">
        <v>157</v>
      </c>
      <c r="C68" t="s">
        <v>920</v>
      </c>
      <c r="D68" s="12">
        <v>7.0199999999999999E-2</v>
      </c>
      <c r="E68" s="12">
        <v>0.40489999999999998</v>
      </c>
      <c r="F68" s="12">
        <v>0.36330000000000001</v>
      </c>
      <c r="H68" s="216"/>
      <c r="I68" s="281"/>
      <c r="J68" s="300"/>
      <c r="K68" s="358"/>
    </row>
    <row r="69" spans="2:11">
      <c r="B69" t="s">
        <v>159</v>
      </c>
      <c r="C69" t="s">
        <v>922</v>
      </c>
      <c r="D69" s="12">
        <v>3.49E-2</v>
      </c>
      <c r="E69" s="12">
        <v>0.16980000000000001</v>
      </c>
      <c r="F69" s="12">
        <v>0.17549999999999999</v>
      </c>
      <c r="H69" s="216"/>
      <c r="I69" s="281"/>
      <c r="J69" s="300"/>
      <c r="K69" s="358"/>
    </row>
    <row r="70" spans="2:11">
      <c r="B70" t="s">
        <v>161</v>
      </c>
      <c r="C70" t="s">
        <v>923</v>
      </c>
      <c r="D70" s="12">
        <v>4.1399999999999999E-2</v>
      </c>
      <c r="E70" s="12">
        <v>0.15659999999999999</v>
      </c>
      <c r="F70" s="12">
        <v>0.13689999999999999</v>
      </c>
      <c r="H70" s="216"/>
      <c r="I70" s="281"/>
      <c r="J70" s="300"/>
      <c r="K70" s="358"/>
    </row>
    <row r="71" spans="2:11">
      <c r="B71" t="s">
        <v>163</v>
      </c>
      <c r="C71" t="s">
        <v>924</v>
      </c>
      <c r="D71" s="12">
        <v>3.7199999999999997E-2</v>
      </c>
      <c r="E71" s="12">
        <v>0.1421</v>
      </c>
      <c r="F71" s="12">
        <v>0.1401</v>
      </c>
      <c r="H71" s="216"/>
      <c r="I71" s="281"/>
      <c r="J71" s="300"/>
      <c r="K71" s="358"/>
    </row>
    <row r="72" spans="2:11">
      <c r="B72" t="s">
        <v>165</v>
      </c>
      <c r="C72" t="s">
        <v>925</v>
      </c>
      <c r="D72" s="12">
        <v>0.13600000000000001</v>
      </c>
      <c r="E72" s="12">
        <v>0.4521</v>
      </c>
      <c r="F72" s="12">
        <v>0.60799999999999998</v>
      </c>
      <c r="H72" s="216"/>
      <c r="I72" s="281"/>
      <c r="J72" s="300"/>
      <c r="K72" s="358"/>
    </row>
    <row r="73" spans="2:11">
      <c r="B73" t="s">
        <v>167</v>
      </c>
      <c r="C73" t="s">
        <v>926</v>
      </c>
      <c r="D73" s="12">
        <v>2.4500000000000001E-2</v>
      </c>
      <c r="E73" s="12">
        <v>0.19139999999999999</v>
      </c>
      <c r="F73" s="12">
        <v>0.18629999999999999</v>
      </c>
      <c r="H73" s="216"/>
      <c r="I73" s="281"/>
      <c r="J73" s="300"/>
      <c r="K73" s="358"/>
    </row>
    <row r="74" spans="2:11">
      <c r="B74" t="s">
        <v>169</v>
      </c>
      <c r="C74" t="s">
        <v>927</v>
      </c>
      <c r="D74" s="12">
        <v>3.4799999999999998E-2</v>
      </c>
      <c r="E74" s="12">
        <v>0.1258</v>
      </c>
      <c r="F74" s="12">
        <v>0.1258</v>
      </c>
      <c r="H74" s="216"/>
      <c r="I74" s="281"/>
      <c r="J74" s="300"/>
      <c r="K74" s="358"/>
    </row>
    <row r="75" spans="2:11">
      <c r="B75" t="s">
        <v>171</v>
      </c>
      <c r="C75" t="s">
        <v>928</v>
      </c>
      <c r="D75" s="12">
        <v>5.0599999999999999E-2</v>
      </c>
      <c r="E75" s="12">
        <v>0.16039999999999999</v>
      </c>
      <c r="F75" s="12">
        <v>0.14829999999999999</v>
      </c>
      <c r="H75" s="216"/>
      <c r="I75" s="281"/>
      <c r="J75" s="300"/>
      <c r="K75" s="358"/>
    </row>
    <row r="76" spans="2:11">
      <c r="B76" t="s">
        <v>173</v>
      </c>
      <c r="C76" t="s">
        <v>929</v>
      </c>
      <c r="D76" s="12">
        <v>0</v>
      </c>
      <c r="E76" s="12">
        <v>0.1366</v>
      </c>
      <c r="F76" s="12">
        <v>0.13900000000000001</v>
      </c>
      <c r="H76" s="216"/>
      <c r="I76" s="281"/>
      <c r="J76" s="300"/>
      <c r="K76" s="358"/>
    </row>
    <row r="77" spans="2:11">
      <c r="B77" t="s">
        <v>175</v>
      </c>
      <c r="C77" t="s">
        <v>930</v>
      </c>
      <c r="D77" s="12">
        <v>3.4299999999999997E-2</v>
      </c>
      <c r="E77" s="12">
        <v>0.2616</v>
      </c>
      <c r="F77" s="12">
        <v>0.2051</v>
      </c>
      <c r="H77" s="216"/>
      <c r="I77" s="281"/>
      <c r="J77" s="300"/>
      <c r="K77" s="358"/>
    </row>
    <row r="78" spans="2:11">
      <c r="B78" t="s">
        <v>177</v>
      </c>
      <c r="C78" t="s">
        <v>931</v>
      </c>
      <c r="D78" s="12">
        <v>7.9899999999999999E-2</v>
      </c>
      <c r="E78" s="12">
        <v>0.2389</v>
      </c>
      <c r="F78" s="12">
        <v>0.2341</v>
      </c>
      <c r="H78" s="216"/>
      <c r="I78" s="281"/>
      <c r="J78" s="300"/>
      <c r="K78" s="358"/>
    </row>
    <row r="79" spans="2:11">
      <c r="B79" t="s">
        <v>179</v>
      </c>
      <c r="C79" t="s">
        <v>932</v>
      </c>
      <c r="D79" s="12">
        <v>3.7199999999999997E-2</v>
      </c>
      <c r="E79" s="12">
        <v>0.1532</v>
      </c>
      <c r="F79" s="12">
        <v>0.12939999999999999</v>
      </c>
      <c r="H79" s="216"/>
      <c r="I79" s="281"/>
      <c r="J79" s="300"/>
      <c r="K79" s="358"/>
    </row>
    <row r="80" spans="2:11">
      <c r="B80" t="s">
        <v>181</v>
      </c>
      <c r="C80" t="s">
        <v>933</v>
      </c>
      <c r="D80" s="12">
        <v>5.0900000000000001E-2</v>
      </c>
      <c r="E80" s="12">
        <v>0.1711</v>
      </c>
      <c r="F80" s="12">
        <v>0.12720000000000001</v>
      </c>
      <c r="H80" s="216"/>
      <c r="I80" s="281"/>
      <c r="J80" s="300"/>
      <c r="K80" s="358"/>
    </row>
    <row r="81" spans="2:11">
      <c r="B81" s="285" t="s">
        <v>183</v>
      </c>
      <c r="C81" s="283" t="s">
        <v>184</v>
      </c>
      <c r="D81" s="362">
        <v>0</v>
      </c>
      <c r="E81" s="362">
        <v>0</v>
      </c>
      <c r="F81" s="362">
        <v>0</v>
      </c>
      <c r="H81" s="216"/>
      <c r="I81" s="281"/>
      <c r="J81" s="300"/>
      <c r="K81" s="358"/>
    </row>
    <row r="82" spans="2:11">
      <c r="B82" s="283" t="s">
        <v>185</v>
      </c>
      <c r="C82" s="283" t="s">
        <v>186</v>
      </c>
      <c r="D82" s="362">
        <v>0</v>
      </c>
      <c r="E82" s="362">
        <v>0</v>
      </c>
      <c r="F82" s="362">
        <v>0</v>
      </c>
      <c r="H82" s="216"/>
      <c r="I82" s="281"/>
      <c r="J82" s="300"/>
      <c r="K82" s="358"/>
    </row>
    <row r="83" spans="2:11">
      <c r="B83" s="285" t="s">
        <v>187</v>
      </c>
      <c r="C83" s="283" t="s">
        <v>188</v>
      </c>
      <c r="D83" s="362">
        <v>0</v>
      </c>
      <c r="E83" s="362">
        <v>0</v>
      </c>
      <c r="F83" s="362">
        <v>0</v>
      </c>
      <c r="H83" s="216"/>
      <c r="I83" s="281"/>
      <c r="J83" s="300"/>
      <c r="K83" s="358"/>
    </row>
    <row r="84" spans="2:11">
      <c r="B84" s="285" t="s">
        <v>189</v>
      </c>
      <c r="C84" s="283" t="s">
        <v>190</v>
      </c>
      <c r="D84" s="362">
        <v>0</v>
      </c>
      <c r="E84" s="362">
        <v>0</v>
      </c>
      <c r="F84" s="362">
        <v>0</v>
      </c>
      <c r="H84" s="216"/>
      <c r="I84" s="281"/>
      <c r="J84" s="300"/>
      <c r="K84" s="358"/>
    </row>
    <row r="85" spans="2:11">
      <c r="B85" s="283" t="s">
        <v>191</v>
      </c>
      <c r="C85" s="283" t="s">
        <v>192</v>
      </c>
      <c r="D85" s="362">
        <v>0</v>
      </c>
      <c r="E85" s="362">
        <v>0</v>
      </c>
      <c r="F85" s="362">
        <v>0</v>
      </c>
      <c r="H85" s="216"/>
      <c r="I85" s="281"/>
      <c r="J85" s="300"/>
      <c r="K85" s="358"/>
    </row>
    <row r="86" spans="2:11">
      <c r="B86" s="285" t="s">
        <v>193</v>
      </c>
      <c r="C86" s="283" t="s">
        <v>194</v>
      </c>
      <c r="D86" s="362">
        <v>0</v>
      </c>
      <c r="E86" s="362">
        <v>0</v>
      </c>
      <c r="F86" s="362">
        <v>0</v>
      </c>
      <c r="H86" s="216"/>
      <c r="I86" s="281"/>
      <c r="J86" s="300"/>
      <c r="K86" s="358"/>
    </row>
    <row r="87" spans="2:11">
      <c r="B87" s="285" t="s">
        <v>195</v>
      </c>
      <c r="C87" s="283" t="s">
        <v>196</v>
      </c>
      <c r="D87" s="362">
        <v>0</v>
      </c>
      <c r="E87" s="362">
        <v>0</v>
      </c>
      <c r="F87" s="362">
        <v>0</v>
      </c>
      <c r="H87" s="216"/>
      <c r="I87" s="281"/>
      <c r="J87" s="300"/>
      <c r="K87" s="358"/>
    </row>
    <row r="88" spans="2:11">
      <c r="B88" s="285" t="s">
        <v>197</v>
      </c>
      <c r="C88" s="283" t="s">
        <v>198</v>
      </c>
      <c r="D88" s="362">
        <v>0</v>
      </c>
      <c r="E88" s="362">
        <v>0</v>
      </c>
      <c r="F88" s="362">
        <v>0</v>
      </c>
      <c r="H88" s="216"/>
      <c r="I88" s="281"/>
      <c r="J88" s="300"/>
      <c r="K88" s="358"/>
    </row>
    <row r="89" spans="2:11">
      <c r="B89" s="285" t="s">
        <v>199</v>
      </c>
      <c r="C89" s="283" t="s">
        <v>200</v>
      </c>
      <c r="D89" s="362">
        <v>0</v>
      </c>
      <c r="E89" s="362">
        <v>0</v>
      </c>
      <c r="F89" s="362">
        <v>0</v>
      </c>
      <c r="H89" s="216"/>
      <c r="I89" s="281"/>
      <c r="J89" s="300"/>
      <c r="K89" s="358"/>
    </row>
    <row r="90" spans="2:11">
      <c r="B90" s="283" t="s">
        <v>201</v>
      </c>
      <c r="C90" s="283" t="s">
        <v>202</v>
      </c>
      <c r="D90" s="362">
        <v>0</v>
      </c>
      <c r="E90" s="362">
        <v>0</v>
      </c>
      <c r="F90" s="362">
        <v>0</v>
      </c>
      <c r="H90" s="216"/>
      <c r="I90" s="281"/>
      <c r="J90" s="300"/>
      <c r="K90" s="358"/>
    </row>
    <row r="91" spans="2:11">
      <c r="B91" t="s">
        <v>203</v>
      </c>
      <c r="C91" t="s">
        <v>934</v>
      </c>
      <c r="D91" s="12">
        <v>0.14360000000000001</v>
      </c>
      <c r="E91" s="12">
        <v>0.51180000000000003</v>
      </c>
      <c r="F91" s="12">
        <v>0.60319999999999996</v>
      </c>
      <c r="H91" s="216"/>
      <c r="I91" s="281"/>
      <c r="J91" s="300"/>
      <c r="K91" s="358"/>
    </row>
    <row r="92" spans="2:11">
      <c r="B92" t="s">
        <v>205</v>
      </c>
      <c r="C92" t="s">
        <v>935</v>
      </c>
      <c r="D92" s="12">
        <v>3.3500000000000002E-2</v>
      </c>
      <c r="E92" s="12">
        <v>0.1187</v>
      </c>
      <c r="F92" s="12">
        <v>0.12590000000000001</v>
      </c>
      <c r="H92" s="216"/>
      <c r="I92" s="281"/>
      <c r="J92" s="300"/>
      <c r="K92" s="358"/>
    </row>
    <row r="93" spans="2:11">
      <c r="B93" t="s">
        <v>207</v>
      </c>
      <c r="C93" t="s">
        <v>936</v>
      </c>
      <c r="D93" s="12">
        <v>5.0500000000000003E-2</v>
      </c>
      <c r="E93" s="12">
        <v>7.1599999999999997E-2</v>
      </c>
      <c r="F93" s="12">
        <v>4.1700000000000001E-2</v>
      </c>
      <c r="H93" s="216"/>
      <c r="I93" s="281"/>
      <c r="J93" s="300"/>
      <c r="K93" s="358"/>
    </row>
    <row r="94" spans="2:11">
      <c r="B94" t="s">
        <v>209</v>
      </c>
      <c r="C94" t="s">
        <v>937</v>
      </c>
      <c r="D94" s="12">
        <v>8.1299999999999997E-2</v>
      </c>
      <c r="E94" s="12">
        <v>0.25309999999999999</v>
      </c>
      <c r="F94" s="12">
        <v>0.32719999999999999</v>
      </c>
      <c r="H94" s="216"/>
      <c r="I94" s="281"/>
      <c r="J94" s="300"/>
      <c r="K94" s="358"/>
    </row>
    <row r="95" spans="2:11">
      <c r="B95" t="s">
        <v>211</v>
      </c>
      <c r="C95" t="s">
        <v>938</v>
      </c>
      <c r="D95" s="12">
        <v>3.2800000000000003E-2</v>
      </c>
      <c r="E95" s="12">
        <v>0.1444</v>
      </c>
      <c r="F95" s="12">
        <v>0.14399999999999999</v>
      </c>
      <c r="H95" s="216"/>
      <c r="I95" s="281"/>
      <c r="J95" s="300"/>
      <c r="K95" s="358"/>
    </row>
    <row r="96" spans="2:11">
      <c r="B96" t="s">
        <v>213</v>
      </c>
      <c r="C96" t="s">
        <v>939</v>
      </c>
      <c r="D96" s="12">
        <v>2.4199999999999999E-2</v>
      </c>
      <c r="E96" s="12">
        <v>0.1399</v>
      </c>
      <c r="F96" s="12">
        <v>0.1095</v>
      </c>
      <c r="H96" s="216"/>
      <c r="I96" s="281"/>
      <c r="J96" s="300"/>
      <c r="K96" s="358"/>
    </row>
    <row r="97" spans="2:11">
      <c r="B97" t="s">
        <v>215</v>
      </c>
      <c r="C97" t="s">
        <v>940</v>
      </c>
      <c r="D97" s="12">
        <v>4.7100000000000003E-2</v>
      </c>
      <c r="E97" s="12">
        <v>0.1497</v>
      </c>
      <c r="F97" s="12">
        <v>0.16089999999999999</v>
      </c>
      <c r="H97" s="216"/>
      <c r="I97" s="281"/>
      <c r="J97" s="300"/>
      <c r="K97" s="358"/>
    </row>
    <row r="98" spans="2:11">
      <c r="B98" t="s">
        <v>217</v>
      </c>
      <c r="C98" t="s">
        <v>941</v>
      </c>
      <c r="D98" s="12">
        <v>2.1700000000000001E-2</v>
      </c>
      <c r="E98" s="12">
        <v>0.17879999999999999</v>
      </c>
      <c r="F98" s="12">
        <v>0.17530000000000001</v>
      </c>
      <c r="H98" s="216"/>
      <c r="I98" s="281"/>
      <c r="J98" s="300"/>
      <c r="K98" s="358"/>
    </row>
    <row r="99" spans="2:11">
      <c r="B99" t="s">
        <v>219</v>
      </c>
      <c r="C99" t="s">
        <v>942</v>
      </c>
      <c r="D99" s="12">
        <v>4.0599999999999997E-2</v>
      </c>
      <c r="E99" s="12">
        <v>0.14860000000000001</v>
      </c>
      <c r="F99" s="12">
        <v>0.16089999999999999</v>
      </c>
      <c r="H99" s="216"/>
      <c r="I99" s="281"/>
      <c r="J99" s="300"/>
      <c r="K99" s="358"/>
    </row>
    <row r="100" spans="2:11">
      <c r="B100" t="s">
        <v>221</v>
      </c>
      <c r="C100" t="s">
        <v>943</v>
      </c>
      <c r="D100" s="12">
        <v>3.4599999999999999E-2</v>
      </c>
      <c r="E100" s="12">
        <v>0.17019999999999999</v>
      </c>
      <c r="F100" s="12">
        <v>0.152</v>
      </c>
      <c r="H100" s="216"/>
      <c r="I100" s="281"/>
      <c r="J100" s="300"/>
      <c r="K100" s="358"/>
    </row>
    <row r="101" spans="2:11">
      <c r="B101" t="s">
        <v>223</v>
      </c>
      <c r="C101" t="s">
        <v>944</v>
      </c>
      <c r="D101" s="12">
        <v>8.7800000000000003E-2</v>
      </c>
      <c r="E101" s="12">
        <v>0.27939999999999998</v>
      </c>
      <c r="F101" s="12">
        <v>0.38030000000000003</v>
      </c>
      <c r="H101" s="216"/>
      <c r="I101" s="281"/>
      <c r="J101" s="300"/>
      <c r="K101" s="358"/>
    </row>
    <row r="102" spans="2:11">
      <c r="B102" t="s">
        <v>225</v>
      </c>
      <c r="C102" t="s">
        <v>945</v>
      </c>
      <c r="D102" s="12">
        <v>5.6500000000000002E-2</v>
      </c>
      <c r="E102" s="12">
        <v>0.42220000000000002</v>
      </c>
      <c r="F102" s="12">
        <v>0.44750000000000001</v>
      </c>
      <c r="H102" s="216"/>
      <c r="I102" s="281"/>
      <c r="J102" s="300"/>
      <c r="K102" s="358"/>
    </row>
    <row r="103" spans="2:11">
      <c r="B103" t="s">
        <v>227</v>
      </c>
      <c r="C103" t="s">
        <v>946</v>
      </c>
      <c r="D103" s="12">
        <v>9.5600000000000004E-2</v>
      </c>
      <c r="E103" s="12">
        <v>8.4699999999999998E-2</v>
      </c>
      <c r="F103" s="12">
        <v>0.1346</v>
      </c>
      <c r="H103" s="216"/>
      <c r="I103" s="281"/>
      <c r="J103" s="300"/>
      <c r="K103" s="358"/>
    </row>
    <row r="104" spans="2:11">
      <c r="B104" t="s">
        <v>229</v>
      </c>
      <c r="C104" t="s">
        <v>947</v>
      </c>
      <c r="D104" s="12">
        <v>5.79E-2</v>
      </c>
      <c r="E104" s="12">
        <v>0.22620000000000001</v>
      </c>
      <c r="F104" s="12">
        <v>0.22770000000000001</v>
      </c>
      <c r="H104" s="216"/>
      <c r="I104" s="281"/>
      <c r="J104" s="300"/>
      <c r="K104" s="358"/>
    </row>
    <row r="105" spans="2:11">
      <c r="B105" t="s">
        <v>231</v>
      </c>
      <c r="C105" t="s">
        <v>948</v>
      </c>
      <c r="D105" s="12">
        <v>6.5000000000000002E-2</v>
      </c>
      <c r="E105" s="12">
        <v>0.18410000000000001</v>
      </c>
      <c r="F105" s="12">
        <v>0.19889999999999999</v>
      </c>
      <c r="H105" s="216"/>
      <c r="I105" s="281"/>
      <c r="J105" s="300"/>
      <c r="K105" s="358"/>
    </row>
    <row r="106" spans="2:11">
      <c r="B106" t="s">
        <v>233</v>
      </c>
      <c r="C106" t="s">
        <v>949</v>
      </c>
      <c r="D106" s="12">
        <v>3.5999999999999997E-2</v>
      </c>
      <c r="E106" s="12">
        <v>0.13159999999999999</v>
      </c>
      <c r="F106" s="12">
        <v>0.12889999999999999</v>
      </c>
      <c r="H106" s="216"/>
      <c r="I106" s="281"/>
      <c r="J106" s="300"/>
      <c r="K106" s="358"/>
    </row>
    <row r="107" spans="2:11">
      <c r="B107" t="s">
        <v>235</v>
      </c>
      <c r="C107" t="s">
        <v>950</v>
      </c>
      <c r="D107" s="12">
        <v>4.2200000000000001E-2</v>
      </c>
      <c r="E107" s="12">
        <v>0.1646</v>
      </c>
      <c r="F107" s="12">
        <v>0.17</v>
      </c>
      <c r="H107" s="216"/>
      <c r="I107" s="281"/>
      <c r="J107" s="300"/>
      <c r="K107" s="358"/>
    </row>
    <row r="108" spans="2:11">
      <c r="B108" t="s">
        <v>237</v>
      </c>
      <c r="C108" t="s">
        <v>951</v>
      </c>
      <c r="D108" s="12">
        <v>9.1999999999999998E-2</v>
      </c>
      <c r="E108" s="12">
        <v>0.24579999999999999</v>
      </c>
      <c r="F108" s="12">
        <v>0.27560000000000001</v>
      </c>
      <c r="H108" s="216"/>
      <c r="I108" s="281"/>
      <c r="J108" s="300"/>
      <c r="K108" s="358"/>
    </row>
    <row r="109" spans="2:11">
      <c r="B109" t="s">
        <v>239</v>
      </c>
      <c r="C109" t="s">
        <v>952</v>
      </c>
      <c r="D109" s="12">
        <v>7.0800000000000002E-2</v>
      </c>
      <c r="E109" s="12">
        <v>0.2009</v>
      </c>
      <c r="F109" s="12">
        <v>0.2137</v>
      </c>
      <c r="H109" s="216"/>
      <c r="I109" s="281"/>
      <c r="J109" s="300"/>
      <c r="K109" s="358"/>
    </row>
    <row r="110" spans="2:11">
      <c r="B110" t="s">
        <v>241</v>
      </c>
      <c r="C110" t="s">
        <v>953</v>
      </c>
      <c r="D110" s="12">
        <v>6.6199999999999995E-2</v>
      </c>
      <c r="E110" s="12">
        <v>0.24010000000000001</v>
      </c>
      <c r="F110" s="12">
        <v>0.23710000000000001</v>
      </c>
      <c r="H110" s="216"/>
      <c r="I110" s="281"/>
      <c r="J110" s="300"/>
      <c r="K110" s="358"/>
    </row>
    <row r="111" spans="2:11">
      <c r="B111" t="s">
        <v>243</v>
      </c>
      <c r="C111" t="s">
        <v>954</v>
      </c>
      <c r="D111" s="12">
        <v>5.7299999999999997E-2</v>
      </c>
      <c r="E111" s="12">
        <v>0.1968</v>
      </c>
      <c r="F111" s="12">
        <v>0.184</v>
      </c>
      <c r="H111" s="216"/>
      <c r="I111" s="281"/>
      <c r="J111" s="300"/>
      <c r="K111" s="358"/>
    </row>
    <row r="112" spans="2:11">
      <c r="B112" t="s">
        <v>245</v>
      </c>
      <c r="C112" t="s">
        <v>955</v>
      </c>
      <c r="D112" s="12">
        <v>4.7600000000000003E-2</v>
      </c>
      <c r="E112" s="12">
        <v>0.18129999999999999</v>
      </c>
      <c r="F112" s="12">
        <v>0.17330000000000001</v>
      </c>
      <c r="H112" s="216"/>
      <c r="I112" s="281"/>
      <c r="J112" s="300"/>
      <c r="K112" s="358"/>
    </row>
    <row r="113" spans="2:11">
      <c r="B113" t="s">
        <v>247</v>
      </c>
      <c r="C113" t="s">
        <v>956</v>
      </c>
      <c r="D113" s="12">
        <v>4.3499999999999997E-2</v>
      </c>
      <c r="E113" s="12">
        <v>0.19489999999999999</v>
      </c>
      <c r="F113" s="12">
        <v>0.18740000000000001</v>
      </c>
      <c r="H113" s="216"/>
      <c r="I113" s="281"/>
      <c r="J113" s="300"/>
      <c r="K113" s="358"/>
    </row>
    <row r="114" spans="2:11">
      <c r="B114" t="s">
        <v>249</v>
      </c>
      <c r="C114" t="s">
        <v>957</v>
      </c>
      <c r="D114" s="12">
        <v>3.1600000000000003E-2</v>
      </c>
      <c r="E114" s="12">
        <v>0.12379999999999999</v>
      </c>
      <c r="F114" s="12">
        <v>0.11749999999999999</v>
      </c>
      <c r="H114" s="216"/>
      <c r="I114" s="281"/>
      <c r="J114" s="300"/>
      <c r="K114" s="358"/>
    </row>
    <row r="115" spans="2:11">
      <c r="B115" t="s">
        <v>251</v>
      </c>
      <c r="C115" t="s">
        <v>958</v>
      </c>
      <c r="D115" s="12">
        <v>5.5800000000000002E-2</v>
      </c>
      <c r="E115" s="12">
        <v>0.14549999999999999</v>
      </c>
      <c r="F115" s="12">
        <v>0.14119999999999999</v>
      </c>
      <c r="H115" s="216"/>
      <c r="I115" s="281"/>
      <c r="J115" s="300"/>
      <c r="K115" s="358"/>
    </row>
    <row r="116" spans="2:11">
      <c r="B116" t="s">
        <v>253</v>
      </c>
      <c r="C116" t="s">
        <v>959</v>
      </c>
      <c r="D116" s="12">
        <v>6.3899999999999998E-2</v>
      </c>
      <c r="E116" s="12">
        <v>0.25269999999999998</v>
      </c>
      <c r="F116" s="12">
        <v>0.21129999999999999</v>
      </c>
      <c r="H116" s="216"/>
      <c r="I116" s="281"/>
      <c r="J116" s="300"/>
      <c r="K116" s="358"/>
    </row>
    <row r="117" spans="2:11">
      <c r="B117" t="s">
        <v>255</v>
      </c>
      <c r="C117" t="s">
        <v>960</v>
      </c>
      <c r="D117" s="12">
        <v>3.3399999999999999E-2</v>
      </c>
      <c r="E117" s="12">
        <v>0.1817</v>
      </c>
      <c r="F117" s="12">
        <v>0.20449999999999999</v>
      </c>
      <c r="H117" s="216"/>
      <c r="I117" s="281"/>
      <c r="J117" s="300"/>
      <c r="K117" s="358"/>
    </row>
    <row r="118" spans="2:11">
      <c r="B118" s="354" t="s">
        <v>257</v>
      </c>
      <c r="C118" s="363" t="s">
        <v>258</v>
      </c>
      <c r="D118" s="361">
        <v>3.7100000000000001E-2</v>
      </c>
      <c r="E118" s="539">
        <v>0.14399999999999999</v>
      </c>
      <c r="F118" s="364">
        <v>0.14119999999999999</v>
      </c>
      <c r="H118" s="216"/>
      <c r="I118" s="281"/>
      <c r="J118" s="300"/>
      <c r="K118" s="358"/>
    </row>
    <row r="119" spans="2:11">
      <c r="B119" t="s">
        <v>261</v>
      </c>
      <c r="C119" t="s">
        <v>961</v>
      </c>
      <c r="D119" s="12">
        <v>5.8400000000000001E-2</v>
      </c>
      <c r="E119" s="12">
        <v>0.34110000000000001</v>
      </c>
      <c r="F119" s="360">
        <v>0.14119999999999999</v>
      </c>
      <c r="H119" s="216"/>
      <c r="I119" s="281"/>
      <c r="J119" s="300"/>
      <c r="K119" s="358"/>
    </row>
    <row r="120" spans="2:11">
      <c r="B120" t="s">
        <v>263</v>
      </c>
      <c r="C120" s="11" t="s">
        <v>962</v>
      </c>
      <c r="D120" s="360">
        <v>3.7100000000000001E-2</v>
      </c>
      <c r="E120" s="360">
        <v>0.14399999999999999</v>
      </c>
      <c r="F120" s="360">
        <v>0.14119999999999999</v>
      </c>
      <c r="H120" s="216"/>
      <c r="I120" s="281"/>
      <c r="J120" s="300"/>
      <c r="K120" s="358"/>
    </row>
    <row r="121" spans="2:11">
      <c r="B121" t="s">
        <v>259</v>
      </c>
      <c r="C121" s="11" t="s">
        <v>964</v>
      </c>
      <c r="D121" s="360">
        <v>3.7100000000000001E-2</v>
      </c>
      <c r="E121" s="360">
        <v>0.14399999999999999</v>
      </c>
      <c r="F121" s="12">
        <v>0</v>
      </c>
      <c r="H121" s="216"/>
      <c r="I121" s="281"/>
      <c r="J121" s="300"/>
      <c r="K121" s="358"/>
    </row>
    <row r="122" spans="2:11">
      <c r="B122" t="s">
        <v>265</v>
      </c>
      <c r="C122" t="s">
        <v>965</v>
      </c>
      <c r="D122" s="12">
        <v>9.5200000000000007E-2</v>
      </c>
      <c r="E122" s="12">
        <v>0.31990000000000002</v>
      </c>
      <c r="F122" s="12">
        <v>0.36670000000000003</v>
      </c>
      <c r="H122" s="216"/>
      <c r="I122" s="281"/>
      <c r="J122" s="300"/>
      <c r="K122" s="358"/>
    </row>
    <row r="123" spans="2:11">
      <c r="B123" t="s">
        <v>267</v>
      </c>
      <c r="C123" t="s">
        <v>966</v>
      </c>
      <c r="D123" s="12">
        <v>0.1938</v>
      </c>
      <c r="E123" s="12">
        <v>0.44629999999999997</v>
      </c>
      <c r="F123" s="12">
        <v>0.42249999999999999</v>
      </c>
      <c r="H123" s="216"/>
      <c r="I123" s="281"/>
      <c r="J123" s="300"/>
      <c r="K123" s="358"/>
    </row>
    <row r="124" spans="2:11">
      <c r="B124" t="s">
        <v>269</v>
      </c>
      <c r="C124" t="s">
        <v>967</v>
      </c>
      <c r="D124" s="12">
        <v>1.4500000000000001E-2</v>
      </c>
      <c r="E124" s="12">
        <v>9.9299999999999999E-2</v>
      </c>
      <c r="F124" s="12">
        <v>5.8999999999999997E-2</v>
      </c>
      <c r="H124" s="216"/>
      <c r="I124" s="281"/>
      <c r="J124" s="300"/>
      <c r="K124" s="358"/>
    </row>
    <row r="125" spans="2:11">
      <c r="B125" t="s">
        <v>271</v>
      </c>
      <c r="C125" t="s">
        <v>968</v>
      </c>
      <c r="D125" s="12">
        <v>4.3999999999999997E-2</v>
      </c>
      <c r="E125" s="12">
        <v>0.46110000000000001</v>
      </c>
      <c r="F125" s="12">
        <v>0.28320000000000001</v>
      </c>
      <c r="H125" s="216"/>
      <c r="I125" s="281"/>
      <c r="J125" s="300"/>
      <c r="K125" s="358"/>
    </row>
    <row r="126" spans="2:11">
      <c r="B126" t="s">
        <v>273</v>
      </c>
      <c r="C126" t="s">
        <v>969</v>
      </c>
      <c r="D126" s="12">
        <v>0</v>
      </c>
      <c r="E126" s="12">
        <v>0.19919999999999999</v>
      </c>
      <c r="F126" s="12">
        <v>0.1646</v>
      </c>
      <c r="H126" s="216"/>
      <c r="I126" s="281"/>
      <c r="J126" s="300"/>
      <c r="K126" s="358"/>
    </row>
    <row r="127" spans="2:11">
      <c r="B127" t="s">
        <v>275</v>
      </c>
      <c r="C127" t="s">
        <v>970</v>
      </c>
      <c r="D127" s="12">
        <v>8.3699999999999997E-2</v>
      </c>
      <c r="E127" s="12">
        <v>0.33129999999999998</v>
      </c>
      <c r="F127" s="12">
        <v>0.49419999999999997</v>
      </c>
      <c r="H127" s="216"/>
      <c r="I127" s="281"/>
      <c r="J127" s="300"/>
      <c r="K127" s="358"/>
    </row>
    <row r="128" spans="2:11">
      <c r="B128" t="s">
        <v>277</v>
      </c>
      <c r="C128" t="s">
        <v>971</v>
      </c>
      <c r="D128" s="12">
        <v>4.5199999999999997E-2</v>
      </c>
      <c r="E128" s="12">
        <v>0.1736</v>
      </c>
      <c r="F128" s="12">
        <v>0.2104</v>
      </c>
      <c r="H128" s="216"/>
      <c r="I128" s="281"/>
      <c r="J128" s="300"/>
      <c r="K128" s="358"/>
    </row>
    <row r="129" spans="2:11">
      <c r="B129" t="s">
        <v>279</v>
      </c>
      <c r="C129" t="s">
        <v>972</v>
      </c>
      <c r="D129" s="12">
        <v>4.1500000000000002E-2</v>
      </c>
      <c r="E129" s="12">
        <v>0.1245</v>
      </c>
      <c r="F129" s="12">
        <v>0.12509999999999999</v>
      </c>
      <c r="H129" s="216"/>
      <c r="I129" s="281"/>
      <c r="J129" s="300"/>
      <c r="K129" s="358"/>
    </row>
    <row r="130" spans="2:11">
      <c r="B130" t="s">
        <v>281</v>
      </c>
      <c r="C130" t="s">
        <v>973</v>
      </c>
      <c r="D130" s="12">
        <v>4.5100000000000001E-2</v>
      </c>
      <c r="E130" s="12">
        <v>0.14430000000000001</v>
      </c>
      <c r="F130" s="12">
        <v>0.15859999999999999</v>
      </c>
      <c r="H130" s="216"/>
      <c r="I130" s="281"/>
      <c r="J130" s="300"/>
      <c r="K130" s="358"/>
    </row>
    <row r="131" spans="2:11">
      <c r="B131" t="s">
        <v>283</v>
      </c>
      <c r="C131" t="s">
        <v>974</v>
      </c>
      <c r="D131" s="12">
        <v>3.6499999999999998E-2</v>
      </c>
      <c r="E131" s="12">
        <v>0.20169999999999999</v>
      </c>
      <c r="F131" s="12">
        <v>0.26290000000000002</v>
      </c>
      <c r="H131" s="216"/>
      <c r="I131" s="281"/>
      <c r="J131" s="300"/>
      <c r="K131" s="358"/>
    </row>
    <row r="132" spans="2:11">
      <c r="B132" t="s">
        <v>285</v>
      </c>
      <c r="C132" t="s">
        <v>975</v>
      </c>
      <c r="D132" s="361">
        <v>6.8900000000000003E-2</v>
      </c>
      <c r="E132" s="12">
        <v>0.19320000000000001</v>
      </c>
      <c r="F132" s="359">
        <v>0.1988</v>
      </c>
      <c r="H132" s="216"/>
      <c r="I132" s="281"/>
      <c r="J132" s="300"/>
      <c r="K132" s="358"/>
    </row>
    <row r="133" spans="2:11">
      <c r="B133" t="s">
        <v>287</v>
      </c>
      <c r="C133" t="s">
        <v>976</v>
      </c>
      <c r="D133" s="12">
        <v>9.5600000000000004E-2</v>
      </c>
      <c r="E133" s="12">
        <v>0.26379999999999998</v>
      </c>
      <c r="F133" s="12">
        <v>0.26989999999999997</v>
      </c>
      <c r="H133" s="216"/>
      <c r="I133" s="281"/>
      <c r="J133" s="300"/>
      <c r="K133" s="358"/>
    </row>
    <row r="134" spans="2:11">
      <c r="B134" t="s">
        <v>289</v>
      </c>
      <c r="C134" t="s">
        <v>977</v>
      </c>
      <c r="D134" s="12">
        <v>3.3599999999999998E-2</v>
      </c>
      <c r="E134" s="12">
        <v>0.30470000000000003</v>
      </c>
      <c r="F134" s="12">
        <v>0.1769</v>
      </c>
      <c r="H134" s="216"/>
      <c r="I134" s="281"/>
      <c r="J134" s="300"/>
      <c r="K134" s="358"/>
    </row>
    <row r="135" spans="2:11">
      <c r="B135" t="s">
        <v>291</v>
      </c>
      <c r="C135" t="s">
        <v>978</v>
      </c>
      <c r="D135" s="12">
        <v>4.5400000000000003E-2</v>
      </c>
      <c r="E135" s="12">
        <v>0.2016</v>
      </c>
      <c r="F135" s="12">
        <v>0.19639999999999999</v>
      </c>
      <c r="H135" s="216"/>
      <c r="I135" s="281"/>
      <c r="J135" s="300"/>
      <c r="K135" s="358"/>
    </row>
    <row r="136" spans="2:11">
      <c r="B136" t="s">
        <v>293</v>
      </c>
      <c r="C136" t="s">
        <v>979</v>
      </c>
      <c r="D136" s="12">
        <v>2.5899999999999999E-2</v>
      </c>
      <c r="E136" s="12">
        <v>0.17330000000000001</v>
      </c>
      <c r="F136" s="12">
        <v>0.17680000000000001</v>
      </c>
      <c r="H136" s="216"/>
      <c r="I136" s="281"/>
      <c r="J136" s="300"/>
      <c r="K136" s="358"/>
    </row>
    <row r="137" spans="2:11">
      <c r="B137" t="s">
        <v>295</v>
      </c>
      <c r="C137" t="s">
        <v>980</v>
      </c>
      <c r="D137" s="12">
        <v>6.8000000000000005E-2</v>
      </c>
      <c r="E137" s="12">
        <v>0.25090000000000001</v>
      </c>
      <c r="F137" s="12">
        <v>0.29139999999999999</v>
      </c>
      <c r="H137" s="216"/>
      <c r="I137" s="281"/>
      <c r="J137" s="300"/>
      <c r="K137" s="358"/>
    </row>
    <row r="138" spans="2:11">
      <c r="B138" t="s">
        <v>297</v>
      </c>
      <c r="C138" t="s">
        <v>981</v>
      </c>
      <c r="D138" s="12">
        <v>4.36E-2</v>
      </c>
      <c r="E138" s="12">
        <v>0.1855</v>
      </c>
      <c r="F138" s="12">
        <v>0.1734</v>
      </c>
      <c r="H138" s="216"/>
      <c r="I138" s="281"/>
      <c r="J138" s="300"/>
      <c r="K138" s="358"/>
    </row>
    <row r="139" spans="2:11">
      <c r="B139" t="s">
        <v>299</v>
      </c>
      <c r="C139" t="s">
        <v>982</v>
      </c>
      <c r="D139" s="12">
        <v>0.04</v>
      </c>
      <c r="E139" s="12">
        <v>0.13489999999999999</v>
      </c>
      <c r="F139" s="12">
        <v>0.1353</v>
      </c>
      <c r="H139" s="216"/>
      <c r="I139" s="281"/>
      <c r="J139" s="300"/>
      <c r="K139" s="358"/>
    </row>
    <row r="140" spans="2:11">
      <c r="B140" t="s">
        <v>301</v>
      </c>
      <c r="C140" t="s">
        <v>983</v>
      </c>
      <c r="D140" s="12">
        <v>3.4799999999999998E-2</v>
      </c>
      <c r="E140" s="12">
        <v>0.1157</v>
      </c>
      <c r="F140" s="12">
        <v>0.1143</v>
      </c>
      <c r="H140" s="216"/>
      <c r="I140" s="281"/>
      <c r="J140" s="300"/>
      <c r="K140" s="358"/>
    </row>
    <row r="141" spans="2:11">
      <c r="B141" t="s">
        <v>303</v>
      </c>
      <c r="C141" t="s">
        <v>984</v>
      </c>
      <c r="D141" s="12">
        <v>4.6600000000000003E-2</v>
      </c>
      <c r="E141" s="12">
        <v>0.1772</v>
      </c>
      <c r="F141" s="12">
        <v>0.1757</v>
      </c>
      <c r="H141" s="216"/>
      <c r="I141" s="281"/>
      <c r="J141" s="300"/>
      <c r="K141" s="358"/>
    </row>
    <row r="142" spans="2:11">
      <c r="B142" t="s">
        <v>305</v>
      </c>
      <c r="C142" t="s">
        <v>985</v>
      </c>
      <c r="D142" s="12">
        <v>2.2200000000000001E-2</v>
      </c>
      <c r="E142" s="12">
        <v>0.2974</v>
      </c>
      <c r="F142" s="12">
        <v>0.25419999999999998</v>
      </c>
      <c r="H142" s="216"/>
      <c r="I142" s="281"/>
      <c r="J142" s="300"/>
      <c r="K142" s="358"/>
    </row>
    <row r="143" spans="2:11">
      <c r="B143" t="s">
        <v>307</v>
      </c>
      <c r="C143" t="s">
        <v>986</v>
      </c>
      <c r="D143" s="12">
        <v>2.0500000000000001E-2</v>
      </c>
      <c r="E143" s="12">
        <v>0.20730000000000001</v>
      </c>
      <c r="F143" s="12">
        <v>0.2356</v>
      </c>
      <c r="H143" s="216"/>
      <c r="I143" s="281"/>
      <c r="J143" s="300"/>
      <c r="K143" s="358"/>
    </row>
    <row r="144" spans="2:11">
      <c r="B144" t="s">
        <v>309</v>
      </c>
      <c r="C144" t="s">
        <v>987</v>
      </c>
      <c r="D144" s="12">
        <v>4.8599999999999997E-2</v>
      </c>
      <c r="E144" s="12">
        <v>0.18890000000000001</v>
      </c>
      <c r="F144" s="12">
        <v>0.21590000000000001</v>
      </c>
      <c r="H144" s="216"/>
      <c r="I144" s="281"/>
      <c r="J144" s="300"/>
      <c r="K144" s="358"/>
    </row>
    <row r="145" spans="2:11">
      <c r="B145" t="s">
        <v>311</v>
      </c>
      <c r="C145" t="s">
        <v>988</v>
      </c>
      <c r="D145" s="12">
        <v>5.0099999999999999E-2</v>
      </c>
      <c r="E145" s="12">
        <v>0.153</v>
      </c>
      <c r="F145" s="12">
        <v>0.15629999999999999</v>
      </c>
      <c r="H145" s="216"/>
      <c r="I145" s="281"/>
      <c r="J145" s="300"/>
      <c r="K145" s="358"/>
    </row>
    <row r="146" spans="2:11">
      <c r="B146" t="s">
        <v>313</v>
      </c>
      <c r="C146" t="s">
        <v>989</v>
      </c>
      <c r="D146" s="12">
        <v>9.0499999999999997E-2</v>
      </c>
      <c r="E146" s="12">
        <v>0.2944</v>
      </c>
      <c r="F146" s="12">
        <v>0.2923</v>
      </c>
      <c r="H146" s="216"/>
      <c r="I146" s="281"/>
      <c r="J146" s="300"/>
      <c r="K146" s="358"/>
    </row>
    <row r="147" spans="2:11">
      <c r="B147" t="s">
        <v>315</v>
      </c>
      <c r="C147" t="s">
        <v>990</v>
      </c>
      <c r="D147" s="12">
        <v>9.01E-2</v>
      </c>
      <c r="E147" s="12">
        <v>0.2641</v>
      </c>
      <c r="F147" s="12">
        <v>0.3175</v>
      </c>
      <c r="H147" s="216"/>
      <c r="I147" s="281"/>
      <c r="J147" s="300"/>
      <c r="K147" s="358"/>
    </row>
    <row r="148" spans="2:11">
      <c r="B148" t="s">
        <v>317</v>
      </c>
      <c r="C148" s="11" t="s">
        <v>991</v>
      </c>
      <c r="D148" s="360">
        <v>3.7100000000000001E-2</v>
      </c>
      <c r="E148" s="360">
        <v>0.14399999999999999</v>
      </c>
      <c r="F148" s="360">
        <v>0.14119999999999999</v>
      </c>
      <c r="H148" s="216"/>
      <c r="I148" s="281"/>
      <c r="J148" s="300"/>
      <c r="K148" s="358"/>
    </row>
    <row r="149" spans="2:11">
      <c r="B149" t="s">
        <v>319</v>
      </c>
      <c r="C149" t="s">
        <v>993</v>
      </c>
      <c r="D149" s="12">
        <v>0</v>
      </c>
      <c r="E149" s="12">
        <v>0</v>
      </c>
      <c r="F149" s="12">
        <v>0</v>
      </c>
      <c r="H149" s="216"/>
      <c r="I149" s="281"/>
      <c r="J149" s="300"/>
      <c r="K149" s="358"/>
    </row>
    <row r="150" spans="2:11">
      <c r="B150" t="s">
        <v>321</v>
      </c>
      <c r="C150" t="s">
        <v>994</v>
      </c>
      <c r="D150" s="12">
        <v>1.72E-2</v>
      </c>
      <c r="E150" s="12">
        <v>0.16400000000000001</v>
      </c>
      <c r="F150" s="12">
        <v>0.11</v>
      </c>
      <c r="H150" s="216"/>
      <c r="I150" s="281"/>
      <c r="J150" s="300"/>
      <c r="K150" s="358"/>
    </row>
    <row r="151" spans="2:11">
      <c r="B151" t="s">
        <v>323</v>
      </c>
      <c r="C151" t="s">
        <v>995</v>
      </c>
      <c r="D151" s="12">
        <v>9.4000000000000004E-3</v>
      </c>
      <c r="E151" s="12">
        <v>0.14910000000000001</v>
      </c>
      <c r="F151" s="12">
        <v>0.13159999999999999</v>
      </c>
      <c r="H151" s="216"/>
      <c r="I151" s="281"/>
      <c r="J151" s="300"/>
      <c r="K151" s="358"/>
    </row>
    <row r="152" spans="2:11">
      <c r="B152" t="s">
        <v>325</v>
      </c>
      <c r="C152" t="s">
        <v>996</v>
      </c>
      <c r="D152" s="12">
        <v>7.7799999999999994E-2</v>
      </c>
      <c r="E152" s="12">
        <v>0.21229999999999999</v>
      </c>
      <c r="F152" s="12">
        <v>0.13919999999999999</v>
      </c>
      <c r="H152" s="216"/>
      <c r="I152" s="281"/>
      <c r="J152" s="300"/>
      <c r="K152" s="358"/>
    </row>
    <row r="153" spans="2:11">
      <c r="B153" t="s">
        <v>327</v>
      </c>
      <c r="C153" t="s">
        <v>997</v>
      </c>
      <c r="D153" s="12">
        <v>5.2299999999999999E-2</v>
      </c>
      <c r="E153" s="12">
        <v>0.34100000000000003</v>
      </c>
      <c r="F153" s="12">
        <v>0.43240000000000001</v>
      </c>
      <c r="H153" s="216"/>
      <c r="I153" s="281"/>
      <c r="J153" s="300"/>
      <c r="K153" s="358"/>
    </row>
    <row r="154" spans="2:11">
      <c r="B154" t="s">
        <v>329</v>
      </c>
      <c r="C154" t="s">
        <v>998</v>
      </c>
      <c r="D154" s="523">
        <v>2.8500000000000001E-2</v>
      </c>
      <c r="E154" s="12">
        <v>0.1157</v>
      </c>
      <c r="F154" s="12">
        <v>6.0299999999999999E-2</v>
      </c>
      <c r="H154" s="216"/>
      <c r="I154" s="281"/>
      <c r="J154" s="300"/>
      <c r="K154" s="358"/>
    </row>
    <row r="155" spans="2:11">
      <c r="B155" t="s">
        <v>331</v>
      </c>
      <c r="C155" t="s">
        <v>999</v>
      </c>
      <c r="D155" s="12">
        <v>1.3299999999999999E-2</v>
      </c>
      <c r="E155" s="12">
        <v>5.7500000000000002E-2</v>
      </c>
      <c r="F155" s="12">
        <v>7.8E-2</v>
      </c>
      <c r="H155" s="216"/>
      <c r="I155" s="281"/>
      <c r="J155" s="300"/>
      <c r="K155" s="358"/>
    </row>
    <row r="156" spans="2:11">
      <c r="B156" t="s">
        <v>333</v>
      </c>
      <c r="C156" t="s">
        <v>1000</v>
      </c>
      <c r="D156" s="12">
        <v>1.04E-2</v>
      </c>
      <c r="E156" s="12">
        <v>0.25159999999999999</v>
      </c>
      <c r="F156" s="12">
        <v>0.2024</v>
      </c>
      <c r="H156" s="216"/>
      <c r="I156" s="281"/>
      <c r="J156" s="300"/>
      <c r="K156" s="358"/>
    </row>
    <row r="157" spans="2:11">
      <c r="B157" t="s">
        <v>335</v>
      </c>
      <c r="C157" t="s">
        <v>1001</v>
      </c>
      <c r="D157" s="12">
        <v>4.1399999999999999E-2</v>
      </c>
      <c r="E157" s="12">
        <v>0.1419</v>
      </c>
      <c r="F157" s="12">
        <v>0.13139999999999999</v>
      </c>
      <c r="H157" s="216"/>
      <c r="I157" s="281"/>
      <c r="J157" s="300"/>
      <c r="K157" s="358"/>
    </row>
    <row r="158" spans="2:11">
      <c r="B158" t="s">
        <v>337</v>
      </c>
      <c r="C158" t="s">
        <v>1002</v>
      </c>
      <c r="D158" s="12">
        <v>4.6899999999999997E-2</v>
      </c>
      <c r="E158" s="12">
        <v>0.22869999999999999</v>
      </c>
      <c r="F158" s="12">
        <v>0.26240000000000002</v>
      </c>
      <c r="H158" s="216"/>
      <c r="I158" s="281"/>
      <c r="J158" s="300"/>
      <c r="K158" s="358"/>
    </row>
    <row r="159" spans="2:11">
      <c r="B159" t="s">
        <v>339</v>
      </c>
      <c r="C159" t="s">
        <v>1003</v>
      </c>
      <c r="D159" s="12">
        <v>2.7699999999999999E-2</v>
      </c>
      <c r="E159" s="12">
        <v>0.1285</v>
      </c>
      <c r="F159" s="12">
        <v>0.13220000000000001</v>
      </c>
      <c r="H159" s="216"/>
      <c r="I159" s="281"/>
      <c r="J159" s="300"/>
      <c r="K159" s="358"/>
    </row>
    <row r="160" spans="2:11">
      <c r="B160" t="s">
        <v>341</v>
      </c>
      <c r="C160" t="s">
        <v>1004</v>
      </c>
      <c r="D160" s="12">
        <v>4.6199999999999998E-2</v>
      </c>
      <c r="E160" s="12">
        <v>0.1762</v>
      </c>
      <c r="F160" s="12">
        <v>0.16439999999999999</v>
      </c>
      <c r="H160" s="216"/>
      <c r="I160" s="281"/>
      <c r="J160" s="300"/>
      <c r="K160" s="358"/>
    </row>
    <row r="161" spans="2:11">
      <c r="B161" t="s">
        <v>343</v>
      </c>
      <c r="C161" t="s">
        <v>1005</v>
      </c>
      <c r="D161" s="12">
        <v>2.98E-2</v>
      </c>
      <c r="E161" s="12">
        <v>0.15229999999999999</v>
      </c>
      <c r="F161" s="12">
        <v>0.14099999999999999</v>
      </c>
      <c r="H161" s="216"/>
      <c r="I161" s="281"/>
      <c r="J161" s="300"/>
      <c r="K161" s="358"/>
    </row>
    <row r="162" spans="2:11">
      <c r="B162" t="s">
        <v>345</v>
      </c>
      <c r="C162" t="s">
        <v>1006</v>
      </c>
      <c r="D162" s="12">
        <v>5.5800000000000002E-2</v>
      </c>
      <c r="E162" s="12">
        <v>0.26550000000000001</v>
      </c>
      <c r="F162" s="12">
        <v>0.26669999999999999</v>
      </c>
      <c r="H162" s="216"/>
      <c r="I162" s="281"/>
      <c r="J162" s="300"/>
      <c r="K162" s="358"/>
    </row>
    <row r="163" spans="2:11">
      <c r="B163" t="s">
        <v>347</v>
      </c>
      <c r="C163" t="s">
        <v>1007</v>
      </c>
      <c r="D163" s="12">
        <v>2.9700000000000001E-2</v>
      </c>
      <c r="E163" s="12">
        <v>0.21049999999999999</v>
      </c>
      <c r="F163" s="12">
        <v>0.17649999999999999</v>
      </c>
      <c r="H163" s="216"/>
      <c r="I163" s="281"/>
      <c r="J163" s="300"/>
      <c r="K163" s="358"/>
    </row>
    <row r="164" spans="2:11">
      <c r="B164" t="s">
        <v>349</v>
      </c>
      <c r="C164" t="s">
        <v>1008</v>
      </c>
      <c r="D164" s="12">
        <v>6.8400000000000002E-2</v>
      </c>
      <c r="E164" s="12">
        <v>0.26869999999999999</v>
      </c>
      <c r="F164" s="12">
        <v>0.23319999999999999</v>
      </c>
      <c r="H164" s="216"/>
      <c r="I164" s="281"/>
      <c r="J164" s="300"/>
      <c r="K164" s="358"/>
    </row>
    <row r="165" spans="2:11">
      <c r="B165" t="s">
        <v>351</v>
      </c>
      <c r="C165" t="s">
        <v>1009</v>
      </c>
      <c r="D165" s="12">
        <v>5.5800000000000002E-2</v>
      </c>
      <c r="E165" s="12">
        <v>0.1762</v>
      </c>
      <c r="F165" s="12">
        <v>0.16300000000000001</v>
      </c>
      <c r="H165" s="216"/>
      <c r="I165" s="281"/>
      <c r="J165" s="300"/>
      <c r="K165" s="358"/>
    </row>
    <row r="166" spans="2:11">
      <c r="B166" t="s">
        <v>353</v>
      </c>
      <c r="C166" t="s">
        <v>1010</v>
      </c>
      <c r="D166" s="12">
        <v>3.0800000000000001E-2</v>
      </c>
      <c r="E166" s="12">
        <v>0.1234</v>
      </c>
      <c r="F166" s="12">
        <v>0.1467</v>
      </c>
      <c r="H166" s="216"/>
      <c r="I166" s="281"/>
      <c r="J166" s="300"/>
      <c r="K166" s="358"/>
    </row>
    <row r="167" spans="2:11">
      <c r="B167" t="s">
        <v>355</v>
      </c>
      <c r="C167" t="s">
        <v>1011</v>
      </c>
      <c r="D167" s="12">
        <v>1.32E-2</v>
      </c>
      <c r="E167" s="12">
        <v>0.21790000000000001</v>
      </c>
      <c r="F167" s="12">
        <v>0.1971</v>
      </c>
      <c r="H167" s="216"/>
      <c r="I167" s="281"/>
      <c r="J167" s="300"/>
      <c r="K167" s="358"/>
    </row>
    <row r="168" spans="2:11">
      <c r="B168" t="s">
        <v>357</v>
      </c>
      <c r="C168" t="s">
        <v>1012</v>
      </c>
      <c r="D168" s="12">
        <v>4.5400000000000003E-2</v>
      </c>
      <c r="E168" s="12">
        <v>0.1615</v>
      </c>
      <c r="F168" s="12">
        <v>0.16769999999999999</v>
      </c>
      <c r="H168" s="216"/>
      <c r="I168" s="281"/>
      <c r="J168" s="300"/>
      <c r="K168" s="358"/>
    </row>
    <row r="169" spans="2:11">
      <c r="B169" t="s">
        <v>359</v>
      </c>
      <c r="C169" t="s">
        <v>1013</v>
      </c>
      <c r="D169" s="12">
        <v>6.6299999999999998E-2</v>
      </c>
      <c r="E169" s="12">
        <v>0.1779</v>
      </c>
      <c r="F169" s="12">
        <v>0.185</v>
      </c>
      <c r="H169" s="216"/>
      <c r="I169" s="281"/>
      <c r="J169" s="300"/>
      <c r="K169" s="358"/>
    </row>
    <row r="170" spans="2:11">
      <c r="B170" t="s">
        <v>361</v>
      </c>
      <c r="C170" t="s">
        <v>1014</v>
      </c>
      <c r="D170" s="12">
        <v>5.8099999999999999E-2</v>
      </c>
      <c r="E170" s="12">
        <v>0.23930000000000001</v>
      </c>
      <c r="F170" s="12">
        <v>0.27089999999999997</v>
      </c>
      <c r="H170" s="216"/>
      <c r="I170" s="281"/>
      <c r="J170" s="300"/>
      <c r="K170" s="358"/>
    </row>
    <row r="171" spans="2:11">
      <c r="B171" t="s">
        <v>363</v>
      </c>
      <c r="C171" t="s">
        <v>1015</v>
      </c>
      <c r="D171" s="12">
        <v>2.3699999999999999E-2</v>
      </c>
      <c r="E171" s="12">
        <v>0.1431</v>
      </c>
      <c r="F171" s="12">
        <v>0.1</v>
      </c>
      <c r="H171" s="216"/>
      <c r="I171" s="281"/>
      <c r="J171" s="300"/>
      <c r="K171" s="358"/>
    </row>
    <row r="172" spans="2:11">
      <c r="B172" t="s">
        <v>365</v>
      </c>
      <c r="C172" t="s">
        <v>1016</v>
      </c>
      <c r="D172" s="12">
        <v>2.5100000000000001E-2</v>
      </c>
      <c r="E172" s="12">
        <v>0.36559999999999998</v>
      </c>
      <c r="F172" s="12">
        <v>0.4219</v>
      </c>
      <c r="H172" s="216"/>
      <c r="I172" s="281"/>
      <c r="J172" s="300"/>
      <c r="K172" s="358"/>
    </row>
    <row r="173" spans="2:11">
      <c r="B173" t="s">
        <v>367</v>
      </c>
      <c r="C173" t="s">
        <v>1017</v>
      </c>
      <c r="D173" s="12">
        <v>1.1999999999999999E-3</v>
      </c>
      <c r="E173" s="12">
        <v>0.10639999999999999</v>
      </c>
      <c r="F173" s="12">
        <v>8.0799999999999997E-2</v>
      </c>
      <c r="H173" s="216"/>
      <c r="I173" s="281"/>
      <c r="J173" s="300"/>
      <c r="K173" s="358"/>
    </row>
    <row r="174" spans="2:11">
      <c r="B174" t="s">
        <v>369</v>
      </c>
      <c r="C174" t="s">
        <v>1019</v>
      </c>
      <c r="D174" s="12">
        <v>0</v>
      </c>
      <c r="E174" s="12">
        <v>3.2800000000000003E-2</v>
      </c>
      <c r="F174" s="12">
        <v>1.7299999999999999E-2</v>
      </c>
      <c r="H174" s="216"/>
      <c r="I174" s="281"/>
      <c r="J174" s="300"/>
      <c r="K174" s="358"/>
    </row>
    <row r="175" spans="2:11">
      <c r="B175" t="s">
        <v>371</v>
      </c>
      <c r="C175" t="s">
        <v>1020</v>
      </c>
      <c r="D175" s="12">
        <v>4.4499999999999998E-2</v>
      </c>
      <c r="E175" s="12">
        <v>0.12859999999999999</v>
      </c>
      <c r="F175" s="12">
        <v>0.13619999999999999</v>
      </c>
      <c r="H175" s="216"/>
      <c r="I175" s="281"/>
      <c r="J175" s="300"/>
      <c r="K175" s="358"/>
    </row>
    <row r="176" spans="2:11">
      <c r="B176" t="s">
        <v>373</v>
      </c>
      <c r="C176" t="s">
        <v>1021</v>
      </c>
      <c r="D176" s="12">
        <v>5.6599999999999998E-2</v>
      </c>
      <c r="E176" s="12">
        <v>0.27160000000000001</v>
      </c>
      <c r="F176" s="12">
        <v>0.19700000000000001</v>
      </c>
      <c r="H176" s="216"/>
      <c r="I176" s="281"/>
      <c r="J176" s="300"/>
      <c r="K176" s="358"/>
    </row>
    <row r="177" spans="2:11">
      <c r="B177" t="s">
        <v>375</v>
      </c>
      <c r="C177" t="s">
        <v>1022</v>
      </c>
      <c r="D177" s="12">
        <v>4.6899999999999997E-2</v>
      </c>
      <c r="E177" s="12">
        <v>0.1958</v>
      </c>
      <c r="F177" s="12">
        <v>0.2145</v>
      </c>
      <c r="H177" s="216"/>
      <c r="I177" s="281"/>
      <c r="J177" s="300"/>
      <c r="K177" s="358"/>
    </row>
    <row r="178" spans="2:11">
      <c r="B178" t="s">
        <v>377</v>
      </c>
      <c r="C178" t="s">
        <v>1023</v>
      </c>
      <c r="D178" s="12">
        <v>4.8999999999999998E-3</v>
      </c>
      <c r="E178" s="12">
        <v>0.13009999999999999</v>
      </c>
      <c r="F178" s="12">
        <v>0.15529999999999999</v>
      </c>
      <c r="H178" s="216"/>
      <c r="I178" s="281"/>
      <c r="J178" s="300"/>
      <c r="K178" s="358"/>
    </row>
    <row r="179" spans="2:11">
      <c r="B179" t="s">
        <v>379</v>
      </c>
      <c r="C179" t="s">
        <v>1024</v>
      </c>
      <c r="D179" s="12">
        <v>0.1109</v>
      </c>
      <c r="E179" s="12">
        <v>0.22589999999999999</v>
      </c>
      <c r="F179" s="12">
        <v>0.27339999999999998</v>
      </c>
      <c r="H179" s="216"/>
      <c r="I179" s="281"/>
      <c r="J179" s="300"/>
      <c r="K179" s="358"/>
    </row>
    <row r="180" spans="2:11">
      <c r="B180" t="s">
        <v>381</v>
      </c>
      <c r="C180" t="s">
        <v>1025</v>
      </c>
      <c r="D180" s="12">
        <v>1.41E-2</v>
      </c>
      <c r="E180" s="12">
        <v>0.14410000000000001</v>
      </c>
      <c r="F180" s="12">
        <v>0.10290000000000001</v>
      </c>
      <c r="H180" s="216"/>
      <c r="I180" s="281"/>
      <c r="J180" s="300"/>
      <c r="K180" s="358"/>
    </row>
    <row r="181" spans="2:11">
      <c r="B181" t="s">
        <v>383</v>
      </c>
      <c r="C181" t="s">
        <v>1026</v>
      </c>
      <c r="D181" s="12">
        <v>3.8600000000000002E-2</v>
      </c>
      <c r="E181" s="12">
        <v>0.14280000000000001</v>
      </c>
      <c r="F181" s="12">
        <v>0.15720000000000001</v>
      </c>
      <c r="H181" s="216"/>
      <c r="I181" s="281"/>
      <c r="J181" s="300"/>
      <c r="K181" s="358"/>
    </row>
    <row r="182" spans="2:11">
      <c r="B182" t="s">
        <v>385</v>
      </c>
      <c r="C182" t="s">
        <v>1027</v>
      </c>
      <c r="D182" s="12">
        <v>1.9E-2</v>
      </c>
      <c r="E182" s="12">
        <v>0.15629999999999999</v>
      </c>
      <c r="F182" s="12">
        <v>0.16650000000000001</v>
      </c>
      <c r="H182" s="216"/>
      <c r="I182" s="281"/>
      <c r="J182" s="300"/>
      <c r="K182" s="358"/>
    </row>
    <row r="183" spans="2:11">
      <c r="B183" t="s">
        <v>387</v>
      </c>
      <c r="C183" t="s">
        <v>1028</v>
      </c>
      <c r="D183" s="12">
        <v>2.3900000000000001E-2</v>
      </c>
      <c r="E183" s="12">
        <v>0.1971</v>
      </c>
      <c r="F183" s="12">
        <v>0.20019999999999999</v>
      </c>
      <c r="H183" s="216"/>
      <c r="I183" s="281"/>
      <c r="J183" s="300"/>
      <c r="K183" s="358"/>
    </row>
    <row r="184" spans="2:11">
      <c r="B184" t="s">
        <v>389</v>
      </c>
      <c r="C184" t="s">
        <v>1029</v>
      </c>
      <c r="D184" s="12">
        <v>1.5800000000000002E-2</v>
      </c>
      <c r="E184" s="12">
        <v>0.14660000000000001</v>
      </c>
      <c r="F184" s="12">
        <v>0.1421</v>
      </c>
      <c r="H184" s="216"/>
      <c r="I184" s="281"/>
      <c r="J184" s="300"/>
      <c r="K184" s="358"/>
    </row>
    <row r="185" spans="2:11">
      <c r="B185" t="s">
        <v>391</v>
      </c>
      <c r="C185" t="s">
        <v>1030</v>
      </c>
      <c r="D185" s="12">
        <v>3.8899999999999997E-2</v>
      </c>
      <c r="E185" s="12">
        <v>0.1842</v>
      </c>
      <c r="F185" s="12">
        <v>0.1784</v>
      </c>
      <c r="H185" s="216"/>
      <c r="I185" s="281"/>
      <c r="J185" s="300"/>
      <c r="K185" s="358"/>
    </row>
    <row r="186" spans="2:11">
      <c r="B186" t="s">
        <v>393</v>
      </c>
      <c r="C186" t="s">
        <v>1031</v>
      </c>
      <c r="D186" s="12">
        <v>2.4899999999999999E-2</v>
      </c>
      <c r="E186" s="12">
        <v>0.16320000000000001</v>
      </c>
      <c r="F186" s="12">
        <v>0.1421</v>
      </c>
      <c r="H186" s="216"/>
      <c r="I186" s="281"/>
      <c r="J186" s="300"/>
      <c r="K186" s="358"/>
    </row>
    <row r="187" spans="2:11">
      <c r="B187" t="s">
        <v>395</v>
      </c>
      <c r="C187" t="s">
        <v>1032</v>
      </c>
      <c r="D187" s="12">
        <v>7.1099999999999997E-2</v>
      </c>
      <c r="E187" s="12">
        <v>0.30719999999999997</v>
      </c>
      <c r="F187" s="12">
        <v>0.26400000000000001</v>
      </c>
      <c r="H187" s="216"/>
      <c r="I187" s="281"/>
      <c r="J187" s="300"/>
      <c r="K187" s="358"/>
    </row>
    <row r="188" spans="2:11">
      <c r="B188" t="s">
        <v>397</v>
      </c>
      <c r="C188" t="s">
        <v>1033</v>
      </c>
      <c r="D188" s="12">
        <v>2.8000000000000001E-2</v>
      </c>
      <c r="E188" s="12">
        <v>0.12659999999999999</v>
      </c>
      <c r="F188" s="12">
        <v>0.1111</v>
      </c>
      <c r="H188" s="216"/>
      <c r="I188" s="281"/>
      <c r="J188" s="300"/>
      <c r="K188" s="358"/>
    </row>
    <row r="189" spans="2:11">
      <c r="B189" t="s">
        <v>399</v>
      </c>
      <c r="C189" t="s">
        <v>1034</v>
      </c>
      <c r="D189" s="12">
        <v>2.2200000000000001E-2</v>
      </c>
      <c r="E189" s="12">
        <v>0.27189999999999998</v>
      </c>
      <c r="F189" s="12">
        <v>0.36549999999999999</v>
      </c>
      <c r="H189" s="216"/>
      <c r="I189" s="281"/>
      <c r="J189" s="300"/>
      <c r="K189" s="358"/>
    </row>
    <row r="190" spans="2:11">
      <c r="B190" t="s">
        <v>401</v>
      </c>
      <c r="C190" t="s">
        <v>1035</v>
      </c>
      <c r="D190" s="12">
        <v>3.5400000000000001E-2</v>
      </c>
      <c r="E190" s="12">
        <v>0.12939999999999999</v>
      </c>
      <c r="F190" s="12">
        <v>0.13969999999999999</v>
      </c>
      <c r="H190" s="216"/>
      <c r="I190" s="281"/>
      <c r="J190" s="300"/>
      <c r="K190" s="358"/>
    </row>
    <row r="191" spans="2:11">
      <c r="B191" t="s">
        <v>403</v>
      </c>
      <c r="C191" t="s">
        <v>1036</v>
      </c>
      <c r="D191" s="12">
        <v>2.6599999999999999E-2</v>
      </c>
      <c r="E191" s="12">
        <v>0.1089</v>
      </c>
      <c r="F191" s="12">
        <v>6.9000000000000006E-2</v>
      </c>
      <c r="H191" s="216"/>
      <c r="I191" s="281"/>
      <c r="J191" s="300"/>
      <c r="K191" s="358"/>
    </row>
    <row r="192" spans="2:11">
      <c r="B192" t="s">
        <v>405</v>
      </c>
      <c r="C192" t="s">
        <v>1037</v>
      </c>
      <c r="D192" s="12">
        <v>4.2599999999999999E-2</v>
      </c>
      <c r="E192" s="12">
        <v>0.28260000000000002</v>
      </c>
      <c r="F192" s="12">
        <v>0.27089999999999997</v>
      </c>
      <c r="H192" s="216"/>
      <c r="I192" s="281"/>
      <c r="J192" s="300"/>
      <c r="K192" s="358"/>
    </row>
    <row r="193" spans="2:11">
      <c r="B193" t="s">
        <v>407</v>
      </c>
      <c r="C193" t="s">
        <v>1038</v>
      </c>
      <c r="D193" s="12">
        <v>4.6899999999999997E-2</v>
      </c>
      <c r="E193" s="12">
        <v>0.2802</v>
      </c>
      <c r="F193" s="12">
        <v>0.24160000000000001</v>
      </c>
      <c r="H193" s="216"/>
      <c r="I193" s="281"/>
      <c r="J193" s="300"/>
      <c r="K193" s="358"/>
    </row>
    <row r="194" spans="2:11">
      <c r="B194" t="s">
        <v>409</v>
      </c>
      <c r="C194" t="s">
        <v>1039</v>
      </c>
      <c r="D194" s="12">
        <v>4.3799999999999999E-2</v>
      </c>
      <c r="E194" s="12">
        <v>0.1807</v>
      </c>
      <c r="F194" s="12">
        <v>0.17019999999999999</v>
      </c>
      <c r="H194" s="216"/>
      <c r="I194" s="281"/>
      <c r="J194" s="300"/>
      <c r="K194" s="358"/>
    </row>
    <row r="195" spans="2:11">
      <c r="B195" t="s">
        <v>411</v>
      </c>
      <c r="C195" t="s">
        <v>1040</v>
      </c>
      <c r="D195" s="12">
        <v>2.06E-2</v>
      </c>
      <c r="E195" s="12">
        <v>0.20619999999999999</v>
      </c>
      <c r="F195" s="12">
        <v>0.27179999999999999</v>
      </c>
      <c r="H195" s="216"/>
      <c r="I195" s="281"/>
      <c r="J195" s="300"/>
      <c r="K195" s="358"/>
    </row>
    <row r="196" spans="2:11">
      <c r="B196" t="s">
        <v>413</v>
      </c>
      <c r="C196" t="s">
        <v>1041</v>
      </c>
      <c r="D196" s="12">
        <v>2.0400000000000001E-2</v>
      </c>
      <c r="E196" s="12">
        <v>0.22850000000000001</v>
      </c>
      <c r="F196" s="12">
        <v>0.2392</v>
      </c>
      <c r="H196" s="216"/>
      <c r="I196" s="281"/>
      <c r="J196" s="300"/>
      <c r="K196" s="358"/>
    </row>
    <row r="197" spans="2:11">
      <c r="B197" t="s">
        <v>415</v>
      </c>
      <c r="C197" t="s">
        <v>1042</v>
      </c>
      <c r="D197" s="12">
        <v>7.9000000000000008E-3</v>
      </c>
      <c r="E197" s="12">
        <v>0.18859999999999999</v>
      </c>
      <c r="F197" s="12">
        <v>0.15240000000000001</v>
      </c>
      <c r="H197" s="216"/>
      <c r="I197" s="281"/>
      <c r="J197" s="300"/>
      <c r="K197" s="358"/>
    </row>
    <row r="198" spans="2:11">
      <c r="B198" t="s">
        <v>417</v>
      </c>
      <c r="C198" t="s">
        <v>1043</v>
      </c>
      <c r="D198" s="12">
        <v>2.7300000000000001E-2</v>
      </c>
      <c r="E198" s="12">
        <v>0.1507</v>
      </c>
      <c r="F198" s="12">
        <v>0.18210000000000001</v>
      </c>
      <c r="H198" s="216"/>
      <c r="I198" s="281"/>
      <c r="J198" s="300"/>
      <c r="K198" s="358"/>
    </row>
    <row r="199" spans="2:11">
      <c r="B199" t="s">
        <v>419</v>
      </c>
      <c r="C199" t="s">
        <v>1044</v>
      </c>
      <c r="D199" s="12">
        <v>3.4700000000000002E-2</v>
      </c>
      <c r="E199" s="12">
        <v>8.9099999999999999E-2</v>
      </c>
      <c r="F199" s="12">
        <v>8.7800000000000003E-2</v>
      </c>
      <c r="H199" s="216"/>
      <c r="I199" s="281"/>
      <c r="J199" s="300"/>
      <c r="K199" s="358"/>
    </row>
    <row r="200" spans="2:11">
      <c r="B200" t="s">
        <v>421</v>
      </c>
      <c r="C200" t="s">
        <v>1045</v>
      </c>
      <c r="D200" s="12">
        <v>3.8699999999999998E-2</v>
      </c>
      <c r="E200" s="12">
        <v>0.18090000000000001</v>
      </c>
      <c r="F200" s="12">
        <v>0.188</v>
      </c>
      <c r="H200" s="216"/>
      <c r="I200" s="281"/>
      <c r="J200" s="300"/>
      <c r="K200" s="358"/>
    </row>
    <row r="201" spans="2:11">
      <c r="B201" t="s">
        <v>423</v>
      </c>
      <c r="C201" t="s">
        <v>1046</v>
      </c>
      <c r="D201" s="12">
        <v>7.0000000000000007E-2</v>
      </c>
      <c r="E201" s="12">
        <v>0.27239999999999998</v>
      </c>
      <c r="F201" s="12">
        <v>0.26069999999999999</v>
      </c>
      <c r="H201" s="216"/>
      <c r="I201" s="281"/>
      <c r="J201" s="300"/>
      <c r="K201" s="358"/>
    </row>
    <row r="202" spans="2:11">
      <c r="B202" t="s">
        <v>425</v>
      </c>
      <c r="C202" t="s">
        <v>1047</v>
      </c>
      <c r="D202" s="12">
        <v>0.1045</v>
      </c>
      <c r="E202" s="12">
        <v>0.26690000000000003</v>
      </c>
      <c r="F202" s="12">
        <v>0.32479999999999998</v>
      </c>
      <c r="H202" s="216"/>
      <c r="I202" s="281"/>
      <c r="J202" s="300"/>
      <c r="K202" s="358"/>
    </row>
    <row r="203" spans="2:11">
      <c r="B203" t="s">
        <v>427</v>
      </c>
      <c r="C203" t="s">
        <v>1048</v>
      </c>
      <c r="D203" s="12">
        <v>0.11940000000000001</v>
      </c>
      <c r="E203" s="12">
        <v>0.22570000000000001</v>
      </c>
      <c r="F203" s="12">
        <v>0.44550000000000001</v>
      </c>
      <c r="H203" s="216"/>
      <c r="I203" s="281"/>
      <c r="J203" s="300"/>
      <c r="K203" s="358"/>
    </row>
    <row r="204" spans="2:11">
      <c r="B204" t="s">
        <v>429</v>
      </c>
      <c r="C204" t="s">
        <v>1049</v>
      </c>
      <c r="D204" s="12">
        <v>5.2299999999999999E-2</v>
      </c>
      <c r="E204" s="12">
        <v>0.2266</v>
      </c>
      <c r="F204" s="12">
        <v>0.28339999999999999</v>
      </c>
      <c r="H204" s="216"/>
      <c r="I204" s="281"/>
      <c r="J204" s="300"/>
      <c r="K204" s="358"/>
    </row>
    <row r="205" spans="2:11">
      <c r="B205" t="s">
        <v>431</v>
      </c>
      <c r="C205" t="s">
        <v>1050</v>
      </c>
      <c r="D205" s="12">
        <v>0.10059999999999999</v>
      </c>
      <c r="E205" s="12">
        <v>0.21729999999999999</v>
      </c>
      <c r="F205" s="12">
        <v>0.24279999999999999</v>
      </c>
      <c r="H205" s="216"/>
      <c r="I205" s="281"/>
      <c r="J205" s="300"/>
      <c r="K205" s="358"/>
    </row>
    <row r="206" spans="2:11">
      <c r="B206" t="s">
        <v>433</v>
      </c>
      <c r="C206" t="s">
        <v>1051</v>
      </c>
      <c r="D206" s="12">
        <v>3.3300000000000003E-2</v>
      </c>
      <c r="E206" s="12">
        <v>0.25059999999999999</v>
      </c>
      <c r="F206" s="12">
        <v>0.25340000000000001</v>
      </c>
      <c r="H206" s="216"/>
      <c r="I206" s="281"/>
      <c r="J206" s="300"/>
      <c r="K206" s="358"/>
    </row>
    <row r="207" spans="2:11">
      <c r="B207" t="s">
        <v>435</v>
      </c>
      <c r="C207" t="s">
        <v>1052</v>
      </c>
      <c r="D207" s="12">
        <v>2.5899999999999999E-2</v>
      </c>
      <c r="E207" s="12">
        <v>0.18260000000000001</v>
      </c>
      <c r="F207" s="12">
        <v>0.12989999999999999</v>
      </c>
      <c r="H207" s="216"/>
      <c r="I207" s="281"/>
      <c r="J207" s="300"/>
      <c r="K207" s="358"/>
    </row>
    <row r="208" spans="2:11">
      <c r="B208" t="s">
        <v>437</v>
      </c>
      <c r="C208" t="s">
        <v>1053</v>
      </c>
      <c r="D208" s="12">
        <v>6.4100000000000004E-2</v>
      </c>
      <c r="E208" s="12">
        <v>0.1477</v>
      </c>
      <c r="F208" s="12">
        <v>0.13450000000000001</v>
      </c>
      <c r="H208" s="216"/>
      <c r="I208" s="281"/>
      <c r="J208" s="300"/>
      <c r="K208" s="358"/>
    </row>
    <row r="209" spans="2:11">
      <c r="B209" t="s">
        <v>439</v>
      </c>
      <c r="C209" t="s">
        <v>1054</v>
      </c>
      <c r="D209" s="523">
        <v>0.156</v>
      </c>
      <c r="E209" s="12">
        <v>0.72509999999999997</v>
      </c>
      <c r="F209" s="12">
        <v>0.89770000000000005</v>
      </c>
      <c r="H209" s="216"/>
      <c r="I209" s="281"/>
      <c r="J209" s="300"/>
      <c r="K209" s="358"/>
    </row>
    <row r="210" spans="2:11">
      <c r="B210" t="s">
        <v>441</v>
      </c>
      <c r="C210" t="s">
        <v>1055</v>
      </c>
      <c r="D210" s="12">
        <v>1.4E-3</v>
      </c>
      <c r="E210" s="12">
        <v>0.24840000000000001</v>
      </c>
      <c r="F210" s="12">
        <v>0.19889999999999999</v>
      </c>
      <c r="H210" s="216"/>
      <c r="I210" s="281"/>
      <c r="J210" s="300"/>
      <c r="K210" s="358"/>
    </row>
    <row r="211" spans="2:11">
      <c r="B211" s="285" t="s">
        <v>443</v>
      </c>
      <c r="C211" s="283" t="s">
        <v>444</v>
      </c>
      <c r="D211" s="362">
        <v>3.7100000000000001E-2</v>
      </c>
      <c r="E211" s="539">
        <v>0.14399999999999999</v>
      </c>
      <c r="F211" s="364">
        <v>0.14119999999999999</v>
      </c>
      <c r="H211" s="216"/>
      <c r="I211" s="281"/>
      <c r="J211" s="300"/>
      <c r="K211" s="358"/>
    </row>
    <row r="212" spans="2:11">
      <c r="B212" t="s">
        <v>445</v>
      </c>
      <c r="C212" t="s">
        <v>1056</v>
      </c>
      <c r="D212" s="12">
        <v>3.3099999999999997E-2</v>
      </c>
      <c r="E212" s="12">
        <v>0.1255</v>
      </c>
      <c r="F212" s="12">
        <v>0.1129</v>
      </c>
      <c r="H212" s="216"/>
      <c r="I212" s="281"/>
      <c r="J212" s="300"/>
      <c r="K212" s="358"/>
    </row>
    <row r="213" spans="2:11">
      <c r="B213" t="s">
        <v>447</v>
      </c>
      <c r="C213" t="s">
        <v>1057</v>
      </c>
      <c r="D213" s="12">
        <v>8.6199999999999999E-2</v>
      </c>
      <c r="E213" s="12">
        <v>0.29799999999999999</v>
      </c>
      <c r="F213" s="12">
        <v>0.28360000000000002</v>
      </c>
      <c r="H213" s="216"/>
      <c r="I213" s="281"/>
      <c r="J213" s="300"/>
      <c r="K213" s="358"/>
    </row>
    <row r="214" spans="2:11">
      <c r="B214" t="s">
        <v>449</v>
      </c>
      <c r="C214" t="s">
        <v>1058</v>
      </c>
      <c r="D214" s="12">
        <v>3.6400000000000002E-2</v>
      </c>
      <c r="E214" s="12">
        <v>0.21809999999999999</v>
      </c>
      <c r="F214" s="12">
        <v>0.19289999999999999</v>
      </c>
      <c r="H214" s="216"/>
      <c r="I214" s="281"/>
      <c r="J214" s="300"/>
      <c r="K214" s="358"/>
    </row>
    <row r="215" spans="2:11">
      <c r="B215" t="s">
        <v>451</v>
      </c>
      <c r="C215" t="s">
        <v>1059</v>
      </c>
      <c r="D215" s="12">
        <v>5.16E-2</v>
      </c>
      <c r="E215" s="12">
        <v>0.21149999999999999</v>
      </c>
      <c r="F215" s="12">
        <v>0.2258</v>
      </c>
      <c r="H215" s="216"/>
      <c r="I215" s="281"/>
      <c r="J215" s="300"/>
      <c r="K215" s="358"/>
    </row>
    <row r="216" spans="2:11">
      <c r="B216" t="s">
        <v>453</v>
      </c>
      <c r="C216" t="s">
        <v>1060</v>
      </c>
      <c r="D216" s="12">
        <v>2.5999999999999999E-3</v>
      </c>
      <c r="E216" s="12">
        <v>0.1545</v>
      </c>
      <c r="F216" s="12">
        <v>0.1517</v>
      </c>
      <c r="H216" s="216"/>
      <c r="I216" s="281"/>
      <c r="J216" s="300"/>
      <c r="K216" s="358"/>
    </row>
    <row r="217" spans="2:11">
      <c r="B217" t="s">
        <v>455</v>
      </c>
      <c r="C217" s="11" t="s">
        <v>1061</v>
      </c>
      <c r="D217" s="360">
        <v>3.7100000000000001E-2</v>
      </c>
      <c r="E217" s="539">
        <v>0.14399999999999999</v>
      </c>
      <c r="F217" s="360">
        <v>0.14119999999999999</v>
      </c>
      <c r="H217" s="216"/>
      <c r="I217" s="281"/>
      <c r="J217" s="300"/>
      <c r="K217" s="358"/>
    </row>
    <row r="218" spans="2:11">
      <c r="B218" t="s">
        <v>457</v>
      </c>
      <c r="C218" t="s">
        <v>1062</v>
      </c>
      <c r="D218" s="12">
        <v>3.5299999999999998E-2</v>
      </c>
      <c r="E218" s="12">
        <v>0.2031</v>
      </c>
      <c r="F218" s="12">
        <v>0.25509999999999999</v>
      </c>
      <c r="H218" s="216"/>
      <c r="I218" s="281"/>
      <c r="J218" s="300"/>
      <c r="K218" s="358"/>
    </row>
    <row r="219" spans="2:11">
      <c r="B219" t="s">
        <v>459</v>
      </c>
      <c r="C219" t="s">
        <v>1063</v>
      </c>
      <c r="D219" s="12">
        <v>5.9499999999999997E-2</v>
      </c>
      <c r="E219" s="12">
        <v>0.26469999999999999</v>
      </c>
      <c r="F219" s="12">
        <v>0.2732</v>
      </c>
      <c r="H219" s="216"/>
      <c r="I219" s="281"/>
      <c r="J219" s="300"/>
      <c r="K219" s="358"/>
    </row>
    <row r="220" spans="2:11">
      <c r="B220" t="s">
        <v>461</v>
      </c>
      <c r="C220" t="s">
        <v>1064</v>
      </c>
      <c r="D220" s="12">
        <v>1.9900000000000001E-2</v>
      </c>
      <c r="E220" s="12">
        <v>0.1459</v>
      </c>
      <c r="F220" s="12">
        <v>0.13189999999999999</v>
      </c>
      <c r="H220" s="216"/>
      <c r="I220" s="281"/>
      <c r="J220" s="300"/>
      <c r="K220" s="358"/>
    </row>
    <row r="221" spans="2:11">
      <c r="B221" t="s">
        <v>463</v>
      </c>
      <c r="C221" t="s">
        <v>1065</v>
      </c>
      <c r="D221" s="12">
        <v>3.2899999999999999E-2</v>
      </c>
      <c r="E221" s="12">
        <v>0.2006</v>
      </c>
      <c r="F221" s="12">
        <v>0.2243</v>
      </c>
      <c r="H221" s="216"/>
      <c r="I221" s="281"/>
      <c r="J221" s="300"/>
      <c r="K221" s="358"/>
    </row>
    <row r="222" spans="2:11">
      <c r="B222" t="s">
        <v>465</v>
      </c>
      <c r="C222" t="s">
        <v>1066</v>
      </c>
      <c r="D222" s="12">
        <v>2.86E-2</v>
      </c>
      <c r="E222" s="12">
        <v>0.22389999999999999</v>
      </c>
      <c r="F222" s="12">
        <v>0.21729999999999999</v>
      </c>
      <c r="H222" s="216"/>
      <c r="I222" s="281"/>
      <c r="J222" s="300"/>
      <c r="K222" s="358"/>
    </row>
    <row r="223" spans="2:11">
      <c r="B223" t="s">
        <v>467</v>
      </c>
      <c r="C223" t="s">
        <v>1068</v>
      </c>
      <c r="D223" s="12">
        <v>8.0500000000000002E-2</v>
      </c>
      <c r="E223" s="12">
        <v>1</v>
      </c>
      <c r="F223" s="12">
        <v>0.48570000000000002</v>
      </c>
      <c r="H223" s="216"/>
      <c r="I223" s="281"/>
      <c r="J223" s="300"/>
      <c r="K223" s="358"/>
    </row>
    <row r="224" spans="2:11">
      <c r="B224" t="s">
        <v>469</v>
      </c>
      <c r="C224" t="s">
        <v>1069</v>
      </c>
      <c r="D224" s="12">
        <v>4.5900000000000003E-2</v>
      </c>
      <c r="E224" s="12">
        <v>0.17230000000000001</v>
      </c>
      <c r="F224" s="12">
        <v>0.18870000000000001</v>
      </c>
      <c r="H224" s="216"/>
      <c r="I224" s="281"/>
      <c r="J224" s="300"/>
      <c r="K224" s="358"/>
    </row>
    <row r="225" spans="2:11">
      <c r="B225" t="s">
        <v>471</v>
      </c>
      <c r="C225" t="s">
        <v>1070</v>
      </c>
      <c r="D225" s="12">
        <v>3.7600000000000001E-2</v>
      </c>
      <c r="E225" s="12">
        <v>0.2011</v>
      </c>
      <c r="F225" s="12">
        <v>0.20280000000000001</v>
      </c>
      <c r="H225" s="216"/>
      <c r="I225" s="281"/>
      <c r="J225" s="300"/>
      <c r="K225" s="358"/>
    </row>
    <row r="226" spans="2:11">
      <c r="B226" t="s">
        <v>473</v>
      </c>
      <c r="C226" s="11" t="s">
        <v>1071</v>
      </c>
      <c r="D226" s="360">
        <v>3.7100000000000001E-2</v>
      </c>
      <c r="E226" s="360">
        <v>0.14399999999999999</v>
      </c>
      <c r="F226" s="360">
        <v>0.14119999999999999</v>
      </c>
      <c r="H226" s="216"/>
      <c r="I226" s="281"/>
      <c r="J226" s="300"/>
      <c r="K226" s="358"/>
    </row>
    <row r="227" spans="2:11">
      <c r="B227" t="s">
        <v>475</v>
      </c>
      <c r="C227" t="s">
        <v>1072</v>
      </c>
      <c r="D227" s="12">
        <v>3.6299999999999999E-2</v>
      </c>
      <c r="E227" s="12">
        <v>0.12379999999999999</v>
      </c>
      <c r="F227" s="12">
        <v>7.7200000000000005E-2</v>
      </c>
      <c r="H227" s="216"/>
      <c r="I227" s="281"/>
      <c r="J227" s="300"/>
      <c r="K227" s="358"/>
    </row>
    <row r="228" spans="2:11">
      <c r="B228" t="s">
        <v>477</v>
      </c>
      <c r="C228" t="s">
        <v>1073</v>
      </c>
      <c r="D228" s="12">
        <v>9.5600000000000004E-2</v>
      </c>
      <c r="E228" s="12">
        <v>0.51160000000000005</v>
      </c>
      <c r="F228" s="12">
        <v>0.31319999999999998</v>
      </c>
      <c r="H228" s="216"/>
      <c r="I228" s="281"/>
      <c r="J228" s="300"/>
      <c r="K228" s="358"/>
    </row>
    <row r="229" spans="2:11">
      <c r="B229" t="s">
        <v>479</v>
      </c>
      <c r="C229" t="s">
        <v>1074</v>
      </c>
      <c r="D229" s="12">
        <v>2.4400000000000002E-2</v>
      </c>
      <c r="E229" s="12">
        <v>0.19700000000000001</v>
      </c>
      <c r="F229" s="12">
        <v>0.18329999999999999</v>
      </c>
      <c r="H229" s="216"/>
      <c r="I229" s="281"/>
      <c r="J229" s="300"/>
      <c r="K229" s="358"/>
    </row>
    <row r="230" spans="2:11">
      <c r="B230" t="s">
        <v>481</v>
      </c>
      <c r="C230" t="s">
        <v>1076</v>
      </c>
      <c r="D230" s="12">
        <v>0</v>
      </c>
      <c r="E230" s="12">
        <v>0</v>
      </c>
      <c r="F230" s="12">
        <v>0</v>
      </c>
      <c r="H230" s="216"/>
      <c r="I230" s="281"/>
      <c r="J230" s="300"/>
      <c r="K230" s="358"/>
    </row>
    <row r="231" spans="2:11">
      <c r="B231" t="s">
        <v>483</v>
      </c>
      <c r="C231" t="s">
        <v>1077</v>
      </c>
      <c r="D231" s="12">
        <v>1.4500000000000001E-2</v>
      </c>
      <c r="E231" s="12">
        <v>9.2799999999999994E-2</v>
      </c>
      <c r="F231" s="12">
        <v>9.4700000000000006E-2</v>
      </c>
      <c r="H231" s="216"/>
      <c r="I231" s="281"/>
      <c r="J231" s="300"/>
      <c r="K231" s="358"/>
    </row>
    <row r="232" spans="2:11">
      <c r="B232" t="s">
        <v>485</v>
      </c>
      <c r="C232" t="s">
        <v>1078</v>
      </c>
      <c r="D232" s="12">
        <v>3.8699999999999998E-2</v>
      </c>
      <c r="E232" s="12">
        <v>0.25519999999999998</v>
      </c>
      <c r="F232" s="12">
        <v>0.25940000000000002</v>
      </c>
      <c r="H232" s="216"/>
      <c r="I232" s="281"/>
      <c r="J232" s="300"/>
      <c r="K232" s="358"/>
    </row>
    <row r="233" spans="2:11">
      <c r="B233" t="s">
        <v>487</v>
      </c>
      <c r="C233" t="s">
        <v>1079</v>
      </c>
      <c r="D233" s="12">
        <v>2.92E-2</v>
      </c>
      <c r="E233" s="12">
        <v>0.1515</v>
      </c>
      <c r="F233" s="12">
        <v>0.14199999999999999</v>
      </c>
      <c r="H233" s="216"/>
      <c r="I233" s="281"/>
      <c r="J233" s="300"/>
      <c r="K233" s="358"/>
    </row>
    <row r="234" spans="2:11">
      <c r="B234" t="s">
        <v>489</v>
      </c>
      <c r="C234" t="s">
        <v>1080</v>
      </c>
      <c r="D234" s="12">
        <v>3.6400000000000002E-2</v>
      </c>
      <c r="E234" s="12">
        <v>0.2049</v>
      </c>
      <c r="F234" s="12">
        <v>0.23549999999999999</v>
      </c>
      <c r="H234" s="216"/>
      <c r="I234" s="281"/>
      <c r="J234" s="300"/>
      <c r="K234" s="358"/>
    </row>
    <row r="235" spans="2:11">
      <c r="B235" t="s">
        <v>491</v>
      </c>
      <c r="C235" t="s">
        <v>1082</v>
      </c>
      <c r="D235" s="12">
        <v>0.27050000000000002</v>
      </c>
      <c r="E235" s="12">
        <v>0.27739999999999998</v>
      </c>
      <c r="F235" s="12">
        <v>0.45140000000000002</v>
      </c>
      <c r="H235" s="216"/>
      <c r="I235" s="281"/>
      <c r="J235" s="300"/>
      <c r="K235" s="358"/>
    </row>
    <row r="236" spans="2:11">
      <c r="B236" t="s">
        <v>493</v>
      </c>
      <c r="C236" t="s">
        <v>1083</v>
      </c>
      <c r="D236" s="12">
        <v>0</v>
      </c>
      <c r="E236" s="12">
        <v>0.55630000000000002</v>
      </c>
      <c r="F236" s="12">
        <v>0.22040000000000001</v>
      </c>
      <c r="H236" s="216"/>
      <c r="I236" s="281"/>
      <c r="J236" s="300"/>
      <c r="K236" s="358"/>
    </row>
    <row r="237" spans="2:11">
      <c r="B237" t="s">
        <v>495</v>
      </c>
      <c r="C237" t="s">
        <v>1084</v>
      </c>
      <c r="D237" s="12">
        <v>3.1600000000000003E-2</v>
      </c>
      <c r="E237" s="12">
        <v>0.2044</v>
      </c>
      <c r="F237" s="12">
        <v>0.29670000000000002</v>
      </c>
      <c r="H237" s="216"/>
      <c r="I237" s="281"/>
      <c r="J237" s="300"/>
      <c r="K237" s="358"/>
    </row>
    <row r="238" spans="2:11">
      <c r="B238" t="s">
        <v>497</v>
      </c>
      <c r="C238" t="s">
        <v>1085</v>
      </c>
      <c r="D238" s="12">
        <v>5.8700000000000002E-2</v>
      </c>
      <c r="E238" s="12">
        <v>0.26400000000000001</v>
      </c>
      <c r="F238" s="12">
        <v>0.248</v>
      </c>
      <c r="H238" s="216"/>
      <c r="I238" s="281"/>
      <c r="J238" s="300"/>
      <c r="K238" s="358"/>
    </row>
    <row r="239" spans="2:11">
      <c r="B239" t="s">
        <v>499</v>
      </c>
      <c r="C239" t="s">
        <v>1086</v>
      </c>
      <c r="D239" s="12">
        <v>3.0300000000000001E-2</v>
      </c>
      <c r="E239" s="12">
        <v>0.12909999999999999</v>
      </c>
      <c r="F239" s="12">
        <v>0.1231</v>
      </c>
      <c r="H239" s="216"/>
      <c r="I239" s="281"/>
      <c r="J239" s="300"/>
      <c r="K239" s="358"/>
    </row>
    <row r="240" spans="2:11">
      <c r="B240" t="s">
        <v>501</v>
      </c>
      <c r="C240" t="s">
        <v>1087</v>
      </c>
      <c r="D240" s="12">
        <v>0.12720000000000001</v>
      </c>
      <c r="E240" s="12">
        <v>0.2772</v>
      </c>
      <c r="F240" s="12">
        <v>0.3211</v>
      </c>
      <c r="H240" s="216"/>
      <c r="I240" s="281"/>
      <c r="J240" s="300"/>
      <c r="K240" s="358"/>
    </row>
    <row r="241" spans="2:11">
      <c r="B241" t="s">
        <v>503</v>
      </c>
      <c r="C241" t="s">
        <v>1088</v>
      </c>
      <c r="D241" s="12">
        <v>4.0800000000000003E-2</v>
      </c>
      <c r="E241" s="12">
        <v>0.14829999999999999</v>
      </c>
      <c r="F241" s="12">
        <v>0.1517</v>
      </c>
      <c r="H241" s="216"/>
      <c r="I241" s="281"/>
      <c r="J241" s="300"/>
      <c r="K241" s="358"/>
    </row>
    <row r="242" spans="2:11">
      <c r="B242" t="s">
        <v>505</v>
      </c>
      <c r="C242" t="s">
        <v>1089</v>
      </c>
      <c r="D242" s="12">
        <v>4.7600000000000003E-2</v>
      </c>
      <c r="E242" s="12">
        <v>0.17130000000000001</v>
      </c>
      <c r="F242" s="12">
        <v>0.1789</v>
      </c>
      <c r="H242" s="216"/>
      <c r="I242" s="281"/>
      <c r="J242" s="300"/>
      <c r="K242" s="358"/>
    </row>
    <row r="243" spans="2:11">
      <c r="B243" t="s">
        <v>507</v>
      </c>
      <c r="C243" t="s">
        <v>1090</v>
      </c>
      <c r="D243" s="12">
        <v>5.7000000000000002E-2</v>
      </c>
      <c r="E243" s="12">
        <v>0.25059999999999999</v>
      </c>
      <c r="F243" s="12">
        <v>0.27860000000000001</v>
      </c>
      <c r="H243" s="216"/>
      <c r="I243" s="281"/>
      <c r="J243" s="300"/>
      <c r="K243" s="358"/>
    </row>
    <row r="244" spans="2:11">
      <c r="B244" t="s">
        <v>509</v>
      </c>
      <c r="C244" t="s">
        <v>1091</v>
      </c>
      <c r="D244" s="12">
        <v>4.3099999999999999E-2</v>
      </c>
      <c r="E244" s="12">
        <v>0.21479999999999999</v>
      </c>
      <c r="F244" s="12">
        <v>0.2248</v>
      </c>
      <c r="H244" s="216"/>
      <c r="I244" s="281"/>
      <c r="J244" s="300"/>
      <c r="K244" s="358"/>
    </row>
    <row r="245" spans="2:11">
      <c r="B245" t="s">
        <v>511</v>
      </c>
      <c r="C245" t="s">
        <v>1092</v>
      </c>
      <c r="D245" s="12">
        <v>3.7499999999999999E-2</v>
      </c>
      <c r="E245" s="12">
        <v>0.15579999999999999</v>
      </c>
      <c r="F245" s="12">
        <v>0.15509999999999999</v>
      </c>
      <c r="H245" s="216"/>
      <c r="I245" s="281"/>
      <c r="J245" s="300"/>
      <c r="K245" s="358"/>
    </row>
    <row r="246" spans="2:11">
      <c r="B246" t="s">
        <v>513</v>
      </c>
      <c r="C246" t="s">
        <v>1093</v>
      </c>
      <c r="D246" s="12">
        <v>1.95E-2</v>
      </c>
      <c r="E246" s="12">
        <v>0.1348</v>
      </c>
      <c r="F246" s="12">
        <v>0.1479</v>
      </c>
      <c r="H246" s="216"/>
      <c r="I246" s="281"/>
      <c r="J246" s="300"/>
      <c r="K246" s="358"/>
    </row>
    <row r="247" spans="2:11">
      <c r="B247" t="s">
        <v>517</v>
      </c>
      <c r="C247" t="s">
        <v>1094</v>
      </c>
      <c r="D247" s="12">
        <v>4.5100000000000001E-2</v>
      </c>
      <c r="E247" s="12">
        <v>0.21310000000000001</v>
      </c>
      <c r="F247" s="12">
        <v>3.1600000000000003E-2</v>
      </c>
      <c r="H247" s="216"/>
      <c r="I247" s="281"/>
      <c r="J247" s="300"/>
      <c r="K247" s="358"/>
    </row>
    <row r="248" spans="2:11">
      <c r="B248" s="282" t="s">
        <v>515</v>
      </c>
      <c r="C248" s="281" t="s">
        <v>516</v>
      </c>
      <c r="D248" s="361">
        <v>3.7100000000000001E-2</v>
      </c>
      <c r="E248" s="539">
        <v>0.14399999999999999</v>
      </c>
      <c r="F248" s="364">
        <v>0.14119999999999999</v>
      </c>
      <c r="H248" s="216"/>
      <c r="I248" s="281"/>
      <c r="J248" s="300"/>
      <c r="K248" s="358"/>
    </row>
    <row r="249" spans="2:11">
      <c r="B249" t="s">
        <v>519</v>
      </c>
      <c r="C249" t="s">
        <v>1095</v>
      </c>
      <c r="D249" s="12">
        <v>4.9000000000000002E-2</v>
      </c>
      <c r="E249" s="12">
        <v>0.1845</v>
      </c>
      <c r="F249" s="12">
        <v>0.1812</v>
      </c>
      <c r="H249" s="216"/>
      <c r="I249" s="281"/>
      <c r="J249" s="300"/>
      <c r="K249" s="358"/>
    </row>
    <row r="250" spans="2:11">
      <c r="B250" t="s">
        <v>521</v>
      </c>
      <c r="C250" t="s">
        <v>1096</v>
      </c>
      <c r="D250" s="12">
        <v>1.7500000000000002E-2</v>
      </c>
      <c r="E250" s="12">
        <v>0.15890000000000001</v>
      </c>
      <c r="F250" s="12">
        <v>0.1522</v>
      </c>
      <c r="H250" s="216"/>
      <c r="I250" s="281"/>
      <c r="J250" s="300"/>
      <c r="K250" s="358"/>
    </row>
    <row r="251" spans="2:11">
      <c r="B251" t="s">
        <v>523</v>
      </c>
      <c r="C251" t="s">
        <v>1097</v>
      </c>
      <c r="D251" s="12">
        <v>5.6800000000000003E-2</v>
      </c>
      <c r="E251" s="12">
        <v>0.20860000000000001</v>
      </c>
      <c r="F251" s="12">
        <v>0.21390000000000001</v>
      </c>
      <c r="H251" s="216"/>
      <c r="I251" s="281"/>
      <c r="J251" s="300"/>
      <c r="K251" s="358"/>
    </row>
    <row r="252" spans="2:11">
      <c r="B252" t="s">
        <v>525</v>
      </c>
      <c r="C252" t="s">
        <v>1098</v>
      </c>
      <c r="D252" s="12">
        <v>0.1142</v>
      </c>
      <c r="E252" s="12">
        <v>0.4022</v>
      </c>
      <c r="F252" s="12">
        <v>0.5413</v>
      </c>
      <c r="H252" s="216"/>
      <c r="I252" s="281"/>
      <c r="J252" s="300"/>
      <c r="K252" s="358"/>
    </row>
    <row r="253" spans="2:11">
      <c r="B253" t="s">
        <v>527</v>
      </c>
      <c r="C253" t="s">
        <v>1099</v>
      </c>
      <c r="D253" s="12">
        <v>3.3399999999999999E-2</v>
      </c>
      <c r="E253" s="12">
        <v>0.1487</v>
      </c>
      <c r="F253" s="12">
        <v>0.14330000000000001</v>
      </c>
      <c r="H253" s="216"/>
      <c r="I253" s="281"/>
      <c r="J253" s="300"/>
      <c r="K253" s="358"/>
    </row>
    <row r="254" spans="2:11">
      <c r="B254" t="s">
        <v>529</v>
      </c>
      <c r="C254" t="s">
        <v>1100</v>
      </c>
      <c r="D254" s="12">
        <v>3.2800000000000003E-2</v>
      </c>
      <c r="E254" s="12">
        <v>0.1376</v>
      </c>
      <c r="F254" s="12">
        <v>0.15770000000000001</v>
      </c>
      <c r="H254" s="216"/>
      <c r="I254" s="281"/>
      <c r="J254" s="300"/>
      <c r="K254" s="358"/>
    </row>
    <row r="255" spans="2:11">
      <c r="B255" t="s">
        <v>531</v>
      </c>
      <c r="C255" t="s">
        <v>1101</v>
      </c>
      <c r="D255" s="12">
        <v>3.4099999999999998E-2</v>
      </c>
      <c r="E255" s="12">
        <v>0.13869999999999999</v>
      </c>
      <c r="F255" s="12">
        <v>0.1361</v>
      </c>
      <c r="H255" s="216"/>
      <c r="I255" s="281"/>
      <c r="J255" s="300"/>
      <c r="K255" s="358"/>
    </row>
    <row r="256" spans="2:11">
      <c r="B256" t="s">
        <v>533</v>
      </c>
      <c r="C256" t="s">
        <v>1102</v>
      </c>
      <c r="D256" s="12">
        <v>6.0600000000000001E-2</v>
      </c>
      <c r="E256" s="12">
        <v>0.29220000000000002</v>
      </c>
      <c r="F256" s="12">
        <v>0.36759999999999998</v>
      </c>
      <c r="H256" s="216"/>
      <c r="I256" s="281"/>
      <c r="J256" s="300"/>
      <c r="K256" s="358"/>
    </row>
    <row r="257" spans="2:11">
      <c r="B257" t="s">
        <v>535</v>
      </c>
      <c r="C257" t="s">
        <v>1103</v>
      </c>
      <c r="D257" s="12">
        <v>2.98E-2</v>
      </c>
      <c r="E257" s="12">
        <v>0.1555</v>
      </c>
      <c r="F257" s="12">
        <v>0.1203</v>
      </c>
      <c r="H257" s="216"/>
      <c r="I257" s="281"/>
      <c r="J257" s="300"/>
      <c r="K257" s="358"/>
    </row>
    <row r="258" spans="2:11">
      <c r="B258" t="s">
        <v>537</v>
      </c>
      <c r="C258" t="s">
        <v>1104</v>
      </c>
      <c r="D258" s="12">
        <v>7.6100000000000001E-2</v>
      </c>
      <c r="E258" s="12">
        <v>0.5403</v>
      </c>
      <c r="F258" s="12">
        <v>0.48670000000000002</v>
      </c>
      <c r="H258" s="216"/>
      <c r="I258" s="281"/>
      <c r="J258" s="300"/>
      <c r="K258" s="358"/>
    </row>
    <row r="259" spans="2:11">
      <c r="B259" t="s">
        <v>539</v>
      </c>
      <c r="C259" t="s">
        <v>1105</v>
      </c>
      <c r="D259" s="12">
        <v>9.7999999999999997E-3</v>
      </c>
      <c r="E259" s="12">
        <v>0.15140000000000001</v>
      </c>
      <c r="F259" s="12">
        <v>0.18709999999999999</v>
      </c>
      <c r="H259" s="216"/>
      <c r="I259" s="281"/>
      <c r="J259" s="300"/>
      <c r="K259" s="358"/>
    </row>
    <row r="260" spans="2:11">
      <c r="B260" t="s">
        <v>541</v>
      </c>
      <c r="C260" t="s">
        <v>1106</v>
      </c>
      <c r="D260" s="12">
        <v>3.2099999999999997E-2</v>
      </c>
      <c r="E260" s="12">
        <v>0.12839999999999999</v>
      </c>
      <c r="F260" s="12">
        <v>0.1444</v>
      </c>
      <c r="H260" s="216"/>
      <c r="I260" s="281"/>
      <c r="J260" s="300"/>
      <c r="K260" s="358"/>
    </row>
    <row r="261" spans="2:11">
      <c r="B261" t="s">
        <v>543</v>
      </c>
      <c r="C261" t="s">
        <v>1107</v>
      </c>
      <c r="D261" s="12">
        <v>0.1169</v>
      </c>
      <c r="E261" s="12">
        <v>0.40949999999999998</v>
      </c>
      <c r="F261" s="12">
        <v>0.42609999999999998</v>
      </c>
      <c r="H261" s="216"/>
      <c r="I261" s="281"/>
      <c r="J261" s="300"/>
      <c r="K261" s="358"/>
    </row>
    <row r="262" spans="2:11">
      <c r="B262" t="s">
        <v>545</v>
      </c>
      <c r="C262" t="s">
        <v>1108</v>
      </c>
      <c r="D262" s="12">
        <v>4.5400000000000003E-2</v>
      </c>
      <c r="E262" s="12">
        <v>0.3382</v>
      </c>
      <c r="F262" s="12">
        <v>0.29630000000000001</v>
      </c>
      <c r="H262" s="216"/>
      <c r="I262" s="281"/>
      <c r="J262" s="300"/>
      <c r="K262" s="358"/>
    </row>
    <row r="263" spans="2:11">
      <c r="B263" t="s">
        <v>547</v>
      </c>
      <c r="C263" t="s">
        <v>1109</v>
      </c>
      <c r="D263" s="12">
        <v>5.11E-2</v>
      </c>
      <c r="E263" s="12">
        <v>0.15640000000000001</v>
      </c>
      <c r="F263" s="12">
        <v>0.15359999999999999</v>
      </c>
      <c r="H263" s="216"/>
      <c r="I263" s="281"/>
      <c r="J263" s="300"/>
      <c r="K263" s="358"/>
    </row>
    <row r="264" spans="2:11">
      <c r="B264" t="s">
        <v>549</v>
      </c>
      <c r="C264" t="s">
        <v>1110</v>
      </c>
      <c r="D264" s="12">
        <v>3.0599999999999999E-2</v>
      </c>
      <c r="E264" s="12">
        <v>0.16789999999999999</v>
      </c>
      <c r="F264" s="12">
        <v>0.17879999999999999</v>
      </c>
      <c r="H264" s="216"/>
      <c r="I264" s="281"/>
      <c r="J264" s="300"/>
      <c r="K264" s="358"/>
    </row>
    <row r="265" spans="2:11">
      <c r="B265" t="s">
        <v>551</v>
      </c>
      <c r="C265" t="s">
        <v>1111</v>
      </c>
      <c r="D265" s="12">
        <v>5.4100000000000002E-2</v>
      </c>
      <c r="E265" s="12">
        <v>0.2291</v>
      </c>
      <c r="F265" s="12">
        <v>0.22600000000000001</v>
      </c>
      <c r="H265" s="216"/>
      <c r="I265" s="281"/>
      <c r="J265" s="300"/>
      <c r="K265" s="358"/>
    </row>
    <row r="266" spans="2:11">
      <c r="B266" t="s">
        <v>553</v>
      </c>
      <c r="C266" t="s">
        <v>1112</v>
      </c>
      <c r="D266" s="12">
        <v>4.1000000000000002E-2</v>
      </c>
      <c r="E266" s="12">
        <v>0.1547</v>
      </c>
      <c r="F266" s="12">
        <v>0.17180000000000001</v>
      </c>
      <c r="H266" s="216"/>
      <c r="I266" s="281"/>
      <c r="J266" s="300"/>
      <c r="K266" s="358"/>
    </row>
    <row r="267" spans="2:11">
      <c r="B267" t="s">
        <v>555</v>
      </c>
      <c r="C267" t="s">
        <v>1113</v>
      </c>
      <c r="D267" s="12">
        <v>4.2200000000000001E-2</v>
      </c>
      <c r="E267" s="12">
        <v>0.14610000000000001</v>
      </c>
      <c r="F267" s="12">
        <v>0.12720000000000001</v>
      </c>
      <c r="H267" s="216"/>
      <c r="I267" s="281"/>
      <c r="J267" s="300"/>
      <c r="K267" s="358"/>
    </row>
    <row r="268" spans="2:11">
      <c r="B268" t="s">
        <v>557</v>
      </c>
      <c r="C268" t="s">
        <v>1114</v>
      </c>
      <c r="D268" s="12">
        <v>4.0800000000000003E-2</v>
      </c>
      <c r="E268" s="12">
        <v>0.18290000000000001</v>
      </c>
      <c r="F268" s="12">
        <v>0.1593</v>
      </c>
      <c r="H268" s="216"/>
      <c r="I268" s="281"/>
      <c r="J268" s="300"/>
      <c r="K268" s="358"/>
    </row>
    <row r="269" spans="2:11">
      <c r="B269" t="s">
        <v>559</v>
      </c>
      <c r="C269" t="s">
        <v>1115</v>
      </c>
      <c r="D269" s="12">
        <v>4.3499999999999997E-2</v>
      </c>
      <c r="E269" s="12">
        <v>0.34100000000000003</v>
      </c>
      <c r="F269" s="12">
        <v>0.4506</v>
      </c>
      <c r="H269" s="216"/>
      <c r="I269" s="281"/>
      <c r="J269" s="300"/>
      <c r="K269" s="358"/>
    </row>
    <row r="270" spans="2:11">
      <c r="B270" t="s">
        <v>561</v>
      </c>
      <c r="C270" t="s">
        <v>1116</v>
      </c>
      <c r="D270" s="12">
        <v>2.7799999999999998E-2</v>
      </c>
      <c r="E270" s="12">
        <v>0.1147</v>
      </c>
      <c r="F270" s="12">
        <v>0.1096</v>
      </c>
      <c r="H270" s="216"/>
      <c r="I270" s="281"/>
      <c r="J270" s="300"/>
      <c r="K270" s="358"/>
    </row>
    <row r="271" spans="2:11">
      <c r="B271" t="s">
        <v>563</v>
      </c>
      <c r="C271" t="s">
        <v>1118</v>
      </c>
      <c r="D271" s="12">
        <v>1.67E-2</v>
      </c>
      <c r="E271" s="12">
        <v>0.42970000000000003</v>
      </c>
      <c r="F271" s="12">
        <v>0.35759999999999997</v>
      </c>
      <c r="H271" s="216"/>
      <c r="I271" s="281"/>
      <c r="J271" s="300"/>
      <c r="K271" s="358"/>
    </row>
    <row r="272" spans="2:11">
      <c r="B272" t="s">
        <v>565</v>
      </c>
      <c r="C272" t="s">
        <v>1119</v>
      </c>
      <c r="D272" s="12">
        <v>4.82E-2</v>
      </c>
      <c r="E272" s="12">
        <v>0.1943</v>
      </c>
      <c r="F272" s="12">
        <v>0.14680000000000001</v>
      </c>
      <c r="H272" s="216"/>
      <c r="I272" s="281"/>
      <c r="J272" s="300"/>
      <c r="K272" s="358"/>
    </row>
    <row r="273" spans="2:11">
      <c r="B273" t="s">
        <v>567</v>
      </c>
      <c r="C273" t="s">
        <v>1120</v>
      </c>
      <c r="D273" s="12">
        <v>3.5400000000000001E-2</v>
      </c>
      <c r="E273" s="12">
        <v>0.22420000000000001</v>
      </c>
      <c r="F273" s="12">
        <v>0.27260000000000001</v>
      </c>
      <c r="H273" s="216"/>
      <c r="I273" s="281"/>
      <c r="J273" s="300"/>
      <c r="K273" s="358"/>
    </row>
    <row r="274" spans="2:11">
      <c r="B274" t="s">
        <v>569</v>
      </c>
      <c r="C274" t="s">
        <v>1121</v>
      </c>
      <c r="D274" s="12">
        <v>5.3199999999999997E-2</v>
      </c>
      <c r="E274" s="12">
        <v>0.1447</v>
      </c>
      <c r="F274" s="12">
        <v>0.14460000000000001</v>
      </c>
      <c r="H274" s="216"/>
      <c r="I274" s="281"/>
      <c r="J274" s="300"/>
      <c r="K274" s="358"/>
    </row>
    <row r="275" spans="2:11">
      <c r="B275" t="s">
        <v>571</v>
      </c>
      <c r="C275" t="s">
        <v>1122</v>
      </c>
      <c r="D275" s="12">
        <v>4.2599999999999999E-2</v>
      </c>
      <c r="E275" s="12">
        <v>0.22370000000000001</v>
      </c>
      <c r="F275" s="12">
        <v>0.17219999999999999</v>
      </c>
      <c r="H275" s="216"/>
      <c r="I275" s="281"/>
      <c r="J275" s="300"/>
      <c r="K275" s="358"/>
    </row>
    <row r="276" spans="2:11">
      <c r="B276" t="s">
        <v>573</v>
      </c>
      <c r="C276" t="s">
        <v>1123</v>
      </c>
      <c r="D276" s="12">
        <v>0</v>
      </c>
      <c r="E276" s="12">
        <v>6.59E-2</v>
      </c>
      <c r="F276" s="12">
        <v>0</v>
      </c>
      <c r="H276" s="216"/>
      <c r="I276" s="281"/>
      <c r="J276" s="300"/>
      <c r="K276" s="358"/>
    </row>
    <row r="277" spans="2:11">
      <c r="B277" t="s">
        <v>575</v>
      </c>
      <c r="C277" t="s">
        <v>1124</v>
      </c>
      <c r="D277" s="12">
        <v>9.7699999999999995E-2</v>
      </c>
      <c r="E277" s="12">
        <v>0.72540000000000004</v>
      </c>
      <c r="F277" s="12">
        <v>0.45069999999999999</v>
      </c>
      <c r="H277" s="216"/>
      <c r="I277" s="281"/>
      <c r="J277" s="300"/>
      <c r="K277" s="358"/>
    </row>
    <row r="278" spans="2:11">
      <c r="B278" t="s">
        <v>577</v>
      </c>
      <c r="C278" t="s">
        <v>1125</v>
      </c>
      <c r="D278" s="12">
        <v>3.2800000000000003E-2</v>
      </c>
      <c r="E278" s="12">
        <v>0.16170000000000001</v>
      </c>
      <c r="F278" s="12">
        <v>0.16070000000000001</v>
      </c>
      <c r="H278" s="216"/>
      <c r="I278" s="281"/>
      <c r="J278" s="300"/>
      <c r="K278" s="358"/>
    </row>
    <row r="279" spans="2:11">
      <c r="B279" t="s">
        <v>579</v>
      </c>
      <c r="C279" t="s">
        <v>1126</v>
      </c>
      <c r="D279" s="12">
        <v>9.9400000000000002E-2</v>
      </c>
      <c r="E279" s="12">
        <v>0.2949</v>
      </c>
      <c r="F279" s="12">
        <v>0.29630000000000001</v>
      </c>
      <c r="H279" s="216"/>
      <c r="I279" s="281"/>
      <c r="J279" s="300"/>
      <c r="K279" s="358"/>
    </row>
    <row r="280" spans="2:11">
      <c r="B280" t="s">
        <v>581</v>
      </c>
      <c r="C280" t="s">
        <v>1127</v>
      </c>
      <c r="D280" s="12">
        <v>4.9000000000000002E-2</v>
      </c>
      <c r="E280" s="12">
        <v>0.15629999999999999</v>
      </c>
      <c r="F280" s="12">
        <v>0.1384</v>
      </c>
      <c r="H280" s="216"/>
      <c r="I280" s="281"/>
      <c r="J280" s="300"/>
      <c r="K280" s="358"/>
    </row>
    <row r="281" spans="2:11">
      <c r="B281" t="s">
        <v>583</v>
      </c>
      <c r="C281" t="s">
        <v>1128</v>
      </c>
      <c r="D281" s="12">
        <v>3.0700000000000002E-2</v>
      </c>
      <c r="E281" s="12">
        <v>0.1598</v>
      </c>
      <c r="F281" s="12">
        <v>0.1578</v>
      </c>
      <c r="H281" s="216"/>
      <c r="I281" s="281"/>
      <c r="J281" s="300"/>
      <c r="K281" s="358"/>
    </row>
    <row r="282" spans="2:11">
      <c r="B282" t="s">
        <v>585</v>
      </c>
      <c r="C282" t="s">
        <v>1129</v>
      </c>
      <c r="D282" s="12">
        <v>2.7900000000000001E-2</v>
      </c>
      <c r="E282" s="12">
        <v>0.39679999999999999</v>
      </c>
      <c r="F282" s="12">
        <v>0.47449999999999998</v>
      </c>
      <c r="H282" s="216"/>
      <c r="I282" s="281"/>
      <c r="J282" s="300"/>
      <c r="K282" s="358"/>
    </row>
    <row r="283" spans="2:11">
      <c r="B283" t="s">
        <v>587</v>
      </c>
      <c r="C283" t="s">
        <v>1131</v>
      </c>
      <c r="D283" s="12">
        <v>7.8899999999999998E-2</v>
      </c>
      <c r="E283" s="12">
        <v>0.25729999999999997</v>
      </c>
      <c r="F283" s="12">
        <v>0.2727</v>
      </c>
      <c r="H283" s="216"/>
      <c r="I283" s="281"/>
      <c r="J283" s="300"/>
      <c r="K283" s="358"/>
    </row>
    <row r="284" spans="2:11">
      <c r="B284" t="s">
        <v>589</v>
      </c>
      <c r="C284" t="s">
        <v>1133</v>
      </c>
      <c r="D284" s="12">
        <v>0.13450000000000001</v>
      </c>
      <c r="E284" s="12">
        <v>0.36749999999999999</v>
      </c>
      <c r="F284" s="12">
        <v>0.35449999999999998</v>
      </c>
      <c r="H284" s="216"/>
      <c r="I284" s="281"/>
      <c r="J284" s="300"/>
      <c r="K284" s="358"/>
    </row>
    <row r="285" spans="2:11">
      <c r="B285" t="s">
        <v>591</v>
      </c>
      <c r="C285" t="s">
        <v>1135</v>
      </c>
      <c r="D285" s="12">
        <v>0.13059999999999999</v>
      </c>
      <c r="E285" s="12">
        <v>0.29099999999999998</v>
      </c>
      <c r="F285" s="12">
        <v>0.2472</v>
      </c>
      <c r="H285" s="216"/>
      <c r="I285" s="281"/>
      <c r="J285" s="300"/>
      <c r="K285" s="358"/>
    </row>
    <row r="286" spans="2:11">
      <c r="B286" t="s">
        <v>593</v>
      </c>
      <c r="C286" t="s">
        <v>1137</v>
      </c>
      <c r="D286" s="12">
        <v>4.7600000000000003E-2</v>
      </c>
      <c r="E286" s="12">
        <v>0.14219999999999999</v>
      </c>
      <c r="F286" s="12">
        <v>0.1552</v>
      </c>
      <c r="H286" s="216"/>
      <c r="I286" s="281"/>
      <c r="J286" s="300"/>
      <c r="K286" s="358"/>
    </row>
    <row r="287" spans="2:11">
      <c r="B287" t="s">
        <v>595</v>
      </c>
      <c r="C287" t="s">
        <v>1138</v>
      </c>
      <c r="D287" s="12">
        <v>5.5399999999999998E-2</v>
      </c>
      <c r="E287" s="12">
        <v>0.17369999999999999</v>
      </c>
      <c r="F287" s="12">
        <v>0.19239999999999999</v>
      </c>
      <c r="H287" s="216"/>
      <c r="I287" s="281"/>
      <c r="J287" s="300"/>
      <c r="K287" s="358"/>
    </row>
    <row r="288" spans="2:11">
      <c r="B288" t="s">
        <v>597</v>
      </c>
      <c r="C288" t="s">
        <v>1140</v>
      </c>
      <c r="D288" s="12">
        <v>6.5799999999999997E-2</v>
      </c>
      <c r="E288" s="12">
        <v>9.3100000000000002E-2</v>
      </c>
      <c r="F288" s="12">
        <v>0.14149999999999999</v>
      </c>
      <c r="H288" s="216"/>
      <c r="I288" s="281"/>
      <c r="J288" s="300"/>
      <c r="K288" s="358"/>
    </row>
    <row r="289" spans="2:11">
      <c r="B289" t="s">
        <v>599</v>
      </c>
      <c r="C289" t="s">
        <v>1141</v>
      </c>
      <c r="D289" s="12">
        <v>4.4600000000000001E-2</v>
      </c>
      <c r="E289" s="12">
        <v>0.13100000000000001</v>
      </c>
      <c r="F289" s="12">
        <v>0.1144</v>
      </c>
      <c r="H289" s="216"/>
      <c r="I289" s="281"/>
      <c r="J289" s="300"/>
      <c r="K289" s="358"/>
    </row>
    <row r="290" spans="2:11">
      <c r="B290" t="s">
        <v>601</v>
      </c>
      <c r="C290" t="s">
        <v>1142</v>
      </c>
      <c r="D290" s="12">
        <v>8.8200000000000001E-2</v>
      </c>
      <c r="E290" s="12">
        <v>0.46100000000000002</v>
      </c>
      <c r="F290" s="12">
        <v>0.63170000000000004</v>
      </c>
      <c r="H290" s="216"/>
      <c r="I290" s="281"/>
      <c r="J290" s="300"/>
      <c r="K290" s="358"/>
    </row>
    <row r="291" spans="2:11">
      <c r="B291" t="s">
        <v>603</v>
      </c>
      <c r="C291" t="s">
        <v>1143</v>
      </c>
      <c r="D291" s="12">
        <v>5.5199999999999999E-2</v>
      </c>
      <c r="E291" s="12">
        <v>0.14280000000000001</v>
      </c>
      <c r="F291" s="12">
        <v>0.14030000000000001</v>
      </c>
      <c r="H291" s="216"/>
      <c r="I291" s="281"/>
      <c r="J291" s="300"/>
      <c r="K291" s="358"/>
    </row>
    <row r="292" spans="2:11">
      <c r="B292" t="s">
        <v>605</v>
      </c>
      <c r="C292" t="s">
        <v>1144</v>
      </c>
      <c r="D292" s="12">
        <v>4.2700000000000002E-2</v>
      </c>
      <c r="E292" s="12">
        <v>0.1913</v>
      </c>
      <c r="F292" s="12">
        <v>0.214</v>
      </c>
      <c r="H292" s="216"/>
      <c r="I292" s="281"/>
      <c r="J292" s="300"/>
      <c r="K292" s="358"/>
    </row>
    <row r="293" spans="2:11">
      <c r="B293" t="s">
        <v>607</v>
      </c>
      <c r="C293" t="s">
        <v>1145</v>
      </c>
      <c r="D293" s="12">
        <v>4.3499999999999997E-2</v>
      </c>
      <c r="E293" s="12">
        <v>0.18959999999999999</v>
      </c>
      <c r="F293" s="12">
        <v>0.20949999999999999</v>
      </c>
      <c r="H293" s="216"/>
      <c r="I293" s="281"/>
      <c r="J293" s="300"/>
      <c r="K293" s="358"/>
    </row>
    <row r="294" spans="2:11">
      <c r="B294" t="s">
        <v>609</v>
      </c>
      <c r="C294" t="s">
        <v>1146</v>
      </c>
      <c r="D294" s="12">
        <v>6.1899999999999997E-2</v>
      </c>
      <c r="E294" s="12">
        <v>0.28660000000000002</v>
      </c>
      <c r="F294" s="12">
        <v>0.30520000000000003</v>
      </c>
      <c r="H294" s="216"/>
      <c r="I294" s="281"/>
      <c r="J294" s="300"/>
      <c r="K294" s="358"/>
    </row>
    <row r="295" spans="2:11">
      <c r="B295" t="s">
        <v>611</v>
      </c>
      <c r="C295" t="s">
        <v>1147</v>
      </c>
      <c r="D295" s="12">
        <v>2.7199999999999998E-2</v>
      </c>
      <c r="E295" s="12">
        <v>0.20699999999999999</v>
      </c>
      <c r="F295" s="12">
        <v>0.20530000000000001</v>
      </c>
      <c r="H295" s="216"/>
      <c r="I295" s="281"/>
      <c r="J295" s="300"/>
      <c r="K295" s="358"/>
    </row>
    <row r="296" spans="2:11">
      <c r="B296" t="s">
        <v>613</v>
      </c>
      <c r="C296" t="s">
        <v>1148</v>
      </c>
      <c r="D296" s="12">
        <v>6.3399999999999998E-2</v>
      </c>
      <c r="E296" s="12">
        <v>0.1933</v>
      </c>
      <c r="F296" s="12">
        <v>0.191</v>
      </c>
      <c r="H296" s="216"/>
      <c r="I296" s="281"/>
      <c r="J296" s="300"/>
      <c r="K296" s="358"/>
    </row>
    <row r="297" spans="2:11">
      <c r="B297" t="s">
        <v>615</v>
      </c>
      <c r="C297" t="s">
        <v>1149</v>
      </c>
      <c r="D297" s="12">
        <v>7.0800000000000002E-2</v>
      </c>
      <c r="E297" s="12">
        <v>0.20050000000000001</v>
      </c>
      <c r="F297" s="12">
        <v>0.20399999999999999</v>
      </c>
      <c r="H297" s="216"/>
      <c r="I297" s="281"/>
      <c r="J297" s="300"/>
      <c r="K297" s="358"/>
    </row>
    <row r="298" spans="2:11">
      <c r="B298" t="s">
        <v>617</v>
      </c>
      <c r="C298" t="s">
        <v>1150</v>
      </c>
      <c r="D298" s="12">
        <v>4.3799999999999999E-2</v>
      </c>
      <c r="E298" s="12">
        <v>0.37890000000000001</v>
      </c>
      <c r="F298" s="12">
        <v>0.38769999999999999</v>
      </c>
      <c r="H298" s="216"/>
      <c r="I298" s="281"/>
      <c r="J298" s="300"/>
      <c r="K298" s="358"/>
    </row>
    <row r="299" spans="2:11">
      <c r="B299" t="s">
        <v>619</v>
      </c>
      <c r="C299" t="s">
        <v>1151</v>
      </c>
      <c r="D299" s="12">
        <v>3.8100000000000002E-2</v>
      </c>
      <c r="E299" s="12">
        <v>0.15939999999999999</v>
      </c>
      <c r="F299" s="12">
        <v>0.1799</v>
      </c>
      <c r="H299" s="216"/>
      <c r="I299" s="281"/>
      <c r="J299" s="300"/>
      <c r="K299" s="358"/>
    </row>
    <row r="300" spans="2:11">
      <c r="B300" t="s">
        <v>621</v>
      </c>
      <c r="C300" t="s">
        <v>1152</v>
      </c>
      <c r="D300" s="12">
        <v>3.7499999999999999E-2</v>
      </c>
      <c r="E300" s="12">
        <v>0.2142</v>
      </c>
      <c r="F300" s="12">
        <v>0.14219999999999999</v>
      </c>
      <c r="H300" s="216"/>
      <c r="I300" s="281"/>
      <c r="J300" s="300"/>
      <c r="K300" s="358"/>
    </row>
    <row r="301" spans="2:11">
      <c r="B301" t="s">
        <v>623</v>
      </c>
      <c r="C301" t="s">
        <v>1154</v>
      </c>
      <c r="D301" s="12">
        <v>3.1600000000000003E-2</v>
      </c>
      <c r="E301" s="12">
        <v>0.1646</v>
      </c>
      <c r="F301" s="12">
        <v>0.1762</v>
      </c>
      <c r="H301" s="216"/>
      <c r="I301" s="281"/>
      <c r="J301" s="300"/>
      <c r="K301" s="358"/>
    </row>
    <row r="302" spans="2:11">
      <c r="B302" t="s">
        <v>625</v>
      </c>
      <c r="C302" t="s">
        <v>1155</v>
      </c>
      <c r="D302" s="12">
        <v>2.3199999999999998E-2</v>
      </c>
      <c r="E302" s="12">
        <v>0.14199999999999999</v>
      </c>
      <c r="F302" s="12">
        <v>0.159</v>
      </c>
      <c r="H302" s="216"/>
      <c r="I302" s="281"/>
      <c r="J302" s="300"/>
      <c r="K302" s="358"/>
    </row>
    <row r="303" spans="2:11">
      <c r="B303" t="s">
        <v>627</v>
      </c>
      <c r="C303" t="s">
        <v>1156</v>
      </c>
      <c r="D303" s="12">
        <v>2.0799999999999999E-2</v>
      </c>
      <c r="E303" s="12">
        <v>0.24679999999999999</v>
      </c>
      <c r="F303" s="12">
        <v>0.23619999999999999</v>
      </c>
      <c r="H303" s="216"/>
      <c r="I303" s="281"/>
      <c r="J303" s="300"/>
      <c r="K303" s="358"/>
    </row>
    <row r="304" spans="2:11">
      <c r="B304" t="s">
        <v>629</v>
      </c>
      <c r="C304" t="s">
        <v>1157</v>
      </c>
      <c r="D304" s="12">
        <v>4.1099999999999998E-2</v>
      </c>
      <c r="E304" s="12">
        <v>0.15040000000000001</v>
      </c>
      <c r="F304" s="12">
        <v>0.1522</v>
      </c>
      <c r="H304" s="216"/>
      <c r="I304" s="281"/>
      <c r="J304" s="300"/>
      <c r="K304" s="358"/>
    </row>
    <row r="305" spans="2:11">
      <c r="B305" t="s">
        <v>631</v>
      </c>
      <c r="C305" t="s">
        <v>1158</v>
      </c>
      <c r="D305" s="12">
        <v>5.6500000000000002E-2</v>
      </c>
      <c r="E305" s="12">
        <v>0.20730000000000001</v>
      </c>
      <c r="F305" s="12">
        <v>0.19750000000000001</v>
      </c>
      <c r="H305" s="216"/>
      <c r="I305" s="281"/>
      <c r="J305" s="300"/>
      <c r="K305" s="358"/>
    </row>
    <row r="306" spans="2:11">
      <c r="B306" t="s">
        <v>633</v>
      </c>
      <c r="C306" t="s">
        <v>1159</v>
      </c>
      <c r="D306" s="12">
        <v>5.45E-2</v>
      </c>
      <c r="E306" s="12">
        <v>0.15129999999999999</v>
      </c>
      <c r="F306" s="12">
        <v>0.18770000000000001</v>
      </c>
      <c r="H306" s="216"/>
      <c r="I306" s="281"/>
      <c r="J306" s="300"/>
      <c r="K306" s="358"/>
    </row>
    <row r="307" spans="2:11">
      <c r="B307" t="s">
        <v>635</v>
      </c>
      <c r="C307" t="s">
        <v>1160</v>
      </c>
      <c r="D307" s="12">
        <v>4.7100000000000003E-2</v>
      </c>
      <c r="E307" s="12">
        <v>0.21740000000000001</v>
      </c>
      <c r="F307" s="12">
        <v>0.19170000000000001</v>
      </c>
      <c r="H307" s="216"/>
      <c r="I307" s="281"/>
      <c r="J307" s="300"/>
      <c r="K307" s="358"/>
    </row>
    <row r="308" spans="2:11">
      <c r="B308" t="s">
        <v>637</v>
      </c>
      <c r="C308" s="11" t="s">
        <v>1161</v>
      </c>
      <c r="D308" s="360">
        <v>3.7100000000000001E-2</v>
      </c>
      <c r="E308" s="360">
        <v>0.14399999999999999</v>
      </c>
      <c r="F308" s="360">
        <v>0.14119999999999999</v>
      </c>
      <c r="H308" s="216"/>
      <c r="I308" s="281"/>
      <c r="J308" s="300"/>
      <c r="K308" s="358"/>
    </row>
    <row r="309" spans="2:11">
      <c r="B309" t="s">
        <v>639</v>
      </c>
      <c r="C309" t="s">
        <v>1162</v>
      </c>
      <c r="D309" s="12">
        <v>2.06E-2</v>
      </c>
      <c r="E309" s="12">
        <v>0.2656</v>
      </c>
      <c r="F309" s="12">
        <v>0.23780000000000001</v>
      </c>
      <c r="H309" s="216"/>
      <c r="I309" s="281"/>
      <c r="J309" s="300"/>
      <c r="K309" s="358"/>
    </row>
    <row r="310" spans="2:11">
      <c r="B310" t="s">
        <v>641</v>
      </c>
      <c r="C310" t="s">
        <v>1163</v>
      </c>
      <c r="D310" s="12">
        <v>2.76E-2</v>
      </c>
      <c r="E310" s="12">
        <v>0.14949999999999999</v>
      </c>
      <c r="F310" s="12">
        <v>0.13539999999999999</v>
      </c>
      <c r="H310" s="216"/>
      <c r="I310" s="281"/>
      <c r="J310" s="300"/>
      <c r="K310" s="358"/>
    </row>
    <row r="311" spans="2:11">
      <c r="B311" t="s">
        <v>643</v>
      </c>
      <c r="C311" t="s">
        <v>1164</v>
      </c>
      <c r="D311" s="12">
        <v>7.22E-2</v>
      </c>
      <c r="E311" s="12">
        <v>0.31909999999999999</v>
      </c>
      <c r="F311" s="12">
        <v>0.27960000000000002</v>
      </c>
      <c r="H311" s="216"/>
      <c r="I311" s="281"/>
      <c r="J311" s="300"/>
      <c r="K311" s="358"/>
    </row>
    <row r="312" spans="2:11">
      <c r="B312" t="s">
        <v>645</v>
      </c>
      <c r="C312" t="s">
        <v>1165</v>
      </c>
      <c r="D312" s="12">
        <v>4.3299999999999998E-2</v>
      </c>
      <c r="E312" s="12">
        <v>0.17810000000000001</v>
      </c>
      <c r="F312" s="12">
        <v>0.17100000000000001</v>
      </c>
      <c r="H312" s="216"/>
      <c r="I312" s="281"/>
      <c r="J312" s="300"/>
      <c r="K312" s="358"/>
    </row>
    <row r="313" spans="2:11">
      <c r="B313" t="s">
        <v>647</v>
      </c>
      <c r="C313" t="s">
        <v>1166</v>
      </c>
      <c r="D313" s="12">
        <v>4.4900000000000002E-2</v>
      </c>
      <c r="E313" s="12">
        <v>0.1658</v>
      </c>
      <c r="F313" s="12">
        <v>0.14360000000000001</v>
      </c>
      <c r="H313" s="216"/>
      <c r="I313" s="281"/>
      <c r="J313" s="300"/>
      <c r="K313" s="358"/>
    </row>
    <row r="314" spans="2:11">
      <c r="B314" t="s">
        <v>649</v>
      </c>
      <c r="C314" t="s">
        <v>1167</v>
      </c>
      <c r="D314" s="12">
        <v>4.1300000000000003E-2</v>
      </c>
      <c r="E314" s="12">
        <v>0.16</v>
      </c>
      <c r="F314" s="12">
        <v>0.16880000000000001</v>
      </c>
      <c r="H314" s="216"/>
      <c r="I314" s="281"/>
      <c r="J314" s="300"/>
      <c r="K314" s="358"/>
    </row>
    <row r="315" spans="2:11">
      <c r="B315" t="s">
        <v>651</v>
      </c>
      <c r="C315" t="s">
        <v>1168</v>
      </c>
      <c r="D315" s="12">
        <v>3.2599999999999997E-2</v>
      </c>
      <c r="E315" s="12">
        <v>0.13569999999999999</v>
      </c>
      <c r="F315" s="12">
        <v>0.13239999999999999</v>
      </c>
      <c r="H315" s="216"/>
      <c r="I315" s="281"/>
      <c r="J315" s="300"/>
      <c r="K315" s="358"/>
    </row>
    <row r="316" spans="2:11">
      <c r="B316" t="s">
        <v>653</v>
      </c>
      <c r="C316" t="s">
        <v>1169</v>
      </c>
      <c r="D316" s="12">
        <v>5.3199999999999997E-2</v>
      </c>
      <c r="E316" s="12">
        <v>0.31080000000000002</v>
      </c>
      <c r="F316" s="12">
        <v>0.31609999999999999</v>
      </c>
      <c r="H316" s="216"/>
      <c r="I316" s="281"/>
      <c r="J316" s="300"/>
      <c r="K316" s="358"/>
    </row>
    <row r="317" spans="2:11">
      <c r="B317" t="s">
        <v>655</v>
      </c>
      <c r="C317" t="s">
        <v>1170</v>
      </c>
      <c r="D317" s="12">
        <v>5.4899999999999997E-2</v>
      </c>
      <c r="E317" s="12">
        <v>0.25659999999999999</v>
      </c>
      <c r="F317" s="12">
        <v>0.28189999999999998</v>
      </c>
      <c r="H317" s="216"/>
      <c r="I317" s="281"/>
      <c r="J317" s="300"/>
      <c r="K317" s="358"/>
    </row>
    <row r="318" spans="2:11">
      <c r="B318" t="s">
        <v>657</v>
      </c>
      <c r="C318" t="s">
        <v>1171</v>
      </c>
      <c r="D318" s="12">
        <v>5.1299999999999998E-2</v>
      </c>
      <c r="E318" s="12">
        <v>0.41049999999999998</v>
      </c>
      <c r="F318" s="12">
        <v>0.50019999999999998</v>
      </c>
      <c r="H318" s="216"/>
      <c r="I318" s="281"/>
      <c r="J318" s="300"/>
      <c r="K318" s="358"/>
    </row>
    <row r="319" spans="2:11">
      <c r="B319" t="s">
        <v>659</v>
      </c>
      <c r="C319" t="s">
        <v>1172</v>
      </c>
      <c r="D319" s="12">
        <v>3.4200000000000001E-2</v>
      </c>
      <c r="E319" s="12">
        <v>0.122</v>
      </c>
      <c r="F319" s="12">
        <v>0.1082</v>
      </c>
      <c r="H319" s="216"/>
      <c r="I319" s="281"/>
      <c r="J319" s="300"/>
      <c r="K319" s="358"/>
    </row>
    <row r="320" spans="2:11">
      <c r="B320" t="s">
        <v>661</v>
      </c>
      <c r="C320" t="s">
        <v>1173</v>
      </c>
      <c r="D320" s="12">
        <v>4.9000000000000002E-2</v>
      </c>
      <c r="E320" s="12">
        <v>0.1444</v>
      </c>
      <c r="F320" s="12">
        <v>0.1177</v>
      </c>
      <c r="H320" s="216"/>
      <c r="I320" s="281"/>
      <c r="J320" s="300"/>
      <c r="K320" s="358"/>
    </row>
    <row r="321" spans="2:11">
      <c r="B321" t="s">
        <v>663</v>
      </c>
      <c r="C321" t="s">
        <v>1174</v>
      </c>
      <c r="D321" s="12">
        <v>7.0000000000000007E-2</v>
      </c>
      <c r="E321" s="12">
        <v>0.18590000000000001</v>
      </c>
      <c r="F321" s="12">
        <v>0.19889999999999999</v>
      </c>
      <c r="H321" s="216"/>
      <c r="I321" s="281"/>
      <c r="J321" s="300"/>
      <c r="K321" s="358"/>
    </row>
    <row r="322" spans="2:11">
      <c r="B322" t="s">
        <v>665</v>
      </c>
      <c r="C322" s="11" t="s">
        <v>1175</v>
      </c>
      <c r="D322" s="360">
        <v>3.7100000000000001E-2</v>
      </c>
      <c r="E322" s="360">
        <v>0.14399999999999999</v>
      </c>
      <c r="F322" s="360">
        <v>0.14119999999999999</v>
      </c>
      <c r="H322" s="216"/>
      <c r="I322" s="281"/>
      <c r="J322" s="300"/>
      <c r="K322" s="358"/>
    </row>
    <row r="323" spans="2:11">
      <c r="B323" t="s">
        <v>667</v>
      </c>
      <c r="C323" t="s">
        <v>1176</v>
      </c>
      <c r="D323" s="12">
        <v>5.9400000000000001E-2</v>
      </c>
      <c r="E323" s="12">
        <v>0.21840000000000001</v>
      </c>
      <c r="F323" s="12">
        <v>0.25640000000000002</v>
      </c>
      <c r="H323" s="216"/>
      <c r="I323" s="281"/>
      <c r="J323" s="300"/>
      <c r="K323" s="358"/>
    </row>
    <row r="324" spans="2:11">
      <c r="B324" t="s">
        <v>669</v>
      </c>
      <c r="C324" t="s">
        <v>1177</v>
      </c>
      <c r="D324" s="12">
        <v>3.78E-2</v>
      </c>
      <c r="E324" s="12">
        <v>0.1502</v>
      </c>
      <c r="F324" s="12">
        <v>0.14779999999999999</v>
      </c>
      <c r="H324" s="216"/>
      <c r="I324" s="281"/>
      <c r="J324" s="300"/>
      <c r="K324" s="358"/>
    </row>
    <row r="325" spans="2:11">
      <c r="B325" t="s">
        <v>671</v>
      </c>
      <c r="C325" t="s">
        <v>1178</v>
      </c>
      <c r="D325" s="12">
        <v>4.6600000000000003E-2</v>
      </c>
      <c r="E325" s="12">
        <v>0.18959999999999999</v>
      </c>
      <c r="F325" s="12">
        <v>0.22209999999999999</v>
      </c>
      <c r="H325" s="216"/>
      <c r="I325" s="281"/>
      <c r="J325" s="300"/>
      <c r="K325" s="358"/>
    </row>
    <row r="326" spans="2:11">
      <c r="B326" t="s">
        <v>673</v>
      </c>
      <c r="C326" s="11" t="s">
        <v>1179</v>
      </c>
      <c r="D326" s="360">
        <v>3.7100000000000001E-2</v>
      </c>
      <c r="E326" s="360">
        <v>0.14399999999999999</v>
      </c>
      <c r="F326" s="360">
        <v>0.14119999999999999</v>
      </c>
      <c r="H326" s="216"/>
      <c r="I326" s="281"/>
      <c r="J326" s="300"/>
      <c r="K326" s="358"/>
    </row>
    <row r="327" spans="2:11">
      <c r="B327" t="s">
        <v>675</v>
      </c>
      <c r="C327" t="s">
        <v>1180</v>
      </c>
      <c r="D327" s="12">
        <v>3.32E-2</v>
      </c>
      <c r="E327" s="12">
        <v>0.25790000000000002</v>
      </c>
      <c r="F327" s="12">
        <v>0.22320000000000001</v>
      </c>
      <c r="H327" s="216"/>
      <c r="I327" s="281"/>
      <c r="J327" s="300"/>
      <c r="K327" s="358"/>
    </row>
    <row r="328" spans="2:11">
      <c r="B328" t="s">
        <v>677</v>
      </c>
      <c r="C328" t="s">
        <v>1181</v>
      </c>
      <c r="D328" s="12">
        <v>2.7099999999999999E-2</v>
      </c>
      <c r="E328" s="12">
        <v>0.1905</v>
      </c>
      <c r="F328" s="12">
        <v>0.2213</v>
      </c>
      <c r="H328" s="216"/>
      <c r="I328" s="281"/>
      <c r="J328" s="300"/>
      <c r="K328" s="358"/>
    </row>
    <row r="329" spans="2:11">
      <c r="B329" t="s">
        <v>679</v>
      </c>
      <c r="C329" t="s">
        <v>1182</v>
      </c>
      <c r="D329" s="12">
        <v>6.3500000000000001E-2</v>
      </c>
      <c r="E329" s="12">
        <v>0.29139999999999999</v>
      </c>
      <c r="F329" s="12">
        <v>0.24149999999999999</v>
      </c>
      <c r="H329" s="216"/>
      <c r="I329" s="281"/>
      <c r="J329" s="300"/>
      <c r="K329" s="358"/>
    </row>
    <row r="330" spans="2:11">
      <c r="B330" t="s">
        <v>681</v>
      </c>
      <c r="C330" t="s">
        <v>1183</v>
      </c>
      <c r="D330" s="12">
        <v>1.6899999999999998E-2</v>
      </c>
      <c r="E330" s="12">
        <v>0.20169999999999999</v>
      </c>
      <c r="F330" s="12">
        <v>0.21049999999999999</v>
      </c>
      <c r="H330" s="216"/>
      <c r="I330" s="281"/>
      <c r="J330" s="300"/>
      <c r="K330" s="358"/>
    </row>
    <row r="331" spans="2:11">
      <c r="B331" t="s">
        <v>683</v>
      </c>
      <c r="C331" t="s">
        <v>1184</v>
      </c>
      <c r="D331" s="12">
        <v>5.4199999999999998E-2</v>
      </c>
      <c r="E331" s="12">
        <v>0.31309999999999999</v>
      </c>
      <c r="F331" s="12">
        <v>0.28789999999999999</v>
      </c>
      <c r="H331" s="216"/>
      <c r="I331" s="281"/>
      <c r="J331" s="300"/>
      <c r="K331" s="358"/>
    </row>
    <row r="332" spans="2:11">
      <c r="B332" t="s">
        <v>685</v>
      </c>
      <c r="C332" t="s">
        <v>1185</v>
      </c>
      <c r="D332" s="12">
        <v>3.32E-2</v>
      </c>
      <c r="E332" s="12">
        <v>0.4</v>
      </c>
      <c r="F332" s="12">
        <v>0.373</v>
      </c>
      <c r="H332" s="216"/>
      <c r="I332" s="281"/>
      <c r="J332" s="300"/>
      <c r="K332" s="358"/>
    </row>
    <row r="333" spans="2:11">
      <c r="B333" t="s">
        <v>687</v>
      </c>
      <c r="C333" t="s">
        <v>1186</v>
      </c>
      <c r="D333" s="12">
        <v>1.6400000000000001E-2</v>
      </c>
      <c r="E333" s="12">
        <v>0.128</v>
      </c>
      <c r="F333" s="12">
        <v>0.1216</v>
      </c>
      <c r="H333" s="216"/>
      <c r="I333" s="281"/>
      <c r="J333" s="300"/>
      <c r="K333" s="358"/>
    </row>
    <row r="334" spans="2:11">
      <c r="B334" t="s">
        <v>689</v>
      </c>
      <c r="C334" s="11" t="s">
        <v>1188</v>
      </c>
      <c r="D334" s="360">
        <v>3.7100000000000001E-2</v>
      </c>
      <c r="E334" s="360">
        <v>0.14399999999999999</v>
      </c>
      <c r="F334" s="360">
        <v>0.14119999999999999</v>
      </c>
      <c r="H334" s="216"/>
      <c r="I334" s="281"/>
      <c r="J334" s="300"/>
      <c r="K334" s="358"/>
    </row>
    <row r="335" spans="2:11">
      <c r="B335" t="s">
        <v>691</v>
      </c>
      <c r="C335" t="s">
        <v>1189</v>
      </c>
      <c r="D335" s="12">
        <v>2.01E-2</v>
      </c>
      <c r="E335" s="12">
        <v>0.1226</v>
      </c>
      <c r="F335" s="12">
        <v>0.1323</v>
      </c>
      <c r="I335" s="281"/>
      <c r="J335" s="300"/>
      <c r="K335" s="358"/>
    </row>
    <row r="336" spans="2:11">
      <c r="B336" t="s">
        <v>693</v>
      </c>
      <c r="C336" t="s">
        <v>1190</v>
      </c>
      <c r="D336" s="12">
        <v>3.2399999999999998E-2</v>
      </c>
      <c r="E336" s="12">
        <v>0.14369999999999999</v>
      </c>
      <c r="F336" s="12">
        <v>0.1699</v>
      </c>
      <c r="I336" s="281"/>
      <c r="J336" s="300"/>
      <c r="K336" s="358"/>
    </row>
    <row r="337" spans="2:11">
      <c r="B337" t="s">
        <v>695</v>
      </c>
      <c r="C337" t="s">
        <v>1191</v>
      </c>
      <c r="D337" s="12">
        <v>7.7799999999999994E-2</v>
      </c>
      <c r="E337" s="12">
        <v>0.24149999999999999</v>
      </c>
      <c r="F337" s="12">
        <v>0.27039999999999997</v>
      </c>
      <c r="I337" s="281"/>
      <c r="J337" s="300"/>
      <c r="K337" s="358"/>
    </row>
    <row r="338" spans="2:11">
      <c r="B338" s="58"/>
      <c r="D338" s="12"/>
      <c r="E338" s="12"/>
      <c r="F338" s="12"/>
    </row>
    <row r="339" spans="2:11">
      <c r="B339" s="58"/>
      <c r="D339" s="12"/>
      <c r="E339" s="12"/>
      <c r="F339" s="12"/>
    </row>
    <row r="340" spans="2:11">
      <c r="B340" s="58"/>
      <c r="D340" s="12"/>
      <c r="E340" s="12"/>
      <c r="F340" s="12"/>
    </row>
    <row r="341" spans="2:11">
      <c r="B341" s="58"/>
      <c r="D341" s="12"/>
      <c r="E341" s="12"/>
      <c r="F341" s="12"/>
    </row>
    <row r="342" spans="2:11">
      <c r="B342" s="58"/>
      <c r="D342" s="12"/>
      <c r="E342" s="12"/>
      <c r="F342" s="12"/>
    </row>
    <row r="343" spans="2:11">
      <c r="B343" s="58"/>
      <c r="D343" s="12"/>
      <c r="E343" s="12"/>
      <c r="F343" s="12"/>
    </row>
    <row r="344" spans="2:11">
      <c r="B344" s="284"/>
      <c r="D344" s="12"/>
      <c r="E344" s="12"/>
      <c r="F344" s="12"/>
    </row>
    <row r="345" spans="2:11">
      <c r="B345" s="58"/>
      <c r="D345" s="12"/>
      <c r="E345" s="12"/>
      <c r="F345" s="12"/>
    </row>
    <row r="346" spans="2:11">
      <c r="B346" s="58"/>
      <c r="D346" s="12"/>
      <c r="E346" s="12"/>
      <c r="F346" s="12"/>
    </row>
    <row r="347" spans="2:11">
      <c r="B347" s="58"/>
      <c r="D347" s="12"/>
      <c r="E347" s="12"/>
      <c r="F347" s="12"/>
    </row>
    <row r="348" spans="2:11">
      <c r="B348" s="67"/>
    </row>
    <row r="349" spans="2:11">
      <c r="B349" s="67"/>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O55"/>
  <sheetViews>
    <sheetView workbookViewId="0">
      <selection sqref="A1:G1"/>
    </sheetView>
  </sheetViews>
  <sheetFormatPr defaultRowHeight="14.45"/>
  <cols>
    <col min="1" max="1" width="30.140625" bestFit="1" customWidth="1"/>
    <col min="2" max="2" width="18.28515625" customWidth="1"/>
    <col min="3" max="3" width="14.85546875" bestFit="1" customWidth="1"/>
    <col min="4" max="4" width="14" customWidth="1"/>
    <col min="5" max="5" width="17.42578125" customWidth="1"/>
    <col min="6" max="6" width="14.140625" bestFit="1" customWidth="1"/>
    <col min="7" max="7" width="10.85546875" bestFit="1" customWidth="1"/>
  </cols>
  <sheetData>
    <row r="1" spans="1:15">
      <c r="A1" s="597" t="s">
        <v>1205</v>
      </c>
      <c r="B1" s="597"/>
      <c r="C1" s="597"/>
      <c r="D1" s="597"/>
      <c r="E1" s="597"/>
      <c r="F1" s="597"/>
      <c r="G1" s="597"/>
      <c r="I1" s="33"/>
      <c r="J1" s="33"/>
      <c r="K1" s="33"/>
      <c r="L1" s="33"/>
      <c r="M1" s="33"/>
      <c r="N1" s="33"/>
      <c r="O1" s="33"/>
    </row>
    <row r="2" spans="1:15">
      <c r="A2" s="6" t="s">
        <v>1206</v>
      </c>
      <c r="I2" s="33"/>
      <c r="J2" s="33"/>
      <c r="K2" s="33"/>
      <c r="L2" s="33"/>
      <c r="M2" s="33"/>
      <c r="N2" s="33"/>
      <c r="O2" s="33"/>
    </row>
    <row r="3" spans="1:15">
      <c r="I3" s="33"/>
      <c r="J3" s="33"/>
      <c r="K3" s="33"/>
      <c r="L3" s="33"/>
      <c r="M3" s="33"/>
      <c r="N3" s="33"/>
      <c r="O3" s="33"/>
    </row>
    <row r="4" spans="1:15" ht="33.75" customHeight="1">
      <c r="B4" s="151" t="s">
        <v>1207</v>
      </c>
      <c r="C4" s="151" t="s">
        <v>1208</v>
      </c>
      <c r="D4" s="151" t="s">
        <v>1209</v>
      </c>
      <c r="E4" s="151" t="s">
        <v>1210</v>
      </c>
      <c r="F4" s="151" t="s">
        <v>1211</v>
      </c>
      <c r="G4" s="151" t="s">
        <v>1212</v>
      </c>
      <c r="I4" s="33"/>
      <c r="J4" s="33"/>
      <c r="K4" s="33"/>
      <c r="L4" s="33"/>
      <c r="M4" s="33"/>
      <c r="N4" s="33"/>
      <c r="O4" s="33"/>
    </row>
    <row r="5" spans="1:15">
      <c r="A5" t="s">
        <v>700</v>
      </c>
      <c r="B5" s="19">
        <f>SUM(B6:B55)</f>
        <v>0</v>
      </c>
      <c r="C5" s="19">
        <f t="shared" ref="C5:G5" si="0">SUM(C6:C55)</f>
        <v>0</v>
      </c>
      <c r="D5" s="19">
        <f t="shared" si="0"/>
        <v>0</v>
      </c>
      <c r="E5" s="19">
        <f t="shared" si="0"/>
        <v>0</v>
      </c>
      <c r="F5" s="19">
        <f t="shared" si="0"/>
        <v>0</v>
      </c>
      <c r="G5" s="19">
        <f t="shared" si="0"/>
        <v>0</v>
      </c>
    </row>
    <row r="6" spans="1:15">
      <c r="A6" s="11" t="s">
        <v>1213</v>
      </c>
      <c r="B6" s="157">
        <v>0</v>
      </c>
      <c r="C6" s="157"/>
      <c r="D6" s="157"/>
      <c r="E6" s="157"/>
      <c r="F6" s="157"/>
      <c r="G6" s="157"/>
    </row>
    <row r="7" spans="1:15">
      <c r="A7" s="11" t="s">
        <v>1213</v>
      </c>
      <c r="B7" s="157"/>
      <c r="C7" s="157"/>
      <c r="D7" s="157"/>
      <c r="E7" s="157"/>
      <c r="F7" s="157"/>
      <c r="G7" s="157"/>
    </row>
    <row r="8" spans="1:15">
      <c r="A8" s="11" t="s">
        <v>1213</v>
      </c>
      <c r="B8" s="157"/>
      <c r="C8" s="157"/>
      <c r="D8" s="157"/>
      <c r="E8" s="157"/>
      <c r="F8" s="157"/>
      <c r="G8" s="157"/>
    </row>
    <row r="9" spans="1:15">
      <c r="A9" s="11" t="s">
        <v>1213</v>
      </c>
      <c r="B9" s="157"/>
      <c r="C9" s="157"/>
      <c r="D9" s="157"/>
      <c r="E9" s="157"/>
      <c r="F9" s="157"/>
      <c r="G9" s="157"/>
    </row>
    <row r="10" spans="1:15">
      <c r="A10" s="11" t="s">
        <v>1213</v>
      </c>
      <c r="B10" s="157"/>
      <c r="C10" s="157"/>
      <c r="D10" s="157"/>
      <c r="E10" s="157"/>
      <c r="F10" s="157"/>
      <c r="G10" s="157"/>
    </row>
    <row r="11" spans="1:15">
      <c r="A11" s="11" t="s">
        <v>1213</v>
      </c>
      <c r="B11" s="157"/>
      <c r="C11" s="157"/>
      <c r="D11" s="157"/>
      <c r="E11" s="157"/>
      <c r="F11" s="157"/>
      <c r="G11" s="157"/>
    </row>
    <row r="12" spans="1:15">
      <c r="A12" s="11" t="s">
        <v>1213</v>
      </c>
      <c r="B12" s="157"/>
      <c r="C12" s="157"/>
      <c r="D12" s="157"/>
      <c r="E12" s="157"/>
      <c r="F12" s="157"/>
      <c r="G12" s="157"/>
    </row>
    <row r="13" spans="1:15">
      <c r="A13" s="11" t="s">
        <v>1213</v>
      </c>
      <c r="B13" s="157"/>
      <c r="C13" s="157"/>
      <c r="D13" s="157"/>
      <c r="E13" s="157"/>
      <c r="F13" s="157"/>
      <c r="G13" s="157"/>
    </row>
    <row r="14" spans="1:15">
      <c r="A14" s="11" t="s">
        <v>1213</v>
      </c>
      <c r="B14" s="157"/>
      <c r="C14" s="157"/>
      <c r="D14" s="157"/>
      <c r="E14" s="157"/>
      <c r="F14" s="157"/>
      <c r="G14" s="157"/>
    </row>
    <row r="15" spans="1:15">
      <c r="A15" s="11" t="s">
        <v>1213</v>
      </c>
      <c r="B15" s="157"/>
      <c r="C15" s="157"/>
      <c r="D15" s="157"/>
      <c r="E15" s="157"/>
      <c r="F15" s="157"/>
      <c r="G15" s="157"/>
    </row>
    <row r="16" spans="1:15">
      <c r="A16" s="11" t="s">
        <v>1213</v>
      </c>
      <c r="B16" s="157"/>
      <c r="C16" s="157"/>
      <c r="D16" s="157"/>
      <c r="E16" s="157"/>
      <c r="F16" s="157"/>
      <c r="G16" s="157"/>
    </row>
    <row r="17" spans="1:7">
      <c r="A17" s="11" t="s">
        <v>1213</v>
      </c>
      <c r="B17" s="157"/>
      <c r="C17" s="157"/>
      <c r="D17" s="157"/>
      <c r="E17" s="157"/>
      <c r="F17" s="157"/>
      <c r="G17" s="157"/>
    </row>
    <row r="18" spans="1:7">
      <c r="A18" s="11" t="s">
        <v>1213</v>
      </c>
      <c r="B18" s="157"/>
      <c r="C18" s="157"/>
      <c r="D18" s="157"/>
      <c r="E18" s="157"/>
      <c r="F18" s="157"/>
      <c r="G18" s="157"/>
    </row>
    <row r="19" spans="1:7">
      <c r="A19" s="11" t="s">
        <v>1213</v>
      </c>
      <c r="B19" s="157"/>
      <c r="C19" s="157"/>
      <c r="D19" s="157"/>
      <c r="E19" s="157"/>
      <c r="F19" s="157"/>
      <c r="G19" s="157"/>
    </row>
    <row r="20" spans="1:7">
      <c r="A20" s="11" t="s">
        <v>1213</v>
      </c>
      <c r="B20" s="157"/>
      <c r="C20" s="157"/>
      <c r="D20" s="157"/>
      <c r="E20" s="157"/>
      <c r="F20" s="157"/>
      <c r="G20" s="157"/>
    </row>
    <row r="21" spans="1:7">
      <c r="A21" s="11" t="s">
        <v>1213</v>
      </c>
      <c r="B21" s="157"/>
      <c r="C21" s="157"/>
      <c r="D21" s="157"/>
      <c r="E21" s="157"/>
      <c r="F21" s="157"/>
      <c r="G21" s="157"/>
    </row>
    <row r="22" spans="1:7">
      <c r="A22" s="11" t="s">
        <v>1213</v>
      </c>
      <c r="B22" s="157"/>
      <c r="C22" s="157"/>
      <c r="D22" s="157"/>
      <c r="E22" s="157"/>
      <c r="F22" s="157"/>
      <c r="G22" s="157"/>
    </row>
    <row r="23" spans="1:7">
      <c r="A23" s="11" t="s">
        <v>1213</v>
      </c>
      <c r="B23" s="157"/>
      <c r="C23" s="157"/>
      <c r="D23" s="157"/>
      <c r="E23" s="157"/>
      <c r="F23" s="157"/>
      <c r="G23" s="157"/>
    </row>
    <row r="24" spans="1:7">
      <c r="A24" s="11" t="s">
        <v>1213</v>
      </c>
      <c r="B24" s="157"/>
      <c r="C24" s="157"/>
      <c r="D24" s="157"/>
      <c r="E24" s="157"/>
      <c r="F24" s="157"/>
      <c r="G24" s="157"/>
    </row>
    <row r="25" spans="1:7">
      <c r="A25" s="11" t="s">
        <v>1213</v>
      </c>
      <c r="B25" s="157"/>
      <c r="C25" s="157"/>
      <c r="D25" s="157"/>
      <c r="E25" s="157"/>
      <c r="F25" s="157"/>
      <c r="G25" s="157"/>
    </row>
    <row r="26" spans="1:7">
      <c r="A26" s="11" t="s">
        <v>1213</v>
      </c>
      <c r="B26" s="157"/>
      <c r="C26" s="157"/>
      <c r="D26" s="157"/>
      <c r="E26" s="157"/>
      <c r="F26" s="157"/>
      <c r="G26" s="157"/>
    </row>
    <row r="27" spans="1:7">
      <c r="A27" s="11" t="s">
        <v>1213</v>
      </c>
      <c r="B27" s="157"/>
      <c r="C27" s="157"/>
      <c r="D27" s="157"/>
      <c r="E27" s="157"/>
      <c r="F27" s="157"/>
      <c r="G27" s="157"/>
    </row>
    <row r="28" spans="1:7">
      <c r="A28" s="11" t="s">
        <v>1213</v>
      </c>
      <c r="B28" s="157"/>
      <c r="C28" s="157"/>
      <c r="D28" s="157"/>
      <c r="E28" s="157"/>
      <c r="F28" s="157"/>
      <c r="G28" s="157"/>
    </row>
    <row r="29" spans="1:7">
      <c r="A29" s="11" t="s">
        <v>1213</v>
      </c>
      <c r="B29" s="157"/>
      <c r="C29" s="157"/>
      <c r="D29" s="157"/>
      <c r="E29" s="157"/>
      <c r="F29" s="157"/>
      <c r="G29" s="157"/>
    </row>
    <row r="30" spans="1:7">
      <c r="A30" s="11" t="s">
        <v>1213</v>
      </c>
      <c r="B30" s="157"/>
      <c r="C30" s="157"/>
      <c r="D30" s="157"/>
      <c r="E30" s="157"/>
      <c r="F30" s="157"/>
      <c r="G30" s="157"/>
    </row>
    <row r="31" spans="1:7">
      <c r="A31" s="11" t="s">
        <v>1213</v>
      </c>
      <c r="B31" s="157"/>
      <c r="C31" s="157"/>
      <c r="D31" s="157"/>
      <c r="E31" s="157"/>
      <c r="F31" s="157"/>
      <c r="G31" s="157"/>
    </row>
    <row r="32" spans="1:7">
      <c r="A32" s="11" t="s">
        <v>1213</v>
      </c>
      <c r="B32" s="157"/>
      <c r="C32" s="157"/>
      <c r="D32" s="157"/>
      <c r="E32" s="157"/>
      <c r="F32" s="157"/>
      <c r="G32" s="157"/>
    </row>
    <row r="33" spans="1:7">
      <c r="A33" s="11" t="s">
        <v>1213</v>
      </c>
      <c r="B33" s="157"/>
      <c r="C33" s="157"/>
      <c r="D33" s="157"/>
      <c r="E33" s="157"/>
      <c r="F33" s="157"/>
      <c r="G33" s="157"/>
    </row>
    <row r="34" spans="1:7">
      <c r="A34" s="11" t="s">
        <v>1213</v>
      </c>
      <c r="B34" s="157"/>
      <c r="C34" s="157"/>
      <c r="D34" s="157"/>
      <c r="E34" s="157"/>
      <c r="F34" s="157"/>
      <c r="G34" s="157"/>
    </row>
    <row r="35" spans="1:7">
      <c r="A35" s="11" t="s">
        <v>1213</v>
      </c>
      <c r="B35" s="157"/>
      <c r="C35" s="157"/>
      <c r="D35" s="157"/>
      <c r="E35" s="157"/>
      <c r="F35" s="157"/>
      <c r="G35" s="157"/>
    </row>
    <row r="36" spans="1:7">
      <c r="A36" s="11" t="s">
        <v>1213</v>
      </c>
      <c r="B36" s="157"/>
      <c r="C36" s="157"/>
      <c r="D36" s="157"/>
      <c r="E36" s="157"/>
      <c r="F36" s="157"/>
      <c r="G36" s="157"/>
    </row>
    <row r="37" spans="1:7">
      <c r="A37" s="11" t="s">
        <v>1213</v>
      </c>
      <c r="B37" s="157"/>
      <c r="C37" s="157"/>
      <c r="D37" s="157"/>
      <c r="E37" s="157"/>
      <c r="F37" s="157"/>
      <c r="G37" s="157"/>
    </row>
    <row r="38" spans="1:7">
      <c r="A38" s="11" t="s">
        <v>1213</v>
      </c>
      <c r="B38" s="157"/>
      <c r="C38" s="157"/>
      <c r="D38" s="157"/>
      <c r="E38" s="157"/>
      <c r="F38" s="157"/>
      <c r="G38" s="157"/>
    </row>
    <row r="39" spans="1:7">
      <c r="A39" s="11" t="s">
        <v>1213</v>
      </c>
      <c r="B39" s="157"/>
      <c r="C39" s="157"/>
      <c r="D39" s="157"/>
      <c r="E39" s="157"/>
      <c r="F39" s="157"/>
      <c r="G39" s="157"/>
    </row>
    <row r="40" spans="1:7">
      <c r="A40" s="11" t="s">
        <v>1213</v>
      </c>
      <c r="B40" s="157"/>
      <c r="C40" s="157"/>
      <c r="D40" s="157"/>
      <c r="E40" s="157"/>
      <c r="F40" s="157"/>
      <c r="G40" s="157"/>
    </row>
    <row r="41" spans="1:7">
      <c r="A41" s="11" t="s">
        <v>1213</v>
      </c>
      <c r="B41" s="157"/>
      <c r="C41" s="157"/>
      <c r="D41" s="157"/>
      <c r="E41" s="157"/>
      <c r="F41" s="157"/>
      <c r="G41" s="157"/>
    </row>
    <row r="42" spans="1:7">
      <c r="A42" s="11" t="s">
        <v>1213</v>
      </c>
      <c r="B42" s="157"/>
      <c r="C42" s="157"/>
      <c r="D42" s="157"/>
      <c r="E42" s="157"/>
      <c r="F42" s="157"/>
      <c r="G42" s="157"/>
    </row>
    <row r="43" spans="1:7">
      <c r="A43" s="11" t="s">
        <v>1213</v>
      </c>
      <c r="B43" s="157"/>
      <c r="C43" s="157"/>
      <c r="D43" s="157"/>
      <c r="E43" s="157"/>
      <c r="F43" s="157"/>
      <c r="G43" s="157"/>
    </row>
    <row r="44" spans="1:7">
      <c r="A44" s="11" t="s">
        <v>1213</v>
      </c>
      <c r="B44" s="157"/>
      <c r="C44" s="157"/>
      <c r="D44" s="157"/>
      <c r="E44" s="157"/>
      <c r="F44" s="157"/>
      <c r="G44" s="157"/>
    </row>
    <row r="45" spans="1:7">
      <c r="A45" s="11" t="s">
        <v>1213</v>
      </c>
      <c r="B45" s="157"/>
      <c r="C45" s="157"/>
      <c r="D45" s="157"/>
      <c r="E45" s="157"/>
      <c r="F45" s="157"/>
      <c r="G45" s="157"/>
    </row>
    <row r="46" spans="1:7">
      <c r="A46" s="11" t="s">
        <v>1213</v>
      </c>
      <c r="B46" s="157"/>
      <c r="C46" s="157"/>
      <c r="D46" s="157"/>
      <c r="E46" s="157"/>
      <c r="F46" s="157"/>
      <c r="G46" s="157"/>
    </row>
    <row r="47" spans="1:7">
      <c r="A47" s="11" t="s">
        <v>1213</v>
      </c>
      <c r="B47" s="157"/>
      <c r="C47" s="157"/>
      <c r="D47" s="157"/>
      <c r="E47" s="157"/>
      <c r="F47" s="157"/>
      <c r="G47" s="157"/>
    </row>
    <row r="48" spans="1:7">
      <c r="A48" s="11" t="s">
        <v>1213</v>
      </c>
      <c r="B48" s="157"/>
      <c r="C48" s="157"/>
      <c r="D48" s="157"/>
      <c r="E48" s="157"/>
      <c r="F48" s="157"/>
      <c r="G48" s="157"/>
    </row>
    <row r="49" spans="1:7">
      <c r="A49" s="11" t="s">
        <v>1213</v>
      </c>
      <c r="B49" s="157"/>
      <c r="C49" s="157"/>
      <c r="D49" s="157"/>
      <c r="E49" s="157"/>
      <c r="F49" s="157"/>
      <c r="G49" s="157"/>
    </row>
    <row r="50" spans="1:7">
      <c r="A50" s="11" t="s">
        <v>1213</v>
      </c>
      <c r="B50" s="157"/>
      <c r="C50" s="157"/>
      <c r="D50" s="157"/>
      <c r="E50" s="157"/>
      <c r="F50" s="157"/>
      <c r="G50" s="157"/>
    </row>
    <row r="51" spans="1:7">
      <c r="A51" s="11" t="s">
        <v>1213</v>
      </c>
      <c r="B51" s="157"/>
      <c r="C51" s="157"/>
      <c r="D51" s="157"/>
      <c r="E51" s="157"/>
      <c r="F51" s="157"/>
      <c r="G51" s="157"/>
    </row>
    <row r="52" spans="1:7">
      <c r="A52" s="11" t="s">
        <v>1213</v>
      </c>
      <c r="B52" s="157"/>
      <c r="C52" s="157"/>
      <c r="D52" s="157"/>
      <c r="E52" s="157"/>
      <c r="F52" s="157"/>
      <c r="G52" s="157"/>
    </row>
    <row r="53" spans="1:7">
      <c r="A53" s="11" t="s">
        <v>1213</v>
      </c>
      <c r="B53" s="157"/>
      <c r="C53" s="157"/>
      <c r="D53" s="157"/>
      <c r="E53" s="157"/>
      <c r="F53" s="157"/>
      <c r="G53" s="157"/>
    </row>
    <row r="54" spans="1:7">
      <c r="A54" s="11" t="s">
        <v>1213</v>
      </c>
      <c r="B54" s="157"/>
      <c r="C54" s="157"/>
      <c r="D54" s="157"/>
      <c r="E54" s="157"/>
      <c r="F54" s="157"/>
      <c r="G54" s="157"/>
    </row>
    <row r="55" spans="1:7">
      <c r="A55" s="11" t="s">
        <v>1213</v>
      </c>
      <c r="B55" s="157"/>
      <c r="C55" s="157"/>
      <c r="D55" s="157"/>
      <c r="E55" s="157"/>
      <c r="F55" s="157"/>
      <c r="G55" s="157"/>
    </row>
  </sheetData>
  <mergeCells count="1">
    <mergeCell ref="A1:G1"/>
  </mergeCells>
  <hyperlinks>
    <hyperlink ref="A2" location="'Fund Balance Summary'!A1" display="(Return to sheet)" xr:uid="{00000000-0004-0000-0400-000000000000}"/>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28"/>
  <sheetViews>
    <sheetView workbookViewId="0">
      <selection activeCell="D1" sqref="D1"/>
    </sheetView>
  </sheetViews>
  <sheetFormatPr defaultRowHeight="14.45"/>
  <cols>
    <col min="1" max="1" width="49.7109375" bestFit="1" customWidth="1"/>
    <col min="2" max="2" width="17.42578125" customWidth="1"/>
    <col min="3" max="3" width="19" customWidth="1"/>
  </cols>
  <sheetData>
    <row r="1" spans="1:4">
      <c r="A1" s="597" t="s">
        <v>1214</v>
      </c>
      <c r="B1" s="597"/>
      <c r="C1" s="597"/>
      <c r="D1" s="7"/>
    </row>
    <row r="2" spans="1:4">
      <c r="A2" s="597" t="s">
        <v>1215</v>
      </c>
      <c r="B2" s="597"/>
      <c r="C2" s="597"/>
    </row>
    <row r="3" spans="1:4">
      <c r="A3" s="6" t="s">
        <v>1216</v>
      </c>
    </row>
    <row r="5" spans="1:4">
      <c r="A5" t="s">
        <v>1217</v>
      </c>
      <c r="B5" s="2"/>
      <c r="C5" s="1">
        <v>0</v>
      </c>
    </row>
    <row r="6" spans="1:4">
      <c r="A6" t="s">
        <v>1218</v>
      </c>
      <c r="B6" s="2"/>
      <c r="C6" s="1">
        <v>0</v>
      </c>
    </row>
    <row r="7" spans="1:4">
      <c r="A7" t="s">
        <v>1219</v>
      </c>
      <c r="B7" s="2"/>
      <c r="C7" s="9">
        <f>C5-C6</f>
        <v>0</v>
      </c>
    </row>
    <row r="8" spans="1:4">
      <c r="A8" t="s">
        <v>1220</v>
      </c>
      <c r="B8" s="2"/>
      <c r="C8" s="2"/>
    </row>
    <row r="9" spans="1:4">
      <c r="A9" s="154" t="s">
        <v>1221</v>
      </c>
      <c r="B9" s="1">
        <v>0</v>
      </c>
      <c r="C9" s="2"/>
    </row>
    <row r="10" spans="1:4">
      <c r="A10" s="155" t="s">
        <v>1222</v>
      </c>
      <c r="B10" s="63">
        <v>0</v>
      </c>
      <c r="C10" s="2"/>
    </row>
    <row r="11" spans="1:4">
      <c r="A11" s="155" t="s">
        <v>1223</v>
      </c>
      <c r="B11" s="63">
        <v>0</v>
      </c>
      <c r="C11" s="2"/>
    </row>
    <row r="12" spans="1:4">
      <c r="A12" s="154" t="s">
        <v>1224</v>
      </c>
      <c r="B12" s="1">
        <v>0</v>
      </c>
      <c r="C12" s="2"/>
    </row>
    <row r="13" spans="1:4">
      <c r="A13" s="155" t="s">
        <v>1225</v>
      </c>
      <c r="B13" s="63">
        <v>0</v>
      </c>
      <c r="C13" s="2"/>
    </row>
    <row r="14" spans="1:4" ht="16.149999999999999">
      <c r="A14" t="s">
        <v>1226</v>
      </c>
      <c r="B14" s="2"/>
      <c r="C14" s="8">
        <f>SUM(B9:B13,C7)</f>
        <v>0</v>
      </c>
    </row>
    <row r="15" spans="1:4">
      <c r="B15" s="2"/>
    </row>
    <row r="16" spans="1:4">
      <c r="B16" s="2"/>
    </row>
    <row r="17" spans="2:2">
      <c r="B17" s="2"/>
    </row>
    <row r="18" spans="2:2">
      <c r="B18" s="2"/>
    </row>
    <row r="19" spans="2:2">
      <c r="B19" s="2"/>
    </row>
    <row r="20" spans="2:2">
      <c r="B20" s="2"/>
    </row>
    <row r="21" spans="2:2">
      <c r="B21" s="2"/>
    </row>
    <row r="22" spans="2:2">
      <c r="B22" s="2"/>
    </row>
    <row r="23" spans="2:2">
      <c r="B23" s="2"/>
    </row>
    <row r="24" spans="2:2">
      <c r="B24" s="2"/>
    </row>
    <row r="25" spans="2:2">
      <c r="B25" s="2"/>
    </row>
    <row r="26" spans="2:2">
      <c r="B26" s="2"/>
    </row>
    <row r="27" spans="2:2">
      <c r="B27" s="2"/>
    </row>
    <row r="28" spans="2:2">
      <c r="B28" s="2"/>
    </row>
  </sheetData>
  <mergeCells count="2">
    <mergeCell ref="A1:C1"/>
    <mergeCell ref="A2:C2"/>
  </mergeCells>
  <hyperlinks>
    <hyperlink ref="A3" location="'Fund Balance Summary'!A1" display="(Return to summary sheet)" xr:uid="{00000000-0004-0000-0500-000000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
  <sheetViews>
    <sheetView workbookViewId="0"/>
  </sheetViews>
  <sheetFormatPr defaultRowHeight="14.45"/>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K174"/>
  <sheetViews>
    <sheetView topLeftCell="A65" zoomScale="90" zoomScaleNormal="90" workbookViewId="0">
      <selection activeCell="B86" sqref="B86"/>
    </sheetView>
  </sheetViews>
  <sheetFormatPr defaultRowHeight="14.45"/>
  <cols>
    <col min="1" max="1" width="46" customWidth="1"/>
    <col min="2" max="2" width="16" bestFit="1" customWidth="1"/>
    <col min="3" max="3" width="16.85546875" style="2" bestFit="1" customWidth="1"/>
    <col min="4" max="4" width="15" bestFit="1" customWidth="1"/>
    <col min="5" max="5" width="4.28515625" customWidth="1"/>
    <col min="6" max="6" width="16" bestFit="1" customWidth="1"/>
    <col min="7" max="7" width="15" bestFit="1" customWidth="1"/>
    <col min="8" max="11" width="13" customWidth="1"/>
  </cols>
  <sheetData>
    <row r="1" spans="1:7">
      <c r="A1" s="597" t="s">
        <v>1227</v>
      </c>
      <c r="B1" s="597"/>
      <c r="C1" s="597"/>
      <c r="F1" s="68" t="str">
        <f>'Fund Balance Summary'!$B$1</f>
        <v>14005</v>
      </c>
    </row>
    <row r="2" spans="1:7">
      <c r="A2" s="597" t="s">
        <v>1207</v>
      </c>
      <c r="B2" s="597"/>
      <c r="C2" s="597"/>
    </row>
    <row r="3" spans="1:7">
      <c r="A3" s="6" t="s">
        <v>1216</v>
      </c>
    </row>
    <row r="5" spans="1:7">
      <c r="A5" t="s">
        <v>1228</v>
      </c>
      <c r="B5" s="26">
        <f>VLOOKUP($F$1,Indirects!$B$7:$G$342,4,FALSE)</f>
        <v>0.1603</v>
      </c>
    </row>
    <row r="6" spans="1:7">
      <c r="A6" t="s">
        <v>1229</v>
      </c>
      <c r="B6" s="26">
        <f>VLOOKUP($F$1,Indirects!$B$7:$G$342,3,FALSE)</f>
        <v>2.5899999999999999E-2</v>
      </c>
    </row>
    <row r="7" spans="1:7">
      <c r="A7" t="s">
        <v>1230</v>
      </c>
      <c r="B7" s="26">
        <f>VLOOKUP($F$1,Indirects!$B$7:$G$342,5,FALSE)</f>
        <v>0.2092</v>
      </c>
    </row>
    <row r="8" spans="1:7">
      <c r="B8" s="12"/>
    </row>
    <row r="9" spans="1:7" ht="15" thickBot="1">
      <c r="B9" s="12"/>
    </row>
    <row r="10" spans="1:7" ht="17.25" customHeight="1">
      <c r="A10" s="179" t="s">
        <v>1231</v>
      </c>
      <c r="B10" s="63"/>
      <c r="C10" s="117"/>
      <c r="E10" s="607" t="s">
        <v>1232</v>
      </c>
      <c r="F10" s="608"/>
      <c r="G10" s="609"/>
    </row>
    <row r="11" spans="1:7">
      <c r="A11" t="s">
        <v>1233</v>
      </c>
      <c r="B11" s="63"/>
      <c r="C11" s="28">
        <f>VLOOKUP($F$1,ALLOC!$B$7:$AS$339,42,FALSE)</f>
        <v>0</v>
      </c>
      <c r="E11" s="610"/>
      <c r="F11" s="611"/>
      <c r="G11" s="612"/>
    </row>
    <row r="12" spans="1:7">
      <c r="A12" t="s">
        <v>1234</v>
      </c>
      <c r="B12" s="63"/>
      <c r="C12" s="28">
        <f>VLOOKUP($F$1,ALLOC!$B$7:$AS$339,43,FALSE)</f>
        <v>340731.16</v>
      </c>
      <c r="D12" t="s">
        <v>1235</v>
      </c>
      <c r="E12" s="610"/>
      <c r="F12" s="611"/>
      <c r="G12" s="612"/>
    </row>
    <row r="13" spans="1:7" ht="16.149999999999999">
      <c r="A13" t="s">
        <v>1236</v>
      </c>
      <c r="B13" s="63"/>
      <c r="C13" s="163">
        <f>+C11+C12</f>
        <v>340731.16</v>
      </c>
      <c r="E13" s="610"/>
      <c r="F13" s="611"/>
      <c r="G13" s="612"/>
    </row>
    <row r="14" spans="1:7" ht="16.149999999999999">
      <c r="B14" s="63"/>
      <c r="C14" s="117"/>
      <c r="E14" s="610"/>
      <c r="F14" s="611"/>
      <c r="G14" s="612"/>
    </row>
    <row r="15" spans="1:7">
      <c r="A15" t="s">
        <v>1237</v>
      </c>
      <c r="C15" s="1">
        <v>0</v>
      </c>
      <c r="E15" s="610"/>
      <c r="F15" s="611"/>
      <c r="G15" s="612"/>
    </row>
    <row r="16" spans="1:7" ht="16.149999999999999">
      <c r="A16" t="s">
        <v>837</v>
      </c>
      <c r="B16" s="63"/>
      <c r="C16" s="15">
        <f>IF(C15&gt;C13,0,MIN(C13*1,C13-C15))</f>
        <v>340731.16</v>
      </c>
      <c r="E16" s="610"/>
      <c r="F16" s="611"/>
      <c r="G16" s="612"/>
    </row>
    <row r="17" spans="1:7" ht="15" thickBot="1">
      <c r="B17" s="12"/>
      <c r="E17" s="613"/>
      <c r="F17" s="614"/>
      <c r="G17" s="615"/>
    </row>
    <row r="18" spans="1:7">
      <c r="A18" s="179" t="s">
        <v>1238</v>
      </c>
    </row>
    <row r="19" spans="1:7">
      <c r="A19" t="s">
        <v>1233</v>
      </c>
      <c r="B19" s="2"/>
      <c r="C19" s="28">
        <f>VLOOKUP($F$1,ALLOC!$B$7:$AS$339,3,FALSE)</f>
        <v>0</v>
      </c>
    </row>
    <row r="20" spans="1:7">
      <c r="A20" t="s">
        <v>1239</v>
      </c>
      <c r="B20" s="2"/>
      <c r="C20" s="28">
        <f>VLOOKUP($F$1,ALLOC!$B$7:$AS$339,6,FALSE)</f>
        <v>6498375.1600000001</v>
      </c>
    </row>
    <row r="21" spans="1:7">
      <c r="A21" t="s">
        <v>1236</v>
      </c>
      <c r="B21" s="2"/>
      <c r="C21" s="3">
        <f>+C19+C20</f>
        <v>6498375.1600000001</v>
      </c>
    </row>
    <row r="22" spans="1:7">
      <c r="A22" t="s">
        <v>1240</v>
      </c>
      <c r="B22" s="2"/>
    </row>
    <row r="23" spans="1:7">
      <c r="A23" t="s">
        <v>1241</v>
      </c>
      <c r="B23" s="1">
        <v>0</v>
      </c>
    </row>
    <row r="24" spans="1:7">
      <c r="A24" t="s">
        <v>1242</v>
      </c>
      <c r="B24" s="28">
        <f>VLOOKUP($F$1,ALLOC!$B$7:$AS$339,7,FALSE)</f>
        <v>840044.64</v>
      </c>
    </row>
    <row r="25" spans="1:7">
      <c r="A25" t="s">
        <v>1243</v>
      </c>
      <c r="B25" s="2">
        <f>(B23-B24)*(B5)</f>
        <v>-134659.15579200001</v>
      </c>
    </row>
    <row r="26" spans="1:7">
      <c r="A26" t="s">
        <v>1244</v>
      </c>
      <c r="B26" s="2">
        <f>B23-B24+B25</f>
        <v>-974703.79579200002</v>
      </c>
    </row>
    <row r="27" spans="1:7">
      <c r="A27" t="s">
        <v>1245</v>
      </c>
      <c r="B27" s="1">
        <v>0</v>
      </c>
    </row>
    <row r="28" spans="1:7">
      <c r="A28" t="s">
        <v>1246</v>
      </c>
      <c r="B28" s="2"/>
      <c r="C28" s="2">
        <f>B26-B27</f>
        <v>-974703.79579200002</v>
      </c>
    </row>
    <row r="29" spans="1:7" ht="16.149999999999999">
      <c r="A29" t="s">
        <v>837</v>
      </c>
      <c r="B29" s="2"/>
      <c r="C29" s="15">
        <f>IF(C28&gt;C21,0,MIN(C20*0.1,C21-C28))</f>
        <v>649837.51600000006</v>
      </c>
    </row>
    <row r="30" spans="1:7" ht="16.149999999999999">
      <c r="A30" t="s">
        <v>812</v>
      </c>
      <c r="B30" s="2"/>
      <c r="C30" s="27">
        <f>MIN(C20,(C28-C19))+C29-C20</f>
        <v>-6823241.4397919998</v>
      </c>
    </row>
    <row r="31" spans="1:7">
      <c r="B31" s="2"/>
    </row>
    <row r="32" spans="1:7">
      <c r="A32" s="179" t="s">
        <v>1247</v>
      </c>
      <c r="B32" s="2"/>
    </row>
    <row r="33" spans="1:11">
      <c r="A33" t="s">
        <v>1233</v>
      </c>
      <c r="B33" s="2"/>
      <c r="C33" s="28">
        <f>VLOOKUP($F$1,ALLOC!$B$7:$AS$339,22,FALSE)</f>
        <v>0</v>
      </c>
    </row>
    <row r="34" spans="1:11">
      <c r="A34" t="s">
        <v>1239</v>
      </c>
      <c r="B34" s="2"/>
      <c r="C34" s="28">
        <f>VLOOKUP($F$1,ALLOC!$B$7:$AS$339,21,FALSE)</f>
        <v>0</v>
      </c>
    </row>
    <row r="35" spans="1:11">
      <c r="A35" t="s">
        <v>1236</v>
      </c>
      <c r="B35" s="2"/>
      <c r="C35" s="3">
        <f>+C33+C34</f>
        <v>0</v>
      </c>
    </row>
    <row r="36" spans="1:11">
      <c r="A36" t="s">
        <v>1240</v>
      </c>
      <c r="B36" s="2"/>
    </row>
    <row r="37" spans="1:11">
      <c r="A37" t="s">
        <v>1241</v>
      </c>
      <c r="B37" s="1">
        <v>0</v>
      </c>
    </row>
    <row r="38" spans="1:11">
      <c r="A38" t="s">
        <v>1243</v>
      </c>
      <c r="B38" s="28">
        <f>VLOOKUP($F$1,ALLOC!$B$7:$AS$339,23,FALSE)</f>
        <v>0</v>
      </c>
      <c r="C38" s="2">
        <f>B37+B38</f>
        <v>0</v>
      </c>
    </row>
    <row r="39" spans="1:11" ht="16.149999999999999">
      <c r="A39" t="s">
        <v>837</v>
      </c>
      <c r="B39" s="2"/>
      <c r="C39" s="15">
        <f>IF(C38&gt;C35,0,MIN(C34*0.1,C35-C38))</f>
        <v>0</v>
      </c>
    </row>
    <row r="40" spans="1:11" ht="16.149999999999999">
      <c r="A40" t="s">
        <v>812</v>
      </c>
      <c r="B40" s="2"/>
      <c r="C40" s="27">
        <f>MIN(C34,C38-C33)+C39-C34</f>
        <v>0</v>
      </c>
    </row>
    <row r="41" spans="1:11" ht="16.149999999999999">
      <c r="B41" s="63"/>
      <c r="C41" s="117"/>
    </row>
    <row r="42" spans="1:11" ht="16.149999999999999">
      <c r="A42" s="179" t="s">
        <v>1248</v>
      </c>
      <c r="B42" s="63"/>
      <c r="C42" s="117"/>
      <c r="G42" s="603" t="s">
        <v>1249</v>
      </c>
      <c r="H42" s="603"/>
      <c r="I42" s="603"/>
      <c r="J42" s="603"/>
      <c r="K42" s="603"/>
    </row>
    <row r="43" spans="1:11" ht="16.149999999999999">
      <c r="A43" t="s">
        <v>1233</v>
      </c>
      <c r="B43" s="63"/>
      <c r="C43" s="119">
        <v>0</v>
      </c>
      <c r="G43" s="603"/>
      <c r="H43" s="603"/>
      <c r="I43" s="603"/>
      <c r="J43" s="603"/>
      <c r="K43" s="603"/>
    </row>
    <row r="44" spans="1:11" ht="16.149999999999999">
      <c r="A44" t="s">
        <v>1250</v>
      </c>
      <c r="B44" s="63"/>
      <c r="C44" s="119">
        <v>0</v>
      </c>
      <c r="G44" s="603"/>
      <c r="H44" s="603"/>
      <c r="I44" s="603"/>
      <c r="J44" s="603"/>
      <c r="K44" s="603"/>
    </row>
    <row r="45" spans="1:11">
      <c r="A45" t="s">
        <v>1236</v>
      </c>
      <c r="B45" s="63"/>
      <c r="C45" s="3">
        <f>+C43+C44</f>
        <v>0</v>
      </c>
      <c r="G45" s="603"/>
      <c r="H45" s="603"/>
      <c r="I45" s="603"/>
      <c r="J45" s="603"/>
      <c r="K45" s="603"/>
    </row>
    <row r="46" spans="1:11" ht="16.149999999999999">
      <c r="A46" t="s">
        <v>1251</v>
      </c>
      <c r="B46" s="63"/>
      <c r="C46" s="117"/>
      <c r="G46" s="603"/>
      <c r="H46" s="603"/>
      <c r="I46" s="603"/>
      <c r="J46" s="603"/>
      <c r="K46" s="603"/>
    </row>
    <row r="47" spans="1:11">
      <c r="A47" t="s">
        <v>1241</v>
      </c>
      <c r="C47" s="1">
        <v>0</v>
      </c>
      <c r="G47" s="603"/>
      <c r="H47" s="603"/>
      <c r="I47" s="603"/>
      <c r="J47" s="603"/>
      <c r="K47" s="603"/>
    </row>
    <row r="48" spans="1:11" ht="16.149999999999999">
      <c r="A48" t="s">
        <v>837</v>
      </c>
      <c r="B48" s="63"/>
      <c r="C48" s="15">
        <f>IF(C47&gt;C45,0,MIN(C45*1,C45-C47))</f>
        <v>0</v>
      </c>
      <c r="G48" s="603"/>
      <c r="H48" s="603"/>
      <c r="I48" s="603"/>
      <c r="J48" s="603"/>
      <c r="K48" s="603"/>
    </row>
    <row r="49" spans="1:11">
      <c r="B49" s="2"/>
    </row>
    <row r="50" spans="1:11">
      <c r="A50" s="10" t="s">
        <v>1252</v>
      </c>
      <c r="B50" s="2"/>
      <c r="G50" s="604" t="s">
        <v>1253</v>
      </c>
      <c r="H50" s="605"/>
      <c r="I50" s="606"/>
    </row>
    <row r="51" spans="1:11">
      <c r="A51" t="s">
        <v>1233</v>
      </c>
      <c r="B51" s="2"/>
      <c r="C51" s="28">
        <f>VLOOKUP($F$1,ALLOC!$B$7:$AS$339,26,FALSE)</f>
        <v>199757.83</v>
      </c>
      <c r="G51" s="232">
        <f>VLOOKUP($F$1,ALLOC!$B$7:$AS$339,28,FALSE)</f>
        <v>2508649.62</v>
      </c>
      <c r="H51" s="233"/>
      <c r="I51" s="234"/>
    </row>
    <row r="52" spans="1:11" ht="16.149999999999999">
      <c r="A52" t="s">
        <v>1241</v>
      </c>
      <c r="B52" s="2"/>
      <c r="C52" s="1">
        <v>0</v>
      </c>
      <c r="G52" s="235">
        <f>ROUND(VLOOKUP($F$1,ALLOC!$B$7:$AS$339,29,FALSE),2)</f>
        <v>262.91000000000003</v>
      </c>
      <c r="H52" s="233"/>
      <c r="I52" s="234"/>
    </row>
    <row r="53" spans="1:11" ht="16.149999999999999">
      <c r="A53" t="s">
        <v>1254</v>
      </c>
      <c r="B53" s="2"/>
      <c r="C53" s="28">
        <f>VLOOKUP($F$1,ALLOC!$B$7:$AS$339,28,FALSE)</f>
        <v>2508649.62</v>
      </c>
      <c r="G53" s="236">
        <f>ROUND(VLOOKUP($F$1,ALLOC!$B$7:$AS$339,30,FALSE),2)</f>
        <v>2326038.27</v>
      </c>
      <c r="H53" s="233"/>
      <c r="I53" s="234"/>
    </row>
    <row r="54" spans="1:11" ht="16.149999999999999">
      <c r="A54" t="s">
        <v>1255</v>
      </c>
      <c r="B54" s="2"/>
      <c r="C54" s="15">
        <f>MAX(MIN(C53+C51-C52,C53*0.1),0)</f>
        <v>250864.96200000003</v>
      </c>
      <c r="G54" s="236">
        <f>IFERROR(ROUND(G53/G52,2),0)</f>
        <v>8847.2800000000007</v>
      </c>
      <c r="H54" s="233"/>
      <c r="I54" s="234"/>
    </row>
    <row r="55" spans="1:11" ht="16.149999999999999">
      <c r="A55" t="s">
        <v>1256</v>
      </c>
      <c r="B55" s="2"/>
      <c r="C55" s="77">
        <f>MIN(+C52+C54-C53-C51,0)</f>
        <v>-2457542.4880000004</v>
      </c>
      <c r="G55" s="236">
        <f>IFERROR(ROUND(G51/G52,2),0)</f>
        <v>9541.86</v>
      </c>
      <c r="H55" s="233"/>
      <c r="I55" s="234"/>
    </row>
    <row r="56" spans="1:11" ht="16.149999999999999">
      <c r="A56" s="173" t="s">
        <v>1257</v>
      </c>
      <c r="B56" s="2"/>
      <c r="C56" s="146">
        <f>+G56</f>
        <v>182612.03</v>
      </c>
      <c r="G56" s="236">
        <f>ROUND((G55-G54)*G52,2)</f>
        <v>182612.03</v>
      </c>
      <c r="H56" s="237">
        <f>ROUND(VLOOKUP($F$1,ALLOC!$B$7:$AS$339,29,FALSE)*VLOOKUP($F$1,ALLOC!$B$7:$AS$339,33,FALSE),2)</f>
        <v>182612.03</v>
      </c>
      <c r="I56" s="238">
        <f>ROUND(VLOOKUP($F$1,ALLOC!$B$7:$AS$339,32,FALSE)-VLOOKUP($F$1,ALLOC!$B$7:$AS$339,31,FALSE),2)*(VLOOKUP($F$1,ALLOC!$B$7:$AS$339,29,FALSE))</f>
        <v>182612.02780000004</v>
      </c>
      <c r="J56" s="48"/>
    </row>
    <row r="57" spans="1:11" ht="30.75" customHeight="1" thickBot="1">
      <c r="A57" t="s">
        <v>812</v>
      </c>
      <c r="B57" s="2"/>
      <c r="C57" s="230">
        <f>IF(MAX(C55,-C56)&gt;0,0,MAX(C55,-C56))</f>
        <v>-182612.03</v>
      </c>
      <c r="G57" s="242" t="s">
        <v>1258</v>
      </c>
      <c r="H57" s="240" t="s">
        <v>1259</v>
      </c>
      <c r="I57" s="240" t="s">
        <v>1260</v>
      </c>
    </row>
    <row r="58" spans="1:11" ht="16.899999999999999" hidden="1" thickTop="1">
      <c r="A58" t="s">
        <v>1261</v>
      </c>
      <c r="B58" s="2"/>
      <c r="C58" s="15">
        <f>IF(C57&lt;0,0,MAX(MIN(C53+C51-C52,C53*0.1),0))</f>
        <v>0</v>
      </c>
      <c r="G58" s="239"/>
      <c r="H58" s="233"/>
      <c r="I58" s="234"/>
    </row>
    <row r="59" spans="1:11" ht="15" thickTop="1">
      <c r="B59" s="2"/>
      <c r="G59" s="37"/>
      <c r="I59" s="241"/>
    </row>
    <row r="60" spans="1:11">
      <c r="A60" s="10" t="s">
        <v>1262</v>
      </c>
      <c r="B60" s="2"/>
      <c r="G60" s="604" t="s">
        <v>1253</v>
      </c>
      <c r="H60" s="605"/>
      <c r="I60" s="606"/>
    </row>
    <row r="61" spans="1:11">
      <c r="A61" t="s">
        <v>1233</v>
      </c>
      <c r="B61" s="2"/>
      <c r="C61" s="28">
        <f>VLOOKUP($F$1,ALLOC!$B$7:$AS$339,25,FALSE)</f>
        <v>67817.789999999994</v>
      </c>
      <c r="G61" s="232">
        <f>VLOOKUP($F$1,ALLOC!$B$7:$AS$339,27,FALSE)</f>
        <v>886921.94</v>
      </c>
      <c r="H61" s="233"/>
      <c r="I61" s="234"/>
    </row>
    <row r="62" spans="1:11" ht="16.149999999999999">
      <c r="A62" t="s">
        <v>1241</v>
      </c>
      <c r="B62" s="2"/>
      <c r="C62" s="1">
        <v>0</v>
      </c>
      <c r="G62" s="235">
        <f>ROUND(VLOOKUP($F$1,ALLOC!$B$7:$AS$339,34,FALSE),2)</f>
        <v>96.74</v>
      </c>
      <c r="H62" s="233"/>
      <c r="I62" s="234"/>
    </row>
    <row r="63" spans="1:11" ht="16.149999999999999">
      <c r="A63" t="s">
        <v>1254</v>
      </c>
      <c r="B63" s="2"/>
      <c r="C63" s="28">
        <f>VLOOKUP($F$1,ALLOC!$B$7:$AS$339,27,FALSE)</f>
        <v>886921.94</v>
      </c>
      <c r="G63" s="236">
        <f>ROUND(VLOOKUP($F$1,ALLOC!$B$7:$AS$339,35,FALSE),2)</f>
        <v>834908.76</v>
      </c>
      <c r="H63" s="233"/>
      <c r="I63" s="234"/>
    </row>
    <row r="64" spans="1:11" ht="16.149999999999999">
      <c r="A64" t="s">
        <v>1255</v>
      </c>
      <c r="B64" s="2"/>
      <c r="C64" s="15">
        <f>MAX(MIN(C63+C61-C62,C63*0.1),0)</f>
        <v>88692.194000000003</v>
      </c>
      <c r="G64" s="236">
        <f>IFERROR(ROUND(G63/G62,2),0)</f>
        <v>8630.44</v>
      </c>
      <c r="H64" s="233"/>
      <c r="I64" s="234"/>
      <c r="K64" s="315"/>
    </row>
    <row r="65" spans="1:11" ht="16.149999999999999">
      <c r="A65" t="s">
        <v>1256</v>
      </c>
      <c r="B65" s="2"/>
      <c r="C65" s="77">
        <f>MIN(+C62+C64-C63-C61,0)</f>
        <v>-866047.53599999996</v>
      </c>
      <c r="G65" s="236">
        <f>IFERROR(ROUND(G61/G62,2),0)</f>
        <v>9168.1</v>
      </c>
      <c r="H65" s="233"/>
      <c r="I65" s="234"/>
      <c r="K65" s="315"/>
    </row>
    <row r="66" spans="1:11" ht="16.149999999999999">
      <c r="A66" s="173" t="s">
        <v>1257</v>
      </c>
      <c r="C66" s="146">
        <f>+G66</f>
        <v>52013.23</v>
      </c>
      <c r="G66" s="236">
        <f>ROUND((G65-G64)*G62,2)</f>
        <v>52013.23</v>
      </c>
      <c r="H66" s="237">
        <f>ROUND(VLOOKUP($F$1,ALLOC!$B$7:$AS$339,34,FALSE)*VLOOKUP($F$1,ALLOC!$B$7:$AS$339,38,FALSE),2)</f>
        <v>52013.23</v>
      </c>
      <c r="I66" s="238">
        <f>ROUND(VLOOKUP($F$1,ALLOC!$B$7:$AS$339,37,FALSE)-VLOOKUP($F$1,ALLOC!$B$7:$AS$339,36,FALSE),2)*(VLOOKUP($F$1,ALLOC!$B$7:$AS$339,34,FALSE))</f>
        <v>52013.228399999993</v>
      </c>
    </row>
    <row r="67" spans="1:11" ht="31.5" customHeight="1" thickBot="1">
      <c r="A67" s="33" t="s">
        <v>812</v>
      </c>
      <c r="B67" s="231"/>
      <c r="C67" s="230">
        <f>IF(MAX(C65,-C66)&gt;0,0,MAX(C65,-C66))</f>
        <v>-52013.23</v>
      </c>
      <c r="G67" s="242" t="s">
        <v>1258</v>
      </c>
      <c r="H67" s="240" t="s">
        <v>1259</v>
      </c>
      <c r="I67" s="240" t="s">
        <v>1260</v>
      </c>
    </row>
    <row r="68" spans="1:11" ht="16.899999999999999" hidden="1" thickTop="1">
      <c r="A68" t="s">
        <v>1261</v>
      </c>
      <c r="B68" s="2"/>
      <c r="C68" s="15">
        <f>IF(C67&lt;0,0,MAX(MIN(C63+C61-C62,C63*0.1),0))</f>
        <v>0</v>
      </c>
    </row>
    <row r="69" spans="1:11" ht="15" thickTop="1">
      <c r="B69" s="2"/>
    </row>
    <row r="70" spans="1:11">
      <c r="A70" s="10" t="s">
        <v>1263</v>
      </c>
      <c r="B70" s="2"/>
    </row>
    <row r="71" spans="1:11">
      <c r="A71" t="s">
        <v>1233</v>
      </c>
      <c r="B71" s="2"/>
      <c r="C71" s="28">
        <f>VLOOKUP($F$1,ALLOC!$B$7:$AS$339,4,FALSE)</f>
        <v>149010.38</v>
      </c>
    </row>
    <row r="72" spans="1:11">
      <c r="A72" t="s">
        <v>1239</v>
      </c>
      <c r="B72" s="2"/>
      <c r="C72" s="28">
        <f>VLOOKUP($F$1,ALLOC!$B$7:$AS$339,9,FALSE)</f>
        <v>1432066.5</v>
      </c>
    </row>
    <row r="73" spans="1:11">
      <c r="A73" t="s">
        <v>1236</v>
      </c>
      <c r="B73" s="2"/>
      <c r="C73" s="3">
        <f>C71+C72</f>
        <v>1581076.88</v>
      </c>
    </row>
    <row r="74" spans="1:11">
      <c r="A74" t="s">
        <v>1240</v>
      </c>
      <c r="B74" s="2"/>
    </row>
    <row r="75" spans="1:11">
      <c r="A75" t="s">
        <v>1241</v>
      </c>
      <c r="B75" s="1">
        <v>0</v>
      </c>
    </row>
    <row r="76" spans="1:11">
      <c r="A76" t="s">
        <v>1243</v>
      </c>
      <c r="B76" s="2">
        <f>B75*B6</f>
        <v>0</v>
      </c>
      <c r="C76" s="2">
        <f>B75+B76</f>
        <v>0</v>
      </c>
    </row>
    <row r="77" spans="1:11" ht="16.149999999999999">
      <c r="A77" t="s">
        <v>837</v>
      </c>
      <c r="B77" s="2"/>
      <c r="C77" s="15">
        <f>IF(C76&gt;C73,0,MIN(C72*0.1,C73-C76))</f>
        <v>143206.65</v>
      </c>
    </row>
    <row r="78" spans="1:11" ht="16.149999999999999">
      <c r="A78" t="s">
        <v>812</v>
      </c>
      <c r="B78" s="2"/>
      <c r="C78" s="27">
        <f>IF(C76&gt;C73,0,+C76-C71+C77-C72)</f>
        <v>-1437870.23</v>
      </c>
    </row>
    <row r="79" spans="1:11">
      <c r="B79" s="2"/>
    </row>
    <row r="80" spans="1:11">
      <c r="A80" s="10" t="s">
        <v>1264</v>
      </c>
      <c r="B80" s="2"/>
    </row>
    <row r="81" spans="1:3">
      <c r="A81" t="s">
        <v>1233</v>
      </c>
      <c r="B81" s="2"/>
      <c r="C81" s="28">
        <f>VLOOKUP($F$1,ALLOC!$B$7:$AS$339,5,FALSE)</f>
        <v>37377.14</v>
      </c>
    </row>
    <row r="82" spans="1:3">
      <c r="A82" t="s">
        <v>1239</v>
      </c>
      <c r="B82" s="2"/>
      <c r="C82" s="28">
        <f>VLOOKUP($F$1,ALLOC!$B$7:$AS$339,8,FALSE)</f>
        <v>933793.79</v>
      </c>
    </row>
    <row r="83" spans="1:3">
      <c r="A83" t="s">
        <v>1236</v>
      </c>
      <c r="B83" s="2"/>
      <c r="C83" s="3">
        <f>C81+C82</f>
        <v>971170.93</v>
      </c>
    </row>
    <row r="84" spans="1:3">
      <c r="A84" t="s">
        <v>1240</v>
      </c>
      <c r="B84" s="2"/>
    </row>
    <row r="85" spans="1:3">
      <c r="A85" t="s">
        <v>1241</v>
      </c>
      <c r="B85" s="1">
        <v>0</v>
      </c>
    </row>
    <row r="86" spans="1:3">
      <c r="A86" t="s">
        <v>1243</v>
      </c>
      <c r="B86" s="2">
        <f>B85*B6</f>
        <v>0</v>
      </c>
      <c r="C86" s="2">
        <f>B85+B86</f>
        <v>0</v>
      </c>
    </row>
    <row r="87" spans="1:3" ht="16.149999999999999">
      <c r="A87" t="s">
        <v>837</v>
      </c>
      <c r="B87" s="2"/>
      <c r="C87" s="15">
        <f>IF(C86&gt;C83,0,MIN(C82*0.1,C83-C86))</f>
        <v>93379.379000000015</v>
      </c>
    </row>
    <row r="88" spans="1:3" ht="16.149999999999999">
      <c r="A88" t="s">
        <v>812</v>
      </c>
      <c r="B88" s="2"/>
      <c r="C88" s="27">
        <f>IF(C86&gt;C83,0,+C86-C81+C87-C82)</f>
        <v>-877791.55099999998</v>
      </c>
    </row>
    <row r="89" spans="1:3">
      <c r="B89" s="2"/>
    </row>
    <row r="90" spans="1:3">
      <c r="A90" s="10" t="s">
        <v>1265</v>
      </c>
      <c r="B90" s="2"/>
      <c r="C90" s="125">
        <f>+C87+C77</f>
        <v>236586.02900000001</v>
      </c>
    </row>
    <row r="91" spans="1:3">
      <c r="A91" s="10" t="s">
        <v>1266</v>
      </c>
      <c r="B91" s="2"/>
      <c r="C91" s="147">
        <f>+C78+C88</f>
        <v>-2315661.781</v>
      </c>
    </row>
    <row r="92" spans="1:3">
      <c r="B92" s="2"/>
    </row>
    <row r="93" spans="1:3">
      <c r="B93" s="2"/>
    </row>
    <row r="94" spans="1:3">
      <c r="A94" s="10" t="s">
        <v>1267</v>
      </c>
    </row>
    <row r="95" spans="1:3">
      <c r="A95" t="s">
        <v>1233</v>
      </c>
      <c r="B95" s="2"/>
      <c r="C95" s="28">
        <f>VLOOKUP($F$1,ALLOC!$B$7:$AS$339,19,FALSE)</f>
        <v>0</v>
      </c>
    </row>
    <row r="96" spans="1:3">
      <c r="A96" t="s">
        <v>1239</v>
      </c>
      <c r="B96" s="2"/>
      <c r="C96" s="28">
        <f>VLOOKUP($F$1,ALLOC!$B$7:$AS$339,18,FALSE)</f>
        <v>324392.27</v>
      </c>
    </row>
    <row r="97" spans="1:3">
      <c r="A97" t="s">
        <v>1236</v>
      </c>
      <c r="B97" s="2"/>
      <c r="C97" s="3">
        <f>+C95+C96</f>
        <v>324392.27</v>
      </c>
    </row>
    <row r="98" spans="1:3">
      <c r="A98" t="s">
        <v>1240</v>
      </c>
      <c r="B98" s="2"/>
    </row>
    <row r="99" spans="1:3">
      <c r="A99" t="s">
        <v>1241</v>
      </c>
      <c r="B99" s="1">
        <v>0</v>
      </c>
    </row>
    <row r="100" spans="1:3">
      <c r="A100" s="173" t="s">
        <v>1243</v>
      </c>
      <c r="B100" s="28">
        <f>VLOOKUP($F$1,ALLOC!$B$7:$AS$339,20,FALSE)</f>
        <v>10378.56</v>
      </c>
      <c r="C100" s="2">
        <f>B99+B100</f>
        <v>10378.56</v>
      </c>
    </row>
    <row r="101" spans="1:3" ht="16.149999999999999">
      <c r="A101" t="s">
        <v>837</v>
      </c>
      <c r="B101" s="2"/>
      <c r="C101" s="15">
        <f>IF(C100&gt;C97,0,MIN(C96*0.1,C97-C100))</f>
        <v>32439.227000000003</v>
      </c>
    </row>
    <row r="102" spans="1:3" ht="16.149999999999999">
      <c r="A102" t="s">
        <v>812</v>
      </c>
      <c r="B102" s="2"/>
      <c r="C102" s="29">
        <f>MIN(C96,C100-C95)+C101-C96</f>
        <v>-281574.48300000001</v>
      </c>
    </row>
    <row r="104" spans="1:3">
      <c r="A104" s="10" t="s">
        <v>1268</v>
      </c>
    </row>
    <row r="105" spans="1:3">
      <c r="A105" t="s">
        <v>1233</v>
      </c>
      <c r="B105" s="2"/>
      <c r="C105" s="28">
        <f>VLOOKUP($F$1,ALLOC!$B$7:$AS$339,16,FALSE)</f>
        <v>0</v>
      </c>
    </row>
    <row r="106" spans="1:3">
      <c r="A106" t="s">
        <v>1239</v>
      </c>
      <c r="B106" s="2"/>
      <c r="C106" s="28">
        <f>VLOOKUP($F$1,ALLOC!$B$7:$AS$339,15,FALSE)</f>
        <v>0</v>
      </c>
    </row>
    <row r="107" spans="1:3">
      <c r="A107" t="s">
        <v>1236</v>
      </c>
      <c r="B107" s="2"/>
      <c r="C107" s="3">
        <f>+C105+C106</f>
        <v>0</v>
      </c>
    </row>
    <row r="108" spans="1:3">
      <c r="A108" t="s">
        <v>1240</v>
      </c>
      <c r="B108" s="2"/>
    </row>
    <row r="109" spans="1:3">
      <c r="A109" t="s">
        <v>1241</v>
      </c>
      <c r="B109" s="1">
        <v>0</v>
      </c>
    </row>
    <row r="110" spans="1:3">
      <c r="A110" s="173" t="s">
        <v>1243</v>
      </c>
      <c r="B110" s="28">
        <f>VLOOKUP($F$1,ALLOC!$B$7:$AS$339,17,FALSE)</f>
        <v>0</v>
      </c>
      <c r="C110" s="2">
        <f>B109+B110</f>
        <v>0</v>
      </c>
    </row>
    <row r="111" spans="1:3" ht="16.149999999999999">
      <c r="A111" t="s">
        <v>837</v>
      </c>
      <c r="B111" s="2"/>
      <c r="C111" s="15">
        <f>IF(C110&gt;C107,0,MIN(C106*0.1,C107-C110))</f>
        <v>0</v>
      </c>
    </row>
    <row r="112" spans="1:3" ht="16.149999999999999">
      <c r="A112" t="s">
        <v>812</v>
      </c>
      <c r="B112" s="2"/>
      <c r="C112" s="29">
        <f>MIN(C106,C110-C105)+C111-C106</f>
        <v>0</v>
      </c>
    </row>
    <row r="114" spans="1:3">
      <c r="A114" s="10" t="s">
        <v>1269</v>
      </c>
    </row>
    <row r="115" spans="1:3">
      <c r="A115" t="s">
        <v>1270</v>
      </c>
      <c r="C115" s="28">
        <f>VLOOKUP($F$1,ALLOC!$B$7:$AS$339,10,FALSE)</f>
        <v>747395.03</v>
      </c>
    </row>
    <row r="116" spans="1:3">
      <c r="A116" t="s">
        <v>1241</v>
      </c>
      <c r="B116" s="1">
        <v>0</v>
      </c>
    </row>
    <row r="117" spans="1:3">
      <c r="A117" t="s">
        <v>1243</v>
      </c>
      <c r="B117" s="5">
        <f>B116*B5</f>
        <v>0</v>
      </c>
      <c r="C117" s="2">
        <f>+B116+B117</f>
        <v>0</v>
      </c>
    </row>
    <row r="118" spans="1:3" ht="16.149999999999999">
      <c r="A118" t="s">
        <v>812</v>
      </c>
      <c r="C118" s="30">
        <f>MIN(C115,C117)-C115</f>
        <v>-747395.03</v>
      </c>
    </row>
    <row r="120" spans="1:3">
      <c r="A120" s="10" t="s">
        <v>1271</v>
      </c>
    </row>
    <row r="121" spans="1:3">
      <c r="A121" t="s">
        <v>1270</v>
      </c>
      <c r="C121" s="28">
        <f>VLOOKUP($F$1,ALLOC!$B$7:$AS$339,11,FALSE)</f>
        <v>94127.41</v>
      </c>
    </row>
    <row r="122" spans="1:3">
      <c r="A122" t="s">
        <v>1241</v>
      </c>
      <c r="B122" s="1">
        <v>0</v>
      </c>
    </row>
    <row r="123" spans="1:3">
      <c r="A123" t="s">
        <v>1243</v>
      </c>
      <c r="B123" s="5">
        <f>B122*B5</f>
        <v>0</v>
      </c>
      <c r="C123" s="2">
        <f>+B122+B123</f>
        <v>0</v>
      </c>
    </row>
    <row r="124" spans="1:3" ht="16.149999999999999">
      <c r="A124" t="s">
        <v>812</v>
      </c>
      <c r="C124" s="30">
        <f>MIN(C121,C123)-C121</f>
        <v>-94127.41</v>
      </c>
    </row>
    <row r="127" spans="1:3">
      <c r="A127" s="10" t="s">
        <v>1272</v>
      </c>
    </row>
    <row r="128" spans="1:3">
      <c r="A128" t="s">
        <v>838</v>
      </c>
      <c r="C128" s="148">
        <f>VLOOKUP($F$1,ALLOC!$B$7:$AS$339,12,FALSE)</f>
        <v>1671449.48</v>
      </c>
    </row>
    <row r="129" spans="1:6">
      <c r="A129" t="s">
        <v>1273</v>
      </c>
      <c r="C129" s="148">
        <f>VLOOKUP($F$1,ALLOC!$B$7:$AS$339,41,FALSE)</f>
        <v>0</v>
      </c>
      <c r="F129" s="5"/>
    </row>
    <row r="130" spans="1:6">
      <c r="A130" t="s">
        <v>1241</v>
      </c>
      <c r="B130" s="1">
        <v>0</v>
      </c>
    </row>
    <row r="131" spans="1:6">
      <c r="A131" t="s">
        <v>1274</v>
      </c>
      <c r="B131" s="5">
        <f>B130*B5</f>
        <v>0</v>
      </c>
      <c r="C131" s="2">
        <f>+B130+B131</f>
        <v>0</v>
      </c>
    </row>
    <row r="132" spans="1:6">
      <c r="A132" t="s">
        <v>1275</v>
      </c>
      <c r="C132" s="1">
        <v>0</v>
      </c>
    </row>
    <row r="133" spans="1:6">
      <c r="A133" t="s">
        <v>1276</v>
      </c>
      <c r="C133" s="2">
        <f>C131+-C132</f>
        <v>0</v>
      </c>
      <c r="F133" s="5"/>
    </row>
    <row r="134" spans="1:6">
      <c r="A134" t="s">
        <v>1277</v>
      </c>
      <c r="C134" s="180">
        <f>MIN(C128+C129,C133)</f>
        <v>0</v>
      </c>
    </row>
    <row r="135" spans="1:6" ht="15" thickBot="1">
      <c r="A135" t="s">
        <v>1278</v>
      </c>
      <c r="C135" s="150">
        <f>((C128+C129)-C134)*-1</f>
        <v>-1671449.48</v>
      </c>
      <c r="F135" s="5"/>
    </row>
    <row r="136" spans="1:6" ht="15" thickTop="1">
      <c r="A136" t="s">
        <v>1279</v>
      </c>
      <c r="C136" s="65">
        <f>B130*(1+B6)</f>
        <v>0</v>
      </c>
    </row>
    <row r="138" spans="1:6">
      <c r="A138" s="10" t="s">
        <v>1280</v>
      </c>
    </row>
    <row r="139" spans="1:6">
      <c r="A139" t="s">
        <v>1281</v>
      </c>
      <c r="C139" s="28">
        <f>VLOOKUP($F$1,ALLOC!$B$7:$AS$339,24,FALSE)</f>
        <v>140.91999999999999</v>
      </c>
    </row>
    <row r="140" spans="1:6">
      <c r="A140" t="s">
        <v>1282</v>
      </c>
      <c r="C140" s="1">
        <v>0</v>
      </c>
    </row>
    <row r="141" spans="1:6" ht="16.149999999999999">
      <c r="A141" t="s">
        <v>812</v>
      </c>
      <c r="C141" s="30">
        <f>-C139+C140</f>
        <v>-140.91999999999999</v>
      </c>
    </row>
    <row r="143" spans="1:6">
      <c r="A143" s="7" t="s">
        <v>1283</v>
      </c>
    </row>
    <row r="144" spans="1:6">
      <c r="A144" s="120" t="s">
        <v>1284</v>
      </c>
      <c r="C144" s="118">
        <f>C16</f>
        <v>340731.16</v>
      </c>
    </row>
    <row r="145" spans="1:6">
      <c r="A145" s="11" t="s">
        <v>1285</v>
      </c>
      <c r="C145" s="2">
        <f>C29</f>
        <v>649837.51600000006</v>
      </c>
    </row>
    <row r="146" spans="1:6">
      <c r="A146" s="11" t="s">
        <v>1286</v>
      </c>
      <c r="C146" s="2">
        <f>C39</f>
        <v>0</v>
      </c>
    </row>
    <row r="147" spans="1:6">
      <c r="A147" s="120" t="s">
        <v>1287</v>
      </c>
      <c r="C147" s="118">
        <f>C48</f>
        <v>0</v>
      </c>
    </row>
    <row r="148" spans="1:6" s="226" customFormat="1">
      <c r="A148" s="227" t="s">
        <v>1288</v>
      </c>
      <c r="C148" s="228">
        <f>C54</f>
        <v>250864.96200000003</v>
      </c>
    </row>
    <row r="149" spans="1:6" s="226" customFormat="1">
      <c r="A149" s="227" t="s">
        <v>1289</v>
      </c>
      <c r="C149" s="228">
        <f>C64</f>
        <v>88692.194000000003</v>
      </c>
    </row>
    <row r="150" spans="1:6">
      <c r="A150" s="11" t="s">
        <v>1290</v>
      </c>
      <c r="C150" s="2">
        <f>C77</f>
        <v>143206.65</v>
      </c>
    </row>
    <row r="151" spans="1:6">
      <c r="A151" s="120" t="s">
        <v>1291</v>
      </c>
      <c r="C151" s="2">
        <f>C87</f>
        <v>93379.379000000015</v>
      </c>
    </row>
    <row r="152" spans="1:6">
      <c r="A152" s="11" t="s">
        <v>1292</v>
      </c>
      <c r="C152" s="2">
        <f>C101</f>
        <v>32439.227000000003</v>
      </c>
    </row>
    <row r="153" spans="1:6">
      <c r="A153" s="11" t="s">
        <v>1293</v>
      </c>
      <c r="C153" s="2">
        <f>C111</f>
        <v>0</v>
      </c>
    </row>
    <row r="154" spans="1:6">
      <c r="A154" s="7" t="s">
        <v>1294</v>
      </c>
      <c r="C154" s="16">
        <f>SUM(C144:C153)</f>
        <v>1599151.0879999998</v>
      </c>
      <c r="F154" s="5"/>
    </row>
    <row r="157" spans="1:6">
      <c r="A157" s="598" t="s">
        <v>1295</v>
      </c>
      <c r="B157" s="599"/>
      <c r="C157" s="600"/>
    </row>
    <row r="158" spans="1:6">
      <c r="A158" s="11" t="s">
        <v>1296</v>
      </c>
      <c r="C158" s="2">
        <f>C30</f>
        <v>-6823241.4397919998</v>
      </c>
      <c r="D158" s="5"/>
    </row>
    <row r="159" spans="1:6">
      <c r="A159" s="11" t="s">
        <v>1297</v>
      </c>
      <c r="C159" s="2">
        <f>C40</f>
        <v>0</v>
      </c>
    </row>
    <row r="160" spans="1:6">
      <c r="A160" s="11" t="s">
        <v>1298</v>
      </c>
      <c r="C160" s="2">
        <f>C57</f>
        <v>-182612.03</v>
      </c>
      <c r="D160" s="5"/>
    </row>
    <row r="161" spans="1:6">
      <c r="A161" s="11" t="s">
        <v>1299</v>
      </c>
      <c r="C161" s="2">
        <f>C67</f>
        <v>-52013.23</v>
      </c>
      <c r="D161" s="5"/>
    </row>
    <row r="162" spans="1:6">
      <c r="A162" s="11" t="s">
        <v>1300</v>
      </c>
      <c r="C162" s="2">
        <f>C91</f>
        <v>-2315661.781</v>
      </c>
      <c r="D162" s="5"/>
      <c r="F162" s="5"/>
    </row>
    <row r="163" spans="1:6">
      <c r="A163" s="11" t="s">
        <v>1301</v>
      </c>
      <c r="C163" s="2">
        <f>C102</f>
        <v>-281574.48300000001</v>
      </c>
      <c r="D163" s="5"/>
    </row>
    <row r="164" spans="1:6">
      <c r="A164" s="11" t="s">
        <v>1302</v>
      </c>
      <c r="C164" s="2">
        <f>C112</f>
        <v>0</v>
      </c>
    </row>
    <row r="165" spans="1:6">
      <c r="A165" s="11" t="s">
        <v>1303</v>
      </c>
      <c r="C165" s="2">
        <f>C118</f>
        <v>-747395.03</v>
      </c>
    </row>
    <row r="166" spans="1:6">
      <c r="A166" s="11" t="s">
        <v>1304</v>
      </c>
      <c r="C166" s="2">
        <f>C124</f>
        <v>-94127.41</v>
      </c>
    </row>
    <row r="167" spans="1:6">
      <c r="A167" s="11" t="s">
        <v>1305</v>
      </c>
      <c r="C167" s="2">
        <f>C135</f>
        <v>-1671449.48</v>
      </c>
    </row>
    <row r="168" spans="1:6">
      <c r="A168" s="11" t="s">
        <v>1306</v>
      </c>
      <c r="C168" s="2">
        <f>IF(C141&lt;0,C141,0)</f>
        <v>-140.91999999999999</v>
      </c>
    </row>
    <row r="169" spans="1:6">
      <c r="A169" s="31" t="s">
        <v>1307</v>
      </c>
      <c r="C169" s="16">
        <f>IF(VLOOKUP($F$1,CCDDD!$A$2:$D$332,4,FALSE)="Cash",-SUM('GL 821 Restricted'!C158:C168),0)</f>
        <v>0</v>
      </c>
    </row>
    <row r="171" spans="1:6" ht="16.149999999999999">
      <c r="A171" s="11" t="s">
        <v>1308</v>
      </c>
      <c r="C171" s="32">
        <f>C154+C169</f>
        <v>1599151.0879999998</v>
      </c>
    </row>
    <row r="173" spans="1:6" ht="30.75" customHeight="1">
      <c r="A173" s="601" t="s">
        <v>1309</v>
      </c>
      <c r="B173" s="602"/>
      <c r="C173" s="229">
        <f>IF(C169=0,ABS(SUM(C158:C168)),0)</f>
        <v>12168215.803792</v>
      </c>
    </row>
    <row r="174" spans="1:6">
      <c r="A174" s="6" t="s">
        <v>1310</v>
      </c>
    </row>
  </sheetData>
  <mergeCells count="8">
    <mergeCell ref="A1:C1"/>
    <mergeCell ref="A2:C2"/>
    <mergeCell ref="A157:C157"/>
    <mergeCell ref="A173:B173"/>
    <mergeCell ref="G42:K48"/>
    <mergeCell ref="G50:I50"/>
    <mergeCell ref="G60:I60"/>
    <mergeCell ref="E10:G17"/>
  </mergeCells>
  <hyperlinks>
    <hyperlink ref="A3" location="'Fund Balance Summary'!A1" display="(Return to summary sheet)" xr:uid="{00000000-0004-0000-0800-000000000000}"/>
    <hyperlink ref="A174" location="'Journal Entries'!A1" display="(Click here for sample journal entries relating to recovery.)" xr:uid="{00000000-0004-0000-0800-000001000000}"/>
  </hyperlinks>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1A3E-6B40-42DE-9CBD-848630BE634C}">
  <sheetPr>
    <tabColor rgb="FF66FF33"/>
  </sheetPr>
  <dimension ref="A1:AQ387"/>
  <sheetViews>
    <sheetView zoomScale="80" zoomScaleNormal="80" workbookViewId="0">
      <pane xSplit="3" ySplit="7" topLeftCell="N300" activePane="bottomRight" state="frozen"/>
      <selection pane="bottomRight" activeCell="R300" sqref="R300:V300"/>
      <selection pane="bottomLeft" activeCell="A8" sqref="A8"/>
      <selection pane="topRight" activeCell="D1" sqref="D1"/>
    </sheetView>
  </sheetViews>
  <sheetFormatPr defaultColWidth="8.85546875" defaultRowHeight="14.45"/>
  <cols>
    <col min="1" max="1" width="8.85546875" style="183"/>
    <col min="2" max="2" width="9" style="183" bestFit="1" customWidth="1"/>
    <col min="3" max="3" width="51.5703125" style="183" bestFit="1" customWidth="1"/>
    <col min="4" max="4" width="13.28515625" style="183" bestFit="1" customWidth="1"/>
    <col min="5" max="6" width="11.85546875" style="183" bestFit="1" customWidth="1"/>
    <col min="7" max="7" width="13.42578125" style="183" bestFit="1" customWidth="1"/>
    <col min="8" max="8" width="13.28515625" style="183" bestFit="1" customWidth="1"/>
    <col min="9" max="10" width="13" style="183" bestFit="1" customWidth="1"/>
    <col min="11" max="11" width="13.42578125" style="183" bestFit="1" customWidth="1"/>
    <col min="12" max="12" width="13.85546875" style="183" bestFit="1" customWidth="1"/>
    <col min="13" max="13" width="13" style="183" bestFit="1" customWidth="1"/>
    <col min="14" max="14" width="13.5703125" style="183" bestFit="1" customWidth="1"/>
    <col min="15" max="15" width="13.42578125" style="183" bestFit="1" customWidth="1"/>
    <col min="16" max="16" width="13.85546875" style="183" bestFit="1" customWidth="1"/>
    <col min="17" max="18" width="13" style="183" bestFit="1" customWidth="1"/>
    <col min="19" max="19" width="13.42578125" bestFit="1" customWidth="1"/>
    <col min="20" max="20" width="13.85546875" bestFit="1" customWidth="1"/>
    <col min="21" max="21" width="13.28515625" bestFit="1" customWidth="1"/>
    <col min="22" max="22" width="15.140625" bestFit="1" customWidth="1"/>
    <col min="23" max="23" width="13.28515625" bestFit="1" customWidth="1"/>
    <col min="24" max="24" width="12.5703125" bestFit="1" customWidth="1"/>
    <col min="25" max="25" width="11.5703125" customWidth="1"/>
    <col min="26" max="28" width="14.42578125" customWidth="1"/>
    <col min="29" max="29" width="14.42578125" style="183" customWidth="1"/>
    <col min="30" max="30" width="30.140625" style="183" customWidth="1"/>
    <col min="31" max="31" width="15.28515625" style="183" bestFit="1" customWidth="1"/>
    <col min="32" max="32" width="8.85546875" style="183"/>
    <col min="33" max="33" width="11.5703125" style="183" bestFit="1" customWidth="1"/>
    <col min="34" max="34" width="10.5703125" style="183" bestFit="1" customWidth="1"/>
    <col min="35" max="35" width="11.5703125" style="183" bestFit="1" customWidth="1"/>
    <col min="36" max="36" width="10.5703125" style="183" bestFit="1" customWidth="1"/>
    <col min="37" max="37" width="11.5703125" style="183" bestFit="1" customWidth="1"/>
    <col min="38" max="39" width="13.28515625" style="183" bestFit="1" customWidth="1"/>
    <col min="40" max="42" width="8.85546875" style="183"/>
    <col min="43" max="43" width="13.28515625" style="183" bestFit="1" customWidth="1"/>
    <col min="44" max="16384" width="8.85546875" style="183"/>
  </cols>
  <sheetData>
    <row r="1" spans="1:43">
      <c r="D1" s="183" t="s">
        <v>1311</v>
      </c>
      <c r="H1" s="183" t="s">
        <v>1312</v>
      </c>
      <c r="L1" s="183" t="s">
        <v>1313</v>
      </c>
      <c r="P1" s="183" t="s">
        <v>1314</v>
      </c>
      <c r="R1"/>
      <c r="T1" s="183" t="s">
        <v>1315</v>
      </c>
      <c r="U1" s="183"/>
      <c r="X1" s="488" t="s">
        <v>1316</v>
      </c>
      <c r="Y1" s="488"/>
    </row>
    <row r="2" spans="1:43">
      <c r="B2" s="182">
        <v>1</v>
      </c>
      <c r="C2" s="182">
        <v>2</v>
      </c>
      <c r="D2" s="194">
        <v>42</v>
      </c>
      <c r="E2" s="194">
        <v>43</v>
      </c>
      <c r="H2" s="194">
        <v>42</v>
      </c>
      <c r="I2" s="194">
        <v>43</v>
      </c>
      <c r="L2" s="194">
        <v>42</v>
      </c>
      <c r="M2" s="194">
        <v>43</v>
      </c>
      <c r="P2" s="194">
        <v>42</v>
      </c>
      <c r="Q2" s="194">
        <v>43</v>
      </c>
      <c r="R2"/>
      <c r="T2" s="194">
        <v>42</v>
      </c>
      <c r="U2" s="194">
        <v>43</v>
      </c>
      <c r="X2" s="194">
        <v>42</v>
      </c>
      <c r="Y2" s="194">
        <v>43</v>
      </c>
    </row>
    <row r="3" spans="1:43">
      <c r="B3" s="184"/>
      <c r="C3" s="184"/>
      <c r="D3" s="195" t="s">
        <v>749</v>
      </c>
      <c r="E3" s="195" t="s">
        <v>749</v>
      </c>
      <c r="G3" s="185" t="s">
        <v>1317</v>
      </c>
      <c r="H3" s="195" t="s">
        <v>749</v>
      </c>
      <c r="I3" s="195" t="s">
        <v>749</v>
      </c>
      <c r="L3" s="195" t="s">
        <v>749</v>
      </c>
      <c r="M3" s="195" t="s">
        <v>749</v>
      </c>
      <c r="P3" s="195" t="s">
        <v>749</v>
      </c>
      <c r="Q3" s="195" t="s">
        <v>749</v>
      </c>
      <c r="R3"/>
      <c r="T3" s="195" t="s">
        <v>749</v>
      </c>
      <c r="U3" s="195" t="s">
        <v>749</v>
      </c>
      <c r="X3" s="195" t="s">
        <v>749</v>
      </c>
      <c r="Y3" s="195" t="s">
        <v>749</v>
      </c>
    </row>
    <row r="4" spans="1:43">
      <c r="B4" s="184"/>
      <c r="C4" s="184"/>
      <c r="D4" s="195"/>
      <c r="E4" s="195"/>
      <c r="G4" s="185"/>
      <c r="H4" s="195"/>
      <c r="I4" s="195"/>
      <c r="L4" s="195"/>
      <c r="M4" s="195"/>
      <c r="P4" s="195"/>
      <c r="Q4" s="195"/>
      <c r="R4"/>
      <c r="T4" s="195"/>
      <c r="U4" s="195"/>
      <c r="X4" s="195"/>
      <c r="Y4" s="195"/>
    </row>
    <row r="5" spans="1:43" ht="28.9">
      <c r="B5" s="74"/>
      <c r="C5" s="74"/>
      <c r="D5" s="301" t="s">
        <v>1318</v>
      </c>
      <c r="E5" s="301" t="s">
        <v>1319</v>
      </c>
      <c r="F5" s="301" t="s">
        <v>1319</v>
      </c>
      <c r="G5" s="301" t="s">
        <v>1319</v>
      </c>
      <c r="H5" s="301" t="s">
        <v>1319</v>
      </c>
      <c r="I5" s="301" t="s">
        <v>1320</v>
      </c>
      <c r="J5" s="301" t="s">
        <v>1320</v>
      </c>
      <c r="K5" s="301" t="s">
        <v>1321</v>
      </c>
      <c r="L5" s="301" t="s">
        <v>1322</v>
      </c>
      <c r="M5" s="301" t="s">
        <v>1323</v>
      </c>
      <c r="N5" s="301" t="s">
        <v>1324</v>
      </c>
      <c r="O5" s="301" t="s">
        <v>1325</v>
      </c>
      <c r="P5" s="301" t="s">
        <v>1326</v>
      </c>
      <c r="Q5" s="301" t="s">
        <v>1327</v>
      </c>
      <c r="R5" s="301" t="s">
        <v>1326</v>
      </c>
      <c r="S5" s="301" t="s">
        <v>1326</v>
      </c>
      <c r="T5" s="301" t="s">
        <v>806</v>
      </c>
      <c r="U5" s="301" t="s">
        <v>807</v>
      </c>
      <c r="V5" s="301" t="s">
        <v>806</v>
      </c>
      <c r="W5" s="301" t="s">
        <v>806</v>
      </c>
      <c r="X5" s="301" t="s">
        <v>1328</v>
      </c>
      <c r="Y5" s="301" t="s">
        <v>1329</v>
      </c>
      <c r="AE5" s="542">
        <f>SUM(AE8:AE338)</f>
        <v>120134829.95000002</v>
      </c>
    </row>
    <row r="6" spans="1:43" ht="28.9">
      <c r="B6" s="74"/>
      <c r="C6" s="74"/>
      <c r="D6" s="302" t="s">
        <v>837</v>
      </c>
      <c r="E6" s="185" t="s">
        <v>838</v>
      </c>
      <c r="F6" s="224" t="s">
        <v>1330</v>
      </c>
      <c r="G6" s="199" t="s">
        <v>1240</v>
      </c>
      <c r="H6" s="302" t="s">
        <v>837</v>
      </c>
      <c r="I6" s="185" t="s">
        <v>838</v>
      </c>
      <c r="J6" s="224" t="s">
        <v>1330</v>
      </c>
      <c r="K6" s="199" t="s">
        <v>1240</v>
      </c>
      <c r="L6" s="185" t="s">
        <v>837</v>
      </c>
      <c r="M6" s="185" t="s">
        <v>838</v>
      </c>
      <c r="N6" s="224" t="s">
        <v>1330</v>
      </c>
      <c r="O6" s="199" t="s">
        <v>1240</v>
      </c>
      <c r="P6" s="185" t="s">
        <v>837</v>
      </c>
      <c r="Q6" s="185" t="s">
        <v>838</v>
      </c>
      <c r="R6" s="224" t="s">
        <v>1330</v>
      </c>
      <c r="S6" s="199" t="s">
        <v>1240</v>
      </c>
      <c r="T6" s="185" t="s">
        <v>837</v>
      </c>
      <c r="U6" s="185" t="s">
        <v>838</v>
      </c>
      <c r="V6" s="224" t="s">
        <v>1330</v>
      </c>
      <c r="W6" s="199" t="s">
        <v>1240</v>
      </c>
      <c r="X6" s="185" t="s">
        <v>837</v>
      </c>
      <c r="Y6" s="185" t="s">
        <v>838</v>
      </c>
    </row>
    <row r="7" spans="1:43">
      <c r="B7" s="74" t="s">
        <v>842</v>
      </c>
      <c r="C7" s="74" t="s">
        <v>843</v>
      </c>
      <c r="D7" s="186">
        <v>4431745.6099999975</v>
      </c>
      <c r="E7" s="187">
        <f t="shared" ref="E7:Y7" si="0">SUM(E8:E338)</f>
        <v>75279599.129999995</v>
      </c>
      <c r="F7" s="187">
        <f t="shared" si="0"/>
        <v>79711344.73999998</v>
      </c>
      <c r="G7" s="187">
        <f t="shared" si="0"/>
        <v>71820404.569999948</v>
      </c>
      <c r="H7" s="187">
        <f t="shared" si="0"/>
        <v>11041926.849999992</v>
      </c>
      <c r="I7" s="187">
        <f t="shared" si="0"/>
        <v>106014026.81</v>
      </c>
      <c r="J7" s="187">
        <f t="shared" si="0"/>
        <v>117055953.66000012</v>
      </c>
      <c r="K7" s="187">
        <f t="shared" si="0"/>
        <v>109592989.97</v>
      </c>
      <c r="L7" s="187">
        <f t="shared" si="0"/>
        <v>14991267.160000002</v>
      </c>
      <c r="M7" s="187">
        <f t="shared" si="0"/>
        <v>106461457.42999989</v>
      </c>
      <c r="N7" s="187">
        <f t="shared" si="0"/>
        <v>121452724.58999999</v>
      </c>
      <c r="O7" s="187">
        <f t="shared" si="0"/>
        <v>109751696.99000007</v>
      </c>
      <c r="P7" s="219">
        <f t="shared" si="0"/>
        <v>21144053.22000001</v>
      </c>
      <c r="Q7" s="219">
        <f t="shared" si="0"/>
        <v>116411601.61999999</v>
      </c>
      <c r="R7" s="187">
        <f t="shared" si="0"/>
        <v>137555654.84000003</v>
      </c>
      <c r="S7" s="187">
        <f t="shared" si="0"/>
        <v>126228176.38000001</v>
      </c>
      <c r="T7" s="219">
        <f t="shared" si="0"/>
        <v>21546774.860000007</v>
      </c>
      <c r="U7" s="219">
        <f t="shared" si="0"/>
        <v>120134829.95000002</v>
      </c>
      <c r="V7" s="187">
        <f t="shared" si="0"/>
        <v>141616513.09999996</v>
      </c>
      <c r="W7" s="187">
        <f t="shared" si="0"/>
        <v>0</v>
      </c>
      <c r="X7" s="219">
        <f t="shared" si="0"/>
        <v>141616513.09999996</v>
      </c>
      <c r="Y7" s="219">
        <f t="shared" si="0"/>
        <v>0</v>
      </c>
    </row>
    <row r="8" spans="1:43">
      <c r="A8" s="217">
        <v>1</v>
      </c>
      <c r="B8" s="74" t="s">
        <v>31</v>
      </c>
      <c r="C8" s="74" t="s">
        <v>1331</v>
      </c>
      <c r="D8" s="186">
        <v>9625.910000000018</v>
      </c>
      <c r="E8" s="188">
        <v>221517.12</v>
      </c>
      <c r="F8" s="189">
        <f t="shared" ref="F8:F39" si="1">+D8+E8</f>
        <v>231143.03000000003</v>
      </c>
      <c r="G8" s="200">
        <v>205945.92</v>
      </c>
      <c r="H8" s="197">
        <v>25197.110000000015</v>
      </c>
      <c r="I8" s="188">
        <v>302266.43</v>
      </c>
      <c r="J8" s="189">
        <f t="shared" ref="J8:J39" si="2">+H8+I8</f>
        <v>327463.54000000004</v>
      </c>
      <c r="K8" s="225">
        <v>268870.09000000003</v>
      </c>
      <c r="L8" s="189">
        <v>58593.450000000012</v>
      </c>
      <c r="M8" s="219">
        <v>305959.77</v>
      </c>
      <c r="N8" s="189">
        <f t="shared" ref="N8:N39" si="3">+L8+M8</f>
        <v>364553.22000000003</v>
      </c>
      <c r="O8" s="225">
        <v>314410.52999999997</v>
      </c>
      <c r="P8" s="303">
        <v>50142.690000000061</v>
      </c>
      <c r="Q8" s="219">
        <v>335212.83999999997</v>
      </c>
      <c r="R8" s="189">
        <f t="shared" ref="R8:R39" si="4">+P8+Q8</f>
        <v>385355.53</v>
      </c>
      <c r="S8" s="225">
        <v>410240.02000000014</v>
      </c>
      <c r="T8" s="303">
        <v>0</v>
      </c>
      <c r="U8" s="303">
        <v>340731.16</v>
      </c>
      <c r="V8" s="189">
        <f t="shared" ref="V8:V39" si="5">+T8+U8</f>
        <v>340731.16</v>
      </c>
      <c r="W8" s="225"/>
      <c r="X8" s="303">
        <f t="shared" ref="X8:X71" si="6">+V8-W8</f>
        <v>340731.16</v>
      </c>
      <c r="Y8" s="303"/>
      <c r="AA8" s="67">
        <f t="shared" ref="AA8:AA71" si="7">+AC8-B8</f>
        <v>0</v>
      </c>
      <c r="AC8" t="s">
        <v>31</v>
      </c>
      <c r="AD8" t="s">
        <v>1332</v>
      </c>
      <c r="AE8" s="481">
        <f t="shared" ref="AE8:AE39" si="8">SUM(AG8:AL8)</f>
        <v>340731.16</v>
      </c>
      <c r="AF8"/>
      <c r="AG8" s="48">
        <v>20328.900000000001</v>
      </c>
      <c r="AH8" s="48">
        <v>13255.67</v>
      </c>
      <c r="AI8" s="48">
        <v>10798.62</v>
      </c>
      <c r="AJ8" s="48">
        <v>1336.19</v>
      </c>
      <c r="AK8" s="48">
        <v>48140.43</v>
      </c>
      <c r="AL8" s="48">
        <v>246871.34999999998</v>
      </c>
      <c r="AN8"/>
      <c r="AO8"/>
      <c r="AP8" t="str">
        <f t="shared" ref="AP8:AP71" si="9">TEXT(AC8, "00000")</f>
        <v>14005</v>
      </c>
      <c r="AQ8" s="481">
        <f t="shared" ref="AQ8:AQ71" si="10">AE8</f>
        <v>340731.16</v>
      </c>
    </row>
    <row r="9" spans="1:43">
      <c r="A9" s="217">
        <v>2</v>
      </c>
      <c r="B9" s="74" t="s">
        <v>35</v>
      </c>
      <c r="C9" s="74" t="s">
        <v>1333</v>
      </c>
      <c r="D9" s="186">
        <v>0</v>
      </c>
      <c r="E9" s="188">
        <v>39549.07</v>
      </c>
      <c r="F9" s="189">
        <f t="shared" si="1"/>
        <v>39549.07</v>
      </c>
      <c r="G9" s="200">
        <v>35521.78</v>
      </c>
      <c r="H9" s="197">
        <v>4027.2900000000009</v>
      </c>
      <c r="I9" s="188">
        <v>54665.869999999995</v>
      </c>
      <c r="J9" s="189">
        <f t="shared" si="2"/>
        <v>58693.159999999996</v>
      </c>
      <c r="K9" s="225">
        <v>65238.89</v>
      </c>
      <c r="L9" s="189">
        <v>0</v>
      </c>
      <c r="M9" s="219">
        <v>58486.439999999995</v>
      </c>
      <c r="N9" s="189">
        <f t="shared" si="3"/>
        <v>58486.439999999995</v>
      </c>
      <c r="O9" s="225">
        <v>63104.67</v>
      </c>
      <c r="P9" s="303">
        <v>0</v>
      </c>
      <c r="Q9" s="219">
        <v>64225.45</v>
      </c>
      <c r="R9" s="189">
        <f t="shared" si="4"/>
        <v>64225.45</v>
      </c>
      <c r="S9" s="225">
        <v>58203.87</v>
      </c>
      <c r="T9" s="303">
        <v>6021.5799999999945</v>
      </c>
      <c r="U9" s="303">
        <v>63495.859999999993</v>
      </c>
      <c r="V9" s="189">
        <f t="shared" si="5"/>
        <v>69517.439999999988</v>
      </c>
      <c r="W9" s="225"/>
      <c r="X9" s="303">
        <f t="shared" si="6"/>
        <v>69517.439999999988</v>
      </c>
      <c r="Y9" s="303"/>
      <c r="AA9" s="67">
        <f t="shared" si="7"/>
        <v>0</v>
      </c>
      <c r="AC9" t="s">
        <v>35</v>
      </c>
      <c r="AD9" t="s">
        <v>1334</v>
      </c>
      <c r="AE9" s="481">
        <f t="shared" si="8"/>
        <v>63495.859999999993</v>
      </c>
      <c r="AF9"/>
      <c r="AG9" s="48">
        <v>1380.43</v>
      </c>
      <c r="AH9" s="48">
        <v>0</v>
      </c>
      <c r="AI9" s="48">
        <v>0</v>
      </c>
      <c r="AJ9" s="48">
        <v>276.08999999999997</v>
      </c>
      <c r="AK9" s="48">
        <v>7186.58</v>
      </c>
      <c r="AL9" s="48">
        <v>54652.759999999995</v>
      </c>
      <c r="AN9"/>
      <c r="AO9"/>
      <c r="AP9" t="str">
        <f t="shared" si="9"/>
        <v>21226</v>
      </c>
      <c r="AQ9" s="481">
        <f t="shared" si="10"/>
        <v>63495.859999999993</v>
      </c>
    </row>
    <row r="10" spans="1:43">
      <c r="A10" s="217">
        <v>3</v>
      </c>
      <c r="B10" s="74" t="s">
        <v>37</v>
      </c>
      <c r="C10" s="74" t="s">
        <v>1335</v>
      </c>
      <c r="D10" s="186">
        <v>0</v>
      </c>
      <c r="E10" s="188">
        <v>13204.449999999999</v>
      </c>
      <c r="F10" s="189">
        <f t="shared" si="1"/>
        <v>13204.449999999999</v>
      </c>
      <c r="G10" s="200">
        <v>2509.5500000000002</v>
      </c>
      <c r="H10" s="197">
        <v>10694.899999999998</v>
      </c>
      <c r="I10" s="188">
        <v>20031.070000000003</v>
      </c>
      <c r="J10" s="189">
        <f t="shared" si="2"/>
        <v>30725.97</v>
      </c>
      <c r="K10" s="225">
        <v>3893.6</v>
      </c>
      <c r="L10" s="189">
        <v>26832.370000000003</v>
      </c>
      <c r="M10" s="219">
        <v>21333.45</v>
      </c>
      <c r="N10" s="189">
        <f t="shared" si="3"/>
        <v>48165.820000000007</v>
      </c>
      <c r="O10" s="225">
        <v>894.51</v>
      </c>
      <c r="P10" s="303">
        <v>47271.310000000005</v>
      </c>
      <c r="Q10" s="219">
        <v>22579.13</v>
      </c>
      <c r="R10" s="189">
        <f t="shared" si="4"/>
        <v>69850.44</v>
      </c>
      <c r="S10" s="225">
        <v>13370.42</v>
      </c>
      <c r="T10" s="303">
        <v>56480.020000000004</v>
      </c>
      <c r="U10" s="303">
        <v>22305.48</v>
      </c>
      <c r="V10" s="189">
        <f t="shared" si="5"/>
        <v>78785.5</v>
      </c>
      <c r="W10" s="225"/>
      <c r="X10" s="303">
        <f t="shared" si="6"/>
        <v>78785.5</v>
      </c>
      <c r="Y10" s="303"/>
      <c r="AA10" s="67">
        <f t="shared" si="7"/>
        <v>0</v>
      </c>
      <c r="AC10" t="s">
        <v>37</v>
      </c>
      <c r="AD10" t="s">
        <v>1336</v>
      </c>
      <c r="AE10" s="481">
        <f t="shared" si="8"/>
        <v>22305.48</v>
      </c>
      <c r="AF10"/>
      <c r="AG10" s="48">
        <v>431.74</v>
      </c>
      <c r="AH10" s="48">
        <v>0</v>
      </c>
      <c r="AI10" s="48">
        <v>0</v>
      </c>
      <c r="AJ10" s="48">
        <v>43.62</v>
      </c>
      <c r="AK10" s="48">
        <v>1254.0999999999999</v>
      </c>
      <c r="AL10" s="48">
        <v>20576.02</v>
      </c>
      <c r="AN10"/>
      <c r="AO10"/>
      <c r="AP10" t="str">
        <f t="shared" si="9"/>
        <v>22017</v>
      </c>
      <c r="AQ10" s="481">
        <f t="shared" si="10"/>
        <v>22305.48</v>
      </c>
    </row>
    <row r="11" spans="1:43">
      <c r="A11" s="217">
        <v>4</v>
      </c>
      <c r="B11" s="74" t="s">
        <v>41</v>
      </c>
      <c r="C11" s="74" t="s">
        <v>1337</v>
      </c>
      <c r="D11" s="186">
        <v>0</v>
      </c>
      <c r="E11" s="188">
        <v>175788.77999999997</v>
      </c>
      <c r="F11" s="189">
        <f t="shared" si="1"/>
        <v>175788.77999999997</v>
      </c>
      <c r="G11" s="200">
        <v>343995.45</v>
      </c>
      <c r="H11" s="197">
        <v>0</v>
      </c>
      <c r="I11" s="188">
        <v>239784.36</v>
      </c>
      <c r="J11" s="189">
        <f t="shared" si="2"/>
        <v>239784.36</v>
      </c>
      <c r="K11" s="225">
        <v>317863.43</v>
      </c>
      <c r="L11" s="189">
        <v>0</v>
      </c>
      <c r="M11" s="219">
        <v>237721.8</v>
      </c>
      <c r="N11" s="189">
        <f t="shared" si="3"/>
        <v>237721.8</v>
      </c>
      <c r="O11" s="225">
        <v>326223.56000000006</v>
      </c>
      <c r="P11" s="303">
        <v>0</v>
      </c>
      <c r="Q11" s="219">
        <v>264780.55000000005</v>
      </c>
      <c r="R11" s="189">
        <f t="shared" si="4"/>
        <v>264780.55000000005</v>
      </c>
      <c r="S11" s="225">
        <v>349336.15</v>
      </c>
      <c r="T11" s="303">
        <v>0</v>
      </c>
      <c r="U11" s="303">
        <v>293624.25</v>
      </c>
      <c r="V11" s="189">
        <f t="shared" si="5"/>
        <v>293624.25</v>
      </c>
      <c r="W11" s="225"/>
      <c r="X11" s="303">
        <f t="shared" si="6"/>
        <v>293624.25</v>
      </c>
      <c r="Y11" s="303"/>
      <c r="AA11" s="67">
        <f t="shared" si="7"/>
        <v>0</v>
      </c>
      <c r="AC11" t="s">
        <v>41</v>
      </c>
      <c r="AD11" t="s">
        <v>1338</v>
      </c>
      <c r="AE11" s="481">
        <f t="shared" si="8"/>
        <v>293624.25</v>
      </c>
      <c r="AF11"/>
      <c r="AG11" s="48">
        <v>8798.59</v>
      </c>
      <c r="AH11" s="48">
        <v>340.44</v>
      </c>
      <c r="AI11" s="48">
        <v>1717.63</v>
      </c>
      <c r="AJ11" s="48">
        <v>1252.3</v>
      </c>
      <c r="AK11" s="48">
        <v>43428.13</v>
      </c>
      <c r="AL11" s="48">
        <v>238087.16</v>
      </c>
      <c r="AN11"/>
      <c r="AO11"/>
      <c r="AP11" t="str">
        <f t="shared" si="9"/>
        <v>29103</v>
      </c>
      <c r="AQ11" s="481">
        <f t="shared" si="10"/>
        <v>293624.25</v>
      </c>
    </row>
    <row r="12" spans="1:43">
      <c r="A12" s="217">
        <v>5</v>
      </c>
      <c r="B12" s="74" t="s">
        <v>43</v>
      </c>
      <c r="C12" s="74" t="s">
        <v>1339</v>
      </c>
      <c r="D12" s="186">
        <v>10462.94000000009</v>
      </c>
      <c r="E12" s="188">
        <v>399146.57</v>
      </c>
      <c r="F12" s="189">
        <f t="shared" si="1"/>
        <v>409609.51000000013</v>
      </c>
      <c r="G12" s="200">
        <v>382702.78</v>
      </c>
      <c r="H12" s="197">
        <v>26906.730000000098</v>
      </c>
      <c r="I12" s="188">
        <v>547695.9</v>
      </c>
      <c r="J12" s="189">
        <f t="shared" si="2"/>
        <v>574602.63000000012</v>
      </c>
      <c r="K12" s="225">
        <v>606157.09000000008</v>
      </c>
      <c r="L12" s="189">
        <v>0</v>
      </c>
      <c r="M12" s="219">
        <v>542520.91</v>
      </c>
      <c r="N12" s="189">
        <f t="shared" si="3"/>
        <v>542520.91</v>
      </c>
      <c r="O12" s="225">
        <v>569298.42000000004</v>
      </c>
      <c r="P12" s="303">
        <v>0</v>
      </c>
      <c r="Q12" s="219">
        <v>589501.20000000007</v>
      </c>
      <c r="R12" s="189">
        <f t="shared" si="4"/>
        <v>589501.20000000007</v>
      </c>
      <c r="S12" s="225">
        <v>648338.15</v>
      </c>
      <c r="T12" s="303">
        <v>0</v>
      </c>
      <c r="U12" s="303">
        <v>628021.56999999995</v>
      </c>
      <c r="V12" s="189">
        <f t="shared" si="5"/>
        <v>628021.56999999995</v>
      </c>
      <c r="W12" s="225"/>
      <c r="X12" s="303">
        <f t="shared" si="6"/>
        <v>628021.56999999995</v>
      </c>
      <c r="Y12" s="303"/>
      <c r="AA12" s="67">
        <f t="shared" si="7"/>
        <v>0</v>
      </c>
      <c r="AC12" t="s">
        <v>43</v>
      </c>
      <c r="AD12" t="s">
        <v>1340</v>
      </c>
      <c r="AE12" s="481">
        <f t="shared" si="8"/>
        <v>628021.56999999995</v>
      </c>
      <c r="AF12"/>
      <c r="AG12" s="48">
        <v>22520.84</v>
      </c>
      <c r="AH12" s="48">
        <v>244.64</v>
      </c>
      <c r="AI12" s="48">
        <v>9380.26</v>
      </c>
      <c r="AJ12" s="48">
        <v>2694.5</v>
      </c>
      <c r="AK12" s="48">
        <v>95223.54</v>
      </c>
      <c r="AL12" s="48">
        <v>497957.79</v>
      </c>
      <c r="AN12"/>
      <c r="AO12"/>
      <c r="AP12" t="str">
        <f t="shared" si="9"/>
        <v>31016</v>
      </c>
      <c r="AQ12" s="481">
        <f t="shared" si="10"/>
        <v>628021.56999999995</v>
      </c>
    </row>
    <row r="13" spans="1:43">
      <c r="A13" s="217">
        <v>6</v>
      </c>
      <c r="B13" s="74" t="s">
        <v>45</v>
      </c>
      <c r="C13" s="74" t="s">
        <v>1341</v>
      </c>
      <c r="D13" s="186">
        <v>588.37000000000262</v>
      </c>
      <c r="E13" s="188">
        <v>37704.5</v>
      </c>
      <c r="F13" s="189">
        <f t="shared" si="1"/>
        <v>38292.870000000003</v>
      </c>
      <c r="G13" s="200">
        <v>38172.629999999997</v>
      </c>
      <c r="H13" s="197">
        <v>120.24000000000524</v>
      </c>
      <c r="I13" s="188">
        <v>59746.350000000006</v>
      </c>
      <c r="J13" s="189">
        <f t="shared" si="2"/>
        <v>59866.590000000011</v>
      </c>
      <c r="K13" s="225">
        <v>61433.119999999995</v>
      </c>
      <c r="L13" s="189">
        <v>0</v>
      </c>
      <c r="M13" s="219">
        <v>60272.929999999993</v>
      </c>
      <c r="N13" s="189">
        <f t="shared" si="3"/>
        <v>60272.929999999993</v>
      </c>
      <c r="O13" s="225">
        <v>59117.919999999998</v>
      </c>
      <c r="P13" s="303">
        <v>1155.0099999999948</v>
      </c>
      <c r="Q13" s="219">
        <v>64172.84</v>
      </c>
      <c r="R13" s="189">
        <f t="shared" si="4"/>
        <v>65327.849999999991</v>
      </c>
      <c r="S13" s="225">
        <v>62181.279999999999</v>
      </c>
      <c r="T13" s="303">
        <v>3146.5699999999924</v>
      </c>
      <c r="U13" s="303">
        <v>59627.649999999994</v>
      </c>
      <c r="V13" s="189">
        <f t="shared" si="5"/>
        <v>62774.219999999987</v>
      </c>
      <c r="W13" s="225"/>
      <c r="X13" s="303">
        <f t="shared" si="6"/>
        <v>62774.219999999987</v>
      </c>
      <c r="Y13" s="303"/>
      <c r="AA13" s="67">
        <f t="shared" si="7"/>
        <v>0</v>
      </c>
      <c r="AC13" t="s">
        <v>45</v>
      </c>
      <c r="AD13" t="s">
        <v>1342</v>
      </c>
      <c r="AE13" s="481">
        <f t="shared" si="8"/>
        <v>59627.649999999994</v>
      </c>
      <c r="AF13"/>
      <c r="AG13" s="48">
        <v>2014.6</v>
      </c>
      <c r="AH13" s="48">
        <v>0</v>
      </c>
      <c r="AI13" s="48">
        <v>0</v>
      </c>
      <c r="AJ13" s="48">
        <v>249.24</v>
      </c>
      <c r="AK13" s="48">
        <v>7983.94</v>
      </c>
      <c r="AL13" s="48">
        <v>49379.869999999995</v>
      </c>
      <c r="AN13"/>
      <c r="AO13"/>
      <c r="AP13" t="str">
        <f t="shared" si="9"/>
        <v>02420</v>
      </c>
      <c r="AQ13" s="481">
        <f t="shared" si="10"/>
        <v>59627.649999999994</v>
      </c>
    </row>
    <row r="14" spans="1:43">
      <c r="A14" s="217">
        <v>7</v>
      </c>
      <c r="B14" s="74" t="s">
        <v>47</v>
      </c>
      <c r="C14" s="74" t="s">
        <v>1343</v>
      </c>
      <c r="D14" s="186">
        <v>13096.360000000102</v>
      </c>
      <c r="E14" s="188">
        <v>1282819.8699999999</v>
      </c>
      <c r="F14" s="189">
        <f t="shared" si="1"/>
        <v>1295916.23</v>
      </c>
      <c r="G14" s="200">
        <v>723273.16</v>
      </c>
      <c r="H14" s="197">
        <v>572643.06999999995</v>
      </c>
      <c r="I14" s="188">
        <v>1850391.1</v>
      </c>
      <c r="J14" s="189">
        <f t="shared" si="2"/>
        <v>2423034.17</v>
      </c>
      <c r="K14" s="225">
        <v>565011.19000000006</v>
      </c>
      <c r="L14" s="189">
        <v>1858022.98</v>
      </c>
      <c r="M14" s="219">
        <v>1872584.93</v>
      </c>
      <c r="N14" s="189">
        <f t="shared" si="3"/>
        <v>3730607.91</v>
      </c>
      <c r="O14" s="225">
        <v>410067.67</v>
      </c>
      <c r="P14" s="303">
        <v>3320540.24</v>
      </c>
      <c r="Q14" s="219">
        <v>2080316.4700000002</v>
      </c>
      <c r="R14" s="189">
        <f t="shared" si="4"/>
        <v>5400856.7100000009</v>
      </c>
      <c r="S14" s="225">
        <v>1534940.28</v>
      </c>
      <c r="T14" s="303">
        <v>3865916.4300000006</v>
      </c>
      <c r="U14" s="303">
        <v>2113021.5499999998</v>
      </c>
      <c r="V14" s="189">
        <f t="shared" si="5"/>
        <v>5978937.9800000004</v>
      </c>
      <c r="W14" s="225"/>
      <c r="X14" s="303">
        <f t="shared" si="6"/>
        <v>5978937.9800000004</v>
      </c>
      <c r="Y14" s="303"/>
      <c r="AA14" s="67">
        <f t="shared" si="7"/>
        <v>0</v>
      </c>
      <c r="AC14" t="s">
        <v>47</v>
      </c>
      <c r="AD14" t="s">
        <v>1344</v>
      </c>
      <c r="AE14" s="481">
        <f t="shared" si="8"/>
        <v>2113021.5499999998</v>
      </c>
      <c r="AF14"/>
      <c r="AG14" s="48">
        <v>105338.05</v>
      </c>
      <c r="AH14" s="48">
        <v>61981.87</v>
      </c>
      <c r="AI14" s="48">
        <v>136707.29999999999</v>
      </c>
      <c r="AJ14" s="48">
        <v>8346.16</v>
      </c>
      <c r="AK14" s="48">
        <v>228962.06</v>
      </c>
      <c r="AL14" s="48">
        <v>1571686.1099999999</v>
      </c>
      <c r="AN14"/>
      <c r="AO14"/>
      <c r="AP14" t="str">
        <f t="shared" si="9"/>
        <v>17408</v>
      </c>
      <c r="AQ14" s="481">
        <f t="shared" si="10"/>
        <v>2113021.5499999998</v>
      </c>
    </row>
    <row r="15" spans="1:43">
      <c r="A15" s="217">
        <v>8</v>
      </c>
      <c r="B15" s="74" t="s">
        <v>49</v>
      </c>
      <c r="C15" s="74" t="s">
        <v>1345</v>
      </c>
      <c r="D15" s="186">
        <v>0</v>
      </c>
      <c r="E15" s="188">
        <v>251833.88999999998</v>
      </c>
      <c r="F15" s="189">
        <f t="shared" si="1"/>
        <v>251833.88999999998</v>
      </c>
      <c r="G15" s="200">
        <v>290595.01</v>
      </c>
      <c r="H15" s="197">
        <v>0</v>
      </c>
      <c r="I15" s="188">
        <v>342775.97999999992</v>
      </c>
      <c r="J15" s="189">
        <f t="shared" si="2"/>
        <v>342775.97999999992</v>
      </c>
      <c r="K15" s="225">
        <v>480337.08999999997</v>
      </c>
      <c r="L15" s="189">
        <v>0</v>
      </c>
      <c r="M15" s="219">
        <v>353654.44999999995</v>
      </c>
      <c r="N15" s="189">
        <f t="shared" si="3"/>
        <v>353654.44999999995</v>
      </c>
      <c r="O15" s="225">
        <v>435041.71000000008</v>
      </c>
      <c r="P15" s="303">
        <v>0</v>
      </c>
      <c r="Q15" s="219">
        <v>382050.65</v>
      </c>
      <c r="R15" s="189">
        <f t="shared" si="4"/>
        <v>382050.65</v>
      </c>
      <c r="S15" s="225">
        <v>478035.76</v>
      </c>
      <c r="T15" s="303">
        <v>0</v>
      </c>
      <c r="U15" s="303">
        <v>397144.26999999996</v>
      </c>
      <c r="V15" s="189">
        <f t="shared" si="5"/>
        <v>397144.26999999996</v>
      </c>
      <c r="W15" s="225"/>
      <c r="X15" s="303">
        <f t="shared" si="6"/>
        <v>397144.26999999996</v>
      </c>
      <c r="Y15" s="303"/>
      <c r="AA15" s="67">
        <f t="shared" si="7"/>
        <v>0</v>
      </c>
      <c r="AC15" t="s">
        <v>49</v>
      </c>
      <c r="AD15" t="s">
        <v>1346</v>
      </c>
      <c r="AE15" s="481">
        <f t="shared" si="8"/>
        <v>397144.26999999996</v>
      </c>
      <c r="AF15"/>
      <c r="AG15" s="48">
        <v>3560.78</v>
      </c>
      <c r="AH15" s="48">
        <v>0</v>
      </c>
      <c r="AI15" s="48">
        <v>1155.1400000000001</v>
      </c>
      <c r="AJ15" s="48">
        <v>1795.68</v>
      </c>
      <c r="AK15" s="48">
        <v>51580.19</v>
      </c>
      <c r="AL15" s="48">
        <v>339052.48</v>
      </c>
      <c r="AN15"/>
      <c r="AO15"/>
      <c r="AP15" t="str">
        <f t="shared" si="9"/>
        <v>18303</v>
      </c>
      <c r="AQ15" s="481">
        <f t="shared" si="10"/>
        <v>397144.26999999996</v>
      </c>
    </row>
    <row r="16" spans="1:43">
      <c r="A16" s="217">
        <v>9</v>
      </c>
      <c r="B16" s="74" t="s">
        <v>51</v>
      </c>
      <c r="C16" s="74" t="s">
        <v>1347</v>
      </c>
      <c r="D16" s="186">
        <v>180656.74</v>
      </c>
      <c r="E16" s="188">
        <v>735047.54</v>
      </c>
      <c r="F16" s="189">
        <f t="shared" si="1"/>
        <v>915704.28</v>
      </c>
      <c r="G16" s="200">
        <v>546286.39</v>
      </c>
      <c r="H16" s="197">
        <v>369417.89</v>
      </c>
      <c r="I16" s="188">
        <v>944857.62999999989</v>
      </c>
      <c r="J16" s="189">
        <f t="shared" si="2"/>
        <v>1314275.52</v>
      </c>
      <c r="K16" s="225">
        <v>1141487.2000000002</v>
      </c>
      <c r="L16" s="189">
        <v>172788.31999999983</v>
      </c>
      <c r="M16" s="219">
        <v>993802.53</v>
      </c>
      <c r="N16" s="189">
        <f t="shared" si="3"/>
        <v>1166590.8499999999</v>
      </c>
      <c r="O16" s="225">
        <v>620940.84999999986</v>
      </c>
      <c r="P16" s="303">
        <v>545650</v>
      </c>
      <c r="Q16" s="219">
        <v>1131333.2</v>
      </c>
      <c r="R16" s="189">
        <f t="shared" si="4"/>
        <v>1676983.2</v>
      </c>
      <c r="S16" s="225">
        <v>1454648.6399999997</v>
      </c>
      <c r="T16" s="303">
        <v>222334.56000000029</v>
      </c>
      <c r="U16" s="303">
        <v>1211501.98</v>
      </c>
      <c r="V16" s="189">
        <f t="shared" si="5"/>
        <v>1433836.5400000003</v>
      </c>
      <c r="W16" s="225"/>
      <c r="X16" s="303">
        <f t="shared" si="6"/>
        <v>1433836.5400000003</v>
      </c>
      <c r="Y16" s="303"/>
      <c r="AA16" s="67">
        <f t="shared" si="7"/>
        <v>0</v>
      </c>
      <c r="AC16" t="s">
        <v>51</v>
      </c>
      <c r="AD16" t="s">
        <v>1348</v>
      </c>
      <c r="AE16" s="481">
        <f t="shared" si="8"/>
        <v>1211501.98</v>
      </c>
      <c r="AF16"/>
      <c r="AG16" s="48">
        <v>47024</v>
      </c>
      <c r="AH16" s="48">
        <v>0</v>
      </c>
      <c r="AI16" s="48">
        <v>33532.949999999997</v>
      </c>
      <c r="AJ16" s="48">
        <v>5744.57</v>
      </c>
      <c r="AK16" s="48">
        <v>186432</v>
      </c>
      <c r="AL16" s="48">
        <v>938768.46000000008</v>
      </c>
      <c r="AN16"/>
      <c r="AO16"/>
      <c r="AP16" t="str">
        <f t="shared" si="9"/>
        <v>06119</v>
      </c>
      <c r="AQ16" s="481">
        <f t="shared" si="10"/>
        <v>1211501.98</v>
      </c>
    </row>
    <row r="17" spans="1:43">
      <c r="A17" s="217">
        <v>10</v>
      </c>
      <c r="B17" s="74" t="s">
        <v>53</v>
      </c>
      <c r="C17" s="74" t="s">
        <v>1349</v>
      </c>
      <c r="D17" s="186">
        <v>69719.280000000144</v>
      </c>
      <c r="E17" s="188">
        <v>1402931.35</v>
      </c>
      <c r="F17" s="189">
        <f t="shared" si="1"/>
        <v>1472650.6300000004</v>
      </c>
      <c r="G17" s="200">
        <v>1725033.79</v>
      </c>
      <c r="H17" s="197">
        <v>0</v>
      </c>
      <c r="I17" s="188">
        <v>1995367.2599999998</v>
      </c>
      <c r="J17" s="189">
        <f t="shared" si="2"/>
        <v>1995367.2599999998</v>
      </c>
      <c r="K17" s="225">
        <v>2308382.44</v>
      </c>
      <c r="L17" s="189">
        <v>0</v>
      </c>
      <c r="M17" s="219">
        <v>1891310.53</v>
      </c>
      <c r="N17" s="189">
        <f t="shared" si="3"/>
        <v>1891310.53</v>
      </c>
      <c r="O17" s="225">
        <v>2234498.31</v>
      </c>
      <c r="P17" s="303">
        <v>0</v>
      </c>
      <c r="Q17" s="219">
        <v>2071883.37</v>
      </c>
      <c r="R17" s="189">
        <f t="shared" si="4"/>
        <v>2071883.37</v>
      </c>
      <c r="S17" s="225">
        <v>2121738.0099999998</v>
      </c>
      <c r="T17" s="303">
        <v>0</v>
      </c>
      <c r="U17" s="303">
        <v>2165353.46</v>
      </c>
      <c r="V17" s="189">
        <f t="shared" si="5"/>
        <v>2165353.46</v>
      </c>
      <c r="W17" s="225"/>
      <c r="X17" s="303">
        <f t="shared" si="6"/>
        <v>2165353.46</v>
      </c>
      <c r="Y17" s="303"/>
      <c r="AA17" s="67">
        <f t="shared" si="7"/>
        <v>0</v>
      </c>
      <c r="AC17" t="s">
        <v>53</v>
      </c>
      <c r="AD17" t="s">
        <v>1350</v>
      </c>
      <c r="AE17" s="481">
        <f t="shared" si="8"/>
        <v>2165353.46</v>
      </c>
      <c r="AF17"/>
      <c r="AG17" s="48">
        <v>43369.66</v>
      </c>
      <c r="AH17" s="48">
        <v>5281.76</v>
      </c>
      <c r="AI17" s="48">
        <v>105612.73</v>
      </c>
      <c r="AJ17" s="48">
        <v>9594.19</v>
      </c>
      <c r="AK17" s="48">
        <v>227009.14</v>
      </c>
      <c r="AL17" s="48">
        <v>1774485.98</v>
      </c>
      <c r="AN17"/>
      <c r="AO17"/>
      <c r="AP17" t="str">
        <f t="shared" si="9"/>
        <v>17405</v>
      </c>
      <c r="AQ17" s="481">
        <f t="shared" si="10"/>
        <v>2165353.46</v>
      </c>
    </row>
    <row r="18" spans="1:43">
      <c r="A18" s="217">
        <v>11</v>
      </c>
      <c r="B18" s="74" t="s">
        <v>55</v>
      </c>
      <c r="C18" s="74" t="s">
        <v>1351</v>
      </c>
      <c r="D18" s="186">
        <v>0</v>
      </c>
      <c r="E18" s="188">
        <v>781204.3600000001</v>
      </c>
      <c r="F18" s="189">
        <f t="shared" si="1"/>
        <v>781204.3600000001</v>
      </c>
      <c r="G18" s="200">
        <v>908454.25</v>
      </c>
      <c r="H18" s="197">
        <v>0</v>
      </c>
      <c r="I18" s="188">
        <v>1083382.06</v>
      </c>
      <c r="J18" s="189">
        <f t="shared" si="2"/>
        <v>1083382.06</v>
      </c>
      <c r="K18" s="225">
        <v>1050916.4999999998</v>
      </c>
      <c r="L18" s="189">
        <v>32465.560000000289</v>
      </c>
      <c r="M18" s="219">
        <v>1097833.1199999999</v>
      </c>
      <c r="N18" s="189">
        <f t="shared" si="3"/>
        <v>1130298.6800000002</v>
      </c>
      <c r="O18" s="225">
        <v>1137920.76</v>
      </c>
      <c r="P18" s="303">
        <v>0</v>
      </c>
      <c r="Q18" s="219">
        <v>1189284.3</v>
      </c>
      <c r="R18" s="189">
        <f t="shared" si="4"/>
        <v>1189284.3</v>
      </c>
      <c r="S18" s="225">
        <v>1189284.3499999999</v>
      </c>
      <c r="T18" s="303">
        <v>0</v>
      </c>
      <c r="U18" s="303">
        <v>1171407.3199999998</v>
      </c>
      <c r="V18" s="189">
        <f t="shared" si="5"/>
        <v>1171407.3199999998</v>
      </c>
      <c r="W18" s="225"/>
      <c r="X18" s="303">
        <f t="shared" si="6"/>
        <v>1171407.3199999998</v>
      </c>
      <c r="Y18" s="303"/>
      <c r="AA18" s="67">
        <f t="shared" si="7"/>
        <v>0</v>
      </c>
      <c r="AC18" t="s">
        <v>55</v>
      </c>
      <c r="AD18" t="s">
        <v>1352</v>
      </c>
      <c r="AE18" s="481">
        <f t="shared" si="8"/>
        <v>1171407.3199999998</v>
      </c>
      <c r="AF18"/>
      <c r="AG18" s="48">
        <v>43665.91</v>
      </c>
      <c r="AH18" s="48">
        <v>8391.68</v>
      </c>
      <c r="AI18" s="48">
        <v>24296.71</v>
      </c>
      <c r="AJ18" s="48">
        <v>4965.57</v>
      </c>
      <c r="AK18" s="48">
        <v>176700.65</v>
      </c>
      <c r="AL18" s="48">
        <v>913386.79999999993</v>
      </c>
      <c r="AN18"/>
      <c r="AO18"/>
      <c r="AP18" t="str">
        <f t="shared" si="9"/>
        <v>37501</v>
      </c>
      <c r="AQ18" s="481">
        <f t="shared" si="10"/>
        <v>1171407.3199999998</v>
      </c>
    </row>
    <row r="19" spans="1:43">
      <c r="A19" s="217">
        <v>12</v>
      </c>
      <c r="B19" s="74" t="s">
        <v>57</v>
      </c>
      <c r="C19" s="74" t="s">
        <v>1353</v>
      </c>
      <c r="D19" s="186">
        <v>15.17999999999995</v>
      </c>
      <c r="E19" s="188">
        <v>2290.9499999999998</v>
      </c>
      <c r="F19" s="189">
        <f t="shared" si="1"/>
        <v>2306.1299999999997</v>
      </c>
      <c r="G19" s="200"/>
      <c r="H19" s="197">
        <v>2306.1299999999997</v>
      </c>
      <c r="I19" s="188">
        <v>3272.66</v>
      </c>
      <c r="J19" s="189">
        <f t="shared" si="2"/>
        <v>5578.7899999999991</v>
      </c>
      <c r="K19" s="225">
        <v>50</v>
      </c>
      <c r="L19" s="189">
        <v>5528.7899999999991</v>
      </c>
      <c r="M19" s="219">
        <v>2921.46</v>
      </c>
      <c r="N19" s="189">
        <f t="shared" si="3"/>
        <v>8450.25</v>
      </c>
      <c r="O19" s="225">
        <v>5250.52</v>
      </c>
      <c r="P19" s="303">
        <v>3199.7299999999996</v>
      </c>
      <c r="Q19" s="219">
        <v>2908.01</v>
      </c>
      <c r="R19" s="189">
        <f t="shared" si="4"/>
        <v>6107.74</v>
      </c>
      <c r="S19" s="225">
        <v>4820.04</v>
      </c>
      <c r="T19" s="303">
        <v>1287.6999999999998</v>
      </c>
      <c r="U19" s="303">
        <v>3039.6</v>
      </c>
      <c r="V19" s="189">
        <f t="shared" si="5"/>
        <v>4327.2999999999993</v>
      </c>
      <c r="W19" s="225"/>
      <c r="X19" s="303">
        <f t="shared" si="6"/>
        <v>4327.2999999999993</v>
      </c>
      <c r="Y19" s="303"/>
      <c r="AA19" s="67">
        <f t="shared" si="7"/>
        <v>0</v>
      </c>
      <c r="AC19" t="s">
        <v>57</v>
      </c>
      <c r="AD19" t="s">
        <v>1354</v>
      </c>
      <c r="AE19" s="481">
        <f t="shared" si="8"/>
        <v>3039.6</v>
      </c>
      <c r="AF19"/>
      <c r="AG19" s="48">
        <v>0</v>
      </c>
      <c r="AH19" s="48">
        <v>0</v>
      </c>
      <c r="AI19" s="48">
        <v>0</v>
      </c>
      <c r="AJ19" s="48">
        <v>0</v>
      </c>
      <c r="AK19" s="48">
        <v>0</v>
      </c>
      <c r="AL19" s="48">
        <v>3039.6</v>
      </c>
      <c r="AN19"/>
      <c r="AO19"/>
      <c r="AP19" t="str">
        <f t="shared" si="9"/>
        <v>01122</v>
      </c>
      <c r="AQ19" s="481">
        <f t="shared" si="10"/>
        <v>3039.6</v>
      </c>
    </row>
    <row r="20" spans="1:43">
      <c r="A20" s="217">
        <v>13</v>
      </c>
      <c r="B20" s="74" t="s">
        <v>59</v>
      </c>
      <c r="C20" s="74" t="s">
        <v>1355</v>
      </c>
      <c r="D20" s="186">
        <v>138866.75</v>
      </c>
      <c r="E20" s="188">
        <v>1285710.29</v>
      </c>
      <c r="F20" s="189">
        <f t="shared" si="1"/>
        <v>1424577.04</v>
      </c>
      <c r="G20" s="200">
        <v>1760340.11</v>
      </c>
      <c r="H20" s="197">
        <v>0</v>
      </c>
      <c r="I20" s="188">
        <v>1828148.7</v>
      </c>
      <c r="J20" s="189">
        <f t="shared" si="2"/>
        <v>1828148.7</v>
      </c>
      <c r="K20" s="225">
        <v>1832083.8499999999</v>
      </c>
      <c r="L20" s="189">
        <v>0</v>
      </c>
      <c r="M20" s="219">
        <v>1818329.8399999999</v>
      </c>
      <c r="N20" s="189">
        <f t="shared" si="3"/>
        <v>1818329.8399999999</v>
      </c>
      <c r="O20" s="225">
        <v>1363804.97</v>
      </c>
      <c r="P20" s="303">
        <v>454524.86999999988</v>
      </c>
      <c r="Q20" s="219">
        <v>2016573.6400000001</v>
      </c>
      <c r="R20" s="189">
        <f t="shared" si="4"/>
        <v>2471098.5099999998</v>
      </c>
      <c r="S20" s="225">
        <v>1951910.6099999999</v>
      </c>
      <c r="T20" s="303">
        <v>519187.89999999991</v>
      </c>
      <c r="U20" s="303">
        <v>2212075.2000000002</v>
      </c>
      <c r="V20" s="189">
        <f t="shared" si="5"/>
        <v>2731263.1</v>
      </c>
      <c r="W20" s="225"/>
      <c r="X20" s="303">
        <f t="shared" si="6"/>
        <v>2731263.1</v>
      </c>
      <c r="Y20" s="303"/>
      <c r="AA20" s="67">
        <f t="shared" si="7"/>
        <v>0</v>
      </c>
      <c r="AC20" t="s">
        <v>59</v>
      </c>
      <c r="AD20" t="s">
        <v>1356</v>
      </c>
      <c r="AE20" s="481">
        <f t="shared" si="8"/>
        <v>2212075.2000000002</v>
      </c>
      <c r="AF20"/>
      <c r="AG20" s="48">
        <v>102345.06</v>
      </c>
      <c r="AH20" s="48">
        <v>44157.19</v>
      </c>
      <c r="AI20" s="48">
        <v>41932.6</v>
      </c>
      <c r="AJ20" s="48">
        <v>9318.8799999999992</v>
      </c>
      <c r="AK20" s="48">
        <v>301330.24</v>
      </c>
      <c r="AL20" s="48">
        <v>1712991.23</v>
      </c>
      <c r="AN20"/>
      <c r="AO20"/>
      <c r="AP20" t="str">
        <f t="shared" si="9"/>
        <v>27403</v>
      </c>
      <c r="AQ20" s="481">
        <f t="shared" si="10"/>
        <v>2212075.2000000002</v>
      </c>
    </row>
    <row r="21" spans="1:43">
      <c r="A21" s="217">
        <v>14</v>
      </c>
      <c r="B21" s="74" t="s">
        <v>61</v>
      </c>
      <c r="C21" s="74" t="s">
        <v>1357</v>
      </c>
      <c r="D21" s="186">
        <v>289.88999999999942</v>
      </c>
      <c r="E21" s="188">
        <v>13241.37</v>
      </c>
      <c r="F21" s="189">
        <f t="shared" si="1"/>
        <v>13531.26</v>
      </c>
      <c r="G21" s="200">
        <v>3104.85</v>
      </c>
      <c r="H21" s="197">
        <v>10426.41</v>
      </c>
      <c r="I21" s="188">
        <v>18261.71</v>
      </c>
      <c r="J21" s="189">
        <f t="shared" si="2"/>
        <v>28688.12</v>
      </c>
      <c r="K21" s="225">
        <v>15325.579999999998</v>
      </c>
      <c r="L21" s="189">
        <v>13362.54</v>
      </c>
      <c r="M21" s="219">
        <v>18821.87</v>
      </c>
      <c r="N21" s="189">
        <f t="shared" si="3"/>
        <v>32184.41</v>
      </c>
      <c r="O21" s="225">
        <v>9755.57</v>
      </c>
      <c r="P21" s="303">
        <v>22428.84</v>
      </c>
      <c r="Q21" s="219">
        <v>19607.22</v>
      </c>
      <c r="R21" s="189">
        <f t="shared" si="4"/>
        <v>42036.06</v>
      </c>
      <c r="S21" s="225">
        <v>38277.599999999999</v>
      </c>
      <c r="T21" s="303">
        <v>3758.4599999999991</v>
      </c>
      <c r="U21" s="303">
        <v>19581.169999999998</v>
      </c>
      <c r="V21" s="189">
        <f t="shared" si="5"/>
        <v>23339.629999999997</v>
      </c>
      <c r="W21" s="225"/>
      <c r="X21" s="303">
        <f t="shared" si="6"/>
        <v>23339.629999999997</v>
      </c>
      <c r="Y21" s="303"/>
      <c r="AA21" s="67">
        <f t="shared" si="7"/>
        <v>0</v>
      </c>
      <c r="AC21" t="s">
        <v>61</v>
      </c>
      <c r="AD21" t="s">
        <v>1358</v>
      </c>
      <c r="AE21" s="481">
        <f t="shared" si="8"/>
        <v>19581.169999999998</v>
      </c>
      <c r="AF21"/>
      <c r="AG21" s="48">
        <v>0</v>
      </c>
      <c r="AH21" s="48">
        <v>0</v>
      </c>
      <c r="AI21" s="48">
        <v>0</v>
      </c>
      <c r="AJ21" s="48">
        <v>41.3</v>
      </c>
      <c r="AK21" s="48">
        <v>0</v>
      </c>
      <c r="AL21" s="48">
        <v>19539.87</v>
      </c>
      <c r="AN21"/>
      <c r="AO21"/>
      <c r="AP21" t="str">
        <f t="shared" si="9"/>
        <v>20203</v>
      </c>
      <c r="AQ21" s="481">
        <f t="shared" si="10"/>
        <v>19581.169999999998</v>
      </c>
    </row>
    <row r="22" spans="1:43">
      <c r="A22" s="217">
        <v>15</v>
      </c>
      <c r="B22" s="74" t="s">
        <v>63</v>
      </c>
      <c r="C22" s="74" t="s">
        <v>1359</v>
      </c>
      <c r="D22" s="186">
        <v>0</v>
      </c>
      <c r="E22" s="188">
        <v>159782.18</v>
      </c>
      <c r="F22" s="189">
        <f t="shared" si="1"/>
        <v>159782.18</v>
      </c>
      <c r="G22" s="200">
        <v>150796.54999999999</v>
      </c>
      <c r="H22" s="197">
        <v>8985.6300000000047</v>
      </c>
      <c r="I22" s="188">
        <v>224512.77</v>
      </c>
      <c r="J22" s="189">
        <f t="shared" si="2"/>
        <v>233498.4</v>
      </c>
      <c r="K22" s="225">
        <v>196261.3</v>
      </c>
      <c r="L22" s="189">
        <v>37237.100000000006</v>
      </c>
      <c r="M22" s="219">
        <v>221575.74</v>
      </c>
      <c r="N22" s="189">
        <f t="shared" si="3"/>
        <v>258812.84</v>
      </c>
      <c r="O22" s="225">
        <v>196991.22</v>
      </c>
      <c r="P22" s="303">
        <v>61821.619999999995</v>
      </c>
      <c r="Q22" s="219">
        <v>230010.46000000002</v>
      </c>
      <c r="R22" s="189">
        <f t="shared" si="4"/>
        <v>291832.08</v>
      </c>
      <c r="S22" s="225">
        <v>318508.59999999998</v>
      </c>
      <c r="T22" s="303">
        <v>0</v>
      </c>
      <c r="U22" s="303">
        <v>227214.36000000002</v>
      </c>
      <c r="V22" s="189">
        <f t="shared" si="5"/>
        <v>227214.36000000002</v>
      </c>
      <c r="W22" s="225"/>
      <c r="X22" s="303">
        <f t="shared" si="6"/>
        <v>227214.36000000002</v>
      </c>
      <c r="Y22" s="303"/>
      <c r="AA22" s="67">
        <f t="shared" si="7"/>
        <v>0</v>
      </c>
      <c r="AC22" t="s">
        <v>63</v>
      </c>
      <c r="AD22" t="s">
        <v>1360</v>
      </c>
      <c r="AE22" s="481">
        <f t="shared" si="8"/>
        <v>227214.36000000002</v>
      </c>
      <c r="AF22"/>
      <c r="AG22" s="48">
        <v>10081.030000000001</v>
      </c>
      <c r="AH22" s="48">
        <v>47.07</v>
      </c>
      <c r="AI22" s="48">
        <v>2933.86</v>
      </c>
      <c r="AJ22" s="48">
        <v>956.65</v>
      </c>
      <c r="AK22" s="48">
        <v>33796.730000000003</v>
      </c>
      <c r="AL22" s="48">
        <v>179399.02000000002</v>
      </c>
      <c r="AN22"/>
      <c r="AO22"/>
      <c r="AP22" t="str">
        <f t="shared" si="9"/>
        <v>37503</v>
      </c>
      <c r="AQ22" s="481">
        <f t="shared" si="10"/>
        <v>227214.36000000002</v>
      </c>
    </row>
    <row r="23" spans="1:43">
      <c r="A23" s="217">
        <v>16</v>
      </c>
      <c r="B23" s="74" t="s">
        <v>65</v>
      </c>
      <c r="C23" s="74" t="s">
        <v>1361</v>
      </c>
      <c r="D23" s="186">
        <v>0</v>
      </c>
      <c r="E23" s="188">
        <v>6854.0899999999992</v>
      </c>
      <c r="F23" s="189">
        <f t="shared" si="1"/>
        <v>6854.0899999999992</v>
      </c>
      <c r="G23" s="200"/>
      <c r="H23" s="197">
        <v>6854.0899999999992</v>
      </c>
      <c r="I23" s="188">
        <v>9285.2900000000009</v>
      </c>
      <c r="J23" s="189">
        <f t="shared" si="2"/>
        <v>16139.380000000001</v>
      </c>
      <c r="K23" s="225">
        <v>1675</v>
      </c>
      <c r="L23" s="189">
        <v>14464.380000000001</v>
      </c>
      <c r="M23" s="219">
        <v>8844.4</v>
      </c>
      <c r="N23" s="189">
        <f t="shared" si="3"/>
        <v>23308.78</v>
      </c>
      <c r="O23" s="225"/>
      <c r="P23" s="303">
        <v>23308.78</v>
      </c>
      <c r="Q23" s="219">
        <v>8798.35</v>
      </c>
      <c r="R23" s="189">
        <f t="shared" si="4"/>
        <v>32107.129999999997</v>
      </c>
      <c r="S23" s="225">
        <v>2450</v>
      </c>
      <c r="T23" s="303">
        <v>29657.129999999997</v>
      </c>
      <c r="U23" s="303">
        <v>14037.189999999999</v>
      </c>
      <c r="V23" s="189">
        <f t="shared" si="5"/>
        <v>43694.319999999992</v>
      </c>
      <c r="W23" s="225"/>
      <c r="X23" s="303">
        <f t="shared" si="6"/>
        <v>43694.319999999992</v>
      </c>
      <c r="Y23" s="303"/>
      <c r="AA23" s="67">
        <f t="shared" si="7"/>
        <v>0</v>
      </c>
      <c r="AC23" t="s">
        <v>65</v>
      </c>
      <c r="AD23" t="s">
        <v>1362</v>
      </c>
      <c r="AE23" s="481">
        <f t="shared" si="8"/>
        <v>14037.189999999999</v>
      </c>
      <c r="AF23"/>
      <c r="AG23" s="48">
        <v>281.69</v>
      </c>
      <c r="AH23" s="48">
        <v>0</v>
      </c>
      <c r="AI23" s="48">
        <v>0</v>
      </c>
      <c r="AJ23" s="48">
        <v>137.16</v>
      </c>
      <c r="AK23" s="48">
        <v>3403.74</v>
      </c>
      <c r="AL23" s="48">
        <v>10214.599999999999</v>
      </c>
      <c r="AN23"/>
      <c r="AO23"/>
      <c r="AP23" t="str">
        <f t="shared" si="9"/>
        <v>21234</v>
      </c>
      <c r="AQ23" s="481">
        <f t="shared" si="10"/>
        <v>14037.189999999999</v>
      </c>
    </row>
    <row r="24" spans="1:43">
      <c r="A24" s="217">
        <v>17</v>
      </c>
      <c r="B24" s="74" t="s">
        <v>67</v>
      </c>
      <c r="C24" s="74" t="s">
        <v>1363</v>
      </c>
      <c r="D24" s="186">
        <v>22186.539999999979</v>
      </c>
      <c r="E24" s="188">
        <v>383717.68</v>
      </c>
      <c r="F24" s="189">
        <f t="shared" si="1"/>
        <v>405904.22</v>
      </c>
      <c r="G24" s="200">
        <v>366033.48</v>
      </c>
      <c r="H24" s="197">
        <v>39870.739999999991</v>
      </c>
      <c r="I24" s="188">
        <v>525451.71</v>
      </c>
      <c r="J24" s="189">
        <f t="shared" si="2"/>
        <v>565322.44999999995</v>
      </c>
      <c r="K24" s="225">
        <v>528080.2699999999</v>
      </c>
      <c r="L24" s="189">
        <v>37242.180000000051</v>
      </c>
      <c r="M24" s="219">
        <v>516389.1</v>
      </c>
      <c r="N24" s="189">
        <f t="shared" si="3"/>
        <v>553631.28</v>
      </c>
      <c r="O24" s="225">
        <v>537860.39</v>
      </c>
      <c r="P24" s="303">
        <v>15770.890000000014</v>
      </c>
      <c r="Q24" s="219">
        <v>557267.32000000007</v>
      </c>
      <c r="R24" s="189">
        <f t="shared" si="4"/>
        <v>573038.21000000008</v>
      </c>
      <c r="S24" s="225">
        <v>547633.94999999984</v>
      </c>
      <c r="T24" s="303">
        <v>25404.260000000242</v>
      </c>
      <c r="U24" s="303">
        <v>560335.72</v>
      </c>
      <c r="V24" s="189">
        <f t="shared" si="5"/>
        <v>585739.98000000021</v>
      </c>
      <c r="W24" s="225"/>
      <c r="X24" s="303">
        <f t="shared" si="6"/>
        <v>585739.98000000021</v>
      </c>
      <c r="Y24" s="303"/>
      <c r="AA24" s="67">
        <f t="shared" si="7"/>
        <v>0</v>
      </c>
      <c r="AC24" t="s">
        <v>67</v>
      </c>
      <c r="AD24" t="s">
        <v>1364</v>
      </c>
      <c r="AE24" s="481">
        <f t="shared" si="8"/>
        <v>560335.72</v>
      </c>
      <c r="AF24"/>
      <c r="AG24" s="48">
        <v>31603.59</v>
      </c>
      <c r="AH24" s="48">
        <v>19423.34</v>
      </c>
      <c r="AI24" s="48">
        <v>14914.25</v>
      </c>
      <c r="AJ24" s="48">
        <v>2227.5700000000002</v>
      </c>
      <c r="AK24" s="48">
        <v>79611.320000000007</v>
      </c>
      <c r="AL24" s="48">
        <v>412555.65</v>
      </c>
      <c r="AN24"/>
      <c r="AO24"/>
      <c r="AP24" t="str">
        <f t="shared" si="9"/>
        <v>18100</v>
      </c>
      <c r="AQ24" s="481">
        <f t="shared" si="10"/>
        <v>560335.72</v>
      </c>
    </row>
    <row r="25" spans="1:43">
      <c r="A25" s="217">
        <v>18</v>
      </c>
      <c r="B25" s="74" t="s">
        <v>69</v>
      </c>
      <c r="C25" s="74" t="s">
        <v>1365</v>
      </c>
      <c r="D25" s="186">
        <v>0</v>
      </c>
      <c r="E25" s="188">
        <v>66863.81</v>
      </c>
      <c r="F25" s="189">
        <f t="shared" si="1"/>
        <v>66863.81</v>
      </c>
      <c r="G25" s="200">
        <v>56066.42</v>
      </c>
      <c r="H25" s="197">
        <v>10797.39</v>
      </c>
      <c r="I25" s="188">
        <v>96448.21</v>
      </c>
      <c r="J25" s="189">
        <f t="shared" si="2"/>
        <v>107245.6</v>
      </c>
      <c r="K25" s="225">
        <v>81421.079999999973</v>
      </c>
      <c r="L25" s="189">
        <v>25824.520000000033</v>
      </c>
      <c r="M25" s="219">
        <v>100266.53</v>
      </c>
      <c r="N25" s="189">
        <f t="shared" si="3"/>
        <v>126091.05000000003</v>
      </c>
      <c r="O25" s="225">
        <v>94550.88</v>
      </c>
      <c r="P25" s="303">
        <v>31540.170000000027</v>
      </c>
      <c r="Q25" s="219">
        <v>110591.35</v>
      </c>
      <c r="R25" s="189">
        <f t="shared" si="4"/>
        <v>142131.52000000002</v>
      </c>
      <c r="S25" s="225">
        <v>106844.23</v>
      </c>
      <c r="T25" s="303">
        <v>35287.290000000023</v>
      </c>
      <c r="U25" s="303">
        <v>109352.26000000001</v>
      </c>
      <c r="V25" s="189">
        <f t="shared" si="5"/>
        <v>144639.55000000005</v>
      </c>
      <c r="W25" s="225"/>
      <c r="X25" s="303">
        <f t="shared" si="6"/>
        <v>144639.55000000005</v>
      </c>
      <c r="Y25" s="303"/>
      <c r="AA25" s="67">
        <f t="shared" si="7"/>
        <v>0</v>
      </c>
      <c r="AC25" t="s">
        <v>69</v>
      </c>
      <c r="AD25" t="s">
        <v>1366</v>
      </c>
      <c r="AE25" s="481">
        <f t="shared" si="8"/>
        <v>109352.26000000001</v>
      </c>
      <c r="AF25"/>
      <c r="AG25" s="48">
        <v>8766.32</v>
      </c>
      <c r="AH25" s="48">
        <v>4173.7299999999996</v>
      </c>
      <c r="AI25" s="48">
        <v>8820.89</v>
      </c>
      <c r="AJ25" s="48">
        <v>408.52</v>
      </c>
      <c r="AK25" s="48">
        <v>11002.53</v>
      </c>
      <c r="AL25" s="48">
        <v>76180.27</v>
      </c>
      <c r="AN25"/>
      <c r="AO25"/>
      <c r="AP25" t="str">
        <f t="shared" si="9"/>
        <v>24111</v>
      </c>
      <c r="AQ25" s="481">
        <f t="shared" si="10"/>
        <v>109352.26000000001</v>
      </c>
    </row>
    <row r="26" spans="1:43">
      <c r="A26" s="217">
        <v>19</v>
      </c>
      <c r="B26" s="74" t="s">
        <v>71</v>
      </c>
      <c r="C26" s="74" t="s">
        <v>1367</v>
      </c>
      <c r="D26" s="186">
        <v>0</v>
      </c>
      <c r="E26" s="188">
        <v>55379.88</v>
      </c>
      <c r="F26" s="189">
        <f t="shared" si="1"/>
        <v>55379.88</v>
      </c>
      <c r="G26" s="200">
        <v>54699.94</v>
      </c>
      <c r="H26" s="197">
        <v>679.93999999999505</v>
      </c>
      <c r="I26" s="188">
        <v>80208.39</v>
      </c>
      <c r="J26" s="189">
        <f t="shared" si="2"/>
        <v>80888.329999999987</v>
      </c>
      <c r="K26" s="225">
        <v>64431.619999999995</v>
      </c>
      <c r="L26" s="189">
        <v>16456.709999999992</v>
      </c>
      <c r="M26" s="219">
        <v>79486.89</v>
      </c>
      <c r="N26" s="189">
        <f t="shared" si="3"/>
        <v>95943.599999999991</v>
      </c>
      <c r="O26" s="225">
        <v>66487.98</v>
      </c>
      <c r="P26" s="303">
        <v>29455.619999999995</v>
      </c>
      <c r="Q26" s="219">
        <v>86881.57</v>
      </c>
      <c r="R26" s="189">
        <f t="shared" si="4"/>
        <v>116337.19</v>
      </c>
      <c r="S26" s="225">
        <v>63565.539999999994</v>
      </c>
      <c r="T26" s="303">
        <v>52771.650000000009</v>
      </c>
      <c r="U26" s="303">
        <v>83412.97</v>
      </c>
      <c r="V26" s="189">
        <f t="shared" si="5"/>
        <v>136184.62</v>
      </c>
      <c r="W26" s="225"/>
      <c r="X26" s="303">
        <f t="shared" si="6"/>
        <v>136184.62</v>
      </c>
      <c r="Y26" s="303"/>
      <c r="AA26" s="67">
        <f t="shared" si="7"/>
        <v>0</v>
      </c>
      <c r="AC26" t="s">
        <v>71</v>
      </c>
      <c r="AD26" t="s">
        <v>1368</v>
      </c>
      <c r="AE26" s="481">
        <f t="shared" si="8"/>
        <v>83412.97</v>
      </c>
      <c r="AF26"/>
      <c r="AG26" s="48">
        <v>6624.89</v>
      </c>
      <c r="AH26" s="48">
        <v>3244.6</v>
      </c>
      <c r="AI26" s="48">
        <v>9267.76</v>
      </c>
      <c r="AJ26" s="48">
        <v>299.39</v>
      </c>
      <c r="AK26" s="48">
        <v>7998.11</v>
      </c>
      <c r="AL26" s="48">
        <v>55978.22</v>
      </c>
      <c r="AN26"/>
      <c r="AO26"/>
      <c r="AP26" t="str">
        <f t="shared" si="9"/>
        <v>09075</v>
      </c>
      <c r="AQ26" s="481">
        <f t="shared" si="10"/>
        <v>83412.97</v>
      </c>
    </row>
    <row r="27" spans="1:43">
      <c r="A27" s="217">
        <v>20</v>
      </c>
      <c r="B27" s="74" t="s">
        <v>73</v>
      </c>
      <c r="C27" s="74" t="s">
        <v>1369</v>
      </c>
      <c r="D27" s="186">
        <v>580.96</v>
      </c>
      <c r="E27" s="188">
        <v>5049.0400000000009</v>
      </c>
      <c r="F27" s="189">
        <f t="shared" si="1"/>
        <v>5630.0000000000009</v>
      </c>
      <c r="G27" s="200">
        <v>4520.88</v>
      </c>
      <c r="H27" s="197">
        <v>1109.1200000000008</v>
      </c>
      <c r="I27" s="188">
        <v>8152.18</v>
      </c>
      <c r="J27" s="189">
        <f t="shared" si="2"/>
        <v>9261.3000000000011</v>
      </c>
      <c r="K27" s="225">
        <v>6031.8600000000006</v>
      </c>
      <c r="L27" s="189">
        <v>3229.4400000000005</v>
      </c>
      <c r="M27" s="219">
        <v>8346.32</v>
      </c>
      <c r="N27" s="189">
        <f t="shared" si="3"/>
        <v>11575.76</v>
      </c>
      <c r="O27" s="225">
        <v>6846.3600000000006</v>
      </c>
      <c r="P27" s="303">
        <v>4729.3999999999996</v>
      </c>
      <c r="Q27" s="219">
        <v>9043.0400000000009</v>
      </c>
      <c r="R27" s="189">
        <f t="shared" si="4"/>
        <v>13772.44</v>
      </c>
      <c r="S27" s="225">
        <v>8240.2000000000007</v>
      </c>
      <c r="T27" s="303">
        <v>5532.24</v>
      </c>
      <c r="U27" s="303">
        <v>8303.7000000000007</v>
      </c>
      <c r="V27" s="189">
        <f t="shared" si="5"/>
        <v>13835.94</v>
      </c>
      <c r="W27" s="225"/>
      <c r="X27" s="303">
        <f t="shared" si="6"/>
        <v>13835.94</v>
      </c>
      <c r="Y27" s="303"/>
      <c r="AA27" s="67">
        <f t="shared" si="7"/>
        <v>0</v>
      </c>
      <c r="AC27" t="s">
        <v>73</v>
      </c>
      <c r="AD27" t="s">
        <v>1370</v>
      </c>
      <c r="AE27" s="481">
        <f t="shared" si="8"/>
        <v>8303.7000000000007</v>
      </c>
      <c r="AF27"/>
      <c r="AG27" s="48">
        <v>586.98</v>
      </c>
      <c r="AH27" s="48">
        <v>322.99</v>
      </c>
      <c r="AI27" s="48">
        <v>0</v>
      </c>
      <c r="AJ27" s="48">
        <v>29.5</v>
      </c>
      <c r="AK27" s="48">
        <v>1112.48</v>
      </c>
      <c r="AL27" s="48">
        <v>6251.75</v>
      </c>
      <c r="AN27"/>
      <c r="AO27"/>
      <c r="AP27" t="str">
        <f t="shared" si="9"/>
        <v>16046</v>
      </c>
      <c r="AQ27" s="481">
        <f t="shared" si="10"/>
        <v>8303.7000000000007</v>
      </c>
    </row>
    <row r="28" spans="1:43">
      <c r="A28" s="217">
        <v>21</v>
      </c>
      <c r="B28" s="74" t="s">
        <v>75</v>
      </c>
      <c r="C28" s="74" t="s">
        <v>1371</v>
      </c>
      <c r="D28" s="186">
        <v>0</v>
      </c>
      <c r="E28" s="188">
        <v>266280.18999999994</v>
      </c>
      <c r="F28" s="189">
        <f t="shared" si="1"/>
        <v>266280.18999999994</v>
      </c>
      <c r="G28" s="200">
        <v>313589.40999999997</v>
      </c>
      <c r="H28" s="197">
        <v>0</v>
      </c>
      <c r="I28" s="188">
        <v>375972.04</v>
      </c>
      <c r="J28" s="189">
        <f t="shared" si="2"/>
        <v>375972.04</v>
      </c>
      <c r="K28" s="225">
        <v>424308.39999999997</v>
      </c>
      <c r="L28" s="189">
        <v>0</v>
      </c>
      <c r="M28" s="219">
        <v>367753.95</v>
      </c>
      <c r="N28" s="189">
        <f t="shared" si="3"/>
        <v>367753.95</v>
      </c>
      <c r="O28" s="225">
        <v>404316.04000000004</v>
      </c>
      <c r="P28" s="303">
        <v>0</v>
      </c>
      <c r="Q28" s="219">
        <v>399363.54</v>
      </c>
      <c r="R28" s="189">
        <f t="shared" si="4"/>
        <v>399363.54</v>
      </c>
      <c r="S28" s="225">
        <v>431089.77999999997</v>
      </c>
      <c r="T28" s="303">
        <v>0</v>
      </c>
      <c r="U28" s="303">
        <v>408670.04000000004</v>
      </c>
      <c r="V28" s="189">
        <f t="shared" si="5"/>
        <v>408670.04000000004</v>
      </c>
      <c r="W28" s="225"/>
      <c r="X28" s="303">
        <f t="shared" si="6"/>
        <v>408670.04000000004</v>
      </c>
      <c r="Y28" s="303"/>
      <c r="AA28" s="67">
        <f t="shared" si="7"/>
        <v>0</v>
      </c>
      <c r="AC28" t="s">
        <v>75</v>
      </c>
      <c r="AD28" t="s">
        <v>1372</v>
      </c>
      <c r="AE28" s="481">
        <f t="shared" si="8"/>
        <v>408670.04000000004</v>
      </c>
      <c r="AF28"/>
      <c r="AG28" s="48">
        <v>20378.29</v>
      </c>
      <c r="AH28" s="48">
        <v>11988.6</v>
      </c>
      <c r="AI28" s="48">
        <v>20482.080000000002</v>
      </c>
      <c r="AJ28" s="48">
        <v>1571.81</v>
      </c>
      <c r="AK28" s="48">
        <v>55628.81</v>
      </c>
      <c r="AL28" s="48">
        <v>298620.45</v>
      </c>
      <c r="AN28"/>
      <c r="AO28"/>
      <c r="AP28" t="str">
        <f t="shared" si="9"/>
        <v>29100</v>
      </c>
      <c r="AQ28" s="481">
        <f t="shared" si="10"/>
        <v>408670.04000000004</v>
      </c>
    </row>
    <row r="29" spans="1:43">
      <c r="A29" s="217">
        <v>22</v>
      </c>
      <c r="B29" s="74" t="s">
        <v>77</v>
      </c>
      <c r="C29" s="74" t="s">
        <v>1373</v>
      </c>
      <c r="D29" s="186">
        <v>0</v>
      </c>
      <c r="E29" s="188">
        <v>459024.76999999996</v>
      </c>
      <c r="F29" s="189">
        <f t="shared" si="1"/>
        <v>459024.76999999996</v>
      </c>
      <c r="G29" s="200">
        <v>476843.58</v>
      </c>
      <c r="H29" s="197">
        <v>0</v>
      </c>
      <c r="I29" s="188">
        <v>652696.09</v>
      </c>
      <c r="J29" s="189">
        <f t="shared" si="2"/>
        <v>652696.09</v>
      </c>
      <c r="K29" s="225">
        <v>813582.94000000006</v>
      </c>
      <c r="L29" s="189">
        <v>0</v>
      </c>
      <c r="M29" s="219">
        <v>644508.97</v>
      </c>
      <c r="N29" s="189">
        <f t="shared" si="3"/>
        <v>644508.97</v>
      </c>
      <c r="O29" s="225">
        <v>931327.01</v>
      </c>
      <c r="P29" s="303">
        <v>0</v>
      </c>
      <c r="Q29" s="219">
        <v>705181.39</v>
      </c>
      <c r="R29" s="189">
        <f t="shared" si="4"/>
        <v>705181.39</v>
      </c>
      <c r="S29" s="225">
        <v>906834.14</v>
      </c>
      <c r="T29" s="303">
        <v>0</v>
      </c>
      <c r="U29" s="303">
        <v>722920.29</v>
      </c>
      <c r="V29" s="189">
        <f t="shared" si="5"/>
        <v>722920.29</v>
      </c>
      <c r="W29" s="225"/>
      <c r="X29" s="303">
        <f t="shared" si="6"/>
        <v>722920.29</v>
      </c>
      <c r="Y29" s="303"/>
      <c r="AA29" s="67">
        <f t="shared" si="7"/>
        <v>0</v>
      </c>
      <c r="AC29" t="s">
        <v>77</v>
      </c>
      <c r="AD29" t="s">
        <v>1374</v>
      </c>
      <c r="AE29" s="481">
        <f t="shared" si="8"/>
        <v>722920.29</v>
      </c>
      <c r="AF29"/>
      <c r="AG29" s="48">
        <v>11998.53</v>
      </c>
      <c r="AH29" s="48">
        <v>0</v>
      </c>
      <c r="AI29" s="48">
        <v>7298.72</v>
      </c>
      <c r="AJ29" s="48">
        <v>3319.23</v>
      </c>
      <c r="AK29" s="48">
        <v>93175.72</v>
      </c>
      <c r="AL29" s="48">
        <v>607128.09000000008</v>
      </c>
      <c r="AN29"/>
      <c r="AO29"/>
      <c r="AP29" t="str">
        <f t="shared" si="9"/>
        <v>06117</v>
      </c>
      <c r="AQ29" s="481">
        <f t="shared" si="10"/>
        <v>722920.29</v>
      </c>
    </row>
    <row r="30" spans="1:43">
      <c r="A30" s="217">
        <v>23</v>
      </c>
      <c r="B30" s="74" t="s">
        <v>79</v>
      </c>
      <c r="C30" s="74" t="s">
        <v>1375</v>
      </c>
      <c r="D30" s="186">
        <v>21186.09</v>
      </c>
      <c r="E30" s="188">
        <v>45131.519999999997</v>
      </c>
      <c r="F30" s="189">
        <f t="shared" si="1"/>
        <v>66317.61</v>
      </c>
      <c r="G30" s="200">
        <v>70381.070000000007</v>
      </c>
      <c r="H30" s="197">
        <v>0</v>
      </c>
      <c r="I30" s="188">
        <v>67132.19</v>
      </c>
      <c r="J30" s="189">
        <f t="shared" si="2"/>
        <v>67132.19</v>
      </c>
      <c r="K30" s="225">
        <v>64871.25</v>
      </c>
      <c r="L30" s="189">
        <v>2260.9400000000023</v>
      </c>
      <c r="M30" s="219">
        <v>64920.81</v>
      </c>
      <c r="N30" s="189">
        <f t="shared" si="3"/>
        <v>67181.75</v>
      </c>
      <c r="O30" s="225">
        <v>69469.489999999991</v>
      </c>
      <c r="P30" s="303">
        <v>0</v>
      </c>
      <c r="Q30" s="219">
        <v>69068.31</v>
      </c>
      <c r="R30" s="189">
        <f t="shared" si="4"/>
        <v>69068.31</v>
      </c>
      <c r="S30" s="225">
        <v>64025.229999999996</v>
      </c>
      <c r="T30" s="303">
        <v>5043.0800000000017</v>
      </c>
      <c r="U30" s="303">
        <v>71193.540000000008</v>
      </c>
      <c r="V30" s="189">
        <f t="shared" si="5"/>
        <v>76236.62000000001</v>
      </c>
      <c r="W30" s="225"/>
      <c r="X30" s="303">
        <f t="shared" si="6"/>
        <v>76236.62000000001</v>
      </c>
      <c r="Y30" s="303"/>
      <c r="AA30" s="67">
        <f t="shared" si="7"/>
        <v>0</v>
      </c>
      <c r="AC30" t="s">
        <v>79</v>
      </c>
      <c r="AD30" t="s">
        <v>1376</v>
      </c>
      <c r="AE30" s="481">
        <f t="shared" si="8"/>
        <v>71193.540000000008</v>
      </c>
      <c r="AF30"/>
      <c r="AG30" s="48">
        <v>3687.05</v>
      </c>
      <c r="AH30" s="48">
        <v>2080.96</v>
      </c>
      <c r="AI30" s="48">
        <v>0</v>
      </c>
      <c r="AJ30" s="48">
        <v>0</v>
      </c>
      <c r="AK30" s="48">
        <v>7109.73</v>
      </c>
      <c r="AL30" s="48">
        <v>58315.8</v>
      </c>
      <c r="AN30"/>
      <c r="AO30"/>
      <c r="AP30" t="str">
        <f t="shared" si="9"/>
        <v>05401</v>
      </c>
      <c r="AQ30" s="481">
        <f t="shared" si="10"/>
        <v>71193.540000000008</v>
      </c>
    </row>
    <row r="31" spans="1:43">
      <c r="A31" s="217">
        <v>24</v>
      </c>
      <c r="B31" s="74" t="s">
        <v>81</v>
      </c>
      <c r="C31" s="74" t="s">
        <v>1377</v>
      </c>
      <c r="D31" s="186">
        <v>691.28999999999905</v>
      </c>
      <c r="E31" s="188">
        <v>12579.119999999999</v>
      </c>
      <c r="F31" s="189">
        <f t="shared" si="1"/>
        <v>13270.409999999998</v>
      </c>
      <c r="G31" s="200">
        <v>10305.56</v>
      </c>
      <c r="H31" s="197">
        <v>2964.8499999999985</v>
      </c>
      <c r="I31" s="188">
        <v>19477.900000000001</v>
      </c>
      <c r="J31" s="189">
        <f t="shared" si="2"/>
        <v>22442.75</v>
      </c>
      <c r="K31" s="225">
        <v>16475.5</v>
      </c>
      <c r="L31" s="189">
        <v>5967.25</v>
      </c>
      <c r="M31" s="219">
        <v>19107.190000000002</v>
      </c>
      <c r="N31" s="189">
        <f t="shared" si="3"/>
        <v>25074.440000000002</v>
      </c>
      <c r="O31" s="225">
        <v>8645.23</v>
      </c>
      <c r="P31" s="303">
        <v>16429.210000000003</v>
      </c>
      <c r="Q31" s="219">
        <v>19939.68</v>
      </c>
      <c r="R31" s="189">
        <f t="shared" si="4"/>
        <v>36368.89</v>
      </c>
      <c r="S31" s="225">
        <v>30454.639999999999</v>
      </c>
      <c r="T31" s="303">
        <v>5914.25</v>
      </c>
      <c r="U31" s="303">
        <v>20166.719999999998</v>
      </c>
      <c r="V31" s="189">
        <f t="shared" si="5"/>
        <v>26080.969999999998</v>
      </c>
      <c r="W31" s="225"/>
      <c r="X31" s="303">
        <f t="shared" si="6"/>
        <v>26080.969999999998</v>
      </c>
      <c r="Y31" s="303"/>
      <c r="AA31" s="67">
        <f t="shared" si="7"/>
        <v>0</v>
      </c>
      <c r="AC31" t="s">
        <v>81</v>
      </c>
      <c r="AD31" t="s">
        <v>1378</v>
      </c>
      <c r="AE31" s="481">
        <f t="shared" si="8"/>
        <v>20166.719999999998</v>
      </c>
      <c r="AF31"/>
      <c r="AG31" s="48">
        <v>530.4</v>
      </c>
      <c r="AH31" s="48">
        <v>0</v>
      </c>
      <c r="AI31" s="48">
        <v>0</v>
      </c>
      <c r="AJ31" s="48">
        <v>79.64</v>
      </c>
      <c r="AK31" s="48">
        <v>3101.42</v>
      </c>
      <c r="AL31" s="48">
        <v>16455.259999999998</v>
      </c>
      <c r="AN31"/>
      <c r="AO31"/>
      <c r="AP31" t="str">
        <f t="shared" si="9"/>
        <v>27019</v>
      </c>
      <c r="AQ31" s="481">
        <f t="shared" si="10"/>
        <v>20166.719999999998</v>
      </c>
    </row>
    <row r="32" spans="1:43">
      <c r="A32" s="217">
        <v>25</v>
      </c>
      <c r="B32" s="74" t="s">
        <v>83</v>
      </c>
      <c r="C32" s="74" t="s">
        <v>1379</v>
      </c>
      <c r="D32" s="186">
        <v>37553.340000000004</v>
      </c>
      <c r="E32" s="188">
        <v>75844.11</v>
      </c>
      <c r="F32" s="189">
        <f t="shared" si="1"/>
        <v>113397.45000000001</v>
      </c>
      <c r="G32" s="200">
        <v>82437.240000000005</v>
      </c>
      <c r="H32" s="197">
        <v>30960.210000000006</v>
      </c>
      <c r="I32" s="188">
        <v>101436.2</v>
      </c>
      <c r="J32" s="189">
        <f t="shared" si="2"/>
        <v>132396.41</v>
      </c>
      <c r="K32" s="225">
        <v>142531.88000000003</v>
      </c>
      <c r="L32" s="189">
        <v>0</v>
      </c>
      <c r="M32" s="219">
        <v>107613.41</v>
      </c>
      <c r="N32" s="189">
        <f t="shared" si="3"/>
        <v>107613.41</v>
      </c>
      <c r="O32" s="225">
        <v>146752.41999999998</v>
      </c>
      <c r="P32" s="303">
        <v>0</v>
      </c>
      <c r="Q32" s="219">
        <v>117640.42000000001</v>
      </c>
      <c r="R32" s="189">
        <f t="shared" si="4"/>
        <v>117640.42000000001</v>
      </c>
      <c r="S32" s="225">
        <v>169507.04</v>
      </c>
      <c r="T32" s="303">
        <v>0</v>
      </c>
      <c r="U32" s="303">
        <v>118727.23999999999</v>
      </c>
      <c r="V32" s="189">
        <f t="shared" si="5"/>
        <v>118727.23999999999</v>
      </c>
      <c r="W32" s="225"/>
      <c r="X32" s="303">
        <f t="shared" si="6"/>
        <v>118727.23999999999</v>
      </c>
      <c r="Y32" s="303"/>
      <c r="AA32" s="67">
        <f t="shared" si="7"/>
        <v>0</v>
      </c>
      <c r="AC32" t="s">
        <v>83</v>
      </c>
      <c r="AD32" t="s">
        <v>1380</v>
      </c>
      <c r="AE32" s="481">
        <f t="shared" si="8"/>
        <v>118727.23999999999</v>
      </c>
      <c r="AF32"/>
      <c r="AG32" s="48">
        <v>4855.1000000000004</v>
      </c>
      <c r="AH32" s="48">
        <v>39.82</v>
      </c>
      <c r="AI32" s="48">
        <v>3213.63</v>
      </c>
      <c r="AJ32" s="48">
        <v>511.76</v>
      </c>
      <c r="AK32" s="48">
        <v>13062.4</v>
      </c>
      <c r="AL32" s="48">
        <v>97044.53</v>
      </c>
      <c r="AN32"/>
      <c r="AO32"/>
      <c r="AP32" t="str">
        <f t="shared" si="9"/>
        <v>04228</v>
      </c>
      <c r="AQ32" s="481">
        <f t="shared" si="10"/>
        <v>118727.23999999999</v>
      </c>
    </row>
    <row r="33" spans="1:43">
      <c r="A33" s="217">
        <v>26</v>
      </c>
      <c r="B33" s="74" t="s">
        <v>85</v>
      </c>
      <c r="C33" s="74" t="s">
        <v>1381</v>
      </c>
      <c r="D33" s="186">
        <v>0</v>
      </c>
      <c r="E33" s="188">
        <v>101689.51000000001</v>
      </c>
      <c r="F33" s="189">
        <f t="shared" si="1"/>
        <v>101689.51000000001</v>
      </c>
      <c r="G33" s="200">
        <v>100717.38</v>
      </c>
      <c r="H33" s="197">
        <v>972.13000000000466</v>
      </c>
      <c r="I33" s="188">
        <v>151027.12</v>
      </c>
      <c r="J33" s="189">
        <f t="shared" si="2"/>
        <v>151999.25</v>
      </c>
      <c r="K33" s="225">
        <v>161485.47</v>
      </c>
      <c r="L33" s="189">
        <v>0</v>
      </c>
      <c r="M33" s="219">
        <v>148797.45000000001</v>
      </c>
      <c r="N33" s="189">
        <f t="shared" si="3"/>
        <v>148797.45000000001</v>
      </c>
      <c r="O33" s="225">
        <v>168177.52000000002</v>
      </c>
      <c r="P33" s="303">
        <v>0</v>
      </c>
      <c r="Q33" s="219">
        <v>164617.56</v>
      </c>
      <c r="R33" s="189">
        <f t="shared" si="4"/>
        <v>164617.56</v>
      </c>
      <c r="S33" s="225">
        <v>186221.86</v>
      </c>
      <c r="T33" s="303">
        <v>0</v>
      </c>
      <c r="U33" s="303">
        <v>168603.78</v>
      </c>
      <c r="V33" s="189">
        <f t="shared" si="5"/>
        <v>168603.78</v>
      </c>
      <c r="W33" s="225"/>
      <c r="X33" s="303">
        <f t="shared" si="6"/>
        <v>168603.78</v>
      </c>
      <c r="Y33" s="303"/>
      <c r="AA33" s="67">
        <f t="shared" si="7"/>
        <v>0</v>
      </c>
      <c r="AC33" t="s">
        <v>85</v>
      </c>
      <c r="AD33" t="s">
        <v>1382</v>
      </c>
      <c r="AE33" s="481">
        <f t="shared" si="8"/>
        <v>168603.78</v>
      </c>
      <c r="AF33"/>
      <c r="AG33" s="48">
        <v>6961.98</v>
      </c>
      <c r="AH33" s="48">
        <v>0</v>
      </c>
      <c r="AI33" s="48">
        <v>4395.8999999999996</v>
      </c>
      <c r="AJ33" s="48">
        <v>707.09</v>
      </c>
      <c r="AK33" s="48">
        <v>18343.939999999999</v>
      </c>
      <c r="AL33" s="48">
        <v>138194.87</v>
      </c>
      <c r="AN33"/>
      <c r="AO33"/>
      <c r="AP33" t="str">
        <f t="shared" si="9"/>
        <v>04222</v>
      </c>
      <c r="AQ33" s="481">
        <f t="shared" si="10"/>
        <v>168603.78</v>
      </c>
    </row>
    <row r="34" spans="1:43">
      <c r="A34" s="217">
        <v>27</v>
      </c>
      <c r="B34" s="74" t="s">
        <v>87</v>
      </c>
      <c r="C34" s="74" t="s">
        <v>1383</v>
      </c>
      <c r="D34" s="186">
        <v>10674.570000000003</v>
      </c>
      <c r="E34" s="188">
        <v>90980.56</v>
      </c>
      <c r="F34" s="189">
        <f t="shared" si="1"/>
        <v>101655.13</v>
      </c>
      <c r="G34" s="200">
        <v>68954.28</v>
      </c>
      <c r="H34" s="197">
        <v>32700.850000000006</v>
      </c>
      <c r="I34" s="188">
        <v>127613.24000000002</v>
      </c>
      <c r="J34" s="189">
        <f t="shared" si="2"/>
        <v>160314.09000000003</v>
      </c>
      <c r="K34" s="225">
        <v>128308.57000000002</v>
      </c>
      <c r="L34" s="189">
        <v>32005.520000000004</v>
      </c>
      <c r="M34" s="219">
        <v>127784.99</v>
      </c>
      <c r="N34" s="189">
        <f t="shared" si="3"/>
        <v>159790.51</v>
      </c>
      <c r="O34" s="225">
        <v>171969.28</v>
      </c>
      <c r="P34" s="303">
        <v>0</v>
      </c>
      <c r="Q34" s="219">
        <v>146105.32999999999</v>
      </c>
      <c r="R34" s="189">
        <f t="shared" si="4"/>
        <v>146105.32999999999</v>
      </c>
      <c r="S34" s="225">
        <v>142129.69</v>
      </c>
      <c r="T34" s="303">
        <v>3975.6399999999849</v>
      </c>
      <c r="U34" s="303">
        <v>148116.64000000001</v>
      </c>
      <c r="V34" s="189">
        <f t="shared" si="5"/>
        <v>152092.28</v>
      </c>
      <c r="W34" s="225"/>
      <c r="X34" s="303">
        <f t="shared" si="6"/>
        <v>152092.28</v>
      </c>
      <c r="Y34" s="303"/>
      <c r="AA34" s="67">
        <f t="shared" si="7"/>
        <v>0</v>
      </c>
      <c r="AC34" t="s">
        <v>87</v>
      </c>
      <c r="AD34" t="s">
        <v>1384</v>
      </c>
      <c r="AE34" s="481">
        <f t="shared" si="8"/>
        <v>148116.64000000001</v>
      </c>
      <c r="AF34"/>
      <c r="AG34" s="48">
        <v>7257.58</v>
      </c>
      <c r="AH34" s="48">
        <v>2836.08</v>
      </c>
      <c r="AI34" s="48">
        <v>710.87</v>
      </c>
      <c r="AJ34" s="48">
        <v>592.88</v>
      </c>
      <c r="AK34" s="48">
        <v>21496.07</v>
      </c>
      <c r="AL34" s="48">
        <v>115223.16</v>
      </c>
      <c r="AN34"/>
      <c r="AO34"/>
      <c r="AP34" t="str">
        <f t="shared" si="9"/>
        <v>08401</v>
      </c>
      <c r="AQ34" s="481">
        <f t="shared" si="10"/>
        <v>148116.64000000001</v>
      </c>
    </row>
    <row r="35" spans="1:43">
      <c r="A35" s="217">
        <v>28</v>
      </c>
      <c r="B35" s="190" t="s">
        <v>89</v>
      </c>
      <c r="C35" s="74" t="s">
        <v>1385</v>
      </c>
      <c r="D35" s="186"/>
      <c r="E35" s="188"/>
      <c r="F35" s="189">
        <f t="shared" si="1"/>
        <v>0</v>
      </c>
      <c r="G35" s="200"/>
      <c r="H35" s="198">
        <v>0</v>
      </c>
      <c r="I35" s="188">
        <v>20871.8</v>
      </c>
      <c r="J35" s="189">
        <f t="shared" si="2"/>
        <v>20871.8</v>
      </c>
      <c r="K35" s="225">
        <v>16368.93</v>
      </c>
      <c r="L35" s="189">
        <v>4502.869999999999</v>
      </c>
      <c r="M35" s="219">
        <v>34659</v>
      </c>
      <c r="N35" s="189">
        <f t="shared" si="3"/>
        <v>39161.869999999995</v>
      </c>
      <c r="O35" s="225">
        <v>30702.32</v>
      </c>
      <c r="P35" s="303">
        <v>8459.5499999999956</v>
      </c>
      <c r="Q35" s="219">
        <v>55331.329999999994</v>
      </c>
      <c r="R35" s="189">
        <f t="shared" si="4"/>
        <v>63790.87999999999</v>
      </c>
      <c r="S35" s="225">
        <v>36244.579999999994</v>
      </c>
      <c r="T35" s="303">
        <v>27546.299999999996</v>
      </c>
      <c r="U35" s="303">
        <v>60312.58</v>
      </c>
      <c r="V35" s="189">
        <f t="shared" si="5"/>
        <v>87858.880000000005</v>
      </c>
      <c r="W35" s="225"/>
      <c r="X35" s="303">
        <f t="shared" si="6"/>
        <v>87858.880000000005</v>
      </c>
      <c r="Y35" s="303"/>
      <c r="AA35" s="67">
        <f t="shared" si="7"/>
        <v>0</v>
      </c>
      <c r="AC35" t="s">
        <v>89</v>
      </c>
      <c r="AD35" t="s">
        <v>1386</v>
      </c>
      <c r="AE35" s="481">
        <f t="shared" si="8"/>
        <v>60312.58</v>
      </c>
      <c r="AF35"/>
      <c r="AG35" s="48">
        <v>2358.09</v>
      </c>
      <c r="AH35" s="48">
        <v>0</v>
      </c>
      <c r="AI35" s="48">
        <v>0</v>
      </c>
      <c r="AJ35" s="48">
        <v>240.16</v>
      </c>
      <c r="AK35" s="48">
        <v>7418.33</v>
      </c>
      <c r="AL35" s="48">
        <v>50296</v>
      </c>
      <c r="AN35"/>
      <c r="AO35"/>
      <c r="AP35" t="str">
        <f t="shared" si="9"/>
        <v>18901</v>
      </c>
      <c r="AQ35" s="481">
        <f t="shared" si="10"/>
        <v>60312.58</v>
      </c>
    </row>
    <row r="36" spans="1:43">
      <c r="A36" s="217">
        <v>29</v>
      </c>
      <c r="B36" s="74" t="s">
        <v>91</v>
      </c>
      <c r="C36" s="74" t="s">
        <v>1387</v>
      </c>
      <c r="D36" s="186">
        <v>0</v>
      </c>
      <c r="E36" s="188">
        <v>5277.8600000000006</v>
      </c>
      <c r="F36" s="189">
        <f t="shared" si="1"/>
        <v>5277.8600000000006</v>
      </c>
      <c r="G36" s="200">
        <v>4978.6400000000003</v>
      </c>
      <c r="H36" s="197">
        <v>299.22000000000025</v>
      </c>
      <c r="I36" s="188">
        <v>8200.2199999999993</v>
      </c>
      <c r="J36" s="189">
        <f t="shared" si="2"/>
        <v>8499.4399999999987</v>
      </c>
      <c r="K36" s="225">
        <v>4430.5200000000004</v>
      </c>
      <c r="L36" s="189">
        <v>4068.9199999999983</v>
      </c>
      <c r="M36" s="219">
        <v>8289.3599999999988</v>
      </c>
      <c r="N36" s="189">
        <f t="shared" si="3"/>
        <v>12358.279999999997</v>
      </c>
      <c r="O36" s="225">
        <v>7173.55</v>
      </c>
      <c r="P36" s="303">
        <v>5184.7299999999968</v>
      </c>
      <c r="Q36" s="219">
        <v>9609.7100000000009</v>
      </c>
      <c r="R36" s="189">
        <f t="shared" si="4"/>
        <v>14794.439999999999</v>
      </c>
      <c r="S36" s="225">
        <v>7932.37</v>
      </c>
      <c r="T36" s="303">
        <v>6862.0699999999988</v>
      </c>
      <c r="U36" s="303">
        <v>9326.7599999999984</v>
      </c>
      <c r="V36" s="189">
        <f t="shared" si="5"/>
        <v>16188.829999999998</v>
      </c>
      <c r="W36" s="225"/>
      <c r="X36" s="303">
        <f t="shared" si="6"/>
        <v>16188.829999999998</v>
      </c>
      <c r="Y36" s="303"/>
      <c r="AA36" s="67">
        <f t="shared" si="7"/>
        <v>0</v>
      </c>
      <c r="AC36" t="s">
        <v>91</v>
      </c>
      <c r="AD36" t="s">
        <v>1388</v>
      </c>
      <c r="AE36" s="481">
        <f t="shared" si="8"/>
        <v>9326.7599999999984</v>
      </c>
      <c r="AF36"/>
      <c r="AG36" s="48">
        <v>352.01</v>
      </c>
      <c r="AH36" s="48">
        <v>0</v>
      </c>
      <c r="AI36" s="48">
        <v>0</v>
      </c>
      <c r="AJ36" s="48">
        <v>39.119999999999997</v>
      </c>
      <c r="AK36" s="48">
        <v>0</v>
      </c>
      <c r="AL36" s="48">
        <v>8935.6299999999992</v>
      </c>
      <c r="AN36"/>
      <c r="AO36"/>
      <c r="AP36" t="str">
        <f t="shared" si="9"/>
        <v>20215</v>
      </c>
      <c r="AQ36" s="481">
        <f t="shared" si="10"/>
        <v>9326.7599999999984</v>
      </c>
    </row>
    <row r="37" spans="1:43">
      <c r="A37" s="217">
        <v>30</v>
      </c>
      <c r="B37" s="74" t="s">
        <v>93</v>
      </c>
      <c r="C37" s="74" t="s">
        <v>1389</v>
      </c>
      <c r="D37" s="186">
        <v>98218.450000000012</v>
      </c>
      <c r="E37" s="188">
        <v>827753.23</v>
      </c>
      <c r="F37" s="189">
        <f t="shared" si="1"/>
        <v>925971.67999999993</v>
      </c>
      <c r="G37" s="200">
        <v>653734.68000000005</v>
      </c>
      <c r="H37" s="197">
        <v>272236.99999999988</v>
      </c>
      <c r="I37" s="188">
        <v>1097864.22</v>
      </c>
      <c r="J37" s="189">
        <f t="shared" si="2"/>
        <v>1370101.2199999997</v>
      </c>
      <c r="K37" s="225">
        <v>1992802.23</v>
      </c>
      <c r="L37" s="189">
        <v>0</v>
      </c>
      <c r="M37" s="219">
        <v>1134960.98</v>
      </c>
      <c r="N37" s="189">
        <f t="shared" si="3"/>
        <v>1134960.98</v>
      </c>
      <c r="O37" s="225">
        <v>1134960.98</v>
      </c>
      <c r="P37" s="303">
        <v>0</v>
      </c>
      <c r="Q37" s="219">
        <v>1229228.1099999999</v>
      </c>
      <c r="R37" s="189">
        <f t="shared" si="4"/>
        <v>1229228.1099999999</v>
      </c>
      <c r="S37" s="225">
        <v>1229316.29</v>
      </c>
      <c r="T37" s="303">
        <v>0</v>
      </c>
      <c r="U37" s="303">
        <v>1304418.17</v>
      </c>
      <c r="V37" s="189">
        <f t="shared" si="5"/>
        <v>1304418.17</v>
      </c>
      <c r="W37" s="225"/>
      <c r="X37" s="303">
        <f t="shared" si="6"/>
        <v>1304418.17</v>
      </c>
      <c r="Y37" s="303"/>
      <c r="AA37" s="67">
        <f t="shared" si="7"/>
        <v>0</v>
      </c>
      <c r="AC37" t="s">
        <v>93</v>
      </c>
      <c r="AD37" t="s">
        <v>1390</v>
      </c>
      <c r="AE37" s="481">
        <f t="shared" si="8"/>
        <v>1304418.17</v>
      </c>
      <c r="AF37"/>
      <c r="AG37" s="48">
        <v>49282.239999999998</v>
      </c>
      <c r="AH37" s="48">
        <v>8859.65</v>
      </c>
      <c r="AI37" s="48">
        <v>14615.54</v>
      </c>
      <c r="AJ37" s="48">
        <v>5608.35</v>
      </c>
      <c r="AK37" s="48">
        <v>199553.13</v>
      </c>
      <c r="AL37" s="48">
        <v>1026499.26</v>
      </c>
      <c r="AN37"/>
      <c r="AO37"/>
      <c r="AP37" t="str">
        <f t="shared" si="9"/>
        <v>18401</v>
      </c>
      <c r="AQ37" s="481">
        <f t="shared" si="10"/>
        <v>1304418.17</v>
      </c>
    </row>
    <row r="38" spans="1:43">
      <c r="A38" s="217">
        <v>31</v>
      </c>
      <c r="B38" s="74" t="s">
        <v>95</v>
      </c>
      <c r="C38" s="74" t="s">
        <v>1391</v>
      </c>
      <c r="D38" s="186">
        <v>0</v>
      </c>
      <c r="E38" s="188">
        <v>876722.45999999985</v>
      </c>
      <c r="F38" s="189">
        <f t="shared" si="1"/>
        <v>876722.45999999985</v>
      </c>
      <c r="G38" s="200">
        <v>1072817.82</v>
      </c>
      <c r="H38" s="197">
        <v>0</v>
      </c>
      <c r="I38" s="188">
        <v>1236070.1399999999</v>
      </c>
      <c r="J38" s="189">
        <f t="shared" si="2"/>
        <v>1236070.1399999999</v>
      </c>
      <c r="K38" s="225">
        <v>1101982.0000000002</v>
      </c>
      <c r="L38" s="189">
        <v>134088.13999999966</v>
      </c>
      <c r="M38" s="219">
        <v>1266040.7</v>
      </c>
      <c r="N38" s="189">
        <f t="shared" si="3"/>
        <v>1400128.8399999996</v>
      </c>
      <c r="O38" s="225">
        <v>1032708.98</v>
      </c>
      <c r="P38" s="303">
        <v>367419.85999999964</v>
      </c>
      <c r="Q38" s="219">
        <v>1387423.1199999999</v>
      </c>
      <c r="R38" s="189">
        <f t="shared" si="4"/>
        <v>1754842.9799999995</v>
      </c>
      <c r="S38" s="225">
        <v>1243762.2200000002</v>
      </c>
      <c r="T38" s="303">
        <v>511080.75999999931</v>
      </c>
      <c r="U38" s="303">
        <v>1504449.7299999997</v>
      </c>
      <c r="V38" s="189">
        <f t="shared" si="5"/>
        <v>2015530.4899999991</v>
      </c>
      <c r="W38" s="225"/>
      <c r="X38" s="303">
        <f t="shared" si="6"/>
        <v>2015530.4899999991</v>
      </c>
      <c r="Y38" s="303"/>
      <c r="AA38" s="67">
        <f t="shared" si="7"/>
        <v>0</v>
      </c>
      <c r="AC38" t="s">
        <v>95</v>
      </c>
      <c r="AD38" t="s">
        <v>1392</v>
      </c>
      <c r="AE38" s="481">
        <f t="shared" si="8"/>
        <v>1504449.7299999997</v>
      </c>
      <c r="AF38"/>
      <c r="AG38" s="48">
        <v>57694.32</v>
      </c>
      <c r="AH38" s="48">
        <v>13488.34</v>
      </c>
      <c r="AI38" s="48">
        <v>18792.25</v>
      </c>
      <c r="AJ38" s="48">
        <v>6264.08</v>
      </c>
      <c r="AK38" s="48">
        <v>225100.81</v>
      </c>
      <c r="AL38" s="48">
        <v>1183109.9299999997</v>
      </c>
      <c r="AN38"/>
      <c r="AO38"/>
      <c r="AP38" t="str">
        <f t="shared" si="9"/>
        <v>32356</v>
      </c>
      <c r="AQ38" s="481">
        <f t="shared" si="10"/>
        <v>1504449.7299999997</v>
      </c>
    </row>
    <row r="39" spans="1:43">
      <c r="A39" s="217">
        <v>32</v>
      </c>
      <c r="B39" s="74" t="s">
        <v>97</v>
      </c>
      <c r="C39" s="74" t="s">
        <v>1393</v>
      </c>
      <c r="D39" s="186">
        <v>2863.3300000000163</v>
      </c>
      <c r="E39" s="188">
        <v>224913.62</v>
      </c>
      <c r="F39" s="189">
        <f t="shared" si="1"/>
        <v>227776.95</v>
      </c>
      <c r="G39" s="200">
        <v>230166.2</v>
      </c>
      <c r="H39" s="197">
        <v>0</v>
      </c>
      <c r="I39" s="188">
        <v>331220.31000000006</v>
      </c>
      <c r="J39" s="189">
        <f t="shared" si="2"/>
        <v>331220.31000000006</v>
      </c>
      <c r="K39" s="225">
        <v>319231.03999999998</v>
      </c>
      <c r="L39" s="189">
        <v>11989.270000000077</v>
      </c>
      <c r="M39" s="219">
        <v>338708.95</v>
      </c>
      <c r="N39" s="189">
        <f t="shared" si="3"/>
        <v>350698.22000000009</v>
      </c>
      <c r="O39" s="225">
        <v>322226.94999999995</v>
      </c>
      <c r="P39" s="303">
        <v>28471.270000000135</v>
      </c>
      <c r="Q39" s="219">
        <v>372653.76</v>
      </c>
      <c r="R39" s="189">
        <f t="shared" si="4"/>
        <v>401125.03000000014</v>
      </c>
      <c r="S39" s="225">
        <v>368899.55</v>
      </c>
      <c r="T39" s="303">
        <v>32225.480000000156</v>
      </c>
      <c r="U39" s="303">
        <v>374786.54</v>
      </c>
      <c r="V39" s="189">
        <f t="shared" si="5"/>
        <v>407012.02000000014</v>
      </c>
      <c r="W39" s="225"/>
      <c r="X39" s="303">
        <f t="shared" si="6"/>
        <v>407012.02000000014</v>
      </c>
      <c r="Y39" s="303"/>
      <c r="AA39" s="67">
        <f t="shared" si="7"/>
        <v>0</v>
      </c>
      <c r="AC39" t="s">
        <v>97</v>
      </c>
      <c r="AD39" t="s">
        <v>1394</v>
      </c>
      <c r="AE39" s="481">
        <f t="shared" si="8"/>
        <v>374786.54</v>
      </c>
      <c r="AF39"/>
      <c r="AG39" s="48">
        <v>24476.09</v>
      </c>
      <c r="AH39" s="48">
        <v>14706.89</v>
      </c>
      <c r="AI39" s="48">
        <v>11777.9</v>
      </c>
      <c r="AJ39" s="48">
        <v>1418.78</v>
      </c>
      <c r="AK39" s="48">
        <v>50827.89</v>
      </c>
      <c r="AL39" s="48">
        <v>271578.99</v>
      </c>
      <c r="AN39"/>
      <c r="AO39"/>
      <c r="AP39" t="str">
        <f t="shared" si="9"/>
        <v>21401</v>
      </c>
      <c r="AQ39" s="481">
        <f t="shared" si="10"/>
        <v>374786.54</v>
      </c>
    </row>
    <row r="40" spans="1:43">
      <c r="A40" s="217">
        <v>33</v>
      </c>
      <c r="B40" s="74" t="s">
        <v>99</v>
      </c>
      <c r="C40" s="74" t="s">
        <v>1395</v>
      </c>
      <c r="D40" s="186">
        <v>0</v>
      </c>
      <c r="E40" s="188">
        <v>190269.51</v>
      </c>
      <c r="F40" s="189">
        <f t="shared" ref="F40:F71" si="11">+D40+E40</f>
        <v>190269.51</v>
      </c>
      <c r="G40" s="200">
        <v>196864.37</v>
      </c>
      <c r="H40" s="197">
        <v>0</v>
      </c>
      <c r="I40" s="188">
        <v>275721.3</v>
      </c>
      <c r="J40" s="189">
        <f t="shared" ref="J40:J71" si="12">+H40+I40</f>
        <v>275721.3</v>
      </c>
      <c r="K40" s="225">
        <v>292409.83999999997</v>
      </c>
      <c r="L40" s="189">
        <v>0</v>
      </c>
      <c r="M40" s="219">
        <v>271014.65999999997</v>
      </c>
      <c r="N40" s="189">
        <f t="shared" ref="N40:N71" si="13">+L40+M40</f>
        <v>271014.65999999997</v>
      </c>
      <c r="O40" s="225">
        <v>286190.07000000007</v>
      </c>
      <c r="P40" s="303">
        <v>0</v>
      </c>
      <c r="Q40" s="219">
        <v>287566.2</v>
      </c>
      <c r="R40" s="189">
        <f t="shared" ref="R40:R71" si="14">+P40+Q40</f>
        <v>287566.2</v>
      </c>
      <c r="S40" s="225">
        <v>317721.88</v>
      </c>
      <c r="T40" s="303">
        <v>0</v>
      </c>
      <c r="U40" s="303">
        <v>305620.03999999998</v>
      </c>
      <c r="V40" s="189">
        <f t="shared" ref="V40:V71" si="15">+T40+U40</f>
        <v>305620.03999999998</v>
      </c>
      <c r="W40" s="225"/>
      <c r="X40" s="303">
        <f t="shared" si="6"/>
        <v>305620.03999999998</v>
      </c>
      <c r="Y40" s="303"/>
      <c r="AA40" s="67">
        <f t="shared" si="7"/>
        <v>0</v>
      </c>
      <c r="AC40" t="s">
        <v>99</v>
      </c>
      <c r="AD40" t="s">
        <v>1396</v>
      </c>
      <c r="AE40" s="481">
        <f t="shared" ref="AE40:AE71" si="16">SUM(AG40:AL40)</f>
        <v>305620.03999999998</v>
      </c>
      <c r="AF40"/>
      <c r="AG40" s="48">
        <v>13885.59</v>
      </c>
      <c r="AH40" s="48">
        <v>3227.14</v>
      </c>
      <c r="AI40" s="48">
        <v>3713.35</v>
      </c>
      <c r="AJ40" s="48">
        <v>1294.54</v>
      </c>
      <c r="AK40" s="48">
        <v>40373.46</v>
      </c>
      <c r="AL40" s="48">
        <v>243125.96</v>
      </c>
      <c r="AN40"/>
      <c r="AO40"/>
      <c r="AP40" t="str">
        <f t="shared" si="9"/>
        <v>21302</v>
      </c>
      <c r="AQ40" s="481">
        <f t="shared" si="10"/>
        <v>305620.03999999998</v>
      </c>
    </row>
    <row r="41" spans="1:43">
      <c r="A41" s="217">
        <v>34</v>
      </c>
      <c r="B41" s="74" t="s">
        <v>101</v>
      </c>
      <c r="C41" s="74" t="s">
        <v>1397</v>
      </c>
      <c r="D41" s="186">
        <v>31461.710000000006</v>
      </c>
      <c r="E41" s="188">
        <v>312671.68000000005</v>
      </c>
      <c r="F41" s="189">
        <f t="shared" si="11"/>
        <v>344133.39000000007</v>
      </c>
      <c r="G41" s="200">
        <v>324839.05</v>
      </c>
      <c r="H41" s="197">
        <v>19294.340000000084</v>
      </c>
      <c r="I41" s="188">
        <v>438704.27</v>
      </c>
      <c r="J41" s="189">
        <f t="shared" si="12"/>
        <v>457998.6100000001</v>
      </c>
      <c r="K41" s="225">
        <v>478598.86000000016</v>
      </c>
      <c r="L41" s="189">
        <v>0</v>
      </c>
      <c r="M41" s="219">
        <v>463817.02999999997</v>
      </c>
      <c r="N41" s="189">
        <f t="shared" si="13"/>
        <v>463817.02999999997</v>
      </c>
      <c r="O41" s="225">
        <v>503099.9</v>
      </c>
      <c r="P41" s="303">
        <v>0</v>
      </c>
      <c r="Q41" s="219">
        <v>516782.13</v>
      </c>
      <c r="R41" s="189">
        <f t="shared" si="14"/>
        <v>516782.13</v>
      </c>
      <c r="S41" s="225">
        <v>504559.11000000004</v>
      </c>
      <c r="T41" s="303">
        <v>12223.01999999996</v>
      </c>
      <c r="U41" s="303">
        <v>553524.99</v>
      </c>
      <c r="V41" s="189">
        <f t="shared" si="15"/>
        <v>565748.01</v>
      </c>
      <c r="W41" s="225"/>
      <c r="X41" s="303">
        <f t="shared" si="6"/>
        <v>565748.01</v>
      </c>
      <c r="Y41" s="303"/>
      <c r="AA41" s="67">
        <f t="shared" si="7"/>
        <v>0</v>
      </c>
      <c r="AC41" t="s">
        <v>101</v>
      </c>
      <c r="AD41" t="s">
        <v>1398</v>
      </c>
      <c r="AE41" s="481">
        <f t="shared" si="16"/>
        <v>553524.99</v>
      </c>
      <c r="AF41"/>
      <c r="AG41" s="48">
        <v>26021.69</v>
      </c>
      <c r="AH41" s="48">
        <v>9471.2900000000009</v>
      </c>
      <c r="AI41" s="48">
        <v>10372.39</v>
      </c>
      <c r="AJ41" s="48">
        <v>2290.4</v>
      </c>
      <c r="AK41" s="48">
        <v>85029.71</v>
      </c>
      <c r="AL41" s="48">
        <v>420339.51</v>
      </c>
      <c r="AN41"/>
      <c r="AO41"/>
      <c r="AP41" t="str">
        <f t="shared" si="9"/>
        <v>32360</v>
      </c>
      <c r="AQ41" s="481">
        <f t="shared" si="10"/>
        <v>553524.99</v>
      </c>
    </row>
    <row r="42" spans="1:43">
      <c r="A42" s="217">
        <v>35</v>
      </c>
      <c r="B42" s="74" t="s">
        <v>103</v>
      </c>
      <c r="C42" s="74" t="s">
        <v>1399</v>
      </c>
      <c r="D42" s="186">
        <v>3122.16</v>
      </c>
      <c r="E42" s="188">
        <v>42800.87</v>
      </c>
      <c r="F42" s="189">
        <f t="shared" si="11"/>
        <v>45923.03</v>
      </c>
      <c r="G42" s="200">
        <v>36063.54</v>
      </c>
      <c r="H42" s="197">
        <v>9859.489999999998</v>
      </c>
      <c r="I42" s="188">
        <v>53065.72</v>
      </c>
      <c r="J42" s="189">
        <f t="shared" si="12"/>
        <v>62925.21</v>
      </c>
      <c r="K42" s="225">
        <v>44234.909999999996</v>
      </c>
      <c r="L42" s="189">
        <v>18690.300000000003</v>
      </c>
      <c r="M42" s="219">
        <v>60902</v>
      </c>
      <c r="N42" s="189">
        <f t="shared" si="13"/>
        <v>79592.3</v>
      </c>
      <c r="O42" s="225">
        <v>56113.75</v>
      </c>
      <c r="P42" s="303">
        <v>23478.550000000003</v>
      </c>
      <c r="Q42" s="219">
        <v>68662.820000000007</v>
      </c>
      <c r="R42" s="189">
        <f t="shared" si="14"/>
        <v>92141.37000000001</v>
      </c>
      <c r="S42" s="225">
        <v>92141.37</v>
      </c>
      <c r="T42" s="303">
        <v>1.4551915228366852E-11</v>
      </c>
      <c r="U42" s="303">
        <v>74077.37</v>
      </c>
      <c r="V42" s="189">
        <f t="shared" si="15"/>
        <v>74077.37000000001</v>
      </c>
      <c r="W42" s="225"/>
      <c r="X42" s="303">
        <f t="shared" si="6"/>
        <v>74077.37000000001</v>
      </c>
      <c r="Y42" s="303"/>
      <c r="AA42" s="67">
        <f t="shared" si="7"/>
        <v>0</v>
      </c>
      <c r="AC42" t="s">
        <v>103</v>
      </c>
      <c r="AD42" t="s">
        <v>1400</v>
      </c>
      <c r="AE42" s="481">
        <f t="shared" si="16"/>
        <v>74077.37</v>
      </c>
      <c r="AF42"/>
      <c r="AG42" s="48">
        <v>4431.82</v>
      </c>
      <c r="AH42" s="48">
        <v>3362.58</v>
      </c>
      <c r="AI42" s="48">
        <v>36.869999999999997</v>
      </c>
      <c r="AJ42" s="48">
        <v>346.58</v>
      </c>
      <c r="AK42" s="48">
        <v>11161.63</v>
      </c>
      <c r="AL42" s="48">
        <v>54737.89</v>
      </c>
      <c r="AN42"/>
      <c r="AO42"/>
      <c r="AP42" t="str">
        <f t="shared" si="9"/>
        <v>33036</v>
      </c>
      <c r="AQ42" s="481">
        <f t="shared" si="10"/>
        <v>74077.37</v>
      </c>
    </row>
    <row r="43" spans="1:43">
      <c r="A43" s="217">
        <v>36</v>
      </c>
      <c r="B43" s="190" t="s">
        <v>105</v>
      </c>
      <c r="C43" s="74" t="s">
        <v>1401</v>
      </c>
      <c r="D43" s="186">
        <v>17014.509999999998</v>
      </c>
      <c r="E43" s="188">
        <v>30316.399999999998</v>
      </c>
      <c r="F43" s="189">
        <f t="shared" si="11"/>
        <v>47330.909999999996</v>
      </c>
      <c r="G43" s="200"/>
      <c r="H43" s="197">
        <v>47330.909999999996</v>
      </c>
      <c r="I43" s="188">
        <v>47271.619999999995</v>
      </c>
      <c r="J43" s="189">
        <f t="shared" si="12"/>
        <v>94602.53</v>
      </c>
      <c r="K43" s="225"/>
      <c r="L43" s="189">
        <v>94602.53</v>
      </c>
      <c r="M43" s="219">
        <v>54922.07</v>
      </c>
      <c r="N43" s="189">
        <f t="shared" si="13"/>
        <v>149524.6</v>
      </c>
      <c r="O43" s="225">
        <v>55838.080000000002</v>
      </c>
      <c r="P43" s="303">
        <v>93686.52</v>
      </c>
      <c r="Q43" s="219">
        <v>71059.069999999992</v>
      </c>
      <c r="R43" s="189">
        <f t="shared" si="14"/>
        <v>164745.59</v>
      </c>
      <c r="S43" s="225">
        <v>191466.22000000003</v>
      </c>
      <c r="T43" s="303">
        <v>0</v>
      </c>
      <c r="U43" s="303">
        <v>79501.429999999993</v>
      </c>
      <c r="V43" s="189">
        <f t="shared" si="15"/>
        <v>79501.429999999993</v>
      </c>
      <c r="W43" s="225"/>
      <c r="X43" s="303">
        <f t="shared" si="6"/>
        <v>79501.429999999993</v>
      </c>
      <c r="Y43" s="303"/>
      <c r="AA43" s="67">
        <f t="shared" si="7"/>
        <v>0</v>
      </c>
      <c r="AC43" t="s">
        <v>105</v>
      </c>
      <c r="AD43" t="s">
        <v>1402</v>
      </c>
      <c r="AE43" s="481">
        <f t="shared" si="16"/>
        <v>79501.429999999993</v>
      </c>
      <c r="AF43"/>
      <c r="AG43" s="48">
        <v>3343.24</v>
      </c>
      <c r="AH43" s="48">
        <v>2902.2</v>
      </c>
      <c r="AI43" s="48">
        <v>0</v>
      </c>
      <c r="AJ43" s="48">
        <v>302.27999999999997</v>
      </c>
      <c r="AK43" s="48">
        <v>10117.709999999999</v>
      </c>
      <c r="AL43" s="48">
        <v>62836</v>
      </c>
      <c r="AN43"/>
      <c r="AO43"/>
      <c r="AP43" t="str">
        <f t="shared" si="9"/>
        <v>27901</v>
      </c>
      <c r="AQ43" s="481">
        <f t="shared" si="10"/>
        <v>79501.429999999993</v>
      </c>
    </row>
    <row r="44" spans="1:43">
      <c r="A44" s="217">
        <v>37</v>
      </c>
      <c r="B44" s="74" t="s">
        <v>107</v>
      </c>
      <c r="C44" s="74" t="s">
        <v>1403</v>
      </c>
      <c r="D44" s="186">
        <v>27286.76</v>
      </c>
      <c r="E44" s="188">
        <v>56431.49</v>
      </c>
      <c r="F44" s="189">
        <f t="shared" si="11"/>
        <v>83718.25</v>
      </c>
      <c r="G44" s="200">
        <v>47281.52</v>
      </c>
      <c r="H44" s="197">
        <v>36436.730000000003</v>
      </c>
      <c r="I44" s="188">
        <v>72315.839999999997</v>
      </c>
      <c r="J44" s="189">
        <f t="shared" si="12"/>
        <v>108752.57</v>
      </c>
      <c r="K44" s="225">
        <v>65308.520000000004</v>
      </c>
      <c r="L44" s="189">
        <v>43444.05</v>
      </c>
      <c r="M44" s="219">
        <v>68586.459999999992</v>
      </c>
      <c r="N44" s="189">
        <f t="shared" si="13"/>
        <v>112030.51</v>
      </c>
      <c r="O44" s="225">
        <v>60777.44000000001</v>
      </c>
      <c r="P44" s="303">
        <v>51253.069999999985</v>
      </c>
      <c r="Q44" s="219">
        <v>80244.7</v>
      </c>
      <c r="R44" s="189">
        <f t="shared" si="14"/>
        <v>131497.76999999999</v>
      </c>
      <c r="S44" s="225">
        <v>63417.87999999999</v>
      </c>
      <c r="T44" s="303">
        <v>68079.89</v>
      </c>
      <c r="U44" s="303">
        <v>80761.119999999995</v>
      </c>
      <c r="V44" s="189">
        <f t="shared" si="15"/>
        <v>148841.01</v>
      </c>
      <c r="W44" s="225"/>
      <c r="X44" s="303">
        <f t="shared" si="6"/>
        <v>148841.01</v>
      </c>
      <c r="Y44" s="303"/>
      <c r="AA44" s="67">
        <f t="shared" si="7"/>
        <v>0</v>
      </c>
      <c r="AC44" t="s">
        <v>107</v>
      </c>
      <c r="AD44" t="s">
        <v>1404</v>
      </c>
      <c r="AE44" s="481">
        <f t="shared" si="16"/>
        <v>80761.119999999995</v>
      </c>
      <c r="AF44"/>
      <c r="AG44" s="48">
        <v>4195.57</v>
      </c>
      <c r="AH44" s="48">
        <v>1864.88</v>
      </c>
      <c r="AI44" s="48">
        <v>518.66999999999996</v>
      </c>
      <c r="AJ44" s="48">
        <v>315.49</v>
      </c>
      <c r="AK44" s="48">
        <v>12257.79</v>
      </c>
      <c r="AL44" s="48">
        <v>61608.719999999994</v>
      </c>
      <c r="AN44"/>
      <c r="AO44"/>
      <c r="AP44" t="str">
        <f t="shared" si="9"/>
        <v>16049</v>
      </c>
      <c r="AQ44" s="481">
        <f t="shared" si="10"/>
        <v>80761.119999999995</v>
      </c>
    </row>
    <row r="45" spans="1:43">
      <c r="A45" s="217">
        <v>38</v>
      </c>
      <c r="B45" s="74" t="s">
        <v>109</v>
      </c>
      <c r="C45" s="74" t="s">
        <v>1405</v>
      </c>
      <c r="D45" s="186">
        <v>0</v>
      </c>
      <c r="E45" s="188">
        <v>157801.41</v>
      </c>
      <c r="F45" s="189">
        <f t="shared" si="11"/>
        <v>157801.41</v>
      </c>
      <c r="G45" s="200">
        <v>175036.57</v>
      </c>
      <c r="H45" s="197">
        <v>0</v>
      </c>
      <c r="I45" s="188">
        <v>222572.66999999998</v>
      </c>
      <c r="J45" s="189">
        <f t="shared" si="12"/>
        <v>222572.66999999998</v>
      </c>
      <c r="K45" s="225">
        <v>228187.86000000002</v>
      </c>
      <c r="L45" s="189">
        <v>0</v>
      </c>
      <c r="M45" s="219">
        <v>214171.53999999998</v>
      </c>
      <c r="N45" s="189">
        <f t="shared" si="13"/>
        <v>214171.53999999998</v>
      </c>
      <c r="O45" s="225">
        <v>218115.49</v>
      </c>
      <c r="P45" s="303">
        <v>0</v>
      </c>
      <c r="Q45" s="219">
        <v>239310.15000000002</v>
      </c>
      <c r="R45" s="189">
        <f t="shared" si="14"/>
        <v>239310.15000000002</v>
      </c>
      <c r="S45" s="225">
        <v>260073.85</v>
      </c>
      <c r="T45" s="303">
        <v>0</v>
      </c>
      <c r="U45" s="303">
        <v>237804.24</v>
      </c>
      <c r="V45" s="189">
        <f t="shared" si="15"/>
        <v>237804.24</v>
      </c>
      <c r="W45" s="225"/>
      <c r="X45" s="303">
        <f t="shared" si="6"/>
        <v>237804.24</v>
      </c>
      <c r="Y45" s="303"/>
      <c r="AA45" s="67">
        <f t="shared" si="7"/>
        <v>0</v>
      </c>
      <c r="AC45" t="s">
        <v>109</v>
      </c>
      <c r="AD45" t="s">
        <v>1406</v>
      </c>
      <c r="AE45" s="481">
        <f t="shared" si="16"/>
        <v>237804.24</v>
      </c>
      <c r="AF45"/>
      <c r="AG45" s="48">
        <v>12855.99</v>
      </c>
      <c r="AH45" s="48">
        <v>5928.77</v>
      </c>
      <c r="AI45" s="48">
        <v>837.7</v>
      </c>
      <c r="AJ45" s="48">
        <v>1023.53</v>
      </c>
      <c r="AK45" s="48">
        <v>36914.78</v>
      </c>
      <c r="AL45" s="48">
        <v>180243.47</v>
      </c>
      <c r="AN45"/>
      <c r="AO45"/>
      <c r="AP45" t="str">
        <f t="shared" si="9"/>
        <v>02250</v>
      </c>
      <c r="AQ45" s="481">
        <f t="shared" si="10"/>
        <v>237804.24</v>
      </c>
    </row>
    <row r="46" spans="1:43">
      <c r="A46" s="217">
        <v>39</v>
      </c>
      <c r="B46" s="74" t="s">
        <v>111</v>
      </c>
      <c r="C46" s="74" t="s">
        <v>1407</v>
      </c>
      <c r="D46" s="186">
        <v>4361.7200000000012</v>
      </c>
      <c r="E46" s="188">
        <v>53411.73</v>
      </c>
      <c r="F46" s="189">
        <f t="shared" si="11"/>
        <v>57773.450000000004</v>
      </c>
      <c r="G46" s="200">
        <v>50143.81</v>
      </c>
      <c r="H46" s="197">
        <v>7629.6400000000067</v>
      </c>
      <c r="I46" s="188">
        <v>75910.25</v>
      </c>
      <c r="J46" s="189">
        <f t="shared" si="12"/>
        <v>83539.890000000014</v>
      </c>
      <c r="K46" s="225">
        <v>83129.38</v>
      </c>
      <c r="L46" s="189">
        <v>410.51000000000931</v>
      </c>
      <c r="M46" s="219">
        <v>78316.400000000009</v>
      </c>
      <c r="N46" s="189">
        <f t="shared" si="13"/>
        <v>78726.910000000018</v>
      </c>
      <c r="O46" s="225">
        <v>100066.54000000001</v>
      </c>
      <c r="P46" s="303">
        <v>0</v>
      </c>
      <c r="Q46" s="219">
        <v>88998.93</v>
      </c>
      <c r="R46" s="189">
        <f t="shared" si="14"/>
        <v>88998.93</v>
      </c>
      <c r="S46" s="225">
        <v>115988.79999999999</v>
      </c>
      <c r="T46" s="303">
        <v>0</v>
      </c>
      <c r="U46" s="303">
        <v>93128.94</v>
      </c>
      <c r="V46" s="189">
        <f t="shared" si="15"/>
        <v>93128.94</v>
      </c>
      <c r="W46" s="225"/>
      <c r="X46" s="303">
        <f t="shared" si="6"/>
        <v>93128.94</v>
      </c>
      <c r="Y46" s="303"/>
      <c r="AA46" s="67">
        <f t="shared" si="7"/>
        <v>0</v>
      </c>
      <c r="AC46" t="s">
        <v>111</v>
      </c>
      <c r="AD46" t="s">
        <v>1408</v>
      </c>
      <c r="AE46" s="481">
        <f t="shared" si="16"/>
        <v>93128.94</v>
      </c>
      <c r="AF46"/>
      <c r="AG46" s="48">
        <v>3187.59</v>
      </c>
      <c r="AH46" s="48">
        <v>0</v>
      </c>
      <c r="AI46" s="48">
        <v>472.12</v>
      </c>
      <c r="AJ46" s="48">
        <v>406.45</v>
      </c>
      <c r="AK46" s="48">
        <v>14446.11</v>
      </c>
      <c r="AL46" s="48">
        <v>74616.67</v>
      </c>
      <c r="AN46"/>
      <c r="AO46"/>
      <c r="AP46" t="str">
        <f t="shared" si="9"/>
        <v>19404</v>
      </c>
      <c r="AQ46" s="481">
        <f t="shared" si="10"/>
        <v>93128.94</v>
      </c>
    </row>
    <row r="47" spans="1:43">
      <c r="A47" s="217">
        <v>40</v>
      </c>
      <c r="B47" s="74" t="s">
        <v>113</v>
      </c>
      <c r="C47" s="74" t="s">
        <v>1409</v>
      </c>
      <c r="D47" s="186">
        <v>0</v>
      </c>
      <c r="E47" s="188">
        <v>891396.82</v>
      </c>
      <c r="F47" s="189">
        <f t="shared" si="11"/>
        <v>891396.82</v>
      </c>
      <c r="G47" s="200">
        <v>832821.71</v>
      </c>
      <c r="H47" s="197">
        <v>58575.109999999986</v>
      </c>
      <c r="I47" s="188">
        <v>1242519.06</v>
      </c>
      <c r="J47" s="189">
        <f t="shared" si="12"/>
        <v>1301094.17</v>
      </c>
      <c r="K47" s="225">
        <v>1148137.96</v>
      </c>
      <c r="L47" s="189">
        <v>152956.20999999996</v>
      </c>
      <c r="M47" s="219">
        <v>1212526.2400000002</v>
      </c>
      <c r="N47" s="189">
        <f t="shared" si="13"/>
        <v>1365482.4500000002</v>
      </c>
      <c r="O47" s="225">
        <v>1206593.4100000001</v>
      </c>
      <c r="P47" s="303">
        <v>158889.04000000004</v>
      </c>
      <c r="Q47" s="219">
        <v>1341661.8700000001</v>
      </c>
      <c r="R47" s="189">
        <f t="shared" si="14"/>
        <v>1500550.9100000001</v>
      </c>
      <c r="S47" s="225">
        <v>1351240.7200000002</v>
      </c>
      <c r="T47" s="303">
        <v>149310.18999999994</v>
      </c>
      <c r="U47" s="303">
        <v>1377922.81</v>
      </c>
      <c r="V47" s="189">
        <f t="shared" si="15"/>
        <v>1527233</v>
      </c>
      <c r="W47" s="225"/>
      <c r="X47" s="303">
        <f t="shared" si="6"/>
        <v>1527233</v>
      </c>
      <c r="Y47" s="303"/>
      <c r="AA47" s="67">
        <f t="shared" si="7"/>
        <v>0</v>
      </c>
      <c r="AC47" t="s">
        <v>113</v>
      </c>
      <c r="AD47" t="s">
        <v>1410</v>
      </c>
      <c r="AE47" s="481">
        <f t="shared" si="16"/>
        <v>1377922.81</v>
      </c>
      <c r="AF47"/>
      <c r="AG47" s="48">
        <v>80957.45</v>
      </c>
      <c r="AH47" s="48">
        <v>35704.39</v>
      </c>
      <c r="AI47" s="48">
        <v>45965.94</v>
      </c>
      <c r="AJ47" s="48">
        <v>5274.61</v>
      </c>
      <c r="AK47" s="48">
        <v>199540.56</v>
      </c>
      <c r="AL47" s="48">
        <v>1010479.86</v>
      </c>
      <c r="AN47"/>
      <c r="AO47"/>
      <c r="AP47" t="str">
        <f t="shared" si="9"/>
        <v>27400</v>
      </c>
      <c r="AQ47" s="481">
        <f t="shared" si="10"/>
        <v>1377922.81</v>
      </c>
    </row>
    <row r="48" spans="1:43">
      <c r="A48" s="217">
        <v>41</v>
      </c>
      <c r="B48" s="74" t="s">
        <v>115</v>
      </c>
      <c r="C48" s="74" t="s">
        <v>1411</v>
      </c>
      <c r="D48" s="186">
        <v>4751.7000000000044</v>
      </c>
      <c r="E48" s="188">
        <v>35094.47</v>
      </c>
      <c r="F48" s="189">
        <f t="shared" si="11"/>
        <v>39846.170000000006</v>
      </c>
      <c r="G48" s="200">
        <v>28194.46</v>
      </c>
      <c r="H48" s="197">
        <v>11651.710000000006</v>
      </c>
      <c r="I48" s="188">
        <v>50951.29</v>
      </c>
      <c r="J48" s="189">
        <f t="shared" si="12"/>
        <v>62603.000000000007</v>
      </c>
      <c r="K48" s="225">
        <v>44570.450000000004</v>
      </c>
      <c r="L48" s="189">
        <v>18032.550000000003</v>
      </c>
      <c r="M48" s="219">
        <v>50527.44</v>
      </c>
      <c r="N48" s="189">
        <f t="shared" si="13"/>
        <v>68559.990000000005</v>
      </c>
      <c r="O48" s="225">
        <v>39006.049999999996</v>
      </c>
      <c r="P48" s="303">
        <v>29553.94000000001</v>
      </c>
      <c r="Q48" s="219">
        <v>58456.249999999993</v>
      </c>
      <c r="R48" s="189">
        <f t="shared" si="14"/>
        <v>88010.19</v>
      </c>
      <c r="S48" s="225">
        <v>45593.3</v>
      </c>
      <c r="T48" s="303">
        <v>42416.89</v>
      </c>
      <c r="U48" s="303">
        <v>57217.33</v>
      </c>
      <c r="V48" s="189">
        <f t="shared" si="15"/>
        <v>99634.22</v>
      </c>
      <c r="W48" s="225"/>
      <c r="X48" s="303">
        <f t="shared" si="6"/>
        <v>99634.22</v>
      </c>
      <c r="Y48" s="303"/>
      <c r="AA48" s="67">
        <f t="shared" si="7"/>
        <v>0</v>
      </c>
      <c r="AC48" t="s">
        <v>115</v>
      </c>
      <c r="AD48" t="s">
        <v>1412</v>
      </c>
      <c r="AE48" s="481">
        <f t="shared" si="16"/>
        <v>57217.33</v>
      </c>
      <c r="AF48"/>
      <c r="AG48" s="48">
        <v>1895.79</v>
      </c>
      <c r="AH48" s="48">
        <v>0</v>
      </c>
      <c r="AI48" s="48">
        <v>0</v>
      </c>
      <c r="AJ48" s="48">
        <v>225.47</v>
      </c>
      <c r="AK48" s="48">
        <v>6564.74</v>
      </c>
      <c r="AL48" s="48">
        <v>48531.33</v>
      </c>
      <c r="AN48"/>
      <c r="AO48"/>
      <c r="AP48" t="str">
        <f t="shared" si="9"/>
        <v>38300</v>
      </c>
      <c r="AQ48" s="481">
        <f t="shared" si="10"/>
        <v>57217.33</v>
      </c>
    </row>
    <row r="49" spans="1:43">
      <c r="A49" s="217">
        <v>42</v>
      </c>
      <c r="B49" s="74" t="s">
        <v>117</v>
      </c>
      <c r="C49" s="74" t="s">
        <v>1413</v>
      </c>
      <c r="D49" s="186">
        <v>11897.199999999997</v>
      </c>
      <c r="E49" s="188">
        <v>102199.89</v>
      </c>
      <c r="F49" s="189">
        <f t="shared" si="11"/>
        <v>114097.09</v>
      </c>
      <c r="G49" s="200">
        <v>35828.61</v>
      </c>
      <c r="H49" s="197">
        <v>78268.479999999996</v>
      </c>
      <c r="I49" s="188">
        <v>153668.64000000001</v>
      </c>
      <c r="J49" s="189">
        <f t="shared" si="12"/>
        <v>231937.12</v>
      </c>
      <c r="K49" s="225">
        <v>183718.14000000004</v>
      </c>
      <c r="L49" s="189">
        <v>48218.979999999952</v>
      </c>
      <c r="M49" s="219">
        <v>152422.78999999998</v>
      </c>
      <c r="N49" s="189">
        <f t="shared" si="13"/>
        <v>200641.76999999993</v>
      </c>
      <c r="O49" s="225">
        <v>98883.98</v>
      </c>
      <c r="P49" s="303">
        <v>101757.78999999994</v>
      </c>
      <c r="Q49" s="219">
        <v>166190.19</v>
      </c>
      <c r="R49" s="189">
        <f t="shared" si="14"/>
        <v>267947.97999999992</v>
      </c>
      <c r="S49" s="225">
        <v>154949.21999999997</v>
      </c>
      <c r="T49" s="303">
        <v>112998.75999999995</v>
      </c>
      <c r="U49" s="303">
        <v>163628.17000000001</v>
      </c>
      <c r="V49" s="189">
        <f t="shared" si="15"/>
        <v>276626.92999999993</v>
      </c>
      <c r="W49" s="225"/>
      <c r="X49" s="303">
        <f t="shared" si="6"/>
        <v>276626.92999999993</v>
      </c>
      <c r="Y49" s="303"/>
      <c r="AA49" s="67">
        <f t="shared" si="7"/>
        <v>0</v>
      </c>
      <c r="AC49" t="s">
        <v>117</v>
      </c>
      <c r="AD49" t="s">
        <v>1414</v>
      </c>
      <c r="AE49" s="481">
        <f t="shared" si="16"/>
        <v>163628.17000000001</v>
      </c>
      <c r="AF49"/>
      <c r="AG49" s="48">
        <v>7823.92</v>
      </c>
      <c r="AH49" s="48">
        <v>6530.49</v>
      </c>
      <c r="AI49" s="48">
        <v>5866.83</v>
      </c>
      <c r="AJ49" s="48">
        <v>628.27</v>
      </c>
      <c r="AK49" s="48">
        <v>22735.81</v>
      </c>
      <c r="AL49" s="48">
        <v>120042.85</v>
      </c>
      <c r="AN49"/>
      <c r="AO49"/>
      <c r="AP49" t="str">
        <f t="shared" si="9"/>
        <v>36250</v>
      </c>
      <c r="AQ49" s="481">
        <f t="shared" si="10"/>
        <v>163628.17000000001</v>
      </c>
    </row>
    <row r="50" spans="1:43">
      <c r="A50" s="217">
        <v>43</v>
      </c>
      <c r="B50" s="74" t="s">
        <v>119</v>
      </c>
      <c r="C50" s="74" t="s">
        <v>1415</v>
      </c>
      <c r="D50" s="186">
        <v>984.3700000000008</v>
      </c>
      <c r="E50" s="188">
        <v>17459</v>
      </c>
      <c r="F50" s="189">
        <f t="shared" si="11"/>
        <v>18443.370000000003</v>
      </c>
      <c r="G50" s="200">
        <v>15464.09</v>
      </c>
      <c r="H50" s="197">
        <v>2979.2800000000025</v>
      </c>
      <c r="I50" s="188">
        <v>25138.350000000002</v>
      </c>
      <c r="J50" s="189">
        <f t="shared" si="12"/>
        <v>28117.630000000005</v>
      </c>
      <c r="K50" s="225">
        <v>23217.45</v>
      </c>
      <c r="L50" s="189">
        <v>4900.1800000000039</v>
      </c>
      <c r="M50" s="219">
        <v>25897.57</v>
      </c>
      <c r="N50" s="189">
        <f t="shared" si="13"/>
        <v>30797.750000000004</v>
      </c>
      <c r="O50" s="225">
        <v>25286.639999999999</v>
      </c>
      <c r="P50" s="303">
        <v>5511.1100000000042</v>
      </c>
      <c r="Q50" s="219">
        <v>26364.93</v>
      </c>
      <c r="R50" s="189">
        <f t="shared" si="14"/>
        <v>31876.040000000005</v>
      </c>
      <c r="S50" s="225">
        <v>21383.279999999999</v>
      </c>
      <c r="T50" s="303">
        <v>10492.760000000006</v>
      </c>
      <c r="U50" s="303">
        <v>25360.639999999999</v>
      </c>
      <c r="V50" s="189">
        <f t="shared" si="15"/>
        <v>35853.400000000009</v>
      </c>
      <c r="W50" s="225"/>
      <c r="X50" s="303">
        <f t="shared" si="6"/>
        <v>35853.400000000009</v>
      </c>
      <c r="Y50" s="303"/>
      <c r="AA50" s="67">
        <f t="shared" si="7"/>
        <v>0</v>
      </c>
      <c r="AC50" t="s">
        <v>119</v>
      </c>
      <c r="AD50" t="s">
        <v>1416</v>
      </c>
      <c r="AE50" s="481">
        <f t="shared" si="16"/>
        <v>25360.639999999999</v>
      </c>
      <c r="AF50"/>
      <c r="AG50" s="48">
        <v>461.82</v>
      </c>
      <c r="AH50" s="48">
        <v>0</v>
      </c>
      <c r="AI50" s="48">
        <v>0</v>
      </c>
      <c r="AJ50" s="48">
        <v>0</v>
      </c>
      <c r="AK50" s="48">
        <v>2427.36</v>
      </c>
      <c r="AL50" s="48">
        <v>22471.46</v>
      </c>
      <c r="AN50"/>
      <c r="AO50"/>
      <c r="AP50" t="str">
        <f t="shared" si="9"/>
        <v>38306</v>
      </c>
      <c r="AQ50" s="481">
        <f t="shared" si="10"/>
        <v>25360.639999999999</v>
      </c>
    </row>
    <row r="51" spans="1:43">
      <c r="A51" s="217">
        <v>44</v>
      </c>
      <c r="B51" s="74" t="s">
        <v>121</v>
      </c>
      <c r="C51" s="74" t="s">
        <v>1417</v>
      </c>
      <c r="D51" s="186">
        <v>0</v>
      </c>
      <c r="E51" s="188">
        <v>13367.109999999999</v>
      </c>
      <c r="F51" s="189">
        <f t="shared" si="11"/>
        <v>13367.109999999999</v>
      </c>
      <c r="G51" s="200">
        <v>11624.79</v>
      </c>
      <c r="H51" s="197">
        <v>1742.3199999999979</v>
      </c>
      <c r="I51" s="188">
        <v>20196.390000000003</v>
      </c>
      <c r="J51" s="189">
        <f t="shared" si="12"/>
        <v>21938.71</v>
      </c>
      <c r="K51" s="225">
        <v>17920.849999999999</v>
      </c>
      <c r="L51" s="189">
        <v>4017.8600000000006</v>
      </c>
      <c r="M51" s="219">
        <v>20660.95</v>
      </c>
      <c r="N51" s="189">
        <f t="shared" si="13"/>
        <v>24678.81</v>
      </c>
      <c r="O51" s="225">
        <v>25886.84</v>
      </c>
      <c r="P51" s="303">
        <v>0</v>
      </c>
      <c r="Q51" s="219">
        <v>23738.09</v>
      </c>
      <c r="R51" s="189">
        <f t="shared" si="14"/>
        <v>23738.09</v>
      </c>
      <c r="S51" s="225">
        <v>24042.19</v>
      </c>
      <c r="T51" s="303">
        <v>0</v>
      </c>
      <c r="U51" s="303">
        <v>22489.99</v>
      </c>
      <c r="V51" s="189">
        <f t="shared" si="15"/>
        <v>22489.99</v>
      </c>
      <c r="W51" s="225"/>
      <c r="X51" s="303">
        <f t="shared" si="6"/>
        <v>22489.99</v>
      </c>
      <c r="Y51" s="303"/>
      <c r="AA51" s="67">
        <f t="shared" si="7"/>
        <v>0</v>
      </c>
      <c r="AC51" t="s">
        <v>121</v>
      </c>
      <c r="AD51" t="s">
        <v>1418</v>
      </c>
      <c r="AE51" s="481">
        <f t="shared" si="16"/>
        <v>22489.99</v>
      </c>
      <c r="AF51"/>
      <c r="AG51" s="48">
        <v>943.88</v>
      </c>
      <c r="AH51" s="48">
        <v>572.23</v>
      </c>
      <c r="AI51" s="48">
        <v>0</v>
      </c>
      <c r="AJ51" s="48">
        <v>0</v>
      </c>
      <c r="AK51" s="48">
        <v>1541.67</v>
      </c>
      <c r="AL51" s="48">
        <v>19432.210000000003</v>
      </c>
      <c r="AN51"/>
      <c r="AO51"/>
      <c r="AP51" t="str">
        <f t="shared" si="9"/>
        <v>33206</v>
      </c>
      <c r="AQ51" s="481">
        <f t="shared" si="10"/>
        <v>22489.99</v>
      </c>
    </row>
    <row r="52" spans="1:43">
      <c r="A52" s="217">
        <v>45</v>
      </c>
      <c r="B52" s="74" t="s">
        <v>123</v>
      </c>
      <c r="C52" s="74" t="s">
        <v>1419</v>
      </c>
      <c r="D52" s="186">
        <v>3268.5</v>
      </c>
      <c r="E52" s="188">
        <v>52722.74</v>
      </c>
      <c r="F52" s="189">
        <f t="shared" si="11"/>
        <v>55991.24</v>
      </c>
      <c r="G52" s="200">
        <v>47908.07</v>
      </c>
      <c r="H52" s="197">
        <v>8083.1699999999983</v>
      </c>
      <c r="I52" s="188">
        <v>74875.400000000009</v>
      </c>
      <c r="J52" s="189">
        <f t="shared" si="12"/>
        <v>82958.570000000007</v>
      </c>
      <c r="K52" s="225">
        <v>73374.509999999995</v>
      </c>
      <c r="L52" s="189">
        <v>9584.0600000000122</v>
      </c>
      <c r="M52" s="219">
        <v>78946.359999999986</v>
      </c>
      <c r="N52" s="189">
        <f t="shared" si="13"/>
        <v>88530.42</v>
      </c>
      <c r="O52" s="225">
        <v>69385.84</v>
      </c>
      <c r="P52" s="303">
        <v>19144.580000000002</v>
      </c>
      <c r="Q52" s="219">
        <v>88935.75</v>
      </c>
      <c r="R52" s="189">
        <f t="shared" si="14"/>
        <v>108080.33</v>
      </c>
      <c r="S52" s="225">
        <v>34844.26</v>
      </c>
      <c r="T52" s="303">
        <v>73236.070000000007</v>
      </c>
      <c r="U52" s="303">
        <v>89785.7</v>
      </c>
      <c r="V52" s="189">
        <f t="shared" si="15"/>
        <v>163021.77000000002</v>
      </c>
      <c r="W52" s="225"/>
      <c r="X52" s="303">
        <f t="shared" si="6"/>
        <v>163021.77000000002</v>
      </c>
      <c r="Y52" s="303"/>
      <c r="AA52" s="67">
        <f t="shared" si="7"/>
        <v>0</v>
      </c>
      <c r="AC52" t="s">
        <v>123</v>
      </c>
      <c r="AD52" t="s">
        <v>1420</v>
      </c>
      <c r="AE52" s="481">
        <f t="shared" si="16"/>
        <v>89785.7</v>
      </c>
      <c r="AF52"/>
      <c r="AG52" s="48">
        <v>4034.57</v>
      </c>
      <c r="AH52" s="48">
        <v>3333.56</v>
      </c>
      <c r="AI52" s="48">
        <v>3556.2</v>
      </c>
      <c r="AJ52" s="48">
        <v>330.95</v>
      </c>
      <c r="AK52" s="48">
        <v>11289.05</v>
      </c>
      <c r="AL52" s="48">
        <v>67241.37</v>
      </c>
      <c r="AN52"/>
      <c r="AO52"/>
      <c r="AP52" t="str">
        <f t="shared" si="9"/>
        <v>36400</v>
      </c>
      <c r="AQ52" s="481">
        <f t="shared" si="10"/>
        <v>89785.7</v>
      </c>
    </row>
    <row r="53" spans="1:43">
      <c r="A53" s="217">
        <v>46</v>
      </c>
      <c r="B53" s="74" t="s">
        <v>125</v>
      </c>
      <c r="C53" s="74" t="s">
        <v>1421</v>
      </c>
      <c r="D53" s="186">
        <v>11476.130000000012</v>
      </c>
      <c r="E53" s="188">
        <v>112449.19</v>
      </c>
      <c r="F53" s="189">
        <f t="shared" si="11"/>
        <v>123925.32</v>
      </c>
      <c r="G53" s="200">
        <v>133857.32999999999</v>
      </c>
      <c r="H53" s="197">
        <v>0</v>
      </c>
      <c r="I53" s="188">
        <v>150618.21</v>
      </c>
      <c r="J53" s="189">
        <f t="shared" si="12"/>
        <v>150618.21</v>
      </c>
      <c r="K53" s="225">
        <v>152633.56999999995</v>
      </c>
      <c r="L53" s="189">
        <v>0</v>
      </c>
      <c r="M53" s="219">
        <v>152899.47</v>
      </c>
      <c r="N53" s="189">
        <f t="shared" si="13"/>
        <v>152899.47</v>
      </c>
      <c r="O53" s="225">
        <v>161166.07</v>
      </c>
      <c r="P53" s="303">
        <v>0</v>
      </c>
      <c r="Q53" s="219">
        <v>175770.70000000004</v>
      </c>
      <c r="R53" s="189">
        <f t="shared" si="14"/>
        <v>175770.70000000004</v>
      </c>
      <c r="S53" s="225">
        <v>185235.1</v>
      </c>
      <c r="T53" s="303">
        <v>0</v>
      </c>
      <c r="U53" s="303">
        <v>179720.37</v>
      </c>
      <c r="V53" s="189">
        <f t="shared" si="15"/>
        <v>179720.37</v>
      </c>
      <c r="W53" s="225"/>
      <c r="X53" s="303">
        <f t="shared" si="6"/>
        <v>179720.37</v>
      </c>
      <c r="Y53" s="303"/>
      <c r="AA53" s="67">
        <f t="shared" si="7"/>
        <v>0</v>
      </c>
      <c r="AC53" t="s">
        <v>125</v>
      </c>
      <c r="AD53" t="s">
        <v>1422</v>
      </c>
      <c r="AE53" s="481">
        <f t="shared" si="16"/>
        <v>179720.37</v>
      </c>
      <c r="AF53"/>
      <c r="AG53" s="48">
        <v>9978.98</v>
      </c>
      <c r="AH53" s="48">
        <v>5287.04</v>
      </c>
      <c r="AI53" s="48">
        <v>296.02</v>
      </c>
      <c r="AJ53" s="48">
        <v>722.42</v>
      </c>
      <c r="AK53" s="48">
        <v>27316.28</v>
      </c>
      <c r="AL53" s="48">
        <v>136119.63</v>
      </c>
      <c r="AN53"/>
      <c r="AO53"/>
      <c r="AP53" t="str">
        <f t="shared" si="9"/>
        <v>33115</v>
      </c>
      <c r="AQ53" s="481">
        <f t="shared" si="10"/>
        <v>179720.37</v>
      </c>
    </row>
    <row r="54" spans="1:43">
      <c r="A54" s="217">
        <v>47</v>
      </c>
      <c r="B54" s="74" t="s">
        <v>127</v>
      </c>
      <c r="C54" s="74" t="s">
        <v>1423</v>
      </c>
      <c r="D54" s="186">
        <v>1378.5099999999984</v>
      </c>
      <c r="E54" s="188">
        <v>40776.15</v>
      </c>
      <c r="F54" s="189">
        <f t="shared" si="11"/>
        <v>42154.66</v>
      </c>
      <c r="G54" s="200">
        <v>37843.620000000003</v>
      </c>
      <c r="H54" s="197">
        <v>4311.0400000000009</v>
      </c>
      <c r="I54" s="188">
        <v>60340.060000000012</v>
      </c>
      <c r="J54" s="189">
        <f t="shared" si="12"/>
        <v>64651.100000000013</v>
      </c>
      <c r="K54" s="225">
        <v>58324.669999999991</v>
      </c>
      <c r="L54" s="189">
        <v>6326.4300000000221</v>
      </c>
      <c r="M54" s="219">
        <v>61316.3</v>
      </c>
      <c r="N54" s="189">
        <f t="shared" si="13"/>
        <v>67642.730000000025</v>
      </c>
      <c r="O54" s="225">
        <v>58344.549999999996</v>
      </c>
      <c r="P54" s="303">
        <v>9298.1800000000294</v>
      </c>
      <c r="Q54" s="219">
        <v>67374.430000000008</v>
      </c>
      <c r="R54" s="189">
        <f t="shared" si="14"/>
        <v>76672.610000000044</v>
      </c>
      <c r="S54" s="225">
        <v>62220.29</v>
      </c>
      <c r="T54" s="303">
        <v>14452.320000000043</v>
      </c>
      <c r="U54" s="303">
        <v>66578.149999999994</v>
      </c>
      <c r="V54" s="189">
        <f t="shared" si="15"/>
        <v>81030.47000000003</v>
      </c>
      <c r="W54" s="225"/>
      <c r="X54" s="303">
        <f t="shared" si="6"/>
        <v>81030.47000000003</v>
      </c>
      <c r="Y54" s="303"/>
      <c r="AA54" s="67">
        <f t="shared" si="7"/>
        <v>0</v>
      </c>
      <c r="AC54" t="s">
        <v>127</v>
      </c>
      <c r="AD54" t="s">
        <v>1424</v>
      </c>
      <c r="AE54" s="481">
        <f t="shared" si="16"/>
        <v>66578.149999999994</v>
      </c>
      <c r="AF54"/>
      <c r="AG54" s="48">
        <v>3377.46</v>
      </c>
      <c r="AH54" s="48">
        <v>2308.44</v>
      </c>
      <c r="AI54" s="48">
        <v>360.1</v>
      </c>
      <c r="AJ54" s="48">
        <v>233.1</v>
      </c>
      <c r="AK54" s="48">
        <v>8458.7099999999991</v>
      </c>
      <c r="AL54" s="48">
        <v>51840.34</v>
      </c>
      <c r="AN54"/>
      <c r="AO54"/>
      <c r="AP54" t="str">
        <f t="shared" si="9"/>
        <v>29011</v>
      </c>
      <c r="AQ54" s="481">
        <f t="shared" si="10"/>
        <v>66578.149999999994</v>
      </c>
    </row>
    <row r="55" spans="1:43">
      <c r="A55" s="217">
        <v>48</v>
      </c>
      <c r="B55" s="74" t="s">
        <v>129</v>
      </c>
      <c r="C55" s="74" t="s">
        <v>1425</v>
      </c>
      <c r="D55" s="186">
        <v>0</v>
      </c>
      <c r="E55" s="188">
        <v>31209.13</v>
      </c>
      <c r="F55" s="189">
        <f t="shared" si="11"/>
        <v>31209.13</v>
      </c>
      <c r="G55" s="200">
        <v>28561.89</v>
      </c>
      <c r="H55" s="197">
        <v>2647.2400000000016</v>
      </c>
      <c r="I55" s="188">
        <v>46495.96</v>
      </c>
      <c r="J55" s="189">
        <f t="shared" si="12"/>
        <v>49143.199999999997</v>
      </c>
      <c r="K55" s="225">
        <v>53129.17</v>
      </c>
      <c r="L55" s="189">
        <v>0</v>
      </c>
      <c r="M55" s="219">
        <v>47335.899999999994</v>
      </c>
      <c r="N55" s="189">
        <f t="shared" si="13"/>
        <v>47335.899999999994</v>
      </c>
      <c r="O55" s="225">
        <v>50661.11</v>
      </c>
      <c r="P55" s="303">
        <v>0</v>
      </c>
      <c r="Q55" s="219">
        <v>47456.54</v>
      </c>
      <c r="R55" s="189">
        <f t="shared" si="14"/>
        <v>47456.54</v>
      </c>
      <c r="S55" s="225">
        <v>46638.38</v>
      </c>
      <c r="T55" s="303">
        <v>818.16000000000349</v>
      </c>
      <c r="U55" s="303">
        <v>50003.39</v>
      </c>
      <c r="V55" s="189">
        <f t="shared" si="15"/>
        <v>50821.55</v>
      </c>
      <c r="W55" s="225"/>
      <c r="X55" s="303">
        <f t="shared" si="6"/>
        <v>50821.55</v>
      </c>
      <c r="Y55" s="303"/>
      <c r="AA55" s="67">
        <f t="shared" si="7"/>
        <v>0</v>
      </c>
      <c r="AC55" t="s">
        <v>129</v>
      </c>
      <c r="AD55" t="s">
        <v>1426</v>
      </c>
      <c r="AE55" s="481">
        <f t="shared" si="16"/>
        <v>50003.39</v>
      </c>
      <c r="AF55"/>
      <c r="AG55" s="48">
        <v>1295.07</v>
      </c>
      <c r="AH55" s="48">
        <v>0</v>
      </c>
      <c r="AI55" s="48">
        <v>790.38</v>
      </c>
      <c r="AJ55" s="48">
        <v>207.01</v>
      </c>
      <c r="AK55" s="48">
        <v>5161.8900000000003</v>
      </c>
      <c r="AL55" s="48">
        <v>42549.04</v>
      </c>
      <c r="AN55"/>
      <c r="AO55"/>
      <c r="AP55" t="str">
        <f t="shared" si="9"/>
        <v>29317</v>
      </c>
      <c r="AQ55" s="481">
        <f t="shared" si="10"/>
        <v>50003.39</v>
      </c>
    </row>
    <row r="56" spans="1:43">
      <c r="A56" s="217">
        <v>49</v>
      </c>
      <c r="B56" s="74" t="s">
        <v>131</v>
      </c>
      <c r="C56" s="74" t="s">
        <v>1427</v>
      </c>
      <c r="D56" s="186">
        <v>817.57000000000062</v>
      </c>
      <c r="E56" s="188">
        <v>12740.990000000002</v>
      </c>
      <c r="F56" s="189">
        <f t="shared" si="11"/>
        <v>13558.560000000001</v>
      </c>
      <c r="G56" s="200">
        <v>11702.78</v>
      </c>
      <c r="H56" s="197">
        <v>1855.7800000000007</v>
      </c>
      <c r="I56" s="188">
        <v>17487.28</v>
      </c>
      <c r="J56" s="189">
        <f t="shared" si="12"/>
        <v>19343.059999999998</v>
      </c>
      <c r="K56" s="225">
        <v>5100.37</v>
      </c>
      <c r="L56" s="189">
        <v>14242.689999999999</v>
      </c>
      <c r="M56" s="219">
        <v>17653.89</v>
      </c>
      <c r="N56" s="189">
        <f t="shared" si="13"/>
        <v>31896.579999999998</v>
      </c>
      <c r="O56" s="225">
        <v>19940.09</v>
      </c>
      <c r="P56" s="303">
        <v>11956.489999999998</v>
      </c>
      <c r="Q56" s="219">
        <v>20557.11</v>
      </c>
      <c r="R56" s="189">
        <f t="shared" si="14"/>
        <v>32513.599999999999</v>
      </c>
      <c r="S56" s="225">
        <v>8177.25</v>
      </c>
      <c r="T56" s="303">
        <v>24336.35</v>
      </c>
      <c r="U56" s="303">
        <v>19691.149999999998</v>
      </c>
      <c r="V56" s="189">
        <f t="shared" si="15"/>
        <v>44027.5</v>
      </c>
      <c r="W56" s="225"/>
      <c r="X56" s="303">
        <f t="shared" si="6"/>
        <v>44027.5</v>
      </c>
      <c r="Y56" s="303"/>
      <c r="AA56" s="67">
        <f t="shared" si="7"/>
        <v>0</v>
      </c>
      <c r="AC56" t="s">
        <v>131</v>
      </c>
      <c r="AD56" t="s">
        <v>1428</v>
      </c>
      <c r="AE56" s="481">
        <f t="shared" si="16"/>
        <v>19691.149999999998</v>
      </c>
      <c r="AF56"/>
      <c r="AG56" s="48">
        <v>679.89</v>
      </c>
      <c r="AH56" s="48">
        <v>0</v>
      </c>
      <c r="AI56" s="48">
        <v>16.23</v>
      </c>
      <c r="AJ56" s="48">
        <v>72.260000000000005</v>
      </c>
      <c r="AK56" s="48">
        <v>2227.83</v>
      </c>
      <c r="AL56" s="48">
        <v>16694.939999999999</v>
      </c>
      <c r="AN56"/>
      <c r="AO56"/>
      <c r="AP56" t="str">
        <f t="shared" si="9"/>
        <v>14099</v>
      </c>
      <c r="AQ56" s="481">
        <f t="shared" si="10"/>
        <v>19691.149999999998</v>
      </c>
    </row>
    <row r="57" spans="1:43">
      <c r="A57" s="217">
        <v>50</v>
      </c>
      <c r="B57" s="74" t="s">
        <v>133</v>
      </c>
      <c r="C57" s="74" t="s">
        <v>1429</v>
      </c>
      <c r="D57" s="186">
        <v>2501.0199999999995</v>
      </c>
      <c r="E57" s="188">
        <v>18133.260000000002</v>
      </c>
      <c r="F57" s="189">
        <f t="shared" si="11"/>
        <v>20634.280000000002</v>
      </c>
      <c r="G57" s="200">
        <v>15545.38</v>
      </c>
      <c r="H57" s="197">
        <v>5088.9000000000033</v>
      </c>
      <c r="I57" s="188">
        <v>26472.82</v>
      </c>
      <c r="J57" s="189">
        <f t="shared" si="12"/>
        <v>31561.72</v>
      </c>
      <c r="K57" s="225">
        <v>34519.26</v>
      </c>
      <c r="L57" s="189">
        <v>0</v>
      </c>
      <c r="M57" s="219">
        <v>26333.85</v>
      </c>
      <c r="N57" s="189">
        <f t="shared" si="13"/>
        <v>26333.85</v>
      </c>
      <c r="O57" s="225">
        <v>25954.29</v>
      </c>
      <c r="P57" s="303">
        <v>379.55999999999767</v>
      </c>
      <c r="Q57" s="219">
        <v>27724.01</v>
      </c>
      <c r="R57" s="189">
        <f t="shared" si="14"/>
        <v>28103.569999999996</v>
      </c>
      <c r="S57" s="225">
        <v>29601.75</v>
      </c>
      <c r="T57" s="303">
        <v>0</v>
      </c>
      <c r="U57" s="303">
        <v>27656.36</v>
      </c>
      <c r="V57" s="189">
        <f t="shared" si="15"/>
        <v>27656.36</v>
      </c>
      <c r="W57" s="225"/>
      <c r="X57" s="303">
        <f t="shared" si="6"/>
        <v>27656.36</v>
      </c>
      <c r="Y57" s="303"/>
      <c r="AA57" s="67">
        <f t="shared" si="7"/>
        <v>0</v>
      </c>
      <c r="AC57" t="s">
        <v>133</v>
      </c>
      <c r="AD57" t="s">
        <v>1430</v>
      </c>
      <c r="AE57" s="481">
        <f t="shared" si="16"/>
        <v>27656.36</v>
      </c>
      <c r="AF57"/>
      <c r="AG57" s="48">
        <v>855.39</v>
      </c>
      <c r="AH57" s="48">
        <v>0</v>
      </c>
      <c r="AI57" s="48">
        <v>0</v>
      </c>
      <c r="AJ57" s="48">
        <v>85.55</v>
      </c>
      <c r="AK57" s="48">
        <v>2705.37</v>
      </c>
      <c r="AL57" s="48">
        <v>24010.05</v>
      </c>
      <c r="AN57"/>
      <c r="AO57"/>
      <c r="AP57" t="str">
        <f t="shared" si="9"/>
        <v>13151</v>
      </c>
      <c r="AQ57" s="481">
        <f t="shared" si="10"/>
        <v>27656.36</v>
      </c>
    </row>
    <row r="58" spans="1:43">
      <c r="A58" s="217">
        <v>51</v>
      </c>
      <c r="B58" s="74" t="s">
        <v>135</v>
      </c>
      <c r="C58" s="74" t="s">
        <v>1431</v>
      </c>
      <c r="D58" s="186">
        <v>30922.139999999996</v>
      </c>
      <c r="E58" s="188">
        <v>70205.2</v>
      </c>
      <c r="F58" s="189">
        <f t="shared" si="11"/>
        <v>101127.34</v>
      </c>
      <c r="G58" s="200">
        <v>82692.73</v>
      </c>
      <c r="H58" s="197">
        <v>18434.61</v>
      </c>
      <c r="I58" s="188">
        <v>96270.799999999988</v>
      </c>
      <c r="J58" s="189">
        <f t="shared" si="12"/>
        <v>114705.40999999999</v>
      </c>
      <c r="K58" s="225">
        <v>83758.91</v>
      </c>
      <c r="L58" s="189">
        <v>30946.499999999985</v>
      </c>
      <c r="M58" s="219">
        <v>96525.689999999973</v>
      </c>
      <c r="N58" s="189">
        <f t="shared" si="13"/>
        <v>127472.18999999996</v>
      </c>
      <c r="O58" s="225">
        <v>94067.22</v>
      </c>
      <c r="P58" s="303">
        <v>33404.969999999958</v>
      </c>
      <c r="Q58" s="219">
        <v>107589.47</v>
      </c>
      <c r="R58" s="189">
        <f t="shared" si="14"/>
        <v>140994.43999999994</v>
      </c>
      <c r="S58" s="225">
        <v>86656.42</v>
      </c>
      <c r="T58" s="303">
        <v>54338.019999999946</v>
      </c>
      <c r="U58" s="303">
        <v>114451.16</v>
      </c>
      <c r="V58" s="189">
        <f t="shared" si="15"/>
        <v>168789.17999999993</v>
      </c>
      <c r="W58" s="225"/>
      <c r="X58" s="303">
        <f t="shared" si="6"/>
        <v>168789.17999999993</v>
      </c>
      <c r="Y58" s="303"/>
      <c r="AA58" s="67">
        <f t="shared" si="7"/>
        <v>0</v>
      </c>
      <c r="AC58" t="s">
        <v>135</v>
      </c>
      <c r="AD58" t="s">
        <v>1432</v>
      </c>
      <c r="AE58" s="481">
        <f t="shared" si="16"/>
        <v>114451.16</v>
      </c>
      <c r="AF58"/>
      <c r="AG58" s="48">
        <v>4484.01</v>
      </c>
      <c r="AH58" s="48">
        <v>272.37</v>
      </c>
      <c r="AI58" s="48">
        <v>911.26</v>
      </c>
      <c r="AJ58" s="48">
        <v>487.58</v>
      </c>
      <c r="AK58" s="48">
        <v>17245.509999999998</v>
      </c>
      <c r="AL58" s="48">
        <v>91050.430000000008</v>
      </c>
      <c r="AN58"/>
      <c r="AO58"/>
      <c r="AP58" t="str">
        <f t="shared" si="9"/>
        <v>15204</v>
      </c>
      <c r="AQ58" s="481">
        <f t="shared" si="10"/>
        <v>114451.16</v>
      </c>
    </row>
    <row r="59" spans="1:43">
      <c r="A59" s="217">
        <v>52</v>
      </c>
      <c r="B59" s="74" t="s">
        <v>137</v>
      </c>
      <c r="C59" s="74" t="s">
        <v>1433</v>
      </c>
      <c r="D59" s="186">
        <v>1793.3700000000008</v>
      </c>
      <c r="E59" s="188">
        <v>20622.54</v>
      </c>
      <c r="F59" s="189">
        <f t="shared" si="11"/>
        <v>22415.910000000003</v>
      </c>
      <c r="G59" s="200">
        <v>21496.1</v>
      </c>
      <c r="H59" s="197">
        <v>919.81000000000495</v>
      </c>
      <c r="I59" s="188">
        <v>27809.940000000002</v>
      </c>
      <c r="J59" s="189">
        <f t="shared" si="12"/>
        <v>28729.750000000007</v>
      </c>
      <c r="K59" s="225">
        <v>36276.68</v>
      </c>
      <c r="L59" s="189">
        <v>0</v>
      </c>
      <c r="M59" s="219">
        <v>29173.39</v>
      </c>
      <c r="N59" s="189">
        <f t="shared" si="13"/>
        <v>29173.39</v>
      </c>
      <c r="O59" s="225">
        <v>61818.92</v>
      </c>
      <c r="P59" s="303">
        <v>0</v>
      </c>
      <c r="Q59" s="219">
        <v>31417.78</v>
      </c>
      <c r="R59" s="189">
        <f t="shared" si="14"/>
        <v>31417.78</v>
      </c>
      <c r="S59" s="225">
        <v>40132.94</v>
      </c>
      <c r="T59" s="303">
        <v>0</v>
      </c>
      <c r="U59" s="303">
        <v>31253.759999999998</v>
      </c>
      <c r="V59" s="189">
        <f t="shared" si="15"/>
        <v>31253.759999999998</v>
      </c>
      <c r="W59" s="225"/>
      <c r="X59" s="303">
        <f t="shared" si="6"/>
        <v>31253.759999999998</v>
      </c>
      <c r="Y59" s="303"/>
      <c r="AA59" s="67">
        <f t="shared" si="7"/>
        <v>0</v>
      </c>
      <c r="AC59" t="s">
        <v>137</v>
      </c>
      <c r="AD59" t="s">
        <v>1434</v>
      </c>
      <c r="AE59" s="481">
        <f t="shared" si="16"/>
        <v>31253.759999999998</v>
      </c>
      <c r="AF59"/>
      <c r="AG59" s="48">
        <v>1704.89</v>
      </c>
      <c r="AH59" s="48">
        <v>933.56</v>
      </c>
      <c r="AI59" s="48">
        <v>0</v>
      </c>
      <c r="AJ59" s="48">
        <v>151.91</v>
      </c>
      <c r="AK59" s="48">
        <v>3173.21</v>
      </c>
      <c r="AL59" s="48">
        <v>25290.19</v>
      </c>
      <c r="AN59"/>
      <c r="AO59"/>
      <c r="AP59" t="str">
        <f t="shared" si="9"/>
        <v>05313</v>
      </c>
      <c r="AQ59" s="481">
        <f t="shared" si="10"/>
        <v>31253.759999999998</v>
      </c>
    </row>
    <row r="60" spans="1:43">
      <c r="A60" s="217">
        <v>53</v>
      </c>
      <c r="B60" s="74" t="s">
        <v>139</v>
      </c>
      <c r="C60" s="74" t="s">
        <v>1435</v>
      </c>
      <c r="D60" s="186">
        <v>0</v>
      </c>
      <c r="E60" s="188">
        <v>12944.24</v>
      </c>
      <c r="F60" s="189">
        <f t="shared" si="11"/>
        <v>12944.24</v>
      </c>
      <c r="G60" s="200">
        <v>12535</v>
      </c>
      <c r="H60" s="197">
        <v>409.23999999999978</v>
      </c>
      <c r="I60" s="188">
        <v>19536.559999999998</v>
      </c>
      <c r="J60" s="189">
        <f t="shared" si="12"/>
        <v>19945.799999999996</v>
      </c>
      <c r="K60" s="225">
        <v>12525.32</v>
      </c>
      <c r="L60" s="189">
        <v>7420.4799999999959</v>
      </c>
      <c r="M60" s="219">
        <v>19877.34</v>
      </c>
      <c r="N60" s="189">
        <f t="shared" si="13"/>
        <v>27297.819999999996</v>
      </c>
      <c r="O60" s="225">
        <v>13814.609999999999</v>
      </c>
      <c r="P60" s="303">
        <v>13483.209999999997</v>
      </c>
      <c r="Q60" s="219">
        <v>21305.05</v>
      </c>
      <c r="R60" s="189">
        <f t="shared" si="14"/>
        <v>34788.259999999995</v>
      </c>
      <c r="S60" s="225">
        <v>14614.16</v>
      </c>
      <c r="T60" s="303">
        <v>20174.099999999995</v>
      </c>
      <c r="U60" s="303">
        <v>20553.490000000002</v>
      </c>
      <c r="V60" s="189">
        <f t="shared" si="15"/>
        <v>40727.589999999997</v>
      </c>
      <c r="W60" s="225"/>
      <c r="X60" s="303">
        <f t="shared" si="6"/>
        <v>40727.589999999997</v>
      </c>
      <c r="Y60" s="303"/>
      <c r="AA60" s="67">
        <f t="shared" si="7"/>
        <v>0</v>
      </c>
      <c r="AC60" t="s">
        <v>139</v>
      </c>
      <c r="AD60" t="s">
        <v>1436</v>
      </c>
      <c r="AE60" s="481">
        <f t="shared" si="16"/>
        <v>20553.490000000002</v>
      </c>
      <c r="AF60"/>
      <c r="AG60" s="48">
        <v>463.32</v>
      </c>
      <c r="AH60" s="48">
        <v>198.57</v>
      </c>
      <c r="AI60" s="48">
        <v>0</v>
      </c>
      <c r="AJ60" s="48">
        <v>37.6</v>
      </c>
      <c r="AK60" s="48">
        <v>1241.0999999999999</v>
      </c>
      <c r="AL60" s="48">
        <v>18612.900000000001</v>
      </c>
      <c r="AN60"/>
      <c r="AO60"/>
      <c r="AP60" t="str">
        <f t="shared" si="9"/>
        <v>22073</v>
      </c>
      <c r="AQ60" s="481">
        <f t="shared" si="10"/>
        <v>20553.490000000002</v>
      </c>
    </row>
    <row r="61" spans="1:43">
      <c r="A61" s="217">
        <v>54</v>
      </c>
      <c r="B61" s="74" t="s">
        <v>141</v>
      </c>
      <c r="C61" s="74" t="s">
        <v>1437</v>
      </c>
      <c r="D61" s="186">
        <v>0</v>
      </c>
      <c r="E61" s="188">
        <v>17428.8</v>
      </c>
      <c r="F61" s="189">
        <f t="shared" si="11"/>
        <v>17428.8</v>
      </c>
      <c r="G61" s="200">
        <v>6874.05</v>
      </c>
      <c r="H61" s="197">
        <v>10554.75</v>
      </c>
      <c r="I61" s="188">
        <v>25098.409999999996</v>
      </c>
      <c r="J61" s="189">
        <f t="shared" si="12"/>
        <v>35653.159999999996</v>
      </c>
      <c r="K61" s="225">
        <v>21811.1</v>
      </c>
      <c r="L61" s="189">
        <v>13842.059999999998</v>
      </c>
      <c r="M61" s="219">
        <v>26694.11</v>
      </c>
      <c r="N61" s="189">
        <f t="shared" si="13"/>
        <v>40536.17</v>
      </c>
      <c r="O61" s="225">
        <v>20303.650000000001</v>
      </c>
      <c r="P61" s="303">
        <v>20232.519999999997</v>
      </c>
      <c r="Q61" s="219">
        <v>27265.760000000002</v>
      </c>
      <c r="R61" s="189">
        <f t="shared" si="14"/>
        <v>47498.28</v>
      </c>
      <c r="S61" s="225">
        <v>20695.900000000001</v>
      </c>
      <c r="T61" s="303">
        <v>26802.379999999997</v>
      </c>
      <c r="U61" s="303">
        <v>27825.15</v>
      </c>
      <c r="V61" s="189">
        <f t="shared" si="15"/>
        <v>54627.53</v>
      </c>
      <c r="W61" s="225"/>
      <c r="X61" s="303">
        <f t="shared" si="6"/>
        <v>54627.53</v>
      </c>
      <c r="Y61" s="303"/>
      <c r="AA61" s="67">
        <f t="shared" si="7"/>
        <v>0</v>
      </c>
      <c r="AC61" t="s">
        <v>141</v>
      </c>
      <c r="AD61" t="s">
        <v>1438</v>
      </c>
      <c r="AE61" s="481">
        <f t="shared" si="16"/>
        <v>27825.15</v>
      </c>
      <c r="AF61"/>
      <c r="AG61" s="48">
        <v>1364.42</v>
      </c>
      <c r="AH61" s="48">
        <v>860.46</v>
      </c>
      <c r="AI61" s="48">
        <v>0</v>
      </c>
      <c r="AJ61" s="48">
        <v>117.34</v>
      </c>
      <c r="AK61" s="48">
        <v>3429.68</v>
      </c>
      <c r="AL61" s="48">
        <v>22053.25</v>
      </c>
      <c r="AN61"/>
      <c r="AO61"/>
      <c r="AP61" t="str">
        <f t="shared" si="9"/>
        <v>10050</v>
      </c>
      <c r="AQ61" s="481">
        <f t="shared" si="10"/>
        <v>27825.15</v>
      </c>
    </row>
    <row r="62" spans="1:43">
      <c r="A62" s="217">
        <v>55</v>
      </c>
      <c r="B62" s="74" t="s">
        <v>143</v>
      </c>
      <c r="C62" s="74" t="s">
        <v>1439</v>
      </c>
      <c r="D62" s="186">
        <v>1933.5899999999992</v>
      </c>
      <c r="E62" s="188">
        <v>19250.04</v>
      </c>
      <c r="F62" s="189">
        <f t="shared" si="11"/>
        <v>21183.63</v>
      </c>
      <c r="G62" s="200"/>
      <c r="H62" s="197">
        <v>21183.63</v>
      </c>
      <c r="I62" s="188">
        <v>30575.230000000003</v>
      </c>
      <c r="J62" s="189">
        <f t="shared" si="12"/>
        <v>51758.86</v>
      </c>
      <c r="K62" s="225">
        <v>29071.79</v>
      </c>
      <c r="L62" s="189">
        <v>22687.07</v>
      </c>
      <c r="M62" s="219">
        <v>30735.190000000002</v>
      </c>
      <c r="N62" s="189">
        <f t="shared" si="13"/>
        <v>53422.26</v>
      </c>
      <c r="O62" s="225">
        <v>18145.96</v>
      </c>
      <c r="P62" s="303">
        <v>35276.300000000003</v>
      </c>
      <c r="Q62" s="219">
        <v>35640.879999999997</v>
      </c>
      <c r="R62" s="189">
        <f t="shared" si="14"/>
        <v>70917.179999999993</v>
      </c>
      <c r="S62" s="225">
        <v>30473.929999999997</v>
      </c>
      <c r="T62" s="303">
        <v>40443.25</v>
      </c>
      <c r="U62" s="303">
        <v>36014.229999999996</v>
      </c>
      <c r="V62" s="189">
        <f t="shared" si="15"/>
        <v>76457.48</v>
      </c>
      <c r="W62" s="225"/>
      <c r="X62" s="303">
        <f t="shared" si="6"/>
        <v>76457.48</v>
      </c>
      <c r="Y62" s="303"/>
      <c r="AA62" s="67">
        <f t="shared" si="7"/>
        <v>0</v>
      </c>
      <c r="AC62" t="s">
        <v>143</v>
      </c>
      <c r="AD62" t="s">
        <v>1440</v>
      </c>
      <c r="AE62" s="481">
        <f t="shared" si="16"/>
        <v>36014.229999999996</v>
      </c>
      <c r="AF62"/>
      <c r="AG62" s="48">
        <v>2386.2600000000002</v>
      </c>
      <c r="AH62" s="48">
        <v>1083.99</v>
      </c>
      <c r="AI62" s="48">
        <v>0</v>
      </c>
      <c r="AJ62" s="48">
        <v>153.38999999999999</v>
      </c>
      <c r="AK62" s="48">
        <v>4605.01</v>
      </c>
      <c r="AL62" s="48">
        <v>27785.579999999998</v>
      </c>
      <c r="AN62"/>
      <c r="AO62"/>
      <c r="AP62" t="str">
        <f t="shared" si="9"/>
        <v>26059</v>
      </c>
      <c r="AQ62" s="481">
        <f t="shared" si="10"/>
        <v>36014.229999999996</v>
      </c>
    </row>
    <row r="63" spans="1:43">
      <c r="A63" s="217">
        <v>56</v>
      </c>
      <c r="B63" s="74" t="s">
        <v>145</v>
      </c>
      <c r="C63" s="74" t="s">
        <v>1441</v>
      </c>
      <c r="D63" s="186">
        <v>714.06000000000017</v>
      </c>
      <c r="E63" s="188">
        <v>2696</v>
      </c>
      <c r="F63" s="189">
        <f t="shared" si="11"/>
        <v>3410.0600000000004</v>
      </c>
      <c r="G63" s="200">
        <v>1224.55</v>
      </c>
      <c r="H63" s="197">
        <v>2185.5100000000002</v>
      </c>
      <c r="I63" s="188">
        <v>4257.3999999999996</v>
      </c>
      <c r="J63" s="189">
        <f t="shared" si="12"/>
        <v>6442.91</v>
      </c>
      <c r="K63" s="225">
        <v>995.04000000000008</v>
      </c>
      <c r="L63" s="189">
        <v>5447.87</v>
      </c>
      <c r="M63" s="219">
        <v>4308.3599999999997</v>
      </c>
      <c r="N63" s="189">
        <f t="shared" si="13"/>
        <v>9756.23</v>
      </c>
      <c r="O63" s="225">
        <v>6181.76</v>
      </c>
      <c r="P63" s="303">
        <v>3574.4699999999993</v>
      </c>
      <c r="Q63" s="219">
        <v>4532.4000000000005</v>
      </c>
      <c r="R63" s="189">
        <f t="shared" si="14"/>
        <v>8106.87</v>
      </c>
      <c r="S63" s="225">
        <v>0</v>
      </c>
      <c r="T63" s="303">
        <v>8106.87</v>
      </c>
      <c r="U63" s="303">
        <v>4659.82</v>
      </c>
      <c r="V63" s="189">
        <f t="shared" si="15"/>
        <v>12766.689999999999</v>
      </c>
      <c r="W63" s="225"/>
      <c r="X63" s="303">
        <f t="shared" si="6"/>
        <v>12766.689999999999</v>
      </c>
      <c r="Y63" s="303"/>
      <c r="AA63" s="67">
        <f t="shared" si="7"/>
        <v>0</v>
      </c>
      <c r="AC63" t="s">
        <v>145</v>
      </c>
      <c r="AD63" t="s">
        <v>1442</v>
      </c>
      <c r="AE63" s="481">
        <f t="shared" si="16"/>
        <v>4659.82</v>
      </c>
      <c r="AF63"/>
      <c r="AG63" s="48">
        <v>0</v>
      </c>
      <c r="AH63" s="48">
        <v>0</v>
      </c>
      <c r="AI63" s="48">
        <v>0</v>
      </c>
      <c r="AJ63" s="48">
        <v>0</v>
      </c>
      <c r="AK63" s="48">
        <v>621.29999999999995</v>
      </c>
      <c r="AL63" s="48">
        <v>4038.52</v>
      </c>
      <c r="AN63"/>
      <c r="AO63"/>
      <c r="AP63" t="str">
        <f t="shared" si="9"/>
        <v>19007</v>
      </c>
      <c r="AQ63" s="481">
        <f t="shared" si="10"/>
        <v>4659.82</v>
      </c>
    </row>
    <row r="64" spans="1:43">
      <c r="A64" s="217">
        <v>57</v>
      </c>
      <c r="B64" s="74" t="s">
        <v>147</v>
      </c>
      <c r="C64" s="74" t="s">
        <v>1443</v>
      </c>
      <c r="D64" s="186">
        <v>1681.08</v>
      </c>
      <c r="E64" s="188">
        <v>32328.100000000002</v>
      </c>
      <c r="F64" s="189">
        <f t="shared" si="11"/>
        <v>34009.18</v>
      </c>
      <c r="G64" s="200">
        <v>34009.18</v>
      </c>
      <c r="H64" s="197">
        <v>0</v>
      </c>
      <c r="I64" s="188">
        <v>44003.079999999994</v>
      </c>
      <c r="J64" s="189">
        <f t="shared" si="12"/>
        <v>44003.079999999994</v>
      </c>
      <c r="K64" s="225">
        <v>44003.079999999994</v>
      </c>
      <c r="L64" s="189">
        <v>0</v>
      </c>
      <c r="M64" s="219">
        <v>51622.81</v>
      </c>
      <c r="N64" s="189">
        <f t="shared" si="13"/>
        <v>51622.81</v>
      </c>
      <c r="O64" s="225">
        <v>51629.02</v>
      </c>
      <c r="P64" s="303">
        <v>0</v>
      </c>
      <c r="Q64" s="219">
        <v>56322.14</v>
      </c>
      <c r="R64" s="189">
        <f t="shared" si="14"/>
        <v>56322.14</v>
      </c>
      <c r="S64" s="225">
        <v>56415.94</v>
      </c>
      <c r="T64" s="303">
        <v>0</v>
      </c>
      <c r="U64" s="303">
        <v>59786.33</v>
      </c>
      <c r="V64" s="189">
        <f t="shared" si="15"/>
        <v>59786.33</v>
      </c>
      <c r="W64" s="225"/>
      <c r="X64" s="303">
        <f t="shared" si="6"/>
        <v>59786.33</v>
      </c>
      <c r="Y64" s="303"/>
      <c r="AA64" s="67">
        <f t="shared" si="7"/>
        <v>0</v>
      </c>
      <c r="AC64" t="s">
        <v>147</v>
      </c>
      <c r="AD64" t="s">
        <v>1444</v>
      </c>
      <c r="AE64" s="481">
        <f t="shared" si="16"/>
        <v>59786.33</v>
      </c>
      <c r="AF64"/>
      <c r="AG64" s="48">
        <v>2365.37</v>
      </c>
      <c r="AH64" s="48">
        <v>1475.05</v>
      </c>
      <c r="AI64" s="48">
        <v>0</v>
      </c>
      <c r="AJ64" s="48">
        <v>201.51</v>
      </c>
      <c r="AK64" s="48">
        <v>7426.04</v>
      </c>
      <c r="AL64" s="48">
        <v>48318.36</v>
      </c>
      <c r="AN64"/>
      <c r="AO64"/>
      <c r="AP64" t="str">
        <f t="shared" si="9"/>
        <v>31330</v>
      </c>
      <c r="AQ64" s="481">
        <f t="shared" si="10"/>
        <v>59786.33</v>
      </c>
    </row>
    <row r="65" spans="1:43">
      <c r="A65" s="217">
        <v>58</v>
      </c>
      <c r="B65" s="74" t="s">
        <v>149</v>
      </c>
      <c r="C65" s="74" t="s">
        <v>1445</v>
      </c>
      <c r="D65" s="186">
        <v>10465.559999999998</v>
      </c>
      <c r="E65" s="188">
        <v>37829.229999999996</v>
      </c>
      <c r="F65" s="189">
        <f t="shared" si="11"/>
        <v>48294.789999999994</v>
      </c>
      <c r="G65" s="200">
        <v>43495.43</v>
      </c>
      <c r="H65" s="197">
        <v>4799.3599999999933</v>
      </c>
      <c r="I65" s="188">
        <v>54391.880000000005</v>
      </c>
      <c r="J65" s="189">
        <f t="shared" si="12"/>
        <v>59191.24</v>
      </c>
      <c r="K65" s="225">
        <v>57861.09</v>
      </c>
      <c r="L65" s="189">
        <v>1330.1500000000015</v>
      </c>
      <c r="M65" s="219">
        <v>56741.56</v>
      </c>
      <c r="N65" s="189">
        <f t="shared" si="13"/>
        <v>58071.71</v>
      </c>
      <c r="O65" s="225">
        <v>39869</v>
      </c>
      <c r="P65" s="303">
        <v>18202.71</v>
      </c>
      <c r="Q65" s="219">
        <v>62881.27</v>
      </c>
      <c r="R65" s="189">
        <f t="shared" si="14"/>
        <v>81083.98</v>
      </c>
      <c r="S65" s="225">
        <v>74365.190000000017</v>
      </c>
      <c r="T65" s="303">
        <v>6718.789999999979</v>
      </c>
      <c r="U65" s="303">
        <v>65729.919999999998</v>
      </c>
      <c r="V65" s="189">
        <f t="shared" si="15"/>
        <v>72448.709999999977</v>
      </c>
      <c r="W65" s="225"/>
      <c r="X65" s="303">
        <f t="shared" si="6"/>
        <v>72448.709999999977</v>
      </c>
      <c r="Y65" s="303"/>
      <c r="AA65" s="67">
        <f t="shared" si="7"/>
        <v>0</v>
      </c>
      <c r="AC65" t="s">
        <v>149</v>
      </c>
      <c r="AD65" t="s">
        <v>1446</v>
      </c>
      <c r="AE65" s="481">
        <f t="shared" si="16"/>
        <v>65729.919999999998</v>
      </c>
      <c r="AF65"/>
      <c r="AG65" s="48">
        <v>2921.61</v>
      </c>
      <c r="AH65" s="48">
        <v>0</v>
      </c>
      <c r="AI65" s="48">
        <v>0</v>
      </c>
      <c r="AJ65" s="48">
        <v>0</v>
      </c>
      <c r="AK65" s="48">
        <v>8042.39</v>
      </c>
      <c r="AL65" s="48">
        <v>54765.919999999998</v>
      </c>
      <c r="AN65"/>
      <c r="AO65"/>
      <c r="AP65" t="str">
        <f t="shared" si="9"/>
        <v>22207</v>
      </c>
      <c r="AQ65" s="481">
        <f t="shared" si="10"/>
        <v>65729.919999999998</v>
      </c>
    </row>
    <row r="66" spans="1:43">
      <c r="A66" s="217">
        <v>59</v>
      </c>
      <c r="B66" s="74" t="s">
        <v>151</v>
      </c>
      <c r="C66" s="74" t="s">
        <v>1447</v>
      </c>
      <c r="D66" s="186">
        <v>0</v>
      </c>
      <c r="E66" s="188">
        <v>25597.329999999998</v>
      </c>
      <c r="F66" s="189">
        <f t="shared" si="11"/>
        <v>25597.329999999998</v>
      </c>
      <c r="G66" s="200">
        <v>24649.9</v>
      </c>
      <c r="H66" s="197">
        <v>947.42999999999665</v>
      </c>
      <c r="I66" s="188">
        <v>38396.990000000005</v>
      </c>
      <c r="J66" s="189">
        <f t="shared" si="12"/>
        <v>39344.42</v>
      </c>
      <c r="K66" s="225">
        <v>25165.27</v>
      </c>
      <c r="L66" s="189">
        <v>14179.149999999998</v>
      </c>
      <c r="M66" s="219">
        <v>38147.25</v>
      </c>
      <c r="N66" s="189">
        <f t="shared" si="13"/>
        <v>52326.399999999994</v>
      </c>
      <c r="O66" s="225">
        <v>36733.4</v>
      </c>
      <c r="P66" s="303">
        <v>15592.999999999993</v>
      </c>
      <c r="Q66" s="219">
        <v>39625.21</v>
      </c>
      <c r="R66" s="189">
        <f t="shared" si="14"/>
        <v>55218.209999999992</v>
      </c>
      <c r="S66" s="225">
        <v>38333.199999999997</v>
      </c>
      <c r="T66" s="303">
        <v>16885.009999999995</v>
      </c>
      <c r="U66" s="303">
        <v>40961.960000000006</v>
      </c>
      <c r="V66" s="189">
        <f t="shared" si="15"/>
        <v>57846.97</v>
      </c>
      <c r="W66" s="225"/>
      <c r="X66" s="303">
        <f t="shared" si="6"/>
        <v>57846.97</v>
      </c>
      <c r="Y66" s="303"/>
      <c r="AA66" s="67">
        <f t="shared" si="7"/>
        <v>0</v>
      </c>
      <c r="AC66" t="s">
        <v>151</v>
      </c>
      <c r="AD66" t="s">
        <v>1448</v>
      </c>
      <c r="AE66" s="481">
        <f t="shared" si="16"/>
        <v>40961.960000000006</v>
      </c>
      <c r="AF66"/>
      <c r="AG66" s="48">
        <v>1866.65</v>
      </c>
      <c r="AH66" s="48">
        <v>1605.9</v>
      </c>
      <c r="AI66" s="48">
        <v>21.47</v>
      </c>
      <c r="AJ66" s="48">
        <v>151.85</v>
      </c>
      <c r="AK66" s="48">
        <v>0</v>
      </c>
      <c r="AL66" s="48">
        <v>37316.090000000004</v>
      </c>
      <c r="AN66"/>
      <c r="AO66"/>
      <c r="AP66" t="str">
        <f t="shared" si="9"/>
        <v>07002</v>
      </c>
      <c r="AQ66" s="481">
        <f t="shared" si="10"/>
        <v>40961.960000000006</v>
      </c>
    </row>
    <row r="67" spans="1:43">
      <c r="A67" s="217">
        <v>60</v>
      </c>
      <c r="B67" s="74" t="s">
        <v>153</v>
      </c>
      <c r="C67" s="74" t="s">
        <v>1449</v>
      </c>
      <c r="D67" s="186">
        <v>18066.010000000002</v>
      </c>
      <c r="E67" s="188">
        <v>129530.28</v>
      </c>
      <c r="F67" s="189">
        <f t="shared" si="11"/>
        <v>147596.29</v>
      </c>
      <c r="G67" s="200">
        <v>92465.66</v>
      </c>
      <c r="H67" s="197">
        <v>55130.630000000005</v>
      </c>
      <c r="I67" s="188">
        <v>178818.81</v>
      </c>
      <c r="J67" s="189">
        <f t="shared" si="12"/>
        <v>233949.44</v>
      </c>
      <c r="K67" s="225">
        <v>216407.81000000003</v>
      </c>
      <c r="L67" s="189">
        <v>17541.629999999976</v>
      </c>
      <c r="M67" s="219">
        <v>182098.92</v>
      </c>
      <c r="N67" s="189">
        <f t="shared" si="13"/>
        <v>199640.55</v>
      </c>
      <c r="O67" s="225">
        <v>133753.06</v>
      </c>
      <c r="P67" s="303">
        <v>65887.489999999991</v>
      </c>
      <c r="Q67" s="219">
        <v>207463.96000000002</v>
      </c>
      <c r="R67" s="189">
        <f t="shared" si="14"/>
        <v>273351.45</v>
      </c>
      <c r="S67" s="225">
        <v>161374.03</v>
      </c>
      <c r="T67" s="303">
        <v>111977.42000000001</v>
      </c>
      <c r="U67" s="303">
        <v>214801.3</v>
      </c>
      <c r="V67" s="189">
        <f t="shared" si="15"/>
        <v>326778.71999999997</v>
      </c>
      <c r="W67" s="225"/>
      <c r="X67" s="303">
        <f t="shared" si="6"/>
        <v>326778.71999999997</v>
      </c>
      <c r="Y67" s="303"/>
      <c r="AA67" s="67">
        <f t="shared" si="7"/>
        <v>0</v>
      </c>
      <c r="AC67" t="s">
        <v>153</v>
      </c>
      <c r="AD67" t="s">
        <v>1450</v>
      </c>
      <c r="AE67" s="481">
        <f t="shared" si="16"/>
        <v>214801.3</v>
      </c>
      <c r="AF67"/>
      <c r="AG67" s="48">
        <v>12839.77</v>
      </c>
      <c r="AH67" s="48">
        <v>5883.06</v>
      </c>
      <c r="AI67" s="48">
        <v>802.3</v>
      </c>
      <c r="AJ67" s="48">
        <v>1120.8699999999999</v>
      </c>
      <c r="AK67" s="48">
        <v>32649.41</v>
      </c>
      <c r="AL67" s="48">
        <v>161505.88999999998</v>
      </c>
      <c r="AN67"/>
      <c r="AO67"/>
      <c r="AP67" t="str">
        <f t="shared" si="9"/>
        <v>32414</v>
      </c>
      <c r="AQ67" s="481">
        <f t="shared" si="10"/>
        <v>214801.3</v>
      </c>
    </row>
    <row r="68" spans="1:43">
      <c r="A68" s="217">
        <v>61</v>
      </c>
      <c r="B68" s="74" t="s">
        <v>155</v>
      </c>
      <c r="C68" s="74" t="s">
        <v>1451</v>
      </c>
      <c r="D68" s="186">
        <v>50242.570000000007</v>
      </c>
      <c r="E68" s="188">
        <v>108904.68000000001</v>
      </c>
      <c r="F68" s="189">
        <f t="shared" si="11"/>
        <v>159147.25</v>
      </c>
      <c r="G68" s="200">
        <v>108964.28</v>
      </c>
      <c r="H68" s="197">
        <v>50182.97</v>
      </c>
      <c r="I68" s="188">
        <v>143940.99</v>
      </c>
      <c r="J68" s="189">
        <f t="shared" si="12"/>
        <v>194123.96</v>
      </c>
      <c r="K68" s="225">
        <v>139972.45000000001</v>
      </c>
      <c r="L68" s="189">
        <v>54151.50999999998</v>
      </c>
      <c r="M68" s="219">
        <v>146618.51999999999</v>
      </c>
      <c r="N68" s="189">
        <f t="shared" si="13"/>
        <v>200770.02999999997</v>
      </c>
      <c r="O68" s="225">
        <v>157425.60999999999</v>
      </c>
      <c r="P68" s="303">
        <v>43344.419999999984</v>
      </c>
      <c r="Q68" s="219">
        <v>164257.54999999999</v>
      </c>
      <c r="R68" s="189">
        <f t="shared" si="14"/>
        <v>207601.96999999997</v>
      </c>
      <c r="S68" s="225">
        <v>207601.97</v>
      </c>
      <c r="T68" s="303">
        <v>0</v>
      </c>
      <c r="U68" s="303">
        <v>168551.69999999998</v>
      </c>
      <c r="V68" s="189">
        <f t="shared" si="15"/>
        <v>168551.69999999998</v>
      </c>
      <c r="W68" s="225"/>
      <c r="X68" s="303">
        <f t="shared" si="6"/>
        <v>168551.69999999998</v>
      </c>
      <c r="Y68" s="303"/>
      <c r="AA68" s="67">
        <f t="shared" si="7"/>
        <v>0</v>
      </c>
      <c r="AC68" t="s">
        <v>155</v>
      </c>
      <c r="AD68" t="s">
        <v>1452</v>
      </c>
      <c r="AE68" s="481">
        <f t="shared" si="16"/>
        <v>168551.69999999998</v>
      </c>
      <c r="AF68"/>
      <c r="AG68" s="48">
        <v>3149.56</v>
      </c>
      <c r="AH68" s="48">
        <v>0</v>
      </c>
      <c r="AI68" s="48">
        <v>2595.27</v>
      </c>
      <c r="AJ68" s="48">
        <v>689.44</v>
      </c>
      <c r="AK68" s="48">
        <v>20491.439999999999</v>
      </c>
      <c r="AL68" s="48">
        <v>141625.99</v>
      </c>
      <c r="AN68"/>
      <c r="AO68"/>
      <c r="AP68" t="str">
        <f t="shared" si="9"/>
        <v>27343</v>
      </c>
      <c r="AQ68" s="481">
        <f t="shared" si="10"/>
        <v>168551.69999999998</v>
      </c>
    </row>
    <row r="69" spans="1:43">
      <c r="A69" s="217">
        <v>62</v>
      </c>
      <c r="B69" s="74" t="s">
        <v>157</v>
      </c>
      <c r="C69" s="74" t="s">
        <v>1453</v>
      </c>
      <c r="D69" s="186">
        <v>68.2199999999998</v>
      </c>
      <c r="E69" s="188">
        <v>2121.89</v>
      </c>
      <c r="F69" s="189">
        <f t="shared" si="11"/>
        <v>2190.1099999999997</v>
      </c>
      <c r="G69" s="200">
        <v>2000.82</v>
      </c>
      <c r="H69" s="197">
        <v>189.28999999999974</v>
      </c>
      <c r="I69" s="188">
        <v>4013.98</v>
      </c>
      <c r="J69" s="189">
        <f t="shared" si="12"/>
        <v>4203.2699999999995</v>
      </c>
      <c r="K69" s="225">
        <v>3836.08</v>
      </c>
      <c r="L69" s="189">
        <v>367.1899999999996</v>
      </c>
      <c r="M69" s="219">
        <v>3704.07</v>
      </c>
      <c r="N69" s="189">
        <f t="shared" si="13"/>
        <v>4071.2599999999998</v>
      </c>
      <c r="O69" s="225">
        <v>3332.4</v>
      </c>
      <c r="P69" s="303">
        <v>738.85999999999967</v>
      </c>
      <c r="Q69" s="219">
        <v>3682.1000000000004</v>
      </c>
      <c r="R69" s="189">
        <f t="shared" si="14"/>
        <v>4420.96</v>
      </c>
      <c r="S69" s="225">
        <v>0</v>
      </c>
      <c r="T69" s="303">
        <v>4420.96</v>
      </c>
      <c r="U69" s="303">
        <v>3871.34</v>
      </c>
      <c r="V69" s="189">
        <f t="shared" si="15"/>
        <v>8292.2999999999993</v>
      </c>
      <c r="W69" s="225"/>
      <c r="X69" s="303">
        <f t="shared" si="6"/>
        <v>8292.2999999999993</v>
      </c>
      <c r="Y69" s="303"/>
      <c r="AA69" s="67">
        <f t="shared" si="7"/>
        <v>0</v>
      </c>
      <c r="AC69" t="s">
        <v>157</v>
      </c>
      <c r="AD69" t="s">
        <v>1454</v>
      </c>
      <c r="AE69" s="481">
        <f t="shared" si="16"/>
        <v>3871.34</v>
      </c>
      <c r="AF69"/>
      <c r="AG69" s="48">
        <v>128.84</v>
      </c>
      <c r="AH69" s="48">
        <v>76.69</v>
      </c>
      <c r="AI69" s="48">
        <v>0</v>
      </c>
      <c r="AJ69" s="48">
        <v>0</v>
      </c>
      <c r="AK69" s="48">
        <v>0</v>
      </c>
      <c r="AL69" s="48">
        <v>3665.81</v>
      </c>
      <c r="AN69"/>
      <c r="AO69"/>
      <c r="AP69" t="str">
        <f t="shared" si="9"/>
        <v>36101</v>
      </c>
      <c r="AQ69" s="481">
        <f t="shared" si="10"/>
        <v>3871.34</v>
      </c>
    </row>
    <row r="70" spans="1:43">
      <c r="A70" s="217">
        <v>63</v>
      </c>
      <c r="B70" s="74" t="s">
        <v>159</v>
      </c>
      <c r="C70" s="74" t="s">
        <v>1455</v>
      </c>
      <c r="D70" s="186">
        <v>18394.209999999992</v>
      </c>
      <c r="E70" s="188">
        <v>249792.84000000003</v>
      </c>
      <c r="F70" s="189">
        <f t="shared" si="11"/>
        <v>268187.05000000005</v>
      </c>
      <c r="G70" s="200">
        <v>266703.15999999997</v>
      </c>
      <c r="H70" s="197">
        <v>1483.8900000000722</v>
      </c>
      <c r="I70" s="188">
        <v>315777.56</v>
      </c>
      <c r="J70" s="189">
        <f t="shared" si="12"/>
        <v>317261.45000000007</v>
      </c>
      <c r="K70" s="225">
        <v>316914.93</v>
      </c>
      <c r="L70" s="189">
        <v>346.52000000007683</v>
      </c>
      <c r="M70" s="219">
        <v>324479.31</v>
      </c>
      <c r="N70" s="189">
        <f t="shared" si="13"/>
        <v>324825.83000000007</v>
      </c>
      <c r="O70" s="225">
        <v>418581.70000000007</v>
      </c>
      <c r="P70" s="303">
        <v>0</v>
      </c>
      <c r="Q70" s="219">
        <v>354027.85</v>
      </c>
      <c r="R70" s="189">
        <f t="shared" si="14"/>
        <v>354027.85</v>
      </c>
      <c r="S70" s="225">
        <v>426458.01999999996</v>
      </c>
      <c r="T70" s="303">
        <v>0</v>
      </c>
      <c r="U70" s="303">
        <v>371879.83999999997</v>
      </c>
      <c r="V70" s="189">
        <f t="shared" si="15"/>
        <v>371879.83999999997</v>
      </c>
      <c r="W70" s="225"/>
      <c r="X70" s="303">
        <f t="shared" si="6"/>
        <v>371879.83999999997</v>
      </c>
      <c r="Y70" s="303"/>
      <c r="AA70" s="67">
        <f t="shared" si="7"/>
        <v>0</v>
      </c>
      <c r="AC70" t="s">
        <v>159</v>
      </c>
      <c r="AD70" t="s">
        <v>1456</v>
      </c>
      <c r="AE70" s="481">
        <f t="shared" si="16"/>
        <v>371879.83999999997</v>
      </c>
      <c r="AF70"/>
      <c r="AG70" s="48">
        <v>20964.14</v>
      </c>
      <c r="AH70" s="48">
        <v>13040.47</v>
      </c>
      <c r="AI70" s="48">
        <v>3967.97</v>
      </c>
      <c r="AJ70" s="48">
        <v>1513.87</v>
      </c>
      <c r="AK70" s="48">
        <v>56149.39</v>
      </c>
      <c r="AL70" s="48">
        <v>276243.99999999994</v>
      </c>
      <c r="AN70"/>
      <c r="AO70"/>
      <c r="AP70" t="str">
        <f t="shared" si="9"/>
        <v>32361</v>
      </c>
      <c r="AQ70" s="481">
        <f t="shared" si="10"/>
        <v>371879.83999999997</v>
      </c>
    </row>
    <row r="71" spans="1:43">
      <c r="A71" s="217">
        <v>64</v>
      </c>
      <c r="B71" s="74" t="s">
        <v>161</v>
      </c>
      <c r="C71" s="74" t="s">
        <v>1457</v>
      </c>
      <c r="D71" s="186">
        <v>0</v>
      </c>
      <c r="E71" s="188">
        <v>209237.50999999995</v>
      </c>
      <c r="F71" s="189">
        <f t="shared" si="11"/>
        <v>209237.50999999995</v>
      </c>
      <c r="G71" s="200">
        <v>179658.9</v>
      </c>
      <c r="H71" s="197">
        <v>29578.609999999957</v>
      </c>
      <c r="I71" s="188">
        <v>299349.55</v>
      </c>
      <c r="J71" s="189">
        <f t="shared" si="12"/>
        <v>328928.15999999992</v>
      </c>
      <c r="K71" s="225">
        <v>299198.38000000006</v>
      </c>
      <c r="L71" s="189">
        <v>29729.779999999853</v>
      </c>
      <c r="M71" s="219">
        <v>315312.09999999998</v>
      </c>
      <c r="N71" s="189">
        <f t="shared" si="13"/>
        <v>345041.87999999983</v>
      </c>
      <c r="O71" s="225">
        <v>296746.21000000002</v>
      </c>
      <c r="P71" s="303">
        <v>48295.669999999809</v>
      </c>
      <c r="Q71" s="219">
        <v>345469.72000000003</v>
      </c>
      <c r="R71" s="189">
        <f t="shared" si="14"/>
        <v>393765.38999999984</v>
      </c>
      <c r="S71" s="225">
        <v>277286.02000000008</v>
      </c>
      <c r="T71" s="303">
        <v>116479.36999999976</v>
      </c>
      <c r="U71" s="303">
        <v>354039.73</v>
      </c>
      <c r="V71" s="189">
        <f t="shared" si="15"/>
        <v>470519.09999999974</v>
      </c>
      <c r="W71" s="225"/>
      <c r="X71" s="303">
        <f t="shared" si="6"/>
        <v>470519.09999999974</v>
      </c>
      <c r="Y71" s="303"/>
      <c r="AA71" s="67">
        <f t="shared" si="7"/>
        <v>0</v>
      </c>
      <c r="AC71" t="s">
        <v>161</v>
      </c>
      <c r="AD71" t="s">
        <v>1458</v>
      </c>
      <c r="AE71" s="481">
        <f t="shared" si="16"/>
        <v>354039.73</v>
      </c>
      <c r="AF71"/>
      <c r="AG71" s="48">
        <v>19247.86</v>
      </c>
      <c r="AH71" s="48">
        <v>14528.43</v>
      </c>
      <c r="AI71" s="48">
        <v>10230.81</v>
      </c>
      <c r="AJ71" s="48">
        <v>1406.97</v>
      </c>
      <c r="AK71" s="48">
        <v>42547.74</v>
      </c>
      <c r="AL71" s="48">
        <v>266077.92</v>
      </c>
      <c r="AN71"/>
      <c r="AO71"/>
      <c r="AP71" t="str">
        <f t="shared" si="9"/>
        <v>39090</v>
      </c>
      <c r="AQ71" s="481">
        <f t="shared" si="10"/>
        <v>354039.73</v>
      </c>
    </row>
    <row r="72" spans="1:43">
      <c r="A72" s="217">
        <v>65</v>
      </c>
      <c r="B72" s="74" t="s">
        <v>163</v>
      </c>
      <c r="C72" s="74" t="s">
        <v>1459</v>
      </c>
      <c r="D72" s="186">
        <v>5391.5899999999674</v>
      </c>
      <c r="E72" s="188">
        <v>387248.47</v>
      </c>
      <c r="F72" s="189">
        <f t="shared" ref="F72:F87" si="17">+D72+E72</f>
        <v>392640.05999999994</v>
      </c>
      <c r="G72" s="200">
        <v>497864.82</v>
      </c>
      <c r="H72" s="197">
        <v>0</v>
      </c>
      <c r="I72" s="188">
        <v>533307.26</v>
      </c>
      <c r="J72" s="189">
        <f t="shared" ref="J72:J87" si="18">+H72+I72</f>
        <v>533307.26</v>
      </c>
      <c r="K72" s="225">
        <v>572063.48000000021</v>
      </c>
      <c r="L72" s="189">
        <v>0</v>
      </c>
      <c r="M72" s="219">
        <v>544146.74</v>
      </c>
      <c r="N72" s="189">
        <f t="shared" ref="N72:N103" si="19">+L72+M72</f>
        <v>544146.74</v>
      </c>
      <c r="O72" s="225">
        <v>555141.57999999996</v>
      </c>
      <c r="P72" s="303">
        <v>0</v>
      </c>
      <c r="Q72" s="219">
        <v>591453.89999999991</v>
      </c>
      <c r="R72" s="189">
        <f t="shared" ref="R72:R103" si="20">+P72+Q72</f>
        <v>591453.89999999991</v>
      </c>
      <c r="S72" s="225">
        <v>611458.42000000004</v>
      </c>
      <c r="T72" s="303">
        <v>0</v>
      </c>
      <c r="U72" s="303">
        <v>622533.87000000011</v>
      </c>
      <c r="V72" s="189">
        <f t="shared" ref="V72:V103" si="21">+T72+U72</f>
        <v>622533.87000000011</v>
      </c>
      <c r="W72" s="225"/>
      <c r="X72" s="303">
        <f t="shared" ref="X72:X135" si="22">+V72-W72</f>
        <v>622533.87000000011</v>
      </c>
      <c r="Y72" s="303"/>
      <c r="AA72" s="67">
        <f t="shared" ref="AA72:AA135" si="23">+AC72-B72</f>
        <v>0</v>
      </c>
      <c r="AC72" t="s">
        <v>163</v>
      </c>
      <c r="AD72" t="s">
        <v>1460</v>
      </c>
      <c r="AE72" s="481">
        <f t="shared" ref="AE72:AE81" si="24">SUM(AG72:AL72)</f>
        <v>622533.87000000011</v>
      </c>
      <c r="AF72"/>
      <c r="AG72" s="48">
        <v>36296.76</v>
      </c>
      <c r="AH72" s="48">
        <v>22769.73</v>
      </c>
      <c r="AI72" s="48">
        <v>26756.16</v>
      </c>
      <c r="AJ72" s="48">
        <v>2485.0700000000002</v>
      </c>
      <c r="AK72" s="48">
        <v>70406.05</v>
      </c>
      <c r="AL72" s="48">
        <v>463820.10000000003</v>
      </c>
      <c r="AN72"/>
      <c r="AO72"/>
      <c r="AP72" t="str">
        <f t="shared" ref="AP72:AP135" si="25">TEXT(AC72, "00000")</f>
        <v>09206</v>
      </c>
      <c r="AQ72" s="481">
        <f t="shared" ref="AQ72:AQ135" si="26">AE72</f>
        <v>622533.87000000011</v>
      </c>
    </row>
    <row r="73" spans="1:43">
      <c r="A73" s="217">
        <v>66</v>
      </c>
      <c r="B73" s="74" t="s">
        <v>165</v>
      </c>
      <c r="C73" s="74" t="s">
        <v>1461</v>
      </c>
      <c r="D73" s="186">
        <v>2286.1000000000004</v>
      </c>
      <c r="E73" s="188">
        <v>13067.74</v>
      </c>
      <c r="F73" s="189">
        <f t="shared" si="17"/>
        <v>15353.84</v>
      </c>
      <c r="G73" s="200">
        <v>12684.06</v>
      </c>
      <c r="H73" s="197">
        <v>2669.7800000000007</v>
      </c>
      <c r="I73" s="188">
        <v>19633.84</v>
      </c>
      <c r="J73" s="189">
        <f t="shared" si="18"/>
        <v>22303.620000000003</v>
      </c>
      <c r="K73" s="225">
        <v>12301.02</v>
      </c>
      <c r="L73" s="189">
        <v>10002.600000000002</v>
      </c>
      <c r="M73" s="219">
        <v>19771.849999999999</v>
      </c>
      <c r="N73" s="189">
        <f t="shared" si="19"/>
        <v>29774.45</v>
      </c>
      <c r="O73" s="225">
        <v>5567.92</v>
      </c>
      <c r="P73" s="303">
        <v>24206.53</v>
      </c>
      <c r="Q73" s="219">
        <v>21056.86</v>
      </c>
      <c r="R73" s="189">
        <f t="shared" si="20"/>
        <v>45263.39</v>
      </c>
      <c r="S73" s="225">
        <v>11425.539999999999</v>
      </c>
      <c r="T73" s="303">
        <v>33837.85</v>
      </c>
      <c r="U73" s="303">
        <v>23173.75</v>
      </c>
      <c r="V73" s="189">
        <f t="shared" si="21"/>
        <v>57011.6</v>
      </c>
      <c r="W73" s="225"/>
      <c r="X73" s="303">
        <f t="shared" si="22"/>
        <v>57011.6</v>
      </c>
      <c r="Y73" s="303"/>
      <c r="AA73" s="67">
        <f t="shared" si="23"/>
        <v>0</v>
      </c>
      <c r="AC73" t="s">
        <v>165</v>
      </c>
      <c r="AD73" t="s">
        <v>1462</v>
      </c>
      <c r="AE73" s="481">
        <f t="shared" si="24"/>
        <v>23173.75</v>
      </c>
      <c r="AF73"/>
      <c r="AG73" s="48">
        <v>644.20000000000005</v>
      </c>
      <c r="AH73" s="48">
        <v>185.01</v>
      </c>
      <c r="AI73" s="48">
        <v>0</v>
      </c>
      <c r="AJ73" s="48">
        <v>0</v>
      </c>
      <c r="AK73" s="48">
        <v>1353.51</v>
      </c>
      <c r="AL73" s="48">
        <v>20991.03</v>
      </c>
      <c r="AN73"/>
      <c r="AO73"/>
      <c r="AP73" t="str">
        <f t="shared" si="25"/>
        <v>19028</v>
      </c>
      <c r="AQ73" s="481">
        <f t="shared" si="26"/>
        <v>23173.75</v>
      </c>
    </row>
    <row r="74" spans="1:43">
      <c r="A74" s="217">
        <v>67</v>
      </c>
      <c r="B74" s="74" t="s">
        <v>167</v>
      </c>
      <c r="C74" s="74" t="s">
        <v>1463</v>
      </c>
      <c r="D74" s="186">
        <v>0</v>
      </c>
      <c r="E74" s="188">
        <v>111628.41</v>
      </c>
      <c r="F74" s="189">
        <f t="shared" si="17"/>
        <v>111628.41</v>
      </c>
      <c r="G74" s="200">
        <v>84500.97</v>
      </c>
      <c r="H74" s="197">
        <v>27127.440000000002</v>
      </c>
      <c r="I74" s="188">
        <v>147550.76999999999</v>
      </c>
      <c r="J74" s="189">
        <f t="shared" si="18"/>
        <v>174678.21</v>
      </c>
      <c r="K74" s="225">
        <v>178649.71999999997</v>
      </c>
      <c r="L74" s="189">
        <v>0</v>
      </c>
      <c r="M74" s="219">
        <v>158043.58000000002</v>
      </c>
      <c r="N74" s="189">
        <f t="shared" si="19"/>
        <v>158043.58000000002</v>
      </c>
      <c r="O74" s="225">
        <v>173640.13</v>
      </c>
      <c r="P74" s="303">
        <v>0</v>
      </c>
      <c r="Q74" s="219">
        <v>182508.17</v>
      </c>
      <c r="R74" s="189">
        <f t="shared" si="20"/>
        <v>182508.17</v>
      </c>
      <c r="S74" s="225">
        <v>207319.61000000002</v>
      </c>
      <c r="T74" s="303">
        <v>0</v>
      </c>
      <c r="U74" s="303">
        <v>187486.42999999996</v>
      </c>
      <c r="V74" s="189">
        <f t="shared" si="21"/>
        <v>187486.42999999996</v>
      </c>
      <c r="W74" s="225"/>
      <c r="X74" s="303">
        <f t="shared" si="22"/>
        <v>187486.42999999996</v>
      </c>
      <c r="Y74" s="303"/>
      <c r="AA74" s="67">
        <f t="shared" si="23"/>
        <v>0</v>
      </c>
      <c r="AC74" t="s">
        <v>167</v>
      </c>
      <c r="AD74" t="s">
        <v>1464</v>
      </c>
      <c r="AE74" s="481">
        <f t="shared" si="24"/>
        <v>187486.42999999996</v>
      </c>
      <c r="AF74"/>
      <c r="AG74" s="48">
        <v>7795.89</v>
      </c>
      <c r="AH74" s="48">
        <v>601.73</v>
      </c>
      <c r="AI74" s="48">
        <v>266.94</v>
      </c>
      <c r="AJ74" s="48">
        <v>824.42</v>
      </c>
      <c r="AK74" s="48">
        <v>23291.95</v>
      </c>
      <c r="AL74" s="48">
        <v>154705.49999999997</v>
      </c>
      <c r="AN74"/>
      <c r="AO74"/>
      <c r="AP74" t="str">
        <f t="shared" si="25"/>
        <v>27404</v>
      </c>
      <c r="AQ74" s="481">
        <f t="shared" si="26"/>
        <v>187486.42999999996</v>
      </c>
    </row>
    <row r="75" spans="1:43">
      <c r="A75" s="217">
        <v>68</v>
      </c>
      <c r="B75" s="74" t="s">
        <v>169</v>
      </c>
      <c r="C75" s="74" t="s">
        <v>1465</v>
      </c>
      <c r="D75" s="186">
        <v>110028.19000000006</v>
      </c>
      <c r="E75" s="188">
        <v>1495761.0499999998</v>
      </c>
      <c r="F75" s="189">
        <f t="shared" si="17"/>
        <v>1605789.2399999998</v>
      </c>
      <c r="G75" s="200">
        <v>1251673.6000000001</v>
      </c>
      <c r="H75" s="197">
        <v>354115.63999999966</v>
      </c>
      <c r="I75" s="188">
        <v>2148434.23</v>
      </c>
      <c r="J75" s="189">
        <f t="shared" si="18"/>
        <v>2502549.8699999996</v>
      </c>
      <c r="K75" s="225">
        <v>2148434.23</v>
      </c>
      <c r="L75" s="189">
        <v>354115.63999999966</v>
      </c>
      <c r="M75" s="219">
        <v>2149894.5299999998</v>
      </c>
      <c r="N75" s="189">
        <f t="shared" si="19"/>
        <v>2504010.1699999995</v>
      </c>
      <c r="O75" s="225">
        <v>2148926.35</v>
      </c>
      <c r="P75" s="303">
        <v>355083.81999999937</v>
      </c>
      <c r="Q75" s="219">
        <v>2304116.17</v>
      </c>
      <c r="R75" s="189">
        <f t="shared" si="20"/>
        <v>2659199.9899999993</v>
      </c>
      <c r="S75" s="225">
        <v>2659200.0099999998</v>
      </c>
      <c r="T75" s="303">
        <v>0</v>
      </c>
      <c r="U75" s="303">
        <v>2412924.04</v>
      </c>
      <c r="V75" s="189">
        <f t="shared" si="21"/>
        <v>2412924.04</v>
      </c>
      <c r="W75" s="225"/>
      <c r="X75" s="303">
        <f t="shared" si="22"/>
        <v>2412924.04</v>
      </c>
      <c r="Y75" s="303"/>
      <c r="AA75" s="67">
        <f t="shared" si="23"/>
        <v>0</v>
      </c>
      <c r="AC75" t="s">
        <v>169</v>
      </c>
      <c r="AD75" t="s">
        <v>1466</v>
      </c>
      <c r="AE75" s="481">
        <f t="shared" si="24"/>
        <v>2412924.04</v>
      </c>
      <c r="AF75"/>
      <c r="AG75" s="48">
        <v>84591.82</v>
      </c>
      <c r="AH75" s="48">
        <v>9112.14</v>
      </c>
      <c r="AI75" s="48">
        <v>106886.62</v>
      </c>
      <c r="AJ75" s="48">
        <v>10069.299999999999</v>
      </c>
      <c r="AK75" s="48">
        <v>360086.28</v>
      </c>
      <c r="AL75" s="48">
        <v>1842177.88</v>
      </c>
      <c r="AN75"/>
      <c r="AO75"/>
      <c r="AP75" t="str">
        <f t="shared" si="25"/>
        <v>31015</v>
      </c>
      <c r="AQ75" s="481">
        <f t="shared" si="26"/>
        <v>2412924.04</v>
      </c>
    </row>
    <row r="76" spans="1:43">
      <c r="A76" s="217">
        <v>69</v>
      </c>
      <c r="B76" s="74" t="s">
        <v>171</v>
      </c>
      <c r="C76" s="74" t="s">
        <v>1467</v>
      </c>
      <c r="D76" s="186">
        <v>0</v>
      </c>
      <c r="E76" s="188">
        <v>200581.93999999997</v>
      </c>
      <c r="F76" s="189">
        <f t="shared" si="17"/>
        <v>200581.93999999997</v>
      </c>
      <c r="G76" s="200">
        <v>223711.22</v>
      </c>
      <c r="H76" s="197">
        <v>0</v>
      </c>
      <c r="I76" s="188">
        <v>275833.46999999997</v>
      </c>
      <c r="J76" s="189">
        <f t="shared" si="18"/>
        <v>275833.46999999997</v>
      </c>
      <c r="K76" s="225">
        <v>247822.90000000005</v>
      </c>
      <c r="L76" s="189">
        <v>28010.56999999992</v>
      </c>
      <c r="M76" s="219">
        <v>288375.72000000003</v>
      </c>
      <c r="N76" s="189">
        <f t="shared" si="19"/>
        <v>316386.28999999992</v>
      </c>
      <c r="O76" s="225">
        <v>280499.61</v>
      </c>
      <c r="P76" s="303">
        <v>35886.679999999935</v>
      </c>
      <c r="Q76" s="219">
        <v>310588.04000000004</v>
      </c>
      <c r="R76" s="189">
        <f t="shared" si="20"/>
        <v>346474.72</v>
      </c>
      <c r="S76" s="225">
        <v>378668.74999999994</v>
      </c>
      <c r="T76" s="303">
        <v>0</v>
      </c>
      <c r="U76" s="303">
        <v>320033.48</v>
      </c>
      <c r="V76" s="189">
        <f t="shared" si="21"/>
        <v>320033.48</v>
      </c>
      <c r="W76" s="225"/>
      <c r="X76" s="303">
        <f t="shared" si="22"/>
        <v>320033.48</v>
      </c>
      <c r="Y76" s="303"/>
      <c r="AA76" s="67">
        <f t="shared" si="23"/>
        <v>0</v>
      </c>
      <c r="AC76" t="s">
        <v>171</v>
      </c>
      <c r="AD76" t="s">
        <v>1468</v>
      </c>
      <c r="AE76" s="481">
        <f t="shared" si="24"/>
        <v>320033.48</v>
      </c>
      <c r="AF76"/>
      <c r="AG76" s="48">
        <v>12773.4</v>
      </c>
      <c r="AH76" s="48">
        <v>3330.14</v>
      </c>
      <c r="AI76" s="48">
        <v>5664.77</v>
      </c>
      <c r="AJ76" s="48">
        <v>1373.05</v>
      </c>
      <c r="AK76" s="48">
        <v>44264.55</v>
      </c>
      <c r="AL76" s="48">
        <v>252627.57</v>
      </c>
      <c r="AN76"/>
      <c r="AO76"/>
      <c r="AP76" t="str">
        <f t="shared" si="25"/>
        <v>19401</v>
      </c>
      <c r="AQ76" s="481">
        <f t="shared" si="26"/>
        <v>320033.48</v>
      </c>
    </row>
    <row r="77" spans="1:43">
      <c r="A77" s="217">
        <v>70</v>
      </c>
      <c r="B77" s="74" t="s">
        <v>173</v>
      </c>
      <c r="C77" s="74" t="s">
        <v>1469</v>
      </c>
      <c r="D77" s="186">
        <v>0</v>
      </c>
      <c r="E77" s="188">
        <v>106526.43000000001</v>
      </c>
      <c r="F77" s="189">
        <f t="shared" si="17"/>
        <v>106526.43000000001</v>
      </c>
      <c r="G77" s="200">
        <v>100421.02</v>
      </c>
      <c r="H77" s="197">
        <v>6105.4100000000035</v>
      </c>
      <c r="I77" s="188">
        <v>150672.45000000001</v>
      </c>
      <c r="J77" s="189">
        <f t="shared" si="18"/>
        <v>156777.86000000002</v>
      </c>
      <c r="K77" s="225">
        <v>149811.79</v>
      </c>
      <c r="L77" s="189">
        <v>6966.070000000007</v>
      </c>
      <c r="M77" s="219">
        <v>154013.63</v>
      </c>
      <c r="N77" s="189">
        <f t="shared" si="19"/>
        <v>160979.70000000001</v>
      </c>
      <c r="O77" s="225">
        <v>141429.46</v>
      </c>
      <c r="P77" s="303">
        <v>19550.24000000002</v>
      </c>
      <c r="Q77" s="219">
        <v>175382.52</v>
      </c>
      <c r="R77" s="189">
        <f t="shared" si="20"/>
        <v>194932.76</v>
      </c>
      <c r="S77" s="225">
        <v>141189.50999999998</v>
      </c>
      <c r="T77" s="303">
        <v>53743.250000000029</v>
      </c>
      <c r="U77" s="303">
        <v>175741.21000000002</v>
      </c>
      <c r="V77" s="189">
        <f t="shared" si="21"/>
        <v>229484.46000000005</v>
      </c>
      <c r="W77" s="225"/>
      <c r="X77" s="303">
        <f t="shared" si="22"/>
        <v>229484.46000000005</v>
      </c>
      <c r="Y77" s="303"/>
      <c r="AA77" s="67">
        <f t="shared" si="23"/>
        <v>0</v>
      </c>
      <c r="AC77" t="s">
        <v>173</v>
      </c>
      <c r="AD77" t="s">
        <v>1470</v>
      </c>
      <c r="AE77" s="481">
        <f t="shared" si="24"/>
        <v>175741.21000000002</v>
      </c>
      <c r="AF77"/>
      <c r="AG77" s="48">
        <v>12183.44</v>
      </c>
      <c r="AH77" s="48">
        <v>7461.4</v>
      </c>
      <c r="AI77" s="48">
        <v>3136.5</v>
      </c>
      <c r="AJ77" s="48">
        <v>722.07</v>
      </c>
      <c r="AK77" s="48">
        <v>24222.1</v>
      </c>
      <c r="AL77" s="48">
        <v>128015.70000000001</v>
      </c>
      <c r="AN77"/>
      <c r="AO77"/>
      <c r="AP77" t="str">
        <f t="shared" si="25"/>
        <v>14068</v>
      </c>
      <c r="AQ77" s="481">
        <f t="shared" si="26"/>
        <v>175741.21000000002</v>
      </c>
    </row>
    <row r="78" spans="1:43">
      <c r="A78" s="217">
        <v>71</v>
      </c>
      <c r="B78" s="74" t="s">
        <v>175</v>
      </c>
      <c r="C78" s="74" t="s">
        <v>1471</v>
      </c>
      <c r="D78" s="186">
        <v>764.97000000000025</v>
      </c>
      <c r="E78" s="188">
        <v>12553.25</v>
      </c>
      <c r="F78" s="189">
        <f t="shared" si="17"/>
        <v>13318.220000000001</v>
      </c>
      <c r="G78" s="200">
        <v>13381.05</v>
      </c>
      <c r="H78" s="197">
        <v>0</v>
      </c>
      <c r="I78" s="188">
        <v>19254.27</v>
      </c>
      <c r="J78" s="189">
        <f t="shared" si="18"/>
        <v>19254.27</v>
      </c>
      <c r="K78" s="225">
        <v>19076.599999999999</v>
      </c>
      <c r="L78" s="189">
        <v>177.67000000000189</v>
      </c>
      <c r="M78" s="219">
        <v>19422.939999999999</v>
      </c>
      <c r="N78" s="189">
        <f t="shared" si="19"/>
        <v>19600.61</v>
      </c>
      <c r="O78" s="225">
        <v>23947.760000000002</v>
      </c>
      <c r="P78" s="303">
        <v>0</v>
      </c>
      <c r="Q78" s="219">
        <v>20504.09</v>
      </c>
      <c r="R78" s="189">
        <f t="shared" si="20"/>
        <v>20504.09</v>
      </c>
      <c r="S78" s="225">
        <v>18366.59</v>
      </c>
      <c r="T78" s="303">
        <v>2137.5</v>
      </c>
      <c r="U78" s="303">
        <v>20832.469999999998</v>
      </c>
      <c r="V78" s="189">
        <f t="shared" si="21"/>
        <v>22969.969999999998</v>
      </c>
      <c r="W78" s="225"/>
      <c r="X78" s="303">
        <f t="shared" si="22"/>
        <v>22969.969999999998</v>
      </c>
      <c r="Y78" s="303"/>
      <c r="AA78" s="67">
        <f t="shared" si="23"/>
        <v>0</v>
      </c>
      <c r="AC78" t="s">
        <v>175</v>
      </c>
      <c r="AD78" t="s">
        <v>1472</v>
      </c>
      <c r="AE78" s="481">
        <f t="shared" si="24"/>
        <v>20832.469999999998</v>
      </c>
      <c r="AF78"/>
      <c r="AG78" s="48">
        <v>383.46</v>
      </c>
      <c r="AH78" s="48">
        <v>300.86</v>
      </c>
      <c r="AI78" s="48">
        <v>0</v>
      </c>
      <c r="AJ78" s="48">
        <v>32.44</v>
      </c>
      <c r="AK78" s="48">
        <v>1096.45</v>
      </c>
      <c r="AL78" s="48">
        <v>19019.259999999998</v>
      </c>
      <c r="AN78"/>
      <c r="AO78"/>
      <c r="AP78" t="str">
        <f t="shared" si="25"/>
        <v>38308</v>
      </c>
      <c r="AQ78" s="481">
        <f t="shared" si="26"/>
        <v>20832.469999999998</v>
      </c>
    </row>
    <row r="79" spans="1:43">
      <c r="A79" s="217">
        <v>72</v>
      </c>
      <c r="B79" s="74" t="s">
        <v>177</v>
      </c>
      <c r="C79" s="74" t="s">
        <v>1473</v>
      </c>
      <c r="D79" s="186">
        <v>879.10000000000218</v>
      </c>
      <c r="E79" s="188">
        <v>25870.42</v>
      </c>
      <c r="F79" s="189">
        <f t="shared" si="17"/>
        <v>26749.52</v>
      </c>
      <c r="G79" s="200">
        <v>27298.21</v>
      </c>
      <c r="H79" s="197">
        <v>0</v>
      </c>
      <c r="I79" s="188">
        <v>39254.080000000002</v>
      </c>
      <c r="J79" s="189">
        <f t="shared" si="18"/>
        <v>39254.080000000002</v>
      </c>
      <c r="K79" s="225">
        <v>33610.47</v>
      </c>
      <c r="L79" s="189">
        <v>5643.6100000000006</v>
      </c>
      <c r="M79" s="219">
        <v>40955.26</v>
      </c>
      <c r="N79" s="189">
        <f t="shared" si="19"/>
        <v>46598.87</v>
      </c>
      <c r="O79" s="225">
        <v>32834.230000000003</v>
      </c>
      <c r="P79" s="303">
        <v>13764.64</v>
      </c>
      <c r="Q79" s="219">
        <v>45510.19</v>
      </c>
      <c r="R79" s="189">
        <f t="shared" si="20"/>
        <v>59274.83</v>
      </c>
      <c r="S79" s="225">
        <v>43851.520000000004</v>
      </c>
      <c r="T79" s="303">
        <v>15423.309999999998</v>
      </c>
      <c r="U79" s="303">
        <v>51658.7</v>
      </c>
      <c r="V79" s="189">
        <f t="shared" si="21"/>
        <v>67082.009999999995</v>
      </c>
      <c r="W79" s="225"/>
      <c r="X79" s="303">
        <f t="shared" si="22"/>
        <v>67082.009999999995</v>
      </c>
      <c r="Y79" s="303"/>
      <c r="AA79" s="67">
        <f t="shared" si="23"/>
        <v>0</v>
      </c>
      <c r="AC79" t="s">
        <v>177</v>
      </c>
      <c r="AD79" t="s">
        <v>1474</v>
      </c>
      <c r="AE79" s="481">
        <f t="shared" si="24"/>
        <v>51658.7</v>
      </c>
      <c r="AF79"/>
      <c r="AG79" s="48">
        <v>2346.73</v>
      </c>
      <c r="AH79" s="48">
        <v>1495.46</v>
      </c>
      <c r="AI79" s="48">
        <v>2570.67</v>
      </c>
      <c r="AJ79" s="48">
        <v>168.72</v>
      </c>
      <c r="AK79" s="48">
        <v>3564.52</v>
      </c>
      <c r="AL79" s="48">
        <v>41512.6</v>
      </c>
      <c r="AN79"/>
      <c r="AO79"/>
      <c r="AP79" t="str">
        <f t="shared" si="25"/>
        <v>04127</v>
      </c>
      <c r="AQ79" s="481">
        <f t="shared" si="26"/>
        <v>51658.7</v>
      </c>
    </row>
    <row r="80" spans="1:43">
      <c r="A80" s="217">
        <v>73</v>
      </c>
      <c r="B80" s="74" t="s">
        <v>179</v>
      </c>
      <c r="C80" s="74" t="s">
        <v>1475</v>
      </c>
      <c r="D80" s="186">
        <v>77504.13</v>
      </c>
      <c r="E80" s="188">
        <v>293751.14</v>
      </c>
      <c r="F80" s="189">
        <f t="shared" si="17"/>
        <v>371255.27</v>
      </c>
      <c r="G80" s="200">
        <v>233052.25</v>
      </c>
      <c r="H80" s="197">
        <v>138203.02000000002</v>
      </c>
      <c r="I80" s="188">
        <v>419949.57999999996</v>
      </c>
      <c r="J80" s="189">
        <f t="shared" si="18"/>
        <v>558152.6</v>
      </c>
      <c r="K80" s="225">
        <v>371398.67000000004</v>
      </c>
      <c r="L80" s="189">
        <v>186753.92999999993</v>
      </c>
      <c r="M80" s="219">
        <v>438004.43</v>
      </c>
      <c r="N80" s="189">
        <f t="shared" si="19"/>
        <v>624758.35999999987</v>
      </c>
      <c r="O80" s="225">
        <v>394147.49000000005</v>
      </c>
      <c r="P80" s="303">
        <v>230610.86999999982</v>
      </c>
      <c r="Q80" s="219">
        <v>486490.75</v>
      </c>
      <c r="R80" s="189">
        <f t="shared" si="20"/>
        <v>717101.61999999988</v>
      </c>
      <c r="S80" s="225">
        <v>415920.89</v>
      </c>
      <c r="T80" s="303">
        <v>301180.72999999986</v>
      </c>
      <c r="U80" s="303">
        <v>505115.71</v>
      </c>
      <c r="V80" s="189">
        <f t="shared" si="21"/>
        <v>806296.44</v>
      </c>
      <c r="W80" s="225"/>
      <c r="X80" s="303">
        <f t="shared" si="22"/>
        <v>806296.44</v>
      </c>
      <c r="Y80" s="303"/>
      <c r="AA80" s="67">
        <f t="shared" si="23"/>
        <v>0</v>
      </c>
      <c r="AC80" t="s">
        <v>179</v>
      </c>
      <c r="AD80" t="s">
        <v>1476</v>
      </c>
      <c r="AE80" s="481">
        <f t="shared" si="24"/>
        <v>505115.71</v>
      </c>
      <c r="AF80"/>
      <c r="AG80" s="48">
        <v>13408.31</v>
      </c>
      <c r="AH80" s="48">
        <v>0</v>
      </c>
      <c r="AI80" s="48">
        <v>8818.3799999999992</v>
      </c>
      <c r="AJ80" s="48">
        <v>2089.85</v>
      </c>
      <c r="AK80" s="48">
        <v>78171.5</v>
      </c>
      <c r="AL80" s="48">
        <v>402627.67000000004</v>
      </c>
      <c r="AN80"/>
      <c r="AO80"/>
      <c r="AP80" t="str">
        <f t="shared" si="25"/>
        <v>17216</v>
      </c>
      <c r="AQ80" s="481">
        <f t="shared" si="26"/>
        <v>505115.71</v>
      </c>
    </row>
    <row r="81" spans="1:43">
      <c r="A81" s="217">
        <v>74</v>
      </c>
      <c r="B81" s="74" t="s">
        <v>181</v>
      </c>
      <c r="C81" s="74" t="s">
        <v>1477</v>
      </c>
      <c r="D81" s="186">
        <v>0</v>
      </c>
      <c r="E81" s="188">
        <v>170427.08</v>
      </c>
      <c r="F81" s="189">
        <f t="shared" si="17"/>
        <v>170427.08</v>
      </c>
      <c r="G81" s="200">
        <v>170427.08</v>
      </c>
      <c r="H81" s="197">
        <v>0</v>
      </c>
      <c r="I81" s="188">
        <v>254721.88</v>
      </c>
      <c r="J81" s="189">
        <f t="shared" si="18"/>
        <v>254721.88</v>
      </c>
      <c r="K81" s="225">
        <v>245876.41000000006</v>
      </c>
      <c r="L81" s="189">
        <v>8845.469999999943</v>
      </c>
      <c r="M81" s="219">
        <v>255693.59999999998</v>
      </c>
      <c r="N81" s="189">
        <f t="shared" si="19"/>
        <v>264539.06999999995</v>
      </c>
      <c r="O81" s="225">
        <v>264539.07</v>
      </c>
      <c r="P81" s="303">
        <v>0</v>
      </c>
      <c r="Q81" s="219">
        <v>279159.19999999995</v>
      </c>
      <c r="R81" s="189">
        <f t="shared" si="20"/>
        <v>279159.19999999995</v>
      </c>
      <c r="S81" s="225">
        <v>279159.2</v>
      </c>
      <c r="T81" s="303">
        <v>0</v>
      </c>
      <c r="U81" s="303">
        <v>301067.45</v>
      </c>
      <c r="V81" s="189">
        <f t="shared" si="21"/>
        <v>301067.45</v>
      </c>
      <c r="W81" s="225"/>
      <c r="X81" s="303">
        <f t="shared" si="22"/>
        <v>301067.45</v>
      </c>
      <c r="Y81" s="303"/>
      <c r="AA81" s="67">
        <f t="shared" si="23"/>
        <v>0</v>
      </c>
      <c r="AC81" t="s">
        <v>181</v>
      </c>
      <c r="AD81" t="s">
        <v>1478</v>
      </c>
      <c r="AE81" s="481">
        <f t="shared" si="24"/>
        <v>301067.45</v>
      </c>
      <c r="AF81"/>
      <c r="AG81" s="48">
        <v>15174</v>
      </c>
      <c r="AH81" s="48">
        <v>12000.54</v>
      </c>
      <c r="AI81" s="48">
        <v>10009.66</v>
      </c>
      <c r="AJ81" s="48">
        <v>1193.3</v>
      </c>
      <c r="AK81" s="48">
        <v>33724.14</v>
      </c>
      <c r="AL81" s="48">
        <v>228965.81</v>
      </c>
      <c r="AN81"/>
      <c r="AO81"/>
      <c r="AP81" t="str">
        <f t="shared" si="25"/>
        <v>13165</v>
      </c>
      <c r="AQ81" s="481">
        <f t="shared" si="26"/>
        <v>301067.45</v>
      </c>
    </row>
    <row r="82" spans="1:43">
      <c r="A82" s="217">
        <v>75</v>
      </c>
      <c r="B82" s="191" t="s">
        <v>183</v>
      </c>
      <c r="C82" s="218" t="s">
        <v>1479</v>
      </c>
      <c r="D82" s="186">
        <v>0</v>
      </c>
      <c r="E82" s="188"/>
      <c r="F82" s="189">
        <f t="shared" si="17"/>
        <v>0</v>
      </c>
      <c r="G82" s="200"/>
      <c r="H82" s="196">
        <v>0</v>
      </c>
      <c r="I82" s="188"/>
      <c r="J82" s="189">
        <f t="shared" si="18"/>
        <v>0</v>
      </c>
      <c r="K82" s="225"/>
      <c r="L82" s="189">
        <v>0</v>
      </c>
      <c r="M82" s="219"/>
      <c r="N82" s="189">
        <f t="shared" si="19"/>
        <v>0</v>
      </c>
      <c r="O82" s="87"/>
      <c r="P82"/>
      <c r="Q82" s="219"/>
      <c r="R82" s="189">
        <f t="shared" si="20"/>
        <v>0</v>
      </c>
      <c r="S82" s="225">
        <v>0</v>
      </c>
      <c r="T82" s="303">
        <v>0</v>
      </c>
      <c r="U82" s="303"/>
      <c r="V82" s="189">
        <f t="shared" si="21"/>
        <v>0</v>
      </c>
      <c r="W82" s="225"/>
      <c r="X82" s="303">
        <f t="shared" si="22"/>
        <v>0</v>
      </c>
      <c r="Y82" s="303"/>
      <c r="AA82" s="67">
        <f t="shared" si="23"/>
        <v>0</v>
      </c>
      <c r="AC82" s="191" t="s">
        <v>183</v>
      </c>
      <c r="AD82"/>
      <c r="AE82" s="481"/>
      <c r="AF82"/>
      <c r="AG82" s="48"/>
      <c r="AH82" s="48"/>
      <c r="AI82" s="48"/>
      <c r="AJ82" s="48"/>
      <c r="AK82" s="48"/>
      <c r="AL82" s="48"/>
      <c r="AN82"/>
      <c r="AO82"/>
      <c r="AP82" t="str">
        <f t="shared" si="25"/>
        <v>06701</v>
      </c>
      <c r="AQ82" s="481">
        <f t="shared" si="26"/>
        <v>0</v>
      </c>
    </row>
    <row r="83" spans="1:43">
      <c r="A83" s="217">
        <v>76</v>
      </c>
      <c r="B83" s="74" t="s">
        <v>185</v>
      </c>
      <c r="C83" s="218" t="s">
        <v>1480</v>
      </c>
      <c r="D83" s="186">
        <v>0</v>
      </c>
      <c r="E83" s="188"/>
      <c r="F83" s="189">
        <f t="shared" si="17"/>
        <v>0</v>
      </c>
      <c r="G83" s="200"/>
      <c r="H83" s="196">
        <v>0</v>
      </c>
      <c r="I83" s="188"/>
      <c r="J83" s="189">
        <f t="shared" si="18"/>
        <v>0</v>
      </c>
      <c r="K83" s="225"/>
      <c r="L83" s="189">
        <v>0</v>
      </c>
      <c r="M83" s="219"/>
      <c r="N83" s="189">
        <f t="shared" si="19"/>
        <v>0</v>
      </c>
      <c r="O83" s="87"/>
      <c r="P83"/>
      <c r="Q83" s="219"/>
      <c r="R83" s="189">
        <f t="shared" si="20"/>
        <v>0</v>
      </c>
      <c r="S83" s="225"/>
      <c r="T83" s="303">
        <v>0</v>
      </c>
      <c r="U83" s="303"/>
      <c r="V83" s="189">
        <f t="shared" si="21"/>
        <v>0</v>
      </c>
      <c r="W83" s="225"/>
      <c r="X83" s="303">
        <f t="shared" si="22"/>
        <v>0</v>
      </c>
      <c r="Y83" s="303"/>
      <c r="AA83" s="67">
        <f t="shared" si="23"/>
        <v>0</v>
      </c>
      <c r="AC83" s="74" t="s">
        <v>185</v>
      </c>
      <c r="AD83"/>
      <c r="AE83" s="481"/>
      <c r="AF83"/>
      <c r="AG83" s="48"/>
      <c r="AH83" s="48"/>
      <c r="AI83" s="48"/>
      <c r="AJ83" s="48"/>
      <c r="AK83" s="48"/>
      <c r="AL83" s="48"/>
      <c r="AN83"/>
      <c r="AO83"/>
      <c r="AP83" t="str">
        <f t="shared" si="25"/>
        <v>32801</v>
      </c>
      <c r="AQ83" s="481">
        <f t="shared" si="26"/>
        <v>0</v>
      </c>
    </row>
    <row r="84" spans="1:43">
      <c r="A84" s="217">
        <v>77</v>
      </c>
      <c r="B84" s="191" t="s">
        <v>187</v>
      </c>
      <c r="C84" s="218" t="s">
        <v>1481</v>
      </c>
      <c r="D84" s="186">
        <v>0</v>
      </c>
      <c r="E84" s="188"/>
      <c r="F84" s="189">
        <f t="shared" si="17"/>
        <v>0</v>
      </c>
      <c r="G84" s="200"/>
      <c r="H84" s="196">
        <v>0</v>
      </c>
      <c r="I84" s="188"/>
      <c r="J84" s="189">
        <f t="shared" si="18"/>
        <v>0</v>
      </c>
      <c r="K84" s="225"/>
      <c r="L84" s="189">
        <v>0</v>
      </c>
      <c r="M84" s="219"/>
      <c r="N84" s="189">
        <f t="shared" si="19"/>
        <v>0</v>
      </c>
      <c r="O84" s="87"/>
      <c r="P84"/>
      <c r="Q84" s="219"/>
      <c r="R84" s="189">
        <f t="shared" si="20"/>
        <v>0</v>
      </c>
      <c r="S84" s="225">
        <v>0</v>
      </c>
      <c r="T84" s="303">
        <v>0</v>
      </c>
      <c r="U84" s="303"/>
      <c r="V84" s="189">
        <f t="shared" si="21"/>
        <v>0</v>
      </c>
      <c r="W84" s="225"/>
      <c r="X84" s="303">
        <f t="shared" si="22"/>
        <v>0</v>
      </c>
      <c r="Y84" s="303"/>
      <c r="AA84" s="67">
        <f t="shared" si="23"/>
        <v>0</v>
      </c>
      <c r="AC84" s="191" t="s">
        <v>187</v>
      </c>
      <c r="AD84"/>
      <c r="AE84" s="481"/>
      <c r="AF84"/>
      <c r="AG84" s="48"/>
      <c r="AH84" s="48"/>
      <c r="AI84" s="48"/>
      <c r="AJ84" s="48"/>
      <c r="AK84" s="48"/>
      <c r="AL84" s="48"/>
      <c r="AN84"/>
      <c r="AO84"/>
      <c r="AP84" t="str">
        <f t="shared" si="25"/>
        <v>39801</v>
      </c>
      <c r="AQ84" s="481">
        <f t="shared" si="26"/>
        <v>0</v>
      </c>
    </row>
    <row r="85" spans="1:43">
      <c r="A85" s="217">
        <v>78</v>
      </c>
      <c r="B85" s="191" t="s">
        <v>189</v>
      </c>
      <c r="C85" s="218" t="s">
        <v>1482</v>
      </c>
      <c r="D85" s="186">
        <v>0</v>
      </c>
      <c r="E85" s="188"/>
      <c r="F85" s="189">
        <f t="shared" si="17"/>
        <v>0</v>
      </c>
      <c r="G85" s="200"/>
      <c r="H85" s="196">
        <v>0</v>
      </c>
      <c r="I85" s="188"/>
      <c r="J85" s="189">
        <f t="shared" si="18"/>
        <v>0</v>
      </c>
      <c r="K85" s="225"/>
      <c r="L85" s="189">
        <v>0</v>
      </c>
      <c r="M85" s="219"/>
      <c r="N85" s="189">
        <f t="shared" si="19"/>
        <v>0</v>
      </c>
      <c r="O85" s="87"/>
      <c r="P85"/>
      <c r="Q85" s="219"/>
      <c r="R85" s="189">
        <f t="shared" si="20"/>
        <v>0</v>
      </c>
      <c r="S85" s="225">
        <v>0</v>
      </c>
      <c r="T85" s="303">
        <v>0</v>
      </c>
      <c r="U85" s="303">
        <v>0</v>
      </c>
      <c r="V85" s="189">
        <f t="shared" si="21"/>
        <v>0</v>
      </c>
      <c r="W85" s="225"/>
      <c r="X85" s="303">
        <f t="shared" si="22"/>
        <v>0</v>
      </c>
      <c r="Y85" s="303"/>
      <c r="AA85" s="67">
        <f t="shared" si="23"/>
        <v>0</v>
      </c>
      <c r="AC85" t="s">
        <v>189</v>
      </c>
      <c r="AD85" t="s">
        <v>1483</v>
      </c>
      <c r="AE85" s="481">
        <f>SUM(AG85:AL85)</f>
        <v>0</v>
      </c>
      <c r="AF85"/>
      <c r="AG85" s="48">
        <v>0</v>
      </c>
      <c r="AH85" s="48">
        <v>0</v>
      </c>
      <c r="AI85" s="48">
        <v>0</v>
      </c>
      <c r="AJ85" s="48">
        <v>0</v>
      </c>
      <c r="AK85" s="48">
        <v>0</v>
      </c>
      <c r="AL85" s="48">
        <v>0</v>
      </c>
      <c r="AN85"/>
      <c r="AO85"/>
      <c r="AP85" t="str">
        <f t="shared" si="25"/>
        <v>06801</v>
      </c>
      <c r="AQ85" s="481">
        <f t="shared" si="26"/>
        <v>0</v>
      </c>
    </row>
    <row r="86" spans="1:43">
      <c r="A86" s="217">
        <v>79</v>
      </c>
      <c r="B86" s="74" t="s">
        <v>191</v>
      </c>
      <c r="C86" s="218" t="s">
        <v>1484</v>
      </c>
      <c r="D86" s="186">
        <v>0</v>
      </c>
      <c r="E86" s="188"/>
      <c r="F86" s="189">
        <f t="shared" si="17"/>
        <v>0</v>
      </c>
      <c r="G86" s="200"/>
      <c r="H86" s="196">
        <v>0</v>
      </c>
      <c r="I86" s="188"/>
      <c r="J86" s="189">
        <f t="shared" si="18"/>
        <v>0</v>
      </c>
      <c r="K86" s="225"/>
      <c r="L86" s="189">
        <v>0</v>
      </c>
      <c r="M86" s="219"/>
      <c r="N86" s="189">
        <f t="shared" si="19"/>
        <v>0</v>
      </c>
      <c r="O86" s="87"/>
      <c r="P86"/>
      <c r="Q86" s="219"/>
      <c r="R86" s="189">
        <f t="shared" si="20"/>
        <v>0</v>
      </c>
      <c r="S86" s="225">
        <v>0</v>
      </c>
      <c r="T86" s="303">
        <v>0</v>
      </c>
      <c r="U86" s="303"/>
      <c r="V86" s="189">
        <f t="shared" si="21"/>
        <v>0</v>
      </c>
      <c r="W86" s="225"/>
      <c r="X86" s="303">
        <f t="shared" si="22"/>
        <v>0</v>
      </c>
      <c r="Y86" s="303"/>
      <c r="AA86" s="67">
        <f t="shared" si="23"/>
        <v>0</v>
      </c>
      <c r="AC86" s="74" t="s">
        <v>191</v>
      </c>
      <c r="AD86"/>
      <c r="AE86" s="481"/>
      <c r="AF86"/>
      <c r="AG86" s="48"/>
      <c r="AH86" s="48"/>
      <c r="AI86" s="48"/>
      <c r="AJ86" s="48"/>
      <c r="AK86" s="48"/>
      <c r="AL86" s="48"/>
      <c r="AN86"/>
      <c r="AO86"/>
      <c r="AP86" t="str">
        <f t="shared" si="25"/>
        <v>34801</v>
      </c>
      <c r="AQ86" s="481">
        <f t="shared" si="26"/>
        <v>0</v>
      </c>
    </row>
    <row r="87" spans="1:43">
      <c r="A87" s="217">
        <v>80</v>
      </c>
      <c r="B87" s="191" t="s">
        <v>193</v>
      </c>
      <c r="C87" s="218" t="s">
        <v>1485</v>
      </c>
      <c r="D87" s="186">
        <v>0</v>
      </c>
      <c r="E87" s="188"/>
      <c r="F87" s="189">
        <f t="shared" si="17"/>
        <v>0</v>
      </c>
      <c r="G87" s="200"/>
      <c r="H87" s="196">
        <v>0</v>
      </c>
      <c r="I87" s="188"/>
      <c r="J87" s="189">
        <f t="shared" si="18"/>
        <v>0</v>
      </c>
      <c r="K87" s="225"/>
      <c r="L87" s="189">
        <v>0</v>
      </c>
      <c r="M87" s="219"/>
      <c r="N87" s="189">
        <f t="shared" si="19"/>
        <v>0</v>
      </c>
      <c r="O87" s="87"/>
      <c r="P87"/>
      <c r="Q87" s="219"/>
      <c r="R87" s="189">
        <f t="shared" si="20"/>
        <v>0</v>
      </c>
      <c r="S87" s="225">
        <v>0</v>
      </c>
      <c r="T87" s="303">
        <v>0</v>
      </c>
      <c r="U87" s="303"/>
      <c r="V87" s="189">
        <f t="shared" si="21"/>
        <v>0</v>
      </c>
      <c r="W87" s="225"/>
      <c r="X87" s="303">
        <f t="shared" si="22"/>
        <v>0</v>
      </c>
      <c r="Y87" s="303"/>
      <c r="AA87" s="67">
        <f t="shared" si="23"/>
        <v>0</v>
      </c>
      <c r="AC87" s="191" t="s">
        <v>193</v>
      </c>
      <c r="AD87"/>
      <c r="AE87" s="481"/>
      <c r="AF87"/>
      <c r="AG87" s="48"/>
      <c r="AH87" s="48"/>
      <c r="AI87" s="48"/>
      <c r="AJ87" s="48"/>
      <c r="AK87" s="48"/>
      <c r="AL87" s="48"/>
      <c r="AN87"/>
      <c r="AO87"/>
      <c r="AP87" t="str">
        <f t="shared" si="25"/>
        <v>18801</v>
      </c>
      <c r="AQ87" s="481">
        <f t="shared" si="26"/>
        <v>0</v>
      </c>
    </row>
    <row r="88" spans="1:43">
      <c r="A88" s="217">
        <v>81</v>
      </c>
      <c r="B88" s="191" t="s">
        <v>195</v>
      </c>
      <c r="C88" s="218" t="s">
        <v>1486</v>
      </c>
      <c r="D88" s="186"/>
      <c r="E88" s="188"/>
      <c r="F88" s="189"/>
      <c r="G88" s="200"/>
      <c r="H88" s="196"/>
      <c r="I88" s="188"/>
      <c r="J88" s="189"/>
      <c r="K88" s="225"/>
      <c r="L88" s="189">
        <v>0</v>
      </c>
      <c r="M88" s="219"/>
      <c r="N88" s="189">
        <f t="shared" si="19"/>
        <v>0</v>
      </c>
      <c r="O88" s="87"/>
      <c r="P88"/>
      <c r="Q88" s="219"/>
      <c r="R88" s="189">
        <f t="shared" si="20"/>
        <v>0</v>
      </c>
      <c r="S88" s="225">
        <v>0</v>
      </c>
      <c r="T88" s="303">
        <v>0</v>
      </c>
      <c r="U88" s="303"/>
      <c r="V88" s="189">
        <f t="shared" si="21"/>
        <v>0</v>
      </c>
      <c r="W88" s="225"/>
      <c r="X88" s="303">
        <f t="shared" si="22"/>
        <v>0</v>
      </c>
      <c r="Y88" s="303"/>
      <c r="AA88" s="67">
        <f t="shared" si="23"/>
        <v>0</v>
      </c>
      <c r="AC88" s="191" t="s">
        <v>195</v>
      </c>
      <c r="AD88"/>
      <c r="AE88" s="481"/>
      <c r="AF88"/>
      <c r="AG88" s="48"/>
      <c r="AH88" s="48"/>
      <c r="AI88" s="48"/>
      <c r="AJ88" s="48"/>
      <c r="AK88" s="48"/>
      <c r="AL88" s="48"/>
      <c r="AN88"/>
      <c r="AO88"/>
      <c r="AP88" t="str">
        <f t="shared" si="25"/>
        <v>17801</v>
      </c>
      <c r="AQ88" s="481">
        <f t="shared" si="26"/>
        <v>0</v>
      </c>
    </row>
    <row r="89" spans="1:43">
      <c r="A89" s="217">
        <v>82</v>
      </c>
      <c r="B89" s="191" t="s">
        <v>197</v>
      </c>
      <c r="C89" s="218" t="s">
        <v>1487</v>
      </c>
      <c r="D89" s="186"/>
      <c r="E89" s="188"/>
      <c r="F89" s="189"/>
      <c r="G89" s="200"/>
      <c r="H89" s="196"/>
      <c r="I89" s="188"/>
      <c r="J89" s="189"/>
      <c r="K89" s="225"/>
      <c r="L89" s="189">
        <v>0</v>
      </c>
      <c r="M89" s="219"/>
      <c r="N89" s="189">
        <f t="shared" si="19"/>
        <v>0</v>
      </c>
      <c r="O89" s="87"/>
      <c r="P89"/>
      <c r="Q89" s="219"/>
      <c r="R89" s="189">
        <f t="shared" si="20"/>
        <v>0</v>
      </c>
      <c r="S89" s="225">
        <v>0</v>
      </c>
      <c r="T89" s="303">
        <v>0</v>
      </c>
      <c r="U89" s="303"/>
      <c r="V89" s="189">
        <f t="shared" si="21"/>
        <v>0</v>
      </c>
      <c r="W89" s="225"/>
      <c r="X89" s="303">
        <f t="shared" si="22"/>
        <v>0</v>
      </c>
      <c r="Y89" s="303"/>
      <c r="AA89" s="67">
        <f t="shared" si="23"/>
        <v>0</v>
      </c>
      <c r="AC89" s="191" t="s">
        <v>197</v>
      </c>
      <c r="AD89"/>
      <c r="AE89" s="481"/>
      <c r="AF89"/>
      <c r="AG89" s="48"/>
      <c r="AH89" s="48"/>
      <c r="AI89" s="48"/>
      <c r="AJ89" s="48"/>
      <c r="AK89" s="48"/>
      <c r="AL89" s="48"/>
      <c r="AN89"/>
      <c r="AO89"/>
      <c r="AP89" t="str">
        <f t="shared" si="25"/>
        <v>11801</v>
      </c>
      <c r="AQ89" s="481">
        <f t="shared" si="26"/>
        <v>0</v>
      </c>
    </row>
    <row r="90" spans="1:43">
      <c r="A90" s="217">
        <v>83</v>
      </c>
      <c r="B90" s="191" t="s">
        <v>199</v>
      </c>
      <c r="C90" s="218" t="s">
        <v>1488</v>
      </c>
      <c r="D90" s="186"/>
      <c r="E90" s="188"/>
      <c r="F90" s="189"/>
      <c r="G90" s="200"/>
      <c r="H90" s="196"/>
      <c r="I90" s="188"/>
      <c r="J90" s="189"/>
      <c r="K90" s="225"/>
      <c r="L90" s="189">
        <v>0</v>
      </c>
      <c r="M90" s="219"/>
      <c r="N90" s="189">
        <f t="shared" si="19"/>
        <v>0</v>
      </c>
      <c r="O90" s="87"/>
      <c r="P90"/>
      <c r="Q90" s="219"/>
      <c r="R90" s="189">
        <f t="shared" si="20"/>
        <v>0</v>
      </c>
      <c r="S90" s="225">
        <v>0</v>
      </c>
      <c r="T90" s="303">
        <v>0</v>
      </c>
      <c r="U90" s="303">
        <v>0</v>
      </c>
      <c r="V90" s="189">
        <f t="shared" si="21"/>
        <v>0</v>
      </c>
      <c r="W90" s="225"/>
      <c r="X90" s="303">
        <f t="shared" si="22"/>
        <v>0</v>
      </c>
      <c r="Y90" s="303"/>
      <c r="AA90" s="67">
        <f t="shared" si="23"/>
        <v>0</v>
      </c>
      <c r="AC90" t="s">
        <v>199</v>
      </c>
      <c r="AD90" t="s">
        <v>1489</v>
      </c>
      <c r="AE90" s="481">
        <f>SUM(AG90:AL90)</f>
        <v>0</v>
      </c>
      <c r="AF90"/>
      <c r="AG90" s="48">
        <v>0</v>
      </c>
      <c r="AH90" s="48">
        <v>0</v>
      </c>
      <c r="AI90" s="48">
        <v>0</v>
      </c>
      <c r="AJ90" s="48">
        <v>0</v>
      </c>
      <c r="AK90" s="48">
        <v>0</v>
      </c>
      <c r="AL90" s="48">
        <v>0</v>
      </c>
      <c r="AN90"/>
      <c r="AO90"/>
      <c r="AP90" t="str">
        <f t="shared" si="25"/>
        <v>04801</v>
      </c>
      <c r="AQ90" s="481">
        <f t="shared" si="26"/>
        <v>0</v>
      </c>
    </row>
    <row r="91" spans="1:43">
      <c r="A91" s="217">
        <v>84</v>
      </c>
      <c r="B91" s="74" t="s">
        <v>201</v>
      </c>
      <c r="C91" s="218" t="s">
        <v>1490</v>
      </c>
      <c r="D91" s="186"/>
      <c r="E91" s="188"/>
      <c r="F91" s="189"/>
      <c r="G91" s="200"/>
      <c r="H91" s="196"/>
      <c r="I91" s="188"/>
      <c r="J91" s="189"/>
      <c r="K91" s="225"/>
      <c r="L91" s="189">
        <v>0</v>
      </c>
      <c r="M91" s="219"/>
      <c r="N91" s="189">
        <f t="shared" si="19"/>
        <v>0</v>
      </c>
      <c r="O91" s="87"/>
      <c r="P91"/>
      <c r="Q91" s="219"/>
      <c r="R91" s="189">
        <f t="shared" si="20"/>
        <v>0</v>
      </c>
      <c r="S91" s="225">
        <v>0</v>
      </c>
      <c r="T91" s="303">
        <v>0</v>
      </c>
      <c r="U91" s="303"/>
      <c r="V91" s="189">
        <f t="shared" si="21"/>
        <v>0</v>
      </c>
      <c r="W91" s="225"/>
      <c r="X91" s="303">
        <f t="shared" si="22"/>
        <v>0</v>
      </c>
      <c r="Y91" s="303"/>
      <c r="AA91" s="67">
        <f t="shared" si="23"/>
        <v>0</v>
      </c>
      <c r="AC91" s="74" t="s">
        <v>201</v>
      </c>
      <c r="AD91"/>
      <c r="AE91" s="481"/>
      <c r="AF91"/>
      <c r="AG91" s="48"/>
      <c r="AH91" s="48"/>
      <c r="AI91" s="48"/>
      <c r="AJ91" s="48"/>
      <c r="AK91" s="48"/>
      <c r="AL91" s="48"/>
      <c r="AN91"/>
      <c r="AO91"/>
      <c r="AP91" t="str">
        <f t="shared" si="25"/>
        <v>29801</v>
      </c>
      <c r="AQ91" s="481">
        <f t="shared" si="26"/>
        <v>0</v>
      </c>
    </row>
    <row r="92" spans="1:43">
      <c r="A92" s="217">
        <v>85</v>
      </c>
      <c r="B92" s="74" t="s">
        <v>203</v>
      </c>
      <c r="C92" s="74" t="s">
        <v>1491</v>
      </c>
      <c r="D92" s="186">
        <v>0</v>
      </c>
      <c r="E92" s="188">
        <v>4173.6900000000005</v>
      </c>
      <c r="F92" s="189">
        <f t="shared" ref="F92:F118" si="27">+D92+E92</f>
        <v>4173.6900000000005</v>
      </c>
      <c r="G92" s="200">
        <v>5319.9</v>
      </c>
      <c r="H92" s="197">
        <v>0</v>
      </c>
      <c r="I92" s="188">
        <v>6343.1299999999992</v>
      </c>
      <c r="J92" s="189">
        <f t="shared" ref="J92:J118" si="28">+H92+I92</f>
        <v>6343.1299999999992</v>
      </c>
      <c r="K92" s="225">
        <v>4726.04</v>
      </c>
      <c r="L92" s="189">
        <v>1617.0899999999992</v>
      </c>
      <c r="M92" s="219">
        <v>4964.25</v>
      </c>
      <c r="N92" s="189">
        <f t="shared" si="19"/>
        <v>6581.3399999999992</v>
      </c>
      <c r="O92" s="225">
        <v>6554.11</v>
      </c>
      <c r="P92" s="303">
        <v>27.229999999999563</v>
      </c>
      <c r="Q92" s="219">
        <v>6162.79</v>
      </c>
      <c r="R92" s="189">
        <f t="shared" si="20"/>
        <v>6190.0199999999995</v>
      </c>
      <c r="S92" s="225">
        <v>7080.1799999999994</v>
      </c>
      <c r="T92" s="303">
        <v>0</v>
      </c>
      <c r="U92" s="303">
        <v>7066.31</v>
      </c>
      <c r="V92" s="189">
        <f t="shared" si="21"/>
        <v>7066.31</v>
      </c>
      <c r="W92" s="225"/>
      <c r="X92" s="303">
        <f t="shared" si="22"/>
        <v>7066.31</v>
      </c>
      <c r="Y92" s="303"/>
      <c r="AA92" s="67">
        <f t="shared" si="23"/>
        <v>0</v>
      </c>
      <c r="AC92" t="s">
        <v>203</v>
      </c>
      <c r="AD92" t="s">
        <v>1492</v>
      </c>
      <c r="AE92" s="481">
        <f t="shared" ref="AE92:AE155" si="29">SUM(AG92:AL92)</f>
        <v>7066.31</v>
      </c>
      <c r="AF92"/>
      <c r="AG92" s="48">
        <v>268.42</v>
      </c>
      <c r="AH92" s="48">
        <v>241.88</v>
      </c>
      <c r="AI92" s="48">
        <v>48.67</v>
      </c>
      <c r="AJ92" s="48">
        <v>23.6</v>
      </c>
      <c r="AK92" s="48">
        <v>549.07000000000005</v>
      </c>
      <c r="AL92" s="48">
        <v>5934.67</v>
      </c>
      <c r="AN92"/>
      <c r="AO92"/>
      <c r="AP92" t="str">
        <f t="shared" si="25"/>
        <v>21036</v>
      </c>
      <c r="AQ92" s="481">
        <f t="shared" si="26"/>
        <v>7066.31</v>
      </c>
    </row>
    <row r="93" spans="1:43">
      <c r="A93" s="217">
        <v>86</v>
      </c>
      <c r="B93" s="74" t="s">
        <v>205</v>
      </c>
      <c r="C93" s="74" t="s">
        <v>1493</v>
      </c>
      <c r="D93" s="186">
        <v>177452.33000000019</v>
      </c>
      <c r="E93" s="188">
        <v>1596736.03</v>
      </c>
      <c r="F93" s="189">
        <f t="shared" si="27"/>
        <v>1774188.3600000003</v>
      </c>
      <c r="G93" s="200">
        <v>2060807.97</v>
      </c>
      <c r="H93" s="197">
        <v>0</v>
      </c>
      <c r="I93" s="188">
        <v>2237790.2799999998</v>
      </c>
      <c r="J93" s="189">
        <f t="shared" si="28"/>
        <v>2237790.2799999998</v>
      </c>
      <c r="K93" s="225">
        <v>2078693.1300000004</v>
      </c>
      <c r="L93" s="189">
        <v>159097.14999999944</v>
      </c>
      <c r="M93" s="219">
        <v>2242836.91</v>
      </c>
      <c r="N93" s="189">
        <f t="shared" si="19"/>
        <v>2401934.0599999996</v>
      </c>
      <c r="O93" s="225">
        <v>2038303.22</v>
      </c>
      <c r="P93" s="303">
        <v>363630.83999999962</v>
      </c>
      <c r="Q93" s="219">
        <v>2405089.75</v>
      </c>
      <c r="R93" s="189">
        <f t="shared" si="20"/>
        <v>2768720.59</v>
      </c>
      <c r="S93" s="225">
        <v>2060175.2499999995</v>
      </c>
      <c r="T93" s="303">
        <v>708545.34000000032</v>
      </c>
      <c r="U93" s="303">
        <v>2451853.0099999998</v>
      </c>
      <c r="V93" s="189">
        <f t="shared" si="21"/>
        <v>3160398.35</v>
      </c>
      <c r="W93" s="225"/>
      <c r="X93" s="303">
        <f t="shared" si="22"/>
        <v>3160398.35</v>
      </c>
      <c r="Y93" s="303"/>
      <c r="AA93" s="67">
        <f t="shared" si="23"/>
        <v>0</v>
      </c>
      <c r="AC93" t="s">
        <v>205</v>
      </c>
      <c r="AD93" t="s">
        <v>1494</v>
      </c>
      <c r="AE93" s="481">
        <f t="shared" si="29"/>
        <v>2451853.0099999998</v>
      </c>
      <c r="AF93"/>
      <c r="AG93" s="48">
        <v>85768.25</v>
      </c>
      <c r="AH93" s="48">
        <v>41864.32</v>
      </c>
      <c r="AI93" s="48">
        <v>105995.59</v>
      </c>
      <c r="AJ93" s="48">
        <v>9893.52</v>
      </c>
      <c r="AK93" s="48">
        <v>306508.63</v>
      </c>
      <c r="AL93" s="48">
        <v>1901822.7</v>
      </c>
      <c r="AN93"/>
      <c r="AO93"/>
      <c r="AP93" t="str">
        <f t="shared" si="25"/>
        <v>31002</v>
      </c>
      <c r="AQ93" s="481">
        <f t="shared" si="26"/>
        <v>2451853.0099999998</v>
      </c>
    </row>
    <row r="94" spans="1:43">
      <c r="A94" s="217">
        <v>87</v>
      </c>
      <c r="B94" s="74" t="s">
        <v>207</v>
      </c>
      <c r="C94" s="74" t="s">
        <v>1495</v>
      </c>
      <c r="D94" s="186">
        <v>144749.91999999969</v>
      </c>
      <c r="E94" s="188">
        <v>1706088.6999999997</v>
      </c>
      <c r="F94" s="189">
        <f t="shared" si="27"/>
        <v>1850838.6199999994</v>
      </c>
      <c r="G94" s="200">
        <v>1202621.1100000001</v>
      </c>
      <c r="H94" s="197">
        <v>648217.50999999931</v>
      </c>
      <c r="I94" s="188">
        <v>2385497.5200000005</v>
      </c>
      <c r="J94" s="189">
        <f t="shared" si="28"/>
        <v>3033715.03</v>
      </c>
      <c r="K94" s="225">
        <v>2401826.7399999993</v>
      </c>
      <c r="L94" s="189">
        <v>631888.2900000005</v>
      </c>
      <c r="M94" s="219">
        <v>2313360.0499999998</v>
      </c>
      <c r="N94" s="189">
        <f t="shared" si="19"/>
        <v>2945248.3400000003</v>
      </c>
      <c r="O94" s="225">
        <v>3346936.4000000004</v>
      </c>
      <c r="P94" s="303">
        <v>0</v>
      </c>
      <c r="Q94" s="219">
        <v>2530760.19</v>
      </c>
      <c r="R94" s="189">
        <f t="shared" si="20"/>
        <v>2530760.19</v>
      </c>
      <c r="S94" s="225">
        <v>2689356.48</v>
      </c>
      <c r="T94" s="303">
        <v>0</v>
      </c>
      <c r="U94" s="303">
        <v>2656544.9700000002</v>
      </c>
      <c r="V94" s="189">
        <f t="shared" si="21"/>
        <v>2656544.9700000002</v>
      </c>
      <c r="W94" s="225"/>
      <c r="X94" s="303">
        <f t="shared" si="22"/>
        <v>2656544.9700000002</v>
      </c>
      <c r="Y94" s="303"/>
      <c r="AA94" s="67">
        <f t="shared" si="23"/>
        <v>0</v>
      </c>
      <c r="AC94" t="s">
        <v>207</v>
      </c>
      <c r="AD94" t="s">
        <v>1496</v>
      </c>
      <c r="AE94" s="481">
        <f t="shared" si="29"/>
        <v>2656544.9700000002</v>
      </c>
      <c r="AF94"/>
      <c r="AG94" s="48">
        <v>132183.41</v>
      </c>
      <c r="AH94" s="48">
        <v>64621.09</v>
      </c>
      <c r="AI94" s="48">
        <v>97767.93</v>
      </c>
      <c r="AJ94" s="48">
        <v>10457.35</v>
      </c>
      <c r="AK94" s="48">
        <v>349656.53</v>
      </c>
      <c r="AL94" s="48">
        <v>2001858.6600000001</v>
      </c>
      <c r="AN94"/>
      <c r="AO94"/>
      <c r="AP94" t="str">
        <f t="shared" si="25"/>
        <v>06114</v>
      </c>
      <c r="AQ94" s="481">
        <f t="shared" si="26"/>
        <v>2656544.9700000002</v>
      </c>
    </row>
    <row r="95" spans="1:43">
      <c r="A95" s="217">
        <v>88</v>
      </c>
      <c r="B95" s="74" t="s">
        <v>209</v>
      </c>
      <c r="C95" s="74" t="s">
        <v>1497</v>
      </c>
      <c r="D95" s="186">
        <v>0</v>
      </c>
      <c r="E95" s="188">
        <v>2845.8999999999996</v>
      </c>
      <c r="F95" s="189">
        <f t="shared" si="27"/>
        <v>2845.8999999999996</v>
      </c>
      <c r="G95" s="200">
        <v>2859.67</v>
      </c>
      <c r="H95" s="197">
        <v>0</v>
      </c>
      <c r="I95" s="188">
        <v>4318.3999999999996</v>
      </c>
      <c r="J95" s="189">
        <f t="shared" si="28"/>
        <v>4318.3999999999996</v>
      </c>
      <c r="K95" s="225">
        <v>5664.46</v>
      </c>
      <c r="L95" s="189">
        <v>0</v>
      </c>
      <c r="M95" s="219">
        <v>4354.3599999999997</v>
      </c>
      <c r="N95" s="189">
        <f t="shared" si="19"/>
        <v>4354.3599999999997</v>
      </c>
      <c r="O95" s="225">
        <v>5072.6900000000005</v>
      </c>
      <c r="P95" s="303">
        <v>0</v>
      </c>
      <c r="Q95" s="219">
        <v>4753.1399999999994</v>
      </c>
      <c r="R95" s="189">
        <f t="shared" si="20"/>
        <v>4753.1399999999994</v>
      </c>
      <c r="S95" s="225">
        <v>5153.53</v>
      </c>
      <c r="T95" s="303">
        <v>0</v>
      </c>
      <c r="U95" s="303">
        <v>4998.25</v>
      </c>
      <c r="V95" s="189">
        <f t="shared" si="21"/>
        <v>4998.25</v>
      </c>
      <c r="W95" s="225"/>
      <c r="X95" s="303">
        <f t="shared" si="22"/>
        <v>4998.25</v>
      </c>
      <c r="Y95" s="303"/>
      <c r="AA95" s="67">
        <f t="shared" si="23"/>
        <v>0</v>
      </c>
      <c r="AC95" t="s">
        <v>209</v>
      </c>
      <c r="AD95" t="s">
        <v>1498</v>
      </c>
      <c r="AE95" s="481">
        <f t="shared" si="29"/>
        <v>4998.25</v>
      </c>
      <c r="AF95"/>
      <c r="AG95" s="48">
        <v>266.94</v>
      </c>
      <c r="AH95" s="48">
        <v>141.58000000000001</v>
      </c>
      <c r="AI95" s="48">
        <v>0</v>
      </c>
      <c r="AJ95" s="48">
        <v>0</v>
      </c>
      <c r="AK95" s="48">
        <v>498.59</v>
      </c>
      <c r="AL95" s="48">
        <v>4091.14</v>
      </c>
      <c r="AN95"/>
      <c r="AO95"/>
      <c r="AP95" t="str">
        <f t="shared" si="25"/>
        <v>33205</v>
      </c>
      <c r="AQ95" s="481">
        <f t="shared" si="26"/>
        <v>4998.25</v>
      </c>
    </row>
    <row r="96" spans="1:43">
      <c r="A96" s="217">
        <v>89</v>
      </c>
      <c r="B96" s="74" t="s">
        <v>211</v>
      </c>
      <c r="C96" s="74" t="s">
        <v>1499</v>
      </c>
      <c r="D96" s="186">
        <v>108354.80999999994</v>
      </c>
      <c r="E96" s="188">
        <v>1661018.2500000002</v>
      </c>
      <c r="F96" s="189">
        <f t="shared" si="27"/>
        <v>1769373.06</v>
      </c>
      <c r="G96" s="200">
        <v>1440632</v>
      </c>
      <c r="H96" s="197">
        <v>328741.06000000006</v>
      </c>
      <c r="I96" s="188">
        <v>2292388.9700000002</v>
      </c>
      <c r="J96" s="189">
        <f t="shared" si="28"/>
        <v>2621130.0300000003</v>
      </c>
      <c r="K96" s="225">
        <v>2368440</v>
      </c>
      <c r="L96" s="189">
        <v>252690.03000000026</v>
      </c>
      <c r="M96" s="219">
        <v>2250711.8899999997</v>
      </c>
      <c r="N96" s="189">
        <f t="shared" si="19"/>
        <v>2503401.92</v>
      </c>
      <c r="O96" s="225">
        <v>2291520</v>
      </c>
      <c r="P96" s="303">
        <v>211881.91999999993</v>
      </c>
      <c r="Q96" s="219">
        <v>2497063.98</v>
      </c>
      <c r="R96" s="189">
        <f t="shared" si="20"/>
        <v>2708945.9</v>
      </c>
      <c r="S96" s="225">
        <v>2573000</v>
      </c>
      <c r="T96" s="303">
        <v>135945.89999999991</v>
      </c>
      <c r="U96" s="303">
        <v>2615104.5499999998</v>
      </c>
      <c r="V96" s="189">
        <f t="shared" si="21"/>
        <v>2751050.4499999997</v>
      </c>
      <c r="W96" s="225"/>
      <c r="X96" s="303">
        <f t="shared" si="22"/>
        <v>2751050.4499999997</v>
      </c>
      <c r="Y96" s="303"/>
      <c r="AA96" s="67">
        <f t="shared" si="23"/>
        <v>0</v>
      </c>
      <c r="AC96" t="s">
        <v>211</v>
      </c>
      <c r="AD96" t="s">
        <v>1500</v>
      </c>
      <c r="AE96" s="481">
        <f t="shared" si="29"/>
        <v>2615104.5499999998</v>
      </c>
      <c r="AF96"/>
      <c r="AG96" s="48">
        <v>158982.14000000001</v>
      </c>
      <c r="AH96" s="48">
        <v>96286.54</v>
      </c>
      <c r="AI96" s="48">
        <v>166033.66</v>
      </c>
      <c r="AJ96" s="48">
        <v>9900.8700000000008</v>
      </c>
      <c r="AK96" s="48">
        <v>320112.98</v>
      </c>
      <c r="AL96" s="48">
        <v>1863788.3599999999</v>
      </c>
      <c r="AN96"/>
      <c r="AO96"/>
      <c r="AP96" t="str">
        <f t="shared" si="25"/>
        <v>17210</v>
      </c>
      <c r="AQ96" s="481">
        <f t="shared" si="26"/>
        <v>2615104.5499999998</v>
      </c>
    </row>
    <row r="97" spans="1:43">
      <c r="A97" s="217">
        <v>90</v>
      </c>
      <c r="B97" s="74" t="s">
        <v>213</v>
      </c>
      <c r="C97" s="74" t="s">
        <v>1501</v>
      </c>
      <c r="D97" s="186">
        <v>0</v>
      </c>
      <c r="E97" s="188">
        <v>321900.28999999998</v>
      </c>
      <c r="F97" s="189">
        <f t="shared" si="27"/>
        <v>321900.28999999998</v>
      </c>
      <c r="G97" s="200">
        <v>190969.7</v>
      </c>
      <c r="H97" s="197">
        <v>130930.58999999997</v>
      </c>
      <c r="I97" s="188">
        <v>436880.08</v>
      </c>
      <c r="J97" s="189">
        <f t="shared" si="28"/>
        <v>567810.66999999993</v>
      </c>
      <c r="K97" s="225">
        <v>573033.88000000012</v>
      </c>
      <c r="L97" s="189">
        <v>0</v>
      </c>
      <c r="M97" s="219">
        <v>443905.46</v>
      </c>
      <c r="N97" s="189">
        <f t="shared" si="19"/>
        <v>443905.46</v>
      </c>
      <c r="O97" s="225">
        <v>233403.94</v>
      </c>
      <c r="P97" s="303">
        <v>210501.52000000002</v>
      </c>
      <c r="Q97" s="219">
        <v>503618.13</v>
      </c>
      <c r="R97" s="189">
        <f t="shared" si="20"/>
        <v>714119.65</v>
      </c>
      <c r="S97" s="225">
        <v>455631.68999999989</v>
      </c>
      <c r="T97" s="303">
        <v>258487.96000000014</v>
      </c>
      <c r="U97" s="303">
        <v>509330.59</v>
      </c>
      <c r="V97" s="189">
        <f t="shared" si="21"/>
        <v>767818.55000000016</v>
      </c>
      <c r="W97" s="225"/>
      <c r="X97" s="303">
        <f t="shared" si="22"/>
        <v>767818.55000000016</v>
      </c>
      <c r="Y97" s="303"/>
      <c r="AA97" s="67">
        <f t="shared" si="23"/>
        <v>0</v>
      </c>
      <c r="AC97" t="s">
        <v>213</v>
      </c>
      <c r="AD97" t="s">
        <v>1502</v>
      </c>
      <c r="AE97" s="481">
        <f t="shared" si="29"/>
        <v>509330.59</v>
      </c>
      <c r="AF97"/>
      <c r="AG97" s="48">
        <v>24103.29</v>
      </c>
      <c r="AH97" s="48">
        <v>10467.01</v>
      </c>
      <c r="AI97" s="48">
        <v>12177.69</v>
      </c>
      <c r="AJ97" s="48">
        <v>2067.4</v>
      </c>
      <c r="AK97" s="48">
        <v>73571.990000000005</v>
      </c>
      <c r="AL97" s="48">
        <v>386943.21</v>
      </c>
      <c r="AN97"/>
      <c r="AO97"/>
      <c r="AP97" t="str">
        <f t="shared" si="25"/>
        <v>37502</v>
      </c>
      <c r="AQ97" s="481">
        <f t="shared" si="26"/>
        <v>509330.59</v>
      </c>
    </row>
    <row r="98" spans="1:43">
      <c r="A98" s="217">
        <v>91</v>
      </c>
      <c r="B98" s="74" t="s">
        <v>215</v>
      </c>
      <c r="C98" s="74" t="s">
        <v>1503</v>
      </c>
      <c r="D98" s="186">
        <v>0</v>
      </c>
      <c r="E98" s="188">
        <v>259470.17</v>
      </c>
      <c r="F98" s="189">
        <f t="shared" si="27"/>
        <v>259470.17</v>
      </c>
      <c r="G98" s="200">
        <v>325140.93</v>
      </c>
      <c r="H98" s="197">
        <v>0</v>
      </c>
      <c r="I98" s="188">
        <v>375544.22</v>
      </c>
      <c r="J98" s="189">
        <f t="shared" si="28"/>
        <v>375544.22</v>
      </c>
      <c r="K98" s="225">
        <v>142316.31</v>
      </c>
      <c r="L98" s="189">
        <v>233227.90999999997</v>
      </c>
      <c r="M98" s="219">
        <v>382313.36999999994</v>
      </c>
      <c r="N98" s="189">
        <f t="shared" si="19"/>
        <v>615541.27999999991</v>
      </c>
      <c r="O98" s="225">
        <v>620521.55999999994</v>
      </c>
      <c r="P98" s="303">
        <v>0</v>
      </c>
      <c r="Q98" s="219">
        <v>406050.33999999997</v>
      </c>
      <c r="R98" s="189">
        <f t="shared" si="20"/>
        <v>406050.33999999997</v>
      </c>
      <c r="S98" s="225">
        <v>573206.12</v>
      </c>
      <c r="T98" s="303">
        <v>0</v>
      </c>
      <c r="U98" s="303">
        <v>435255.45</v>
      </c>
      <c r="V98" s="189">
        <f t="shared" si="21"/>
        <v>435255.45</v>
      </c>
      <c r="W98" s="225"/>
      <c r="X98" s="303">
        <f t="shared" si="22"/>
        <v>435255.45</v>
      </c>
      <c r="Y98" s="303"/>
      <c r="AA98" s="67">
        <f t="shared" si="23"/>
        <v>0</v>
      </c>
      <c r="AC98" t="s">
        <v>215</v>
      </c>
      <c r="AD98" t="s">
        <v>1504</v>
      </c>
      <c r="AE98" s="481">
        <f t="shared" si="29"/>
        <v>435255.45</v>
      </c>
      <c r="AF98"/>
      <c r="AG98" s="48">
        <v>19402.009999999998</v>
      </c>
      <c r="AH98" s="48">
        <v>85.9</v>
      </c>
      <c r="AI98" s="48">
        <v>18595.93</v>
      </c>
      <c r="AJ98" s="48">
        <v>1841.75</v>
      </c>
      <c r="AK98" s="48">
        <v>47192.22</v>
      </c>
      <c r="AL98" s="48">
        <v>348137.64</v>
      </c>
      <c r="AN98"/>
      <c r="AO98"/>
      <c r="AP98" t="str">
        <f t="shared" si="25"/>
        <v>27417</v>
      </c>
      <c r="AQ98" s="481">
        <f t="shared" si="26"/>
        <v>435255.45</v>
      </c>
    </row>
    <row r="99" spans="1:43">
      <c r="A99" s="217">
        <v>92</v>
      </c>
      <c r="B99" s="74" t="s">
        <v>217</v>
      </c>
      <c r="C99" s="74" t="s">
        <v>1505</v>
      </c>
      <c r="D99" s="186">
        <v>9969.1600000000035</v>
      </c>
      <c r="E99" s="188">
        <v>58949.61</v>
      </c>
      <c r="F99" s="189">
        <f t="shared" si="27"/>
        <v>68918.77</v>
      </c>
      <c r="G99" s="200">
        <v>48534</v>
      </c>
      <c r="H99" s="197">
        <v>20384.770000000004</v>
      </c>
      <c r="I99" s="188">
        <v>87890.25</v>
      </c>
      <c r="J99" s="189">
        <f t="shared" si="28"/>
        <v>108275.02</v>
      </c>
      <c r="K99" s="225">
        <v>63041.17</v>
      </c>
      <c r="L99" s="189">
        <v>45233.850000000006</v>
      </c>
      <c r="M99" s="219">
        <v>85590.92</v>
      </c>
      <c r="N99" s="189">
        <f t="shared" si="19"/>
        <v>130824.77</v>
      </c>
      <c r="O99" s="225">
        <v>35635.25</v>
      </c>
      <c r="P99" s="303">
        <v>95189.52</v>
      </c>
      <c r="Q99" s="219">
        <v>94571.98</v>
      </c>
      <c r="R99" s="189">
        <f t="shared" si="20"/>
        <v>189761.5</v>
      </c>
      <c r="S99" s="225">
        <v>30550.350000000002</v>
      </c>
      <c r="T99" s="303">
        <v>159211.15</v>
      </c>
      <c r="U99" s="303">
        <v>94246.900000000009</v>
      </c>
      <c r="V99" s="189">
        <f t="shared" si="21"/>
        <v>253458.05</v>
      </c>
      <c r="W99" s="225"/>
      <c r="X99" s="303">
        <f t="shared" si="22"/>
        <v>253458.05</v>
      </c>
      <c r="Y99" s="303"/>
      <c r="AA99" s="67">
        <f t="shared" si="23"/>
        <v>0</v>
      </c>
      <c r="AC99" t="s">
        <v>217</v>
      </c>
      <c r="AD99" t="s">
        <v>1506</v>
      </c>
      <c r="AE99" s="481">
        <f t="shared" si="29"/>
        <v>94246.900000000009</v>
      </c>
      <c r="AF99"/>
      <c r="AG99" s="48">
        <v>5928.77</v>
      </c>
      <c r="AH99" s="48">
        <v>3775.54</v>
      </c>
      <c r="AI99" s="48">
        <v>3986.44</v>
      </c>
      <c r="AJ99" s="48">
        <v>362.81</v>
      </c>
      <c r="AK99" s="48">
        <v>10909.32</v>
      </c>
      <c r="AL99" s="48">
        <v>69284.02</v>
      </c>
      <c r="AN99"/>
      <c r="AO99"/>
      <c r="AP99" t="str">
        <f t="shared" si="25"/>
        <v>03053</v>
      </c>
      <c r="AQ99" s="481">
        <f t="shared" si="26"/>
        <v>94246.900000000009</v>
      </c>
    </row>
    <row r="100" spans="1:43">
      <c r="A100" s="217">
        <v>93</v>
      </c>
      <c r="B100" s="74" t="s">
        <v>219</v>
      </c>
      <c r="C100" s="74" t="s">
        <v>1507</v>
      </c>
      <c r="D100" s="186">
        <v>73423.650000000023</v>
      </c>
      <c r="E100" s="188">
        <v>539315.82000000007</v>
      </c>
      <c r="F100" s="189">
        <f t="shared" si="27"/>
        <v>612739.47000000009</v>
      </c>
      <c r="G100" s="200">
        <v>359436.39</v>
      </c>
      <c r="H100" s="197">
        <v>253303.08000000007</v>
      </c>
      <c r="I100" s="188">
        <v>777238.88</v>
      </c>
      <c r="J100" s="189">
        <f t="shared" si="28"/>
        <v>1030541.9600000001</v>
      </c>
      <c r="K100" s="225">
        <v>534470.14</v>
      </c>
      <c r="L100" s="189">
        <v>496071.82000000007</v>
      </c>
      <c r="M100" s="219">
        <v>765178</v>
      </c>
      <c r="N100" s="189">
        <f t="shared" si="19"/>
        <v>1261249.82</v>
      </c>
      <c r="O100" s="225">
        <v>881404.86</v>
      </c>
      <c r="P100" s="303">
        <v>379844.96000000008</v>
      </c>
      <c r="Q100" s="219">
        <v>826494.56</v>
      </c>
      <c r="R100" s="189">
        <f t="shared" si="20"/>
        <v>1206339.52</v>
      </c>
      <c r="S100" s="225">
        <v>960429.53</v>
      </c>
      <c r="T100" s="303">
        <v>245909.99</v>
      </c>
      <c r="U100" s="303">
        <v>841145.05</v>
      </c>
      <c r="V100" s="189">
        <f t="shared" si="21"/>
        <v>1087055.04</v>
      </c>
      <c r="W100" s="225"/>
      <c r="X100" s="303">
        <f t="shared" si="22"/>
        <v>1087055.04</v>
      </c>
      <c r="Y100" s="303"/>
      <c r="AA100" s="67">
        <f t="shared" si="23"/>
        <v>0</v>
      </c>
      <c r="AC100" t="s">
        <v>219</v>
      </c>
      <c r="AD100" t="s">
        <v>1508</v>
      </c>
      <c r="AE100" s="481">
        <f t="shared" si="29"/>
        <v>841145.05</v>
      </c>
      <c r="AF100"/>
      <c r="AG100" s="48">
        <v>52094.1</v>
      </c>
      <c r="AH100" s="48">
        <v>33090.53</v>
      </c>
      <c r="AI100" s="48">
        <v>27462.62</v>
      </c>
      <c r="AJ100" s="48">
        <v>3173.52</v>
      </c>
      <c r="AK100" s="48">
        <v>111177.31</v>
      </c>
      <c r="AL100" s="48">
        <v>614146.97</v>
      </c>
      <c r="AN100"/>
      <c r="AO100"/>
      <c r="AP100" t="str">
        <f t="shared" si="25"/>
        <v>27402</v>
      </c>
      <c r="AQ100" s="481">
        <f t="shared" si="26"/>
        <v>841145.05</v>
      </c>
    </row>
    <row r="101" spans="1:43">
      <c r="A101" s="217">
        <v>94</v>
      </c>
      <c r="B101" s="74" t="s">
        <v>221</v>
      </c>
      <c r="C101" s="74" t="s">
        <v>1509</v>
      </c>
      <c r="D101" s="186">
        <v>2209.5500000000029</v>
      </c>
      <c r="E101" s="188">
        <v>53427.939999999995</v>
      </c>
      <c r="F101" s="189">
        <f t="shared" si="27"/>
        <v>55637.49</v>
      </c>
      <c r="G101" s="200">
        <v>49903.37</v>
      </c>
      <c r="H101" s="197">
        <v>5734.1199999999953</v>
      </c>
      <c r="I101" s="188">
        <v>74784.09</v>
      </c>
      <c r="J101" s="189">
        <f t="shared" si="28"/>
        <v>80518.209999999992</v>
      </c>
      <c r="K101" s="225">
        <v>79012.39</v>
      </c>
      <c r="L101" s="189">
        <v>1505.8199999999924</v>
      </c>
      <c r="M101" s="219">
        <v>77116.27</v>
      </c>
      <c r="N101" s="189">
        <f t="shared" si="19"/>
        <v>78622.09</v>
      </c>
      <c r="O101" s="225">
        <v>86171.479999999981</v>
      </c>
      <c r="P101" s="303">
        <v>0</v>
      </c>
      <c r="Q101" s="219">
        <v>87400.49</v>
      </c>
      <c r="R101" s="189">
        <f t="shared" si="20"/>
        <v>87400.49</v>
      </c>
      <c r="S101" s="225">
        <v>98601.72</v>
      </c>
      <c r="T101" s="303">
        <v>0</v>
      </c>
      <c r="U101" s="303">
        <v>84338.65</v>
      </c>
      <c r="V101" s="189">
        <f t="shared" si="21"/>
        <v>84338.65</v>
      </c>
      <c r="W101" s="225"/>
      <c r="X101" s="303">
        <f t="shared" si="22"/>
        <v>84338.65</v>
      </c>
      <c r="Y101" s="303"/>
      <c r="AA101" s="67">
        <f t="shared" si="23"/>
        <v>0</v>
      </c>
      <c r="AC101" t="s">
        <v>221</v>
      </c>
      <c r="AD101" t="s">
        <v>1510</v>
      </c>
      <c r="AE101" s="481">
        <f t="shared" si="29"/>
        <v>84338.65</v>
      </c>
      <c r="AF101"/>
      <c r="AG101" s="48">
        <v>1831.37</v>
      </c>
      <c r="AH101" s="48">
        <v>0</v>
      </c>
      <c r="AI101" s="48">
        <v>151.85</v>
      </c>
      <c r="AJ101" s="48">
        <v>371.19</v>
      </c>
      <c r="AK101" s="48">
        <v>10698.82</v>
      </c>
      <c r="AL101" s="48">
        <v>71285.42</v>
      </c>
      <c r="AN101"/>
      <c r="AO101"/>
      <c r="AP101" t="str">
        <f t="shared" si="25"/>
        <v>32358</v>
      </c>
      <c r="AQ101" s="481">
        <f t="shared" si="26"/>
        <v>84338.65</v>
      </c>
    </row>
    <row r="102" spans="1:43">
      <c r="A102" s="217">
        <v>95</v>
      </c>
      <c r="B102" s="74" t="s">
        <v>223</v>
      </c>
      <c r="C102" s="74" t="s">
        <v>1511</v>
      </c>
      <c r="D102" s="186">
        <v>3108.2700000000013</v>
      </c>
      <c r="E102" s="188">
        <v>14936.109999999999</v>
      </c>
      <c r="F102" s="189">
        <f t="shared" si="27"/>
        <v>18044.38</v>
      </c>
      <c r="G102" s="200"/>
      <c r="H102" s="197">
        <v>18044.38</v>
      </c>
      <c r="I102" s="188">
        <v>20485.8</v>
      </c>
      <c r="J102" s="189">
        <f t="shared" si="28"/>
        <v>38530.18</v>
      </c>
      <c r="K102" s="225">
        <v>12265.400000000001</v>
      </c>
      <c r="L102" s="189">
        <v>26264.78</v>
      </c>
      <c r="M102" s="219">
        <v>21084.93</v>
      </c>
      <c r="N102" s="189">
        <f t="shared" si="19"/>
        <v>47349.71</v>
      </c>
      <c r="O102" s="225">
        <v>19005.689999999999</v>
      </c>
      <c r="P102" s="303">
        <v>28344.02</v>
      </c>
      <c r="Q102" s="219">
        <v>22631.77</v>
      </c>
      <c r="R102" s="189">
        <f t="shared" si="20"/>
        <v>50975.79</v>
      </c>
      <c r="S102" s="225">
        <v>18449.78</v>
      </c>
      <c r="T102" s="303">
        <v>32526.010000000002</v>
      </c>
      <c r="U102" s="303">
        <v>22155.84</v>
      </c>
      <c r="V102" s="189">
        <f t="shared" si="21"/>
        <v>54681.850000000006</v>
      </c>
      <c r="W102" s="225"/>
      <c r="X102" s="303">
        <f t="shared" si="22"/>
        <v>54681.850000000006</v>
      </c>
      <c r="Y102" s="303"/>
      <c r="AA102" s="67">
        <f t="shared" si="23"/>
        <v>0</v>
      </c>
      <c r="AC102" t="s">
        <v>223</v>
      </c>
      <c r="AD102" t="s">
        <v>1512</v>
      </c>
      <c r="AE102" s="481">
        <f t="shared" si="29"/>
        <v>22155.84</v>
      </c>
      <c r="AF102"/>
      <c r="AG102" s="48">
        <v>632.70000000000005</v>
      </c>
      <c r="AH102" s="48">
        <v>224.17</v>
      </c>
      <c r="AI102" s="48">
        <v>0</v>
      </c>
      <c r="AJ102" s="48">
        <v>47.19</v>
      </c>
      <c r="AK102" s="48">
        <v>1526.08</v>
      </c>
      <c r="AL102" s="48">
        <v>19725.7</v>
      </c>
      <c r="AN102"/>
      <c r="AO102"/>
      <c r="AP102" t="str">
        <f t="shared" si="25"/>
        <v>38302</v>
      </c>
      <c r="AQ102" s="481">
        <f t="shared" si="26"/>
        <v>22155.84</v>
      </c>
    </row>
    <row r="103" spans="1:43">
      <c r="A103" s="217">
        <v>96</v>
      </c>
      <c r="B103" s="74" t="s">
        <v>225</v>
      </c>
      <c r="C103" s="74" t="s">
        <v>1513</v>
      </c>
      <c r="D103" s="186">
        <v>5737.32</v>
      </c>
      <c r="E103" s="188">
        <v>12353.5</v>
      </c>
      <c r="F103" s="189">
        <f t="shared" si="27"/>
        <v>18090.82</v>
      </c>
      <c r="G103" s="200">
        <v>1058.8800000000001</v>
      </c>
      <c r="H103" s="197">
        <v>17031.939999999999</v>
      </c>
      <c r="I103" s="188">
        <v>18755.11</v>
      </c>
      <c r="J103" s="189">
        <f t="shared" si="28"/>
        <v>35787.050000000003</v>
      </c>
      <c r="K103" s="225">
        <v>5967.52</v>
      </c>
      <c r="L103" s="189">
        <v>29819.530000000002</v>
      </c>
      <c r="M103" s="219">
        <v>18881.89</v>
      </c>
      <c r="N103" s="189">
        <f t="shared" si="19"/>
        <v>48701.42</v>
      </c>
      <c r="O103" s="225">
        <v>9026.86</v>
      </c>
      <c r="P103" s="303">
        <v>39674.559999999998</v>
      </c>
      <c r="Q103" s="219">
        <v>19925.75</v>
      </c>
      <c r="R103" s="189">
        <f t="shared" si="20"/>
        <v>59600.31</v>
      </c>
      <c r="S103" s="225">
        <v>13711.05</v>
      </c>
      <c r="T103" s="303">
        <v>45889.259999999995</v>
      </c>
      <c r="U103" s="303">
        <v>19869</v>
      </c>
      <c r="V103" s="189">
        <f t="shared" si="21"/>
        <v>65758.259999999995</v>
      </c>
      <c r="W103" s="225"/>
      <c r="X103" s="303">
        <f t="shared" si="22"/>
        <v>65758.259999999995</v>
      </c>
      <c r="Y103" s="303"/>
      <c r="AA103" s="67">
        <f t="shared" si="23"/>
        <v>0</v>
      </c>
      <c r="AC103" t="s">
        <v>225</v>
      </c>
      <c r="AD103" t="s">
        <v>1514</v>
      </c>
      <c r="AE103" s="481">
        <f t="shared" si="29"/>
        <v>19869</v>
      </c>
      <c r="AF103"/>
      <c r="AG103" s="48">
        <v>325.17</v>
      </c>
      <c r="AH103" s="48">
        <v>75.16</v>
      </c>
      <c r="AI103" s="48">
        <v>0</v>
      </c>
      <c r="AJ103" s="48">
        <v>0</v>
      </c>
      <c r="AK103" s="48">
        <v>0</v>
      </c>
      <c r="AL103" s="48">
        <v>19468.669999999998</v>
      </c>
      <c r="AN103"/>
      <c r="AO103"/>
      <c r="AP103" t="str">
        <f t="shared" si="25"/>
        <v>20401</v>
      </c>
      <c r="AQ103" s="481">
        <f t="shared" si="26"/>
        <v>19869</v>
      </c>
    </row>
    <row r="104" spans="1:43">
      <c r="A104" s="217">
        <v>97</v>
      </c>
      <c r="B104" s="74" t="s">
        <v>227</v>
      </c>
      <c r="C104" s="74" t="s">
        <v>1515</v>
      </c>
      <c r="D104" s="186">
        <v>0</v>
      </c>
      <c r="E104" s="188">
        <v>50810.53</v>
      </c>
      <c r="F104" s="189">
        <f t="shared" si="27"/>
        <v>50810.53</v>
      </c>
      <c r="G104" s="200">
        <v>24151.49</v>
      </c>
      <c r="H104" s="197">
        <v>26659.039999999997</v>
      </c>
      <c r="I104" s="188">
        <v>69494.28</v>
      </c>
      <c r="J104" s="189">
        <f t="shared" si="28"/>
        <v>96153.319999999992</v>
      </c>
      <c r="K104" s="225">
        <v>72335.399999999994</v>
      </c>
      <c r="L104" s="189">
        <v>23817.919999999998</v>
      </c>
      <c r="M104" s="219">
        <v>76228.539999999994</v>
      </c>
      <c r="N104" s="189">
        <f t="shared" ref="N104:N118" si="30">+L104+M104</f>
        <v>100046.45999999999</v>
      </c>
      <c r="O104" s="225">
        <v>65591.149999999994</v>
      </c>
      <c r="P104" s="303">
        <v>34455.31</v>
      </c>
      <c r="Q104" s="219">
        <v>86808.87999999999</v>
      </c>
      <c r="R104" s="189">
        <f t="shared" ref="R104:R118" si="31">+P104+Q104</f>
        <v>121264.18999999999</v>
      </c>
      <c r="S104" s="225">
        <v>121264.19</v>
      </c>
      <c r="T104" s="303">
        <v>0</v>
      </c>
      <c r="U104" s="303">
        <v>91773.540000000008</v>
      </c>
      <c r="V104" s="189">
        <f t="shared" ref="V104:V118" si="32">+T104+U104</f>
        <v>91773.540000000008</v>
      </c>
      <c r="W104" s="225"/>
      <c r="X104" s="303">
        <f t="shared" si="22"/>
        <v>91773.540000000008</v>
      </c>
      <c r="Y104" s="303"/>
      <c r="AA104" s="67">
        <f t="shared" si="23"/>
        <v>0</v>
      </c>
      <c r="AC104" t="s">
        <v>227</v>
      </c>
      <c r="AD104" t="s">
        <v>1516</v>
      </c>
      <c r="AE104" s="481">
        <f t="shared" si="29"/>
        <v>91773.540000000008</v>
      </c>
      <c r="AF104"/>
      <c r="AG104" s="48">
        <v>12814.7</v>
      </c>
      <c r="AH104" s="48">
        <v>3663.45</v>
      </c>
      <c r="AI104" s="48">
        <v>2867.05</v>
      </c>
      <c r="AJ104" s="48">
        <v>1246.22</v>
      </c>
      <c r="AK104" s="48">
        <v>0</v>
      </c>
      <c r="AL104" s="48">
        <v>71182.12000000001</v>
      </c>
      <c r="AN104"/>
      <c r="AO104"/>
      <c r="AP104" t="str">
        <f t="shared" si="25"/>
        <v>20404</v>
      </c>
      <c r="AQ104" s="481">
        <f t="shared" si="26"/>
        <v>91773.540000000008</v>
      </c>
    </row>
    <row r="105" spans="1:43">
      <c r="A105" s="217">
        <v>98</v>
      </c>
      <c r="B105" s="74" t="s">
        <v>229</v>
      </c>
      <c r="C105" s="74" t="s">
        <v>1517</v>
      </c>
      <c r="D105" s="186">
        <v>0</v>
      </c>
      <c r="E105" s="188">
        <v>46050.359999999993</v>
      </c>
      <c r="F105" s="189">
        <f t="shared" si="27"/>
        <v>46050.359999999993</v>
      </c>
      <c r="G105" s="200">
        <v>58915.99</v>
      </c>
      <c r="H105" s="197">
        <v>0</v>
      </c>
      <c r="I105" s="188">
        <v>65671.679999999993</v>
      </c>
      <c r="J105" s="189">
        <f t="shared" si="28"/>
        <v>65671.679999999993</v>
      </c>
      <c r="K105" s="225">
        <v>55155.240000000005</v>
      </c>
      <c r="L105" s="189">
        <v>10516.439999999988</v>
      </c>
      <c r="M105" s="219">
        <v>65719.570000000007</v>
      </c>
      <c r="N105" s="189">
        <f t="shared" si="30"/>
        <v>76236.009999999995</v>
      </c>
      <c r="O105" s="225">
        <v>60072.409999999996</v>
      </c>
      <c r="P105" s="303">
        <v>16163.599999999999</v>
      </c>
      <c r="Q105" s="219">
        <v>74123.59</v>
      </c>
      <c r="R105" s="189">
        <f t="shared" si="31"/>
        <v>90287.19</v>
      </c>
      <c r="S105" s="225">
        <v>90287.6</v>
      </c>
      <c r="T105" s="303">
        <v>0</v>
      </c>
      <c r="U105" s="303">
        <v>72630.95</v>
      </c>
      <c r="V105" s="189">
        <f t="shared" si="32"/>
        <v>72630.95</v>
      </c>
      <c r="W105" s="225"/>
      <c r="X105" s="303">
        <f t="shared" si="22"/>
        <v>72630.95</v>
      </c>
      <c r="Y105" s="303"/>
      <c r="AA105" s="67">
        <f t="shared" si="23"/>
        <v>0</v>
      </c>
      <c r="AC105" t="s">
        <v>229</v>
      </c>
      <c r="AD105" t="s">
        <v>1518</v>
      </c>
      <c r="AE105" s="481">
        <f t="shared" si="29"/>
        <v>72630.95</v>
      </c>
      <c r="AF105"/>
      <c r="AG105" s="48">
        <v>5052.72</v>
      </c>
      <c r="AH105" s="48">
        <v>3154.64</v>
      </c>
      <c r="AI105" s="48">
        <v>0</v>
      </c>
      <c r="AJ105" s="48">
        <v>297.91000000000003</v>
      </c>
      <c r="AK105" s="48">
        <v>9411.39</v>
      </c>
      <c r="AL105" s="48">
        <v>54714.29</v>
      </c>
      <c r="AN105"/>
      <c r="AO105"/>
      <c r="AP105" t="str">
        <f t="shared" si="25"/>
        <v>13301</v>
      </c>
      <c r="AQ105" s="481">
        <f t="shared" si="26"/>
        <v>72630.95</v>
      </c>
    </row>
    <row r="106" spans="1:43">
      <c r="A106" s="217">
        <v>99</v>
      </c>
      <c r="B106" s="74" t="s">
        <v>231</v>
      </c>
      <c r="C106" s="74" t="s">
        <v>1519</v>
      </c>
      <c r="D106" s="186">
        <v>0</v>
      </c>
      <c r="E106" s="188">
        <v>251678.83000000002</v>
      </c>
      <c r="F106" s="189">
        <f t="shared" si="27"/>
        <v>251678.83000000002</v>
      </c>
      <c r="G106" s="200">
        <v>251681.33</v>
      </c>
      <c r="H106" s="197">
        <v>0</v>
      </c>
      <c r="I106" s="188">
        <v>367544.88</v>
      </c>
      <c r="J106" s="189">
        <f t="shared" si="28"/>
        <v>367544.88</v>
      </c>
      <c r="K106" s="225">
        <v>368484.41999999993</v>
      </c>
      <c r="L106" s="189">
        <v>0</v>
      </c>
      <c r="M106" s="219">
        <v>366320.28</v>
      </c>
      <c r="N106" s="189">
        <f t="shared" si="30"/>
        <v>366320.28</v>
      </c>
      <c r="O106" s="225">
        <v>366320.27999999997</v>
      </c>
      <c r="P106" s="303">
        <v>5.8207660913467407E-11</v>
      </c>
      <c r="Q106" s="219">
        <v>394864.37</v>
      </c>
      <c r="R106" s="189">
        <f t="shared" si="31"/>
        <v>394864.37000000005</v>
      </c>
      <c r="S106" s="225">
        <v>395165.57</v>
      </c>
      <c r="T106" s="303">
        <v>0</v>
      </c>
      <c r="U106" s="303">
        <v>411126.13999999996</v>
      </c>
      <c r="V106" s="189">
        <f t="shared" si="32"/>
        <v>411126.13999999996</v>
      </c>
      <c r="W106" s="225"/>
      <c r="X106" s="303">
        <f t="shared" si="22"/>
        <v>411126.13999999996</v>
      </c>
      <c r="Y106" s="303"/>
      <c r="AA106" s="67">
        <f t="shared" si="23"/>
        <v>0</v>
      </c>
      <c r="AC106" t="s">
        <v>231</v>
      </c>
      <c r="AD106" t="s">
        <v>1520</v>
      </c>
      <c r="AE106" s="481">
        <f t="shared" si="29"/>
        <v>411126.13999999996</v>
      </c>
      <c r="AF106"/>
      <c r="AG106" s="48">
        <v>28822.38</v>
      </c>
      <c r="AH106" s="48">
        <v>15037.25</v>
      </c>
      <c r="AI106" s="48">
        <v>26565.91</v>
      </c>
      <c r="AJ106" s="48">
        <v>1483.67</v>
      </c>
      <c r="AK106" s="48">
        <v>52591.839999999997</v>
      </c>
      <c r="AL106" s="48">
        <v>286625.08999999997</v>
      </c>
      <c r="AN106"/>
      <c r="AO106"/>
      <c r="AP106" t="str">
        <f t="shared" si="25"/>
        <v>39200</v>
      </c>
      <c r="AQ106" s="481">
        <f t="shared" si="26"/>
        <v>411126.13999999996</v>
      </c>
    </row>
    <row r="107" spans="1:43">
      <c r="A107" s="217">
        <v>100</v>
      </c>
      <c r="B107" s="74" t="s">
        <v>233</v>
      </c>
      <c r="C107" s="74" t="s">
        <v>1521</v>
      </c>
      <c r="D107" s="186">
        <v>0</v>
      </c>
      <c r="E107" s="188">
        <v>104427.12999999999</v>
      </c>
      <c r="F107" s="189">
        <f t="shared" si="27"/>
        <v>104427.12999999999</v>
      </c>
      <c r="G107" s="200">
        <v>78999.83</v>
      </c>
      <c r="H107" s="197">
        <v>25427.299999999988</v>
      </c>
      <c r="I107" s="188">
        <v>155675.93</v>
      </c>
      <c r="J107" s="189">
        <f t="shared" si="28"/>
        <v>181103.22999999998</v>
      </c>
      <c r="K107" s="225">
        <v>150164.44999999998</v>
      </c>
      <c r="L107" s="189">
        <v>30938.78</v>
      </c>
      <c r="M107" s="219">
        <v>159424.28000000003</v>
      </c>
      <c r="N107" s="189">
        <f t="shared" si="30"/>
        <v>190363.06000000003</v>
      </c>
      <c r="O107" s="225">
        <v>105948.44</v>
      </c>
      <c r="P107" s="303">
        <v>84414.620000000024</v>
      </c>
      <c r="Q107" s="219">
        <v>170199.05</v>
      </c>
      <c r="R107" s="189">
        <f t="shared" si="31"/>
        <v>254613.67</v>
      </c>
      <c r="S107" s="225">
        <v>183287.07</v>
      </c>
      <c r="T107" s="303">
        <v>71326.600000000006</v>
      </c>
      <c r="U107" s="303">
        <v>168950.19</v>
      </c>
      <c r="V107" s="189">
        <f t="shared" si="32"/>
        <v>240276.79</v>
      </c>
      <c r="W107" s="225"/>
      <c r="X107" s="303">
        <f t="shared" si="22"/>
        <v>240276.79</v>
      </c>
      <c r="Y107" s="303"/>
      <c r="AA107" s="67">
        <f t="shared" si="23"/>
        <v>0</v>
      </c>
      <c r="AC107" t="s">
        <v>233</v>
      </c>
      <c r="AD107" t="s">
        <v>1522</v>
      </c>
      <c r="AE107" s="481">
        <f t="shared" si="29"/>
        <v>168950.19</v>
      </c>
      <c r="AF107"/>
      <c r="AG107" s="48">
        <v>11974.05</v>
      </c>
      <c r="AH107" s="48">
        <v>6039.39</v>
      </c>
      <c r="AI107" s="48">
        <v>16239.22</v>
      </c>
      <c r="AJ107" s="48">
        <v>578.13</v>
      </c>
      <c r="AK107" s="48">
        <v>19378.52</v>
      </c>
      <c r="AL107" s="48">
        <v>114740.88</v>
      </c>
      <c r="AN107"/>
      <c r="AO107"/>
      <c r="AP107" t="str">
        <f t="shared" si="25"/>
        <v>39204</v>
      </c>
      <c r="AQ107" s="481">
        <f t="shared" si="26"/>
        <v>168950.19</v>
      </c>
    </row>
    <row r="108" spans="1:43">
      <c r="A108" s="217">
        <v>101</v>
      </c>
      <c r="B108" s="74" t="s">
        <v>235</v>
      </c>
      <c r="C108" s="74" t="s">
        <v>1523</v>
      </c>
      <c r="D108" s="186">
        <v>64084.380000000005</v>
      </c>
      <c r="E108" s="188">
        <v>141560.62</v>
      </c>
      <c r="F108" s="189">
        <f t="shared" si="27"/>
        <v>205645</v>
      </c>
      <c r="G108" s="200">
        <v>125136</v>
      </c>
      <c r="H108" s="197">
        <v>80509</v>
      </c>
      <c r="I108" s="188">
        <v>203918.41000000003</v>
      </c>
      <c r="J108" s="189">
        <f t="shared" si="28"/>
        <v>284427.41000000003</v>
      </c>
      <c r="K108" s="225">
        <v>255685.08999999997</v>
      </c>
      <c r="L108" s="189">
        <v>28742.320000000065</v>
      </c>
      <c r="M108" s="219">
        <v>214574.25</v>
      </c>
      <c r="N108" s="189">
        <f t="shared" si="30"/>
        <v>243316.57000000007</v>
      </c>
      <c r="O108" s="225">
        <v>213081.1</v>
      </c>
      <c r="P108" s="303">
        <v>30235.470000000059</v>
      </c>
      <c r="Q108" s="219">
        <v>232577.49</v>
      </c>
      <c r="R108" s="189">
        <f t="shared" si="31"/>
        <v>262812.96000000008</v>
      </c>
      <c r="S108" s="225">
        <v>326085.92000000004</v>
      </c>
      <c r="T108" s="303">
        <v>0</v>
      </c>
      <c r="U108" s="303">
        <v>242656.78</v>
      </c>
      <c r="V108" s="189">
        <f t="shared" si="32"/>
        <v>242656.78</v>
      </c>
      <c r="W108" s="225"/>
      <c r="X108" s="303">
        <f t="shared" si="22"/>
        <v>242656.78</v>
      </c>
      <c r="Y108" s="303"/>
      <c r="AA108" s="67">
        <f t="shared" si="23"/>
        <v>0</v>
      </c>
      <c r="AC108" t="s">
        <v>235</v>
      </c>
      <c r="AD108" t="s">
        <v>1524</v>
      </c>
      <c r="AE108" s="481">
        <f t="shared" si="29"/>
        <v>242656.78</v>
      </c>
      <c r="AF108"/>
      <c r="AG108" s="48">
        <v>10018.15</v>
      </c>
      <c r="AH108" s="48">
        <v>1232.23</v>
      </c>
      <c r="AI108" s="48">
        <v>2471.09</v>
      </c>
      <c r="AJ108" s="48">
        <v>1070.3699999999999</v>
      </c>
      <c r="AK108" s="48">
        <v>40372.78</v>
      </c>
      <c r="AL108" s="48">
        <v>187492.16</v>
      </c>
      <c r="AN108"/>
      <c r="AO108"/>
      <c r="AP108" t="str">
        <f t="shared" si="25"/>
        <v>31332</v>
      </c>
      <c r="AQ108" s="481">
        <f t="shared" si="26"/>
        <v>242656.78</v>
      </c>
    </row>
    <row r="109" spans="1:43">
      <c r="A109" s="217">
        <v>102</v>
      </c>
      <c r="B109" s="74" t="s">
        <v>237</v>
      </c>
      <c r="C109" s="74" t="s">
        <v>1525</v>
      </c>
      <c r="D109" s="186">
        <v>0</v>
      </c>
      <c r="E109" s="188">
        <v>12636.81</v>
      </c>
      <c r="F109" s="189">
        <f t="shared" si="27"/>
        <v>12636.81</v>
      </c>
      <c r="G109" s="200">
        <v>17241.560000000001</v>
      </c>
      <c r="H109" s="197">
        <v>0</v>
      </c>
      <c r="I109" s="188">
        <v>17491.39</v>
      </c>
      <c r="J109" s="189">
        <f t="shared" si="28"/>
        <v>17491.39</v>
      </c>
      <c r="K109" s="225">
        <v>20859.13</v>
      </c>
      <c r="L109" s="189">
        <v>0</v>
      </c>
      <c r="M109" s="219">
        <v>20504.309999999998</v>
      </c>
      <c r="N109" s="189">
        <f t="shared" si="30"/>
        <v>20504.309999999998</v>
      </c>
      <c r="O109" s="225">
        <v>27367.17</v>
      </c>
      <c r="P109" s="303">
        <v>0</v>
      </c>
      <c r="Q109" s="219">
        <v>23229.980000000003</v>
      </c>
      <c r="R109" s="189">
        <f t="shared" si="31"/>
        <v>23229.980000000003</v>
      </c>
      <c r="S109" s="225">
        <v>32509.79</v>
      </c>
      <c r="T109" s="303">
        <v>0</v>
      </c>
      <c r="U109" s="303">
        <v>23910.94</v>
      </c>
      <c r="V109" s="189">
        <f t="shared" si="32"/>
        <v>23910.94</v>
      </c>
      <c r="W109" s="225"/>
      <c r="X109" s="303">
        <f t="shared" si="22"/>
        <v>23910.94</v>
      </c>
      <c r="Y109" s="303"/>
      <c r="AA109" s="67">
        <f t="shared" si="23"/>
        <v>0</v>
      </c>
      <c r="AC109" t="s">
        <v>237</v>
      </c>
      <c r="AD109" t="s">
        <v>1526</v>
      </c>
      <c r="AE109" s="481">
        <f t="shared" si="29"/>
        <v>23910.94</v>
      </c>
      <c r="AF109"/>
      <c r="AG109" s="48">
        <v>1128.7</v>
      </c>
      <c r="AH109" s="48">
        <v>0</v>
      </c>
      <c r="AI109" s="48">
        <v>0</v>
      </c>
      <c r="AJ109" s="48">
        <v>98.49</v>
      </c>
      <c r="AK109" s="48">
        <v>3720.83</v>
      </c>
      <c r="AL109" s="48">
        <v>18962.919999999998</v>
      </c>
      <c r="AN109"/>
      <c r="AO109"/>
      <c r="AP109" t="str">
        <f t="shared" si="25"/>
        <v>23054</v>
      </c>
      <c r="AQ109" s="481">
        <f t="shared" si="26"/>
        <v>23910.94</v>
      </c>
    </row>
    <row r="110" spans="1:43">
      <c r="A110" s="217">
        <v>103</v>
      </c>
      <c r="B110" s="74" t="s">
        <v>239</v>
      </c>
      <c r="C110" s="74" t="s">
        <v>1527</v>
      </c>
      <c r="D110" s="186">
        <v>142.74</v>
      </c>
      <c r="E110" s="188">
        <v>2932.4700000000003</v>
      </c>
      <c r="F110" s="189">
        <f t="shared" si="27"/>
        <v>3075.21</v>
      </c>
      <c r="G110" s="200">
        <v>413.21</v>
      </c>
      <c r="H110" s="197">
        <v>2662</v>
      </c>
      <c r="I110" s="188">
        <v>4350.7</v>
      </c>
      <c r="J110" s="189">
        <f t="shared" si="28"/>
        <v>7012.7</v>
      </c>
      <c r="K110" s="225">
        <v>4362.8</v>
      </c>
      <c r="L110" s="189">
        <v>2649.8999999999996</v>
      </c>
      <c r="M110" s="219">
        <v>4211.3999999999996</v>
      </c>
      <c r="N110" s="189">
        <f t="shared" si="30"/>
        <v>6861.2999999999993</v>
      </c>
      <c r="O110" s="225">
        <v>3025.29</v>
      </c>
      <c r="P110" s="303">
        <v>3836.0099999999993</v>
      </c>
      <c r="Q110" s="219">
        <v>4771.12</v>
      </c>
      <c r="R110" s="189">
        <f t="shared" si="31"/>
        <v>8607.1299999999992</v>
      </c>
      <c r="S110" s="225">
        <v>3566.8</v>
      </c>
      <c r="T110" s="303">
        <v>5040.329999999999</v>
      </c>
      <c r="U110" s="303">
        <v>4620.67</v>
      </c>
      <c r="V110" s="189">
        <f t="shared" si="32"/>
        <v>9661</v>
      </c>
      <c r="W110" s="225"/>
      <c r="X110" s="303">
        <f t="shared" si="22"/>
        <v>9661</v>
      </c>
      <c r="Y110" s="303"/>
      <c r="AA110" s="67">
        <f t="shared" si="23"/>
        <v>0</v>
      </c>
      <c r="AC110" t="s">
        <v>239</v>
      </c>
      <c r="AD110" t="s">
        <v>1528</v>
      </c>
      <c r="AE110" s="481">
        <f t="shared" si="29"/>
        <v>4620.67</v>
      </c>
      <c r="AF110"/>
      <c r="AG110" s="48">
        <v>143.06</v>
      </c>
      <c r="AH110" s="48">
        <v>0</v>
      </c>
      <c r="AI110" s="48">
        <v>0</v>
      </c>
      <c r="AJ110" s="48">
        <v>0</v>
      </c>
      <c r="AK110" s="48">
        <v>603.26</v>
      </c>
      <c r="AL110" s="48">
        <v>3874.35</v>
      </c>
      <c r="AN110"/>
      <c r="AO110"/>
      <c r="AP110" t="str">
        <f t="shared" si="25"/>
        <v>32312</v>
      </c>
      <c r="AQ110" s="481">
        <f t="shared" si="26"/>
        <v>4620.67</v>
      </c>
    </row>
    <row r="111" spans="1:43">
      <c r="A111" s="217">
        <v>104</v>
      </c>
      <c r="B111" s="74" t="s">
        <v>241</v>
      </c>
      <c r="C111" s="74" t="s">
        <v>1529</v>
      </c>
      <c r="D111" s="186">
        <v>581.68000000000029</v>
      </c>
      <c r="E111" s="188">
        <v>9329.5500000000011</v>
      </c>
      <c r="F111" s="189">
        <f t="shared" si="27"/>
        <v>9911.2300000000014</v>
      </c>
      <c r="G111" s="200">
        <v>9842.65</v>
      </c>
      <c r="H111" s="197">
        <v>68.580000000001746</v>
      </c>
      <c r="I111" s="188">
        <v>13839.099999999999</v>
      </c>
      <c r="J111" s="189">
        <f t="shared" si="28"/>
        <v>13907.68</v>
      </c>
      <c r="K111" s="225">
        <v>13833.869999999999</v>
      </c>
      <c r="L111" s="189">
        <v>73.81000000000131</v>
      </c>
      <c r="M111" s="219">
        <v>13793.82</v>
      </c>
      <c r="N111" s="189">
        <f t="shared" si="30"/>
        <v>13867.630000000001</v>
      </c>
      <c r="O111" s="225">
        <v>14516.5</v>
      </c>
      <c r="P111" s="303">
        <v>0</v>
      </c>
      <c r="Q111" s="219">
        <v>16307.72</v>
      </c>
      <c r="R111" s="189">
        <f t="shared" si="31"/>
        <v>16307.72</v>
      </c>
      <c r="S111" s="225">
        <v>14328.02</v>
      </c>
      <c r="T111" s="303">
        <v>1979.6999999999989</v>
      </c>
      <c r="U111" s="303">
        <v>17268.3</v>
      </c>
      <c r="V111" s="189">
        <f t="shared" si="32"/>
        <v>19248</v>
      </c>
      <c r="W111" s="225"/>
      <c r="X111" s="303">
        <f t="shared" si="22"/>
        <v>19248</v>
      </c>
      <c r="Y111" s="303"/>
      <c r="AA111" s="67">
        <f t="shared" si="23"/>
        <v>0</v>
      </c>
      <c r="AC111" t="s">
        <v>241</v>
      </c>
      <c r="AD111" t="s">
        <v>1530</v>
      </c>
      <c r="AE111" s="481">
        <f t="shared" si="29"/>
        <v>17268.3</v>
      </c>
      <c r="AF111"/>
      <c r="AG111" s="48">
        <v>623.76</v>
      </c>
      <c r="AH111" s="48">
        <v>0</v>
      </c>
      <c r="AI111" s="48">
        <v>0</v>
      </c>
      <c r="AJ111" s="48">
        <v>75.040000000000006</v>
      </c>
      <c r="AK111" s="48">
        <v>0</v>
      </c>
      <c r="AL111" s="48">
        <v>16569.5</v>
      </c>
      <c r="AN111"/>
      <c r="AO111"/>
      <c r="AP111" t="str">
        <f t="shared" si="25"/>
        <v>06103</v>
      </c>
      <c r="AQ111" s="481">
        <f t="shared" si="26"/>
        <v>17268.3</v>
      </c>
    </row>
    <row r="112" spans="1:43">
      <c r="A112" s="217">
        <v>105</v>
      </c>
      <c r="B112" s="74" t="s">
        <v>243</v>
      </c>
      <c r="C112" s="74" t="s">
        <v>1531</v>
      </c>
      <c r="D112" s="186">
        <v>0</v>
      </c>
      <c r="E112" s="188">
        <v>38176.33</v>
      </c>
      <c r="F112" s="189">
        <f t="shared" si="27"/>
        <v>38176.33</v>
      </c>
      <c r="G112" s="200">
        <v>29603.32</v>
      </c>
      <c r="H112" s="197">
        <v>8573.010000000002</v>
      </c>
      <c r="I112" s="188">
        <v>54575.31</v>
      </c>
      <c r="J112" s="189">
        <f t="shared" si="28"/>
        <v>63148.32</v>
      </c>
      <c r="K112" s="225">
        <v>60014.93</v>
      </c>
      <c r="L112" s="189">
        <v>3133.3899999999994</v>
      </c>
      <c r="M112" s="219">
        <v>55114.020000000004</v>
      </c>
      <c r="N112" s="189">
        <f t="shared" si="30"/>
        <v>58247.41</v>
      </c>
      <c r="O112" s="225">
        <v>63445.2</v>
      </c>
      <c r="P112" s="303">
        <v>0</v>
      </c>
      <c r="Q112" s="219">
        <v>56041.55</v>
      </c>
      <c r="R112" s="189">
        <f t="shared" si="31"/>
        <v>56041.55</v>
      </c>
      <c r="S112" s="225">
        <v>63667.700000000004</v>
      </c>
      <c r="T112" s="303">
        <v>0</v>
      </c>
      <c r="U112" s="303">
        <v>57803.459999999992</v>
      </c>
      <c r="V112" s="189">
        <f t="shared" si="32"/>
        <v>57803.459999999992</v>
      </c>
      <c r="W112" s="225"/>
      <c r="X112" s="303">
        <f t="shared" si="22"/>
        <v>57803.459999999992</v>
      </c>
      <c r="Y112" s="303"/>
      <c r="AA112" s="67">
        <f t="shared" si="23"/>
        <v>0</v>
      </c>
      <c r="AC112" t="s">
        <v>243</v>
      </c>
      <c r="AD112" t="s">
        <v>1532</v>
      </c>
      <c r="AE112" s="481">
        <f t="shared" si="29"/>
        <v>57803.459999999992</v>
      </c>
      <c r="AF112"/>
      <c r="AG112" s="48">
        <v>1193.1300000000001</v>
      </c>
      <c r="AH112" s="48">
        <v>0</v>
      </c>
      <c r="AI112" s="48">
        <v>0</v>
      </c>
      <c r="AJ112" s="48">
        <v>234.5</v>
      </c>
      <c r="AK112" s="48">
        <v>8830.6299999999992</v>
      </c>
      <c r="AL112" s="48">
        <v>47545.2</v>
      </c>
      <c r="AN112"/>
      <c r="AO112"/>
      <c r="AP112" t="str">
        <f t="shared" si="25"/>
        <v>34324</v>
      </c>
      <c r="AQ112" s="481">
        <f t="shared" si="26"/>
        <v>57803.459999999992</v>
      </c>
    </row>
    <row r="113" spans="1:43">
      <c r="A113" s="217">
        <v>106</v>
      </c>
      <c r="B113" s="74" t="s">
        <v>245</v>
      </c>
      <c r="C113" s="74" t="s">
        <v>1533</v>
      </c>
      <c r="D113" s="186">
        <v>914.59999999999945</v>
      </c>
      <c r="E113" s="188">
        <v>15600.23</v>
      </c>
      <c r="F113" s="189">
        <f t="shared" si="27"/>
        <v>16514.829999999998</v>
      </c>
      <c r="G113" s="200"/>
      <c r="H113" s="197">
        <v>16514.829999999998</v>
      </c>
      <c r="I113" s="188">
        <v>22758.850000000002</v>
      </c>
      <c r="J113" s="189">
        <f t="shared" si="28"/>
        <v>39273.68</v>
      </c>
      <c r="K113" s="225"/>
      <c r="L113" s="189">
        <v>39273.68</v>
      </c>
      <c r="M113" s="219">
        <v>23621.97</v>
      </c>
      <c r="N113" s="189">
        <f t="shared" si="30"/>
        <v>62895.65</v>
      </c>
      <c r="O113" s="225">
        <v>1157.26</v>
      </c>
      <c r="P113" s="303">
        <v>61738.39</v>
      </c>
      <c r="Q113" s="219">
        <v>26241.140000000003</v>
      </c>
      <c r="R113" s="189">
        <f t="shared" si="31"/>
        <v>87979.53</v>
      </c>
      <c r="S113" s="225">
        <v>18469.16</v>
      </c>
      <c r="T113" s="303">
        <v>69510.37</v>
      </c>
      <c r="U113" s="303">
        <v>25061.57</v>
      </c>
      <c r="V113" s="189">
        <f t="shared" si="32"/>
        <v>94571.94</v>
      </c>
      <c r="W113" s="225"/>
      <c r="X113" s="303">
        <f t="shared" si="22"/>
        <v>94571.94</v>
      </c>
      <c r="Y113" s="303"/>
      <c r="AA113" s="67">
        <f t="shared" si="23"/>
        <v>0</v>
      </c>
      <c r="AC113" t="s">
        <v>245</v>
      </c>
      <c r="AD113" t="s">
        <v>1534</v>
      </c>
      <c r="AE113" s="481">
        <f t="shared" si="29"/>
        <v>25061.57</v>
      </c>
      <c r="AF113"/>
      <c r="AG113" s="48">
        <v>665.67</v>
      </c>
      <c r="AH113" s="48">
        <v>587.45000000000005</v>
      </c>
      <c r="AI113" s="48">
        <v>0</v>
      </c>
      <c r="AJ113" s="48">
        <v>0</v>
      </c>
      <c r="AK113" s="48">
        <v>1943.96</v>
      </c>
      <c r="AL113" s="48">
        <v>21864.489999999998</v>
      </c>
      <c r="AN113"/>
      <c r="AO113"/>
      <c r="AP113" t="str">
        <f t="shared" si="25"/>
        <v>22204</v>
      </c>
      <c r="AQ113" s="481">
        <f t="shared" si="26"/>
        <v>25061.57</v>
      </c>
    </row>
    <row r="114" spans="1:43">
      <c r="A114" s="217">
        <v>107</v>
      </c>
      <c r="B114" s="74" t="s">
        <v>247</v>
      </c>
      <c r="C114" s="74" t="s">
        <v>1535</v>
      </c>
      <c r="D114" s="186">
        <v>12406.689999999991</v>
      </c>
      <c r="E114" s="188">
        <v>76151.5</v>
      </c>
      <c r="F114" s="189">
        <f t="shared" si="27"/>
        <v>88558.189999999988</v>
      </c>
      <c r="G114" s="200">
        <v>55367.26</v>
      </c>
      <c r="H114" s="197">
        <v>33190.929999999986</v>
      </c>
      <c r="I114" s="188">
        <v>107022.85</v>
      </c>
      <c r="J114" s="189">
        <f t="shared" si="28"/>
        <v>140213.78</v>
      </c>
      <c r="K114" s="225">
        <v>126390.23000000001</v>
      </c>
      <c r="L114" s="189">
        <v>13823.549999999988</v>
      </c>
      <c r="M114" s="219">
        <v>105293.4</v>
      </c>
      <c r="N114" s="189">
        <f t="shared" si="30"/>
        <v>119116.94999999998</v>
      </c>
      <c r="O114" s="225">
        <v>88663.01999999999</v>
      </c>
      <c r="P114" s="303">
        <v>30453.929999999993</v>
      </c>
      <c r="Q114" s="219">
        <v>119342.03</v>
      </c>
      <c r="R114" s="189">
        <f t="shared" si="31"/>
        <v>149795.96</v>
      </c>
      <c r="S114" s="225">
        <v>99913.11</v>
      </c>
      <c r="T114" s="303">
        <v>49882.849999999991</v>
      </c>
      <c r="U114" s="303">
        <v>120118.32</v>
      </c>
      <c r="V114" s="189">
        <f t="shared" si="32"/>
        <v>170001.16999999998</v>
      </c>
      <c r="W114" s="225"/>
      <c r="X114" s="303">
        <f t="shared" si="22"/>
        <v>170001.16999999998</v>
      </c>
      <c r="Y114" s="303"/>
      <c r="AA114" s="67">
        <f t="shared" si="23"/>
        <v>0</v>
      </c>
      <c r="AC114" t="s">
        <v>247</v>
      </c>
      <c r="AD114" t="s">
        <v>1536</v>
      </c>
      <c r="AE114" s="481">
        <f t="shared" si="29"/>
        <v>120118.32</v>
      </c>
      <c r="AF114"/>
      <c r="AG114" s="48">
        <v>8102.66</v>
      </c>
      <c r="AH114" s="48">
        <v>4599.96</v>
      </c>
      <c r="AI114" s="48">
        <v>7810.63</v>
      </c>
      <c r="AJ114" s="48">
        <v>446.87</v>
      </c>
      <c r="AK114" s="48">
        <v>14578.84</v>
      </c>
      <c r="AL114" s="48">
        <v>84579.36</v>
      </c>
      <c r="AN114"/>
      <c r="AO114"/>
      <c r="AP114" t="str">
        <f t="shared" si="25"/>
        <v>39203</v>
      </c>
      <c r="AQ114" s="481">
        <f t="shared" si="26"/>
        <v>120118.32</v>
      </c>
    </row>
    <row r="115" spans="1:43">
      <c r="A115" s="217">
        <v>108</v>
      </c>
      <c r="B115" s="74" t="s">
        <v>249</v>
      </c>
      <c r="C115" s="74" t="s">
        <v>1537</v>
      </c>
      <c r="D115" s="186">
        <v>48157.130000000005</v>
      </c>
      <c r="E115" s="188">
        <v>1497782.76</v>
      </c>
      <c r="F115" s="189">
        <f t="shared" si="27"/>
        <v>1545939.8900000001</v>
      </c>
      <c r="G115" s="200">
        <v>925131.03</v>
      </c>
      <c r="H115" s="197">
        <v>620808.8600000001</v>
      </c>
      <c r="I115" s="188">
        <v>2194656.54</v>
      </c>
      <c r="J115" s="189">
        <f t="shared" si="28"/>
        <v>2815465.4000000004</v>
      </c>
      <c r="K115" s="225">
        <v>3013965.89</v>
      </c>
      <c r="L115" s="189">
        <v>0</v>
      </c>
      <c r="M115" s="219">
        <v>2133703.48</v>
      </c>
      <c r="N115" s="189">
        <f t="shared" si="30"/>
        <v>2133703.48</v>
      </c>
      <c r="O115" s="225">
        <v>3067904.7300000004</v>
      </c>
      <c r="P115" s="303">
        <v>0</v>
      </c>
      <c r="Q115" s="219">
        <v>2303648.75</v>
      </c>
      <c r="R115" s="189">
        <f t="shared" si="31"/>
        <v>2303648.75</v>
      </c>
      <c r="S115" s="225">
        <v>5169671.13</v>
      </c>
      <c r="T115" s="303">
        <v>0</v>
      </c>
      <c r="U115" s="303">
        <v>2363697.7799999998</v>
      </c>
      <c r="V115" s="189">
        <f t="shared" si="32"/>
        <v>2363697.7799999998</v>
      </c>
      <c r="W115" s="225"/>
      <c r="X115" s="303">
        <f t="shared" si="22"/>
        <v>2363697.7799999998</v>
      </c>
      <c r="Y115" s="303"/>
      <c r="AA115" s="67">
        <f t="shared" si="23"/>
        <v>0</v>
      </c>
      <c r="AC115" t="s">
        <v>249</v>
      </c>
      <c r="AD115" t="s">
        <v>1538</v>
      </c>
      <c r="AE115" s="481">
        <f t="shared" si="29"/>
        <v>2363697.7799999998</v>
      </c>
      <c r="AF115"/>
      <c r="AG115" s="48">
        <v>138514.57999999999</v>
      </c>
      <c r="AH115" s="48">
        <v>72368.05</v>
      </c>
      <c r="AI115" s="48">
        <v>176111.71</v>
      </c>
      <c r="AJ115" s="48">
        <v>8795.41</v>
      </c>
      <c r="AK115" s="48">
        <v>312198.28999999998</v>
      </c>
      <c r="AL115" s="48">
        <v>1655709.74</v>
      </c>
      <c r="AN115"/>
      <c r="AO115"/>
      <c r="AP115" t="str">
        <f t="shared" si="25"/>
        <v>17401</v>
      </c>
      <c r="AQ115" s="481">
        <f t="shared" si="26"/>
        <v>2363697.7799999998</v>
      </c>
    </row>
    <row r="116" spans="1:43">
      <c r="A116" s="217">
        <v>109</v>
      </c>
      <c r="B116" s="74" t="s">
        <v>251</v>
      </c>
      <c r="C116" s="74" t="s">
        <v>1539</v>
      </c>
      <c r="D116" s="186">
        <v>0</v>
      </c>
      <c r="E116" s="188">
        <v>117929.25000000001</v>
      </c>
      <c r="F116" s="189">
        <f t="shared" si="27"/>
        <v>117929.25000000001</v>
      </c>
      <c r="G116" s="200">
        <v>116644.08</v>
      </c>
      <c r="H116" s="197">
        <v>1285.1700000000128</v>
      </c>
      <c r="I116" s="188">
        <v>157366.15</v>
      </c>
      <c r="J116" s="189">
        <f t="shared" si="28"/>
        <v>158651.32</v>
      </c>
      <c r="K116" s="225">
        <v>183598.90000000002</v>
      </c>
      <c r="L116" s="189">
        <v>0</v>
      </c>
      <c r="M116" s="219">
        <v>170951.08999999997</v>
      </c>
      <c r="N116" s="189">
        <f t="shared" si="30"/>
        <v>170951.08999999997</v>
      </c>
      <c r="O116" s="225">
        <v>171429.02</v>
      </c>
      <c r="P116" s="303">
        <v>0</v>
      </c>
      <c r="Q116" s="219">
        <v>193424.22</v>
      </c>
      <c r="R116" s="189">
        <f t="shared" si="31"/>
        <v>193424.22</v>
      </c>
      <c r="S116" s="225">
        <v>187217.93</v>
      </c>
      <c r="T116" s="303">
        <v>6206.2900000000081</v>
      </c>
      <c r="U116" s="303">
        <v>193242.3</v>
      </c>
      <c r="V116" s="189">
        <f t="shared" si="32"/>
        <v>199448.59</v>
      </c>
      <c r="W116" s="225"/>
      <c r="X116" s="303">
        <f t="shared" si="22"/>
        <v>199448.59</v>
      </c>
      <c r="Y116" s="303"/>
      <c r="AA116" s="67">
        <f t="shared" si="23"/>
        <v>0</v>
      </c>
      <c r="AC116" t="s">
        <v>251</v>
      </c>
      <c r="AD116" t="s">
        <v>1540</v>
      </c>
      <c r="AE116" s="481">
        <f t="shared" si="29"/>
        <v>193242.3</v>
      </c>
      <c r="AF116"/>
      <c r="AG116" s="48">
        <v>4572.68</v>
      </c>
      <c r="AH116" s="48">
        <v>0</v>
      </c>
      <c r="AI116" s="48">
        <v>2162.0500000000002</v>
      </c>
      <c r="AJ116" s="48">
        <v>889.53</v>
      </c>
      <c r="AK116" s="48">
        <v>22172.68</v>
      </c>
      <c r="AL116" s="48">
        <v>163445.35999999999</v>
      </c>
      <c r="AN116"/>
      <c r="AO116"/>
      <c r="AP116" t="str">
        <f t="shared" si="25"/>
        <v>06098</v>
      </c>
      <c r="AQ116" s="481">
        <f t="shared" si="26"/>
        <v>193242.3</v>
      </c>
    </row>
    <row r="117" spans="1:43">
      <c r="A117" s="217">
        <v>110</v>
      </c>
      <c r="B117" s="74" t="s">
        <v>253</v>
      </c>
      <c r="C117" s="74" t="s">
        <v>1541</v>
      </c>
      <c r="D117" s="186">
        <v>122.08000000000175</v>
      </c>
      <c r="E117" s="188">
        <v>21062.17</v>
      </c>
      <c r="F117" s="189">
        <f t="shared" si="27"/>
        <v>21184.25</v>
      </c>
      <c r="G117" s="200">
        <v>21583.11</v>
      </c>
      <c r="H117" s="197">
        <v>0</v>
      </c>
      <c r="I117" s="188">
        <v>30066.17</v>
      </c>
      <c r="J117" s="189">
        <f t="shared" si="28"/>
        <v>30066.17</v>
      </c>
      <c r="K117" s="225">
        <v>38715.310000000005</v>
      </c>
      <c r="L117" s="189">
        <v>0</v>
      </c>
      <c r="M117" s="219">
        <v>31164.29</v>
      </c>
      <c r="N117" s="189">
        <f t="shared" si="30"/>
        <v>31164.29</v>
      </c>
      <c r="O117" s="225">
        <v>25587.019999999997</v>
      </c>
      <c r="P117" s="303">
        <v>5577.2700000000041</v>
      </c>
      <c r="Q117" s="219">
        <v>36971.61</v>
      </c>
      <c r="R117" s="189">
        <f t="shared" si="31"/>
        <v>42548.880000000005</v>
      </c>
      <c r="S117" s="225">
        <v>32214.300000000003</v>
      </c>
      <c r="T117" s="303">
        <v>10334.580000000002</v>
      </c>
      <c r="U117" s="303">
        <v>37463.919999999998</v>
      </c>
      <c r="V117" s="189">
        <f t="shared" si="32"/>
        <v>47798.5</v>
      </c>
      <c r="W117" s="225"/>
      <c r="X117" s="303">
        <f t="shared" si="22"/>
        <v>47798.5</v>
      </c>
      <c r="Y117" s="303"/>
      <c r="AA117" s="67">
        <f t="shared" si="23"/>
        <v>0</v>
      </c>
      <c r="AC117" t="s">
        <v>253</v>
      </c>
      <c r="AD117" t="s">
        <v>1542</v>
      </c>
      <c r="AE117" s="481">
        <f t="shared" si="29"/>
        <v>37463.919999999998</v>
      </c>
      <c r="AF117"/>
      <c r="AG117" s="48">
        <v>2412.8000000000002</v>
      </c>
      <c r="AH117" s="48">
        <v>1412.88</v>
      </c>
      <c r="AI117" s="48">
        <v>0</v>
      </c>
      <c r="AJ117" s="48">
        <v>131.26</v>
      </c>
      <c r="AK117" s="48">
        <v>5582.77</v>
      </c>
      <c r="AL117" s="48">
        <v>27924.21</v>
      </c>
      <c r="AN117"/>
      <c r="AO117"/>
      <c r="AP117" t="str">
        <f t="shared" si="25"/>
        <v>23404</v>
      </c>
      <c r="AQ117" s="481">
        <f t="shared" si="26"/>
        <v>37463.919999999998</v>
      </c>
    </row>
    <row r="118" spans="1:43">
      <c r="A118" s="217">
        <v>111</v>
      </c>
      <c r="B118" s="74" t="s">
        <v>255</v>
      </c>
      <c r="C118" s="74" t="s">
        <v>1543</v>
      </c>
      <c r="D118" s="186">
        <v>5284.9500000000044</v>
      </c>
      <c r="E118" s="188">
        <v>100759.10999999999</v>
      </c>
      <c r="F118" s="189">
        <f t="shared" si="27"/>
        <v>106044.06</v>
      </c>
      <c r="G118" s="200">
        <v>90007</v>
      </c>
      <c r="H118" s="197">
        <v>16037.059999999998</v>
      </c>
      <c r="I118" s="188">
        <v>142919.77000000002</v>
      </c>
      <c r="J118" s="189">
        <f t="shared" si="28"/>
        <v>158956.83000000002</v>
      </c>
      <c r="K118" s="225">
        <v>145002.62</v>
      </c>
      <c r="L118" s="189">
        <v>13954.210000000021</v>
      </c>
      <c r="M118" s="219">
        <v>144378.49</v>
      </c>
      <c r="N118" s="189">
        <f t="shared" si="30"/>
        <v>158332.70000000001</v>
      </c>
      <c r="O118" s="225">
        <v>193769.5</v>
      </c>
      <c r="P118" s="303">
        <v>0</v>
      </c>
      <c r="Q118" s="219">
        <v>165468.27000000002</v>
      </c>
      <c r="R118" s="189">
        <f t="shared" si="31"/>
        <v>165468.27000000002</v>
      </c>
      <c r="S118" s="225">
        <v>187388.46000000005</v>
      </c>
      <c r="T118" s="303">
        <v>0</v>
      </c>
      <c r="U118" s="303">
        <v>164723.54</v>
      </c>
      <c r="V118" s="189">
        <f t="shared" si="32"/>
        <v>164723.54</v>
      </c>
      <c r="W118" s="225"/>
      <c r="X118" s="303">
        <f t="shared" si="22"/>
        <v>164723.54</v>
      </c>
      <c r="Y118" s="303"/>
      <c r="AA118" s="67">
        <f t="shared" si="23"/>
        <v>0</v>
      </c>
      <c r="AC118" t="s">
        <v>255</v>
      </c>
      <c r="AD118" t="s">
        <v>1544</v>
      </c>
      <c r="AE118" s="481">
        <f t="shared" si="29"/>
        <v>164723.54</v>
      </c>
      <c r="AF118"/>
      <c r="AG118" s="48">
        <v>10449.09</v>
      </c>
      <c r="AH118" s="48">
        <v>7003.91</v>
      </c>
      <c r="AI118" s="48">
        <v>2878.84</v>
      </c>
      <c r="AJ118" s="48">
        <v>669.57</v>
      </c>
      <c r="AK118" s="48">
        <v>23298.77</v>
      </c>
      <c r="AL118" s="48">
        <v>120423.36</v>
      </c>
      <c r="AN118"/>
      <c r="AO118"/>
      <c r="AP118" t="str">
        <f t="shared" si="25"/>
        <v>14028</v>
      </c>
      <c r="AQ118" s="481">
        <f t="shared" si="26"/>
        <v>164723.54</v>
      </c>
    </row>
    <row r="119" spans="1:43">
      <c r="A119" s="217">
        <v>112</v>
      </c>
      <c r="B119" s="375" t="s">
        <v>257</v>
      </c>
      <c r="C119" s="380" t="s">
        <v>1545</v>
      </c>
      <c r="D119" s="186"/>
      <c r="E119" s="188"/>
      <c r="F119" s="189"/>
      <c r="G119" s="200"/>
      <c r="H119" s="197"/>
      <c r="I119" s="188"/>
      <c r="J119" s="189"/>
      <c r="K119" s="225"/>
      <c r="L119" s="189"/>
      <c r="M119" s="219"/>
      <c r="N119" s="189"/>
      <c r="O119" s="225"/>
      <c r="P119" s="303"/>
      <c r="Q119" s="219"/>
      <c r="R119" s="189"/>
      <c r="S119" s="225">
        <v>0</v>
      </c>
      <c r="T119" s="303">
        <v>0</v>
      </c>
      <c r="U119" s="303">
        <v>20265.169999999998</v>
      </c>
      <c r="V119" s="189"/>
      <c r="W119" s="225"/>
      <c r="X119" s="303">
        <f t="shared" si="22"/>
        <v>0</v>
      </c>
      <c r="Y119" s="303"/>
      <c r="AA119" s="67">
        <f t="shared" si="23"/>
        <v>0</v>
      </c>
      <c r="AC119" t="s">
        <v>257</v>
      </c>
      <c r="AD119" t="s">
        <v>1546</v>
      </c>
      <c r="AE119" s="481">
        <f t="shared" si="29"/>
        <v>20265.169999999998</v>
      </c>
      <c r="AF119"/>
      <c r="AG119" s="48">
        <v>891.03</v>
      </c>
      <c r="AH119" s="48">
        <v>0</v>
      </c>
      <c r="AI119" s="48">
        <v>562.12</v>
      </c>
      <c r="AJ119" s="48">
        <v>62.65</v>
      </c>
      <c r="AK119" s="48">
        <v>1979.98</v>
      </c>
      <c r="AL119" s="48">
        <v>16769.39</v>
      </c>
      <c r="AN119"/>
      <c r="AO119"/>
      <c r="AP119" t="str">
        <f t="shared" si="25"/>
        <v>17919</v>
      </c>
      <c r="AQ119" s="481">
        <f t="shared" si="26"/>
        <v>20265.169999999998</v>
      </c>
    </row>
    <row r="120" spans="1:43">
      <c r="A120" s="217">
        <v>113</v>
      </c>
      <c r="B120" s="190" t="s">
        <v>259</v>
      </c>
      <c r="C120" s="190" t="s">
        <v>1547</v>
      </c>
      <c r="D120" s="186"/>
      <c r="E120" s="188"/>
      <c r="F120" s="189"/>
      <c r="G120" s="200"/>
      <c r="H120" s="197"/>
      <c r="I120" s="188"/>
      <c r="J120" s="189"/>
      <c r="K120" s="225"/>
      <c r="L120" s="189">
        <v>0</v>
      </c>
      <c r="M120" s="219">
        <v>32456.47</v>
      </c>
      <c r="N120" s="189">
        <f t="shared" ref="N120:N151" si="33">+L120+M120</f>
        <v>32456.47</v>
      </c>
      <c r="O120" s="225">
        <v>28972.25</v>
      </c>
      <c r="P120" s="303">
        <v>3484.2200000000012</v>
      </c>
      <c r="Q120" s="219">
        <v>45847.979999999996</v>
      </c>
      <c r="R120" s="189">
        <f t="shared" ref="R120:R151" si="34">+P120+Q120</f>
        <v>49332.2</v>
      </c>
      <c r="S120" s="225">
        <v>32999.480000000003</v>
      </c>
      <c r="T120" s="303">
        <v>16332.719999999994</v>
      </c>
      <c r="U120" s="303">
        <v>39797.53</v>
      </c>
      <c r="V120" s="189">
        <f t="shared" ref="V120:V151" si="35">+T120+U120</f>
        <v>56130.249999999993</v>
      </c>
      <c r="W120" s="225"/>
      <c r="X120" s="303">
        <f t="shared" si="22"/>
        <v>56130.249999999993</v>
      </c>
      <c r="Y120" s="303"/>
      <c r="AA120" s="67">
        <f t="shared" si="23"/>
        <v>0</v>
      </c>
      <c r="AC120" t="s">
        <v>259</v>
      </c>
      <c r="AD120" t="s">
        <v>1548</v>
      </c>
      <c r="AE120" s="481">
        <f t="shared" si="29"/>
        <v>39797.53</v>
      </c>
      <c r="AF120"/>
      <c r="AG120" s="48">
        <v>2097.7800000000002</v>
      </c>
      <c r="AH120" s="48">
        <v>1577.47</v>
      </c>
      <c r="AI120" s="48">
        <v>442.69</v>
      </c>
      <c r="AJ120" s="48">
        <v>118.93</v>
      </c>
      <c r="AK120" s="48">
        <v>4985.91</v>
      </c>
      <c r="AL120" s="48">
        <v>30574.75</v>
      </c>
      <c r="AN120"/>
      <c r="AO120"/>
      <c r="AP120" t="str">
        <f t="shared" si="25"/>
        <v>27902</v>
      </c>
      <c r="AQ120" s="481">
        <f t="shared" si="26"/>
        <v>39797.53</v>
      </c>
    </row>
    <row r="121" spans="1:43">
      <c r="A121" s="217">
        <v>114</v>
      </c>
      <c r="B121" s="190" t="s">
        <v>261</v>
      </c>
      <c r="C121" s="74" t="s">
        <v>1549</v>
      </c>
      <c r="D121" s="186">
        <v>8074.01</v>
      </c>
      <c r="E121" s="188">
        <v>24853.040000000001</v>
      </c>
      <c r="F121" s="189">
        <f t="shared" ref="F121:F152" si="36">+D121+E121</f>
        <v>32927.050000000003</v>
      </c>
      <c r="G121" s="200"/>
      <c r="H121" s="198">
        <v>32927.050000000003</v>
      </c>
      <c r="I121" s="188">
        <v>56523.880000000005</v>
      </c>
      <c r="J121" s="189">
        <f t="shared" ref="J121:J152" si="37">+H121+I121</f>
        <v>89450.930000000008</v>
      </c>
      <c r="K121" s="225">
        <v>18167.03</v>
      </c>
      <c r="L121" s="189">
        <v>71283.900000000009</v>
      </c>
      <c r="M121" s="219">
        <v>76852.579999999987</v>
      </c>
      <c r="N121" s="189">
        <f t="shared" si="33"/>
        <v>148136.47999999998</v>
      </c>
      <c r="O121" s="225">
        <v>48203.12</v>
      </c>
      <c r="P121" s="303">
        <v>99933.359999999986</v>
      </c>
      <c r="Q121" s="219">
        <v>84652.2</v>
      </c>
      <c r="R121" s="189">
        <f t="shared" si="34"/>
        <v>184585.56</v>
      </c>
      <c r="S121" s="225">
        <v>51833.94</v>
      </c>
      <c r="T121" s="303">
        <v>132751.62</v>
      </c>
      <c r="U121" s="303">
        <v>72810.13</v>
      </c>
      <c r="V121" s="189">
        <f t="shared" si="35"/>
        <v>205561.75</v>
      </c>
      <c r="W121" s="225"/>
      <c r="X121" s="303">
        <f t="shared" si="22"/>
        <v>205561.75</v>
      </c>
      <c r="Y121" s="303"/>
      <c r="AA121" s="67">
        <f t="shared" si="23"/>
        <v>0</v>
      </c>
      <c r="AC121" t="s">
        <v>261</v>
      </c>
      <c r="AD121" t="s">
        <v>1550</v>
      </c>
      <c r="AE121" s="481">
        <f t="shared" si="29"/>
        <v>72810.13</v>
      </c>
      <c r="AF121"/>
      <c r="AG121" s="48">
        <v>4075.75</v>
      </c>
      <c r="AH121" s="48">
        <v>3031.57</v>
      </c>
      <c r="AI121" s="48">
        <v>3146.44</v>
      </c>
      <c r="AJ121" s="48">
        <v>241.9</v>
      </c>
      <c r="AK121" s="48">
        <v>6491.32</v>
      </c>
      <c r="AL121" s="48">
        <v>55823.15</v>
      </c>
      <c r="AN121"/>
      <c r="AO121"/>
      <c r="AP121" t="str">
        <f t="shared" si="25"/>
        <v>17911</v>
      </c>
      <c r="AQ121" s="481">
        <f t="shared" si="26"/>
        <v>72810.13</v>
      </c>
    </row>
    <row r="122" spans="1:43">
      <c r="A122" s="217">
        <v>115</v>
      </c>
      <c r="B122" s="190" t="s">
        <v>263</v>
      </c>
      <c r="C122" s="74" t="s">
        <v>1551</v>
      </c>
      <c r="D122" s="186"/>
      <c r="E122" s="188"/>
      <c r="F122" s="189">
        <f t="shared" si="36"/>
        <v>0</v>
      </c>
      <c r="G122" s="200"/>
      <c r="H122" s="198">
        <v>0</v>
      </c>
      <c r="I122" s="188">
        <v>15807.9</v>
      </c>
      <c r="J122" s="189">
        <f t="shared" si="37"/>
        <v>15807.9</v>
      </c>
      <c r="K122" s="225">
        <v>5499.26</v>
      </c>
      <c r="L122" s="189">
        <v>10308.64</v>
      </c>
      <c r="M122" s="219">
        <v>35401.279999999999</v>
      </c>
      <c r="N122" s="189">
        <f t="shared" si="33"/>
        <v>45709.919999999998</v>
      </c>
      <c r="O122" s="225">
        <v>27028.22</v>
      </c>
      <c r="P122" s="303">
        <v>18681.699999999997</v>
      </c>
      <c r="Q122" s="219">
        <v>48226.229999999996</v>
      </c>
      <c r="R122" s="189">
        <f t="shared" si="34"/>
        <v>66907.929999999993</v>
      </c>
      <c r="S122" s="225">
        <v>28515.58</v>
      </c>
      <c r="T122" s="303">
        <v>38392.349999999991</v>
      </c>
      <c r="U122" s="303">
        <v>46742.939999999995</v>
      </c>
      <c r="V122" s="189">
        <f t="shared" si="35"/>
        <v>85135.289999999979</v>
      </c>
      <c r="W122" s="225"/>
      <c r="X122" s="303">
        <f t="shared" si="22"/>
        <v>85135.289999999979</v>
      </c>
      <c r="Y122" s="303"/>
      <c r="AA122" s="67">
        <f t="shared" si="23"/>
        <v>0</v>
      </c>
      <c r="AC122" t="s">
        <v>263</v>
      </c>
      <c r="AD122" t="s">
        <v>1552</v>
      </c>
      <c r="AE122" s="481">
        <f t="shared" si="29"/>
        <v>46742.939999999995</v>
      </c>
      <c r="AF122"/>
      <c r="AG122" s="48">
        <v>2130.11</v>
      </c>
      <c r="AH122" s="48">
        <v>1698.52</v>
      </c>
      <c r="AI122" s="48">
        <v>1435.73</v>
      </c>
      <c r="AJ122" s="48">
        <v>156.62</v>
      </c>
      <c r="AK122" s="48">
        <v>2470.08</v>
      </c>
      <c r="AL122" s="48">
        <v>38851.879999999997</v>
      </c>
      <c r="AN122"/>
      <c r="AO122"/>
      <c r="AP122" t="str">
        <f t="shared" si="25"/>
        <v>17916</v>
      </c>
      <c r="AQ122" s="481">
        <f t="shared" si="26"/>
        <v>46742.939999999995</v>
      </c>
    </row>
    <row r="123" spans="1:43">
      <c r="A123" s="217">
        <v>116</v>
      </c>
      <c r="B123" s="74" t="s">
        <v>265</v>
      </c>
      <c r="C123" s="74" t="s">
        <v>1553</v>
      </c>
      <c r="D123" s="186">
        <v>986.35000000000036</v>
      </c>
      <c r="E123" s="188">
        <v>18685.43</v>
      </c>
      <c r="F123" s="189">
        <f t="shared" si="36"/>
        <v>19671.78</v>
      </c>
      <c r="G123" s="200">
        <v>23522.12</v>
      </c>
      <c r="H123" s="197">
        <v>0</v>
      </c>
      <c r="I123" s="188">
        <v>28277.91</v>
      </c>
      <c r="J123" s="189">
        <f t="shared" si="37"/>
        <v>28277.91</v>
      </c>
      <c r="K123" s="225">
        <v>34808.25</v>
      </c>
      <c r="L123" s="189">
        <v>0</v>
      </c>
      <c r="M123" s="219">
        <v>29681.25</v>
      </c>
      <c r="N123" s="189">
        <f t="shared" si="33"/>
        <v>29681.25</v>
      </c>
      <c r="O123" s="225">
        <v>16687.509999999998</v>
      </c>
      <c r="P123" s="303">
        <v>12993.740000000002</v>
      </c>
      <c r="Q123" s="219">
        <v>30549.58</v>
      </c>
      <c r="R123" s="189">
        <f t="shared" si="34"/>
        <v>43543.320000000007</v>
      </c>
      <c r="S123" s="225">
        <v>27837.18</v>
      </c>
      <c r="T123" s="303">
        <v>15706.140000000007</v>
      </c>
      <c r="U123" s="303">
        <v>29507.91</v>
      </c>
      <c r="V123" s="189">
        <f t="shared" si="35"/>
        <v>45214.05</v>
      </c>
      <c r="W123" s="225"/>
      <c r="X123" s="303">
        <f t="shared" si="22"/>
        <v>45214.05</v>
      </c>
      <c r="Y123" s="303"/>
      <c r="AA123" s="67">
        <f t="shared" si="23"/>
        <v>0</v>
      </c>
      <c r="AC123" t="s">
        <v>265</v>
      </c>
      <c r="AD123" t="s">
        <v>1554</v>
      </c>
      <c r="AE123" s="481">
        <f t="shared" si="29"/>
        <v>29507.91</v>
      </c>
      <c r="AF123"/>
      <c r="AG123" s="48">
        <v>1544.13</v>
      </c>
      <c r="AH123" s="48">
        <v>859.82</v>
      </c>
      <c r="AI123" s="48">
        <v>0</v>
      </c>
      <c r="AJ123" s="48">
        <v>0</v>
      </c>
      <c r="AK123" s="48">
        <v>2592.48</v>
      </c>
      <c r="AL123" s="48">
        <v>24511.48</v>
      </c>
      <c r="AN123"/>
      <c r="AO123"/>
      <c r="AP123" t="str">
        <f t="shared" si="25"/>
        <v>10070</v>
      </c>
      <c r="AQ123" s="481">
        <f t="shared" si="26"/>
        <v>29507.91</v>
      </c>
    </row>
    <row r="124" spans="1:43">
      <c r="A124" s="217">
        <v>117</v>
      </c>
      <c r="B124" s="74" t="s">
        <v>267</v>
      </c>
      <c r="C124" s="74" t="s">
        <v>1555</v>
      </c>
      <c r="D124" s="186">
        <v>167.45000000000005</v>
      </c>
      <c r="E124" s="188">
        <v>4084.3900000000003</v>
      </c>
      <c r="F124" s="189">
        <f t="shared" si="36"/>
        <v>4251.84</v>
      </c>
      <c r="G124" s="200">
        <v>3927.77</v>
      </c>
      <c r="H124" s="197">
        <v>324.07000000000016</v>
      </c>
      <c r="I124" s="188">
        <v>6026.2199999999993</v>
      </c>
      <c r="J124" s="189">
        <f t="shared" si="37"/>
        <v>6350.2899999999991</v>
      </c>
      <c r="K124" s="225">
        <v>6350.29</v>
      </c>
      <c r="L124" s="189">
        <v>0</v>
      </c>
      <c r="M124" s="219">
        <v>6118.5700000000006</v>
      </c>
      <c r="N124" s="189">
        <f t="shared" si="33"/>
        <v>6118.5700000000006</v>
      </c>
      <c r="O124" s="225">
        <v>6118.57</v>
      </c>
      <c r="P124" s="303">
        <v>9.0949470177292824E-13</v>
      </c>
      <c r="Q124" s="219">
        <v>5499.09</v>
      </c>
      <c r="R124" s="189">
        <f t="shared" si="34"/>
        <v>5499.0900000000011</v>
      </c>
      <c r="S124" s="225">
        <v>5499.09</v>
      </c>
      <c r="T124" s="303">
        <v>9.0949470177292824E-13</v>
      </c>
      <c r="U124" s="303">
        <v>6777.36</v>
      </c>
      <c r="V124" s="189">
        <f t="shared" si="35"/>
        <v>6777.3600000000006</v>
      </c>
      <c r="W124" s="225"/>
      <c r="X124" s="303">
        <f t="shared" si="22"/>
        <v>6777.3600000000006</v>
      </c>
      <c r="Y124" s="303"/>
      <c r="AA124" s="67">
        <f t="shared" si="23"/>
        <v>0</v>
      </c>
      <c r="AC124" t="s">
        <v>267</v>
      </c>
      <c r="AD124" t="s">
        <v>1556</v>
      </c>
      <c r="AE124" s="481">
        <f t="shared" si="29"/>
        <v>6777.36</v>
      </c>
      <c r="AF124"/>
      <c r="AG124" s="48">
        <v>111.38</v>
      </c>
      <c r="AH124" s="48">
        <v>0</v>
      </c>
      <c r="AI124" s="48">
        <v>0</v>
      </c>
      <c r="AJ124" s="48">
        <v>0</v>
      </c>
      <c r="AK124" s="48">
        <v>418.36</v>
      </c>
      <c r="AL124" s="48">
        <v>6247.62</v>
      </c>
      <c r="AN124"/>
      <c r="AO124"/>
      <c r="AP124" t="str">
        <f t="shared" si="25"/>
        <v>31063</v>
      </c>
      <c r="AQ124" s="481">
        <f t="shared" si="26"/>
        <v>6777.36</v>
      </c>
    </row>
    <row r="125" spans="1:43">
      <c r="A125" s="217">
        <v>118</v>
      </c>
      <c r="B125" s="74" t="s">
        <v>269</v>
      </c>
      <c r="C125" s="74" t="s">
        <v>1557</v>
      </c>
      <c r="D125" s="186">
        <v>49273.380000000005</v>
      </c>
      <c r="E125" s="188">
        <v>1362594.86</v>
      </c>
      <c r="F125" s="189">
        <f t="shared" si="36"/>
        <v>1411868.2400000002</v>
      </c>
      <c r="G125" s="200">
        <v>1242253.6399999999</v>
      </c>
      <c r="H125" s="197">
        <v>169614.60000000033</v>
      </c>
      <c r="I125" s="188">
        <v>1918688.67</v>
      </c>
      <c r="J125" s="189">
        <f t="shared" si="37"/>
        <v>2088303.2700000003</v>
      </c>
      <c r="K125" s="225">
        <v>1805937.33</v>
      </c>
      <c r="L125" s="189">
        <v>282365.94000000018</v>
      </c>
      <c r="M125" s="219">
        <v>1895792.86</v>
      </c>
      <c r="N125" s="189">
        <f t="shared" si="33"/>
        <v>2178158.8000000003</v>
      </c>
      <c r="O125" s="225">
        <v>1754876.5199999996</v>
      </c>
      <c r="P125" s="303">
        <v>423282.28000000073</v>
      </c>
      <c r="Q125" s="219">
        <v>2064749.8000000003</v>
      </c>
      <c r="R125" s="189">
        <f t="shared" si="34"/>
        <v>2488032.080000001</v>
      </c>
      <c r="S125" s="225">
        <v>2095183.81</v>
      </c>
      <c r="T125" s="303">
        <v>392848.27000000095</v>
      </c>
      <c r="U125" s="303">
        <v>2082691.46</v>
      </c>
      <c r="V125" s="189">
        <f t="shared" si="35"/>
        <v>2475539.7300000009</v>
      </c>
      <c r="W125" s="225"/>
      <c r="X125" s="303">
        <f t="shared" si="22"/>
        <v>2475539.7300000009</v>
      </c>
      <c r="Y125" s="303"/>
      <c r="AA125" s="67">
        <f t="shared" si="23"/>
        <v>0</v>
      </c>
      <c r="AC125" t="s">
        <v>269</v>
      </c>
      <c r="AD125" t="s">
        <v>1558</v>
      </c>
      <c r="AE125" s="481">
        <f t="shared" si="29"/>
        <v>2082691.46</v>
      </c>
      <c r="AF125"/>
      <c r="AG125" s="48">
        <v>25688.36</v>
      </c>
      <c r="AH125" s="48">
        <v>0</v>
      </c>
      <c r="AI125" s="48">
        <v>42927.63</v>
      </c>
      <c r="AJ125" s="48">
        <v>9548.9500000000007</v>
      </c>
      <c r="AK125" s="48">
        <v>215016.64</v>
      </c>
      <c r="AL125" s="48">
        <v>1789509.88</v>
      </c>
      <c r="AN125"/>
      <c r="AO125"/>
      <c r="AP125" t="str">
        <f t="shared" si="25"/>
        <v>17411</v>
      </c>
      <c r="AQ125" s="481">
        <f t="shared" si="26"/>
        <v>2082691.46</v>
      </c>
    </row>
    <row r="126" spans="1:43">
      <c r="A126" s="217">
        <v>119</v>
      </c>
      <c r="B126" s="74" t="s">
        <v>271</v>
      </c>
      <c r="C126" s="74" t="s">
        <v>1559</v>
      </c>
      <c r="D126" s="186">
        <v>0</v>
      </c>
      <c r="E126" s="188">
        <v>12338.36</v>
      </c>
      <c r="F126" s="189">
        <f t="shared" si="36"/>
        <v>12338.36</v>
      </c>
      <c r="G126" s="200">
        <v>12440.51</v>
      </c>
      <c r="H126" s="197">
        <v>0</v>
      </c>
      <c r="I126" s="188">
        <v>18812.93</v>
      </c>
      <c r="J126" s="189">
        <f t="shared" si="37"/>
        <v>18812.93</v>
      </c>
      <c r="K126" s="225">
        <v>18587.68</v>
      </c>
      <c r="L126" s="189">
        <v>225.25</v>
      </c>
      <c r="M126" s="219">
        <v>18744.759999999998</v>
      </c>
      <c r="N126" s="189">
        <f t="shared" si="33"/>
        <v>18970.009999999998</v>
      </c>
      <c r="O126" s="225">
        <v>13557.96</v>
      </c>
      <c r="P126" s="303">
        <v>5412.0499999999993</v>
      </c>
      <c r="Q126" s="219">
        <v>19860.97</v>
      </c>
      <c r="R126" s="189">
        <f t="shared" si="34"/>
        <v>25273.02</v>
      </c>
      <c r="S126" s="225">
        <v>25158.25</v>
      </c>
      <c r="T126" s="303">
        <v>114.77000000000044</v>
      </c>
      <c r="U126" s="303">
        <v>19348.5</v>
      </c>
      <c r="V126" s="189">
        <f t="shared" si="35"/>
        <v>19463.27</v>
      </c>
      <c r="W126" s="225"/>
      <c r="X126" s="303">
        <f t="shared" si="22"/>
        <v>19463.27</v>
      </c>
      <c r="Y126" s="303"/>
      <c r="AA126" s="67">
        <f t="shared" si="23"/>
        <v>0</v>
      </c>
      <c r="AC126" t="s">
        <v>271</v>
      </c>
      <c r="AD126" t="s">
        <v>1560</v>
      </c>
      <c r="AE126" s="481">
        <f t="shared" si="29"/>
        <v>19348.5</v>
      </c>
      <c r="AF126"/>
      <c r="AG126" s="48">
        <v>318.91000000000003</v>
      </c>
      <c r="AH126" s="48">
        <v>215.11</v>
      </c>
      <c r="AI126" s="48">
        <v>0</v>
      </c>
      <c r="AJ126" s="48">
        <v>21.06</v>
      </c>
      <c r="AK126" s="48">
        <v>0</v>
      </c>
      <c r="AL126" s="48">
        <v>18793.420000000002</v>
      </c>
      <c r="AN126"/>
      <c r="AO126"/>
      <c r="AP126" t="str">
        <f t="shared" si="25"/>
        <v>11056</v>
      </c>
      <c r="AQ126" s="481">
        <f t="shared" si="26"/>
        <v>19348.5</v>
      </c>
    </row>
    <row r="127" spans="1:43">
      <c r="A127" s="217">
        <v>120</v>
      </c>
      <c r="B127" s="74" t="s">
        <v>273</v>
      </c>
      <c r="C127" s="74" t="s">
        <v>1561</v>
      </c>
      <c r="D127" s="186">
        <v>0</v>
      </c>
      <c r="E127" s="188">
        <v>52375.3</v>
      </c>
      <c r="F127" s="189">
        <f t="shared" si="36"/>
        <v>52375.3</v>
      </c>
      <c r="G127" s="200"/>
      <c r="H127" s="197">
        <v>52375.3</v>
      </c>
      <c r="I127" s="188">
        <v>78196.350000000006</v>
      </c>
      <c r="J127" s="189">
        <f t="shared" si="37"/>
        <v>130571.65000000001</v>
      </c>
      <c r="K127" s="225"/>
      <c r="L127" s="189">
        <v>130571.65000000001</v>
      </c>
      <c r="M127" s="219">
        <v>78793.759999999995</v>
      </c>
      <c r="N127" s="189">
        <f t="shared" si="33"/>
        <v>209365.41</v>
      </c>
      <c r="O127" s="225">
        <v>97649.38</v>
      </c>
      <c r="P127" s="303">
        <v>111716.03</v>
      </c>
      <c r="Q127" s="219">
        <v>93551.75</v>
      </c>
      <c r="R127" s="189">
        <f t="shared" si="34"/>
        <v>205267.78</v>
      </c>
      <c r="S127" s="225">
        <v>84720.45</v>
      </c>
      <c r="T127" s="303">
        <v>120547.33</v>
      </c>
      <c r="U127" s="303">
        <v>90776.569999999992</v>
      </c>
      <c r="V127" s="189">
        <f t="shared" si="35"/>
        <v>211323.9</v>
      </c>
      <c r="W127" s="225"/>
      <c r="X127" s="303">
        <f t="shared" si="22"/>
        <v>211323.9</v>
      </c>
      <c r="Y127" s="303"/>
      <c r="AA127" s="67">
        <f t="shared" si="23"/>
        <v>0</v>
      </c>
      <c r="AC127" t="s">
        <v>273</v>
      </c>
      <c r="AD127" t="s">
        <v>1562</v>
      </c>
      <c r="AE127" s="481">
        <f t="shared" si="29"/>
        <v>90776.569999999992</v>
      </c>
      <c r="AF127"/>
      <c r="AG127" s="48">
        <v>3959.89</v>
      </c>
      <c r="AH127" s="48">
        <v>0</v>
      </c>
      <c r="AI127" s="48">
        <v>0</v>
      </c>
      <c r="AJ127" s="48">
        <v>468.99</v>
      </c>
      <c r="AK127" s="48">
        <v>0</v>
      </c>
      <c r="AL127" s="48">
        <v>86347.689999999988</v>
      </c>
      <c r="AN127"/>
      <c r="AO127"/>
      <c r="AP127" t="str">
        <f t="shared" si="25"/>
        <v>08402</v>
      </c>
      <c r="AQ127" s="481">
        <f t="shared" si="26"/>
        <v>90776.569999999992</v>
      </c>
    </row>
    <row r="128" spans="1:43">
      <c r="A128" s="217">
        <v>121</v>
      </c>
      <c r="B128" s="74" t="s">
        <v>275</v>
      </c>
      <c r="C128" s="74" t="s">
        <v>1563</v>
      </c>
      <c r="D128" s="186">
        <v>116.76000000000022</v>
      </c>
      <c r="E128" s="188">
        <v>2997.93</v>
      </c>
      <c r="F128" s="189">
        <f t="shared" si="36"/>
        <v>3114.69</v>
      </c>
      <c r="G128" s="200"/>
      <c r="H128" s="197">
        <v>3114.69</v>
      </c>
      <c r="I128" s="188">
        <v>4421.53</v>
      </c>
      <c r="J128" s="189">
        <f t="shared" si="37"/>
        <v>7536.2199999999993</v>
      </c>
      <c r="K128" s="225">
        <v>6257.4</v>
      </c>
      <c r="L128" s="189">
        <v>1278.8199999999997</v>
      </c>
      <c r="M128" s="219">
        <v>4037.26</v>
      </c>
      <c r="N128" s="189">
        <f t="shared" si="33"/>
        <v>5316.08</v>
      </c>
      <c r="O128" s="225"/>
      <c r="P128" s="303">
        <v>5316.08</v>
      </c>
      <c r="Q128" s="219">
        <v>5134.91</v>
      </c>
      <c r="R128" s="189">
        <f t="shared" si="34"/>
        <v>10450.99</v>
      </c>
      <c r="S128" s="225">
        <v>0</v>
      </c>
      <c r="T128" s="303">
        <v>10450.99</v>
      </c>
      <c r="U128" s="303">
        <v>5119.9400000000005</v>
      </c>
      <c r="V128" s="189">
        <f t="shared" si="35"/>
        <v>15570.93</v>
      </c>
      <c r="W128" s="225"/>
      <c r="X128" s="303">
        <f t="shared" si="22"/>
        <v>15570.93</v>
      </c>
      <c r="Y128" s="303"/>
      <c r="AA128" s="67">
        <f t="shared" si="23"/>
        <v>0</v>
      </c>
      <c r="AC128" t="s">
        <v>275</v>
      </c>
      <c r="AD128" t="s">
        <v>1564</v>
      </c>
      <c r="AE128" s="481">
        <f t="shared" si="29"/>
        <v>5119.9400000000005</v>
      </c>
      <c r="AF128"/>
      <c r="AG128" s="48">
        <v>286.11</v>
      </c>
      <c r="AH128" s="48">
        <v>146.01</v>
      </c>
      <c r="AI128" s="48">
        <v>0</v>
      </c>
      <c r="AJ128" s="48">
        <v>19.170000000000002</v>
      </c>
      <c r="AK128" s="48">
        <v>537.67999999999995</v>
      </c>
      <c r="AL128" s="48">
        <v>4130.97</v>
      </c>
      <c r="AN128"/>
      <c r="AO128"/>
      <c r="AP128" t="str">
        <f t="shared" si="25"/>
        <v>10003</v>
      </c>
      <c r="AQ128" s="481">
        <f t="shared" si="26"/>
        <v>5119.9400000000005</v>
      </c>
    </row>
    <row r="129" spans="1:43">
      <c r="A129" s="217">
        <v>122</v>
      </c>
      <c r="B129" s="74" t="s">
        <v>277</v>
      </c>
      <c r="C129" s="74" t="s">
        <v>1565</v>
      </c>
      <c r="D129" s="186">
        <v>0</v>
      </c>
      <c r="E129" s="188">
        <v>321784.86000000004</v>
      </c>
      <c r="F129" s="189">
        <f t="shared" si="36"/>
        <v>321784.86000000004</v>
      </c>
      <c r="G129" s="200">
        <v>236210.02</v>
      </c>
      <c r="H129" s="197">
        <v>85574.840000000055</v>
      </c>
      <c r="I129" s="188">
        <v>405813.58</v>
      </c>
      <c r="J129" s="189">
        <f t="shared" si="37"/>
        <v>491388.42000000004</v>
      </c>
      <c r="K129" s="225">
        <v>293925.09999999998</v>
      </c>
      <c r="L129" s="189">
        <v>197463.32000000007</v>
      </c>
      <c r="M129" s="219">
        <v>450674.72</v>
      </c>
      <c r="N129" s="189">
        <f t="shared" si="33"/>
        <v>648138.04</v>
      </c>
      <c r="O129" s="225">
        <v>303100.40000000002</v>
      </c>
      <c r="P129" s="303">
        <v>345037.64</v>
      </c>
      <c r="Q129" s="219">
        <v>511771.32999999996</v>
      </c>
      <c r="R129" s="189">
        <f t="shared" si="34"/>
        <v>856808.97</v>
      </c>
      <c r="S129" s="225">
        <v>1150363.71</v>
      </c>
      <c r="T129" s="303">
        <v>0</v>
      </c>
      <c r="U129" s="303">
        <v>520177.08999999997</v>
      </c>
      <c r="V129" s="189">
        <f t="shared" si="35"/>
        <v>520177.08999999997</v>
      </c>
      <c r="W129" s="225"/>
      <c r="X129" s="303">
        <f t="shared" si="22"/>
        <v>520177.08999999997</v>
      </c>
      <c r="Y129" s="303"/>
      <c r="AA129" s="67">
        <f t="shared" si="23"/>
        <v>0</v>
      </c>
      <c r="AC129" t="s">
        <v>277</v>
      </c>
      <c r="AD129" t="s">
        <v>1566</v>
      </c>
      <c r="AE129" s="481">
        <f t="shared" si="29"/>
        <v>520177.08999999997</v>
      </c>
      <c r="AF129"/>
      <c r="AG129" s="48">
        <v>29620.25</v>
      </c>
      <c r="AH129" s="48">
        <v>20383.47</v>
      </c>
      <c r="AI129" s="48">
        <v>8273.74</v>
      </c>
      <c r="AJ129" s="48">
        <v>2085.39</v>
      </c>
      <c r="AK129" s="48">
        <v>74653.56</v>
      </c>
      <c r="AL129" s="48">
        <v>385160.68</v>
      </c>
      <c r="AN129"/>
      <c r="AO129"/>
      <c r="AP129" t="str">
        <f t="shared" si="25"/>
        <v>08458</v>
      </c>
      <c r="AQ129" s="481">
        <f t="shared" si="26"/>
        <v>520177.08999999997</v>
      </c>
    </row>
    <row r="130" spans="1:43">
      <c r="A130" s="217">
        <v>123</v>
      </c>
      <c r="B130" s="74" t="s">
        <v>279</v>
      </c>
      <c r="C130" s="74" t="s">
        <v>1567</v>
      </c>
      <c r="D130" s="186">
        <v>0</v>
      </c>
      <c r="E130" s="188">
        <v>1199384.1200000001</v>
      </c>
      <c r="F130" s="189">
        <f t="shared" si="36"/>
        <v>1199384.1200000001</v>
      </c>
      <c r="G130" s="200">
        <v>1219363.01</v>
      </c>
      <c r="H130" s="197">
        <v>0</v>
      </c>
      <c r="I130" s="188">
        <v>1721624.32</v>
      </c>
      <c r="J130" s="189">
        <f t="shared" si="37"/>
        <v>1721624.32</v>
      </c>
      <c r="K130" s="225">
        <v>2173038.1300000004</v>
      </c>
      <c r="L130" s="189">
        <v>0</v>
      </c>
      <c r="M130" s="219">
        <v>1746296.17</v>
      </c>
      <c r="N130" s="189">
        <f t="shared" si="33"/>
        <v>1746296.17</v>
      </c>
      <c r="O130" s="225">
        <v>1792181.4600000002</v>
      </c>
      <c r="P130" s="303">
        <v>0</v>
      </c>
      <c r="Q130" s="219">
        <v>1937495.91</v>
      </c>
      <c r="R130" s="189">
        <f t="shared" si="34"/>
        <v>1937495.91</v>
      </c>
      <c r="S130" s="225">
        <v>1868357.1500000001</v>
      </c>
      <c r="T130" s="303">
        <v>69138.759999999776</v>
      </c>
      <c r="U130" s="303">
        <v>1992067.66</v>
      </c>
      <c r="V130" s="189">
        <f t="shared" si="35"/>
        <v>2061206.4199999997</v>
      </c>
      <c r="W130" s="225"/>
      <c r="X130" s="303">
        <f t="shared" si="22"/>
        <v>2061206.4199999997</v>
      </c>
      <c r="Y130" s="303"/>
      <c r="AA130" s="67">
        <f t="shared" si="23"/>
        <v>0</v>
      </c>
      <c r="AC130" t="s">
        <v>279</v>
      </c>
      <c r="AD130" t="s">
        <v>1568</v>
      </c>
      <c r="AE130" s="481">
        <f t="shared" si="29"/>
        <v>1992067.66</v>
      </c>
      <c r="AF130"/>
      <c r="AG130" s="48">
        <v>103638.45</v>
      </c>
      <c r="AH130" s="48">
        <v>55254.080000000002</v>
      </c>
      <c r="AI130" s="48">
        <v>76895.56</v>
      </c>
      <c r="AJ130" s="48">
        <v>7965.5</v>
      </c>
      <c r="AK130" s="48">
        <v>247251.13</v>
      </c>
      <c r="AL130" s="48">
        <v>1501062.94</v>
      </c>
      <c r="AN130"/>
      <c r="AO130"/>
      <c r="AP130" t="str">
        <f t="shared" si="25"/>
        <v>03017</v>
      </c>
      <c r="AQ130" s="481">
        <f t="shared" si="26"/>
        <v>1992067.66</v>
      </c>
    </row>
    <row r="131" spans="1:43">
      <c r="A131" s="217">
        <v>124</v>
      </c>
      <c r="B131" s="74" t="s">
        <v>281</v>
      </c>
      <c r="C131" s="74" t="s">
        <v>1569</v>
      </c>
      <c r="D131" s="186">
        <v>221338.32999999984</v>
      </c>
      <c r="E131" s="188">
        <v>1961263.98</v>
      </c>
      <c r="F131" s="189">
        <f t="shared" si="36"/>
        <v>2182602.3099999996</v>
      </c>
      <c r="G131" s="200">
        <v>1727220.26</v>
      </c>
      <c r="H131" s="197">
        <v>455382.04999999958</v>
      </c>
      <c r="I131" s="188">
        <v>2813234.2899999996</v>
      </c>
      <c r="J131" s="189">
        <f t="shared" si="37"/>
        <v>3268616.3399999989</v>
      </c>
      <c r="K131" s="225">
        <v>3110868.919999999</v>
      </c>
      <c r="L131" s="189">
        <v>157747.41999999993</v>
      </c>
      <c r="M131" s="219">
        <v>2790990.9</v>
      </c>
      <c r="N131" s="189">
        <f t="shared" si="33"/>
        <v>2948738.32</v>
      </c>
      <c r="O131" s="225">
        <v>3309766.86</v>
      </c>
      <c r="P131" s="303">
        <v>0</v>
      </c>
      <c r="Q131" s="219">
        <v>3079348.44</v>
      </c>
      <c r="R131" s="189">
        <f t="shared" si="34"/>
        <v>3079348.44</v>
      </c>
      <c r="S131" s="225">
        <v>3155399.1799999997</v>
      </c>
      <c r="T131" s="303">
        <v>0</v>
      </c>
      <c r="U131" s="303">
        <v>3188226.73</v>
      </c>
      <c r="V131" s="189">
        <f t="shared" si="35"/>
        <v>3188226.73</v>
      </c>
      <c r="W131" s="225"/>
      <c r="X131" s="303">
        <f t="shared" si="22"/>
        <v>3188226.73</v>
      </c>
      <c r="Y131" s="303"/>
      <c r="AA131" s="67">
        <f t="shared" si="23"/>
        <v>0</v>
      </c>
      <c r="AC131" t="s">
        <v>281</v>
      </c>
      <c r="AD131" t="s">
        <v>1570</v>
      </c>
      <c r="AE131" s="481">
        <f t="shared" si="29"/>
        <v>3188226.73</v>
      </c>
      <c r="AF131"/>
      <c r="AG131" s="48">
        <v>158120.63</v>
      </c>
      <c r="AH131" s="48">
        <v>63492.59</v>
      </c>
      <c r="AI131" s="48">
        <v>196525.26</v>
      </c>
      <c r="AJ131" s="48">
        <v>12702.35</v>
      </c>
      <c r="AK131" s="48">
        <v>379641.99</v>
      </c>
      <c r="AL131" s="48">
        <v>2377743.91</v>
      </c>
      <c r="AN131"/>
      <c r="AO131"/>
      <c r="AP131" t="str">
        <f t="shared" si="25"/>
        <v>17415</v>
      </c>
      <c r="AQ131" s="481">
        <f t="shared" si="26"/>
        <v>3188226.73</v>
      </c>
    </row>
    <row r="132" spans="1:43">
      <c r="A132" s="217">
        <v>125</v>
      </c>
      <c r="B132" s="74" t="s">
        <v>283</v>
      </c>
      <c r="C132" s="74" t="s">
        <v>1571</v>
      </c>
      <c r="D132" s="186">
        <v>3763.9799999999959</v>
      </c>
      <c r="E132" s="188">
        <v>54061.7</v>
      </c>
      <c r="F132" s="189">
        <f t="shared" si="36"/>
        <v>57825.679999999993</v>
      </c>
      <c r="G132" s="200">
        <v>47991.51</v>
      </c>
      <c r="H132" s="197">
        <v>9834.169999999991</v>
      </c>
      <c r="I132" s="188">
        <v>77110.429999999993</v>
      </c>
      <c r="J132" s="189">
        <f t="shared" si="37"/>
        <v>86944.599999999977</v>
      </c>
      <c r="K132" s="225">
        <v>82242.01999999999</v>
      </c>
      <c r="L132" s="189">
        <v>4702.5799999999872</v>
      </c>
      <c r="M132" s="219">
        <v>76701.320000000007</v>
      </c>
      <c r="N132" s="189">
        <f t="shared" si="33"/>
        <v>81403.899999999994</v>
      </c>
      <c r="O132" s="225">
        <v>74829.34</v>
      </c>
      <c r="P132" s="303">
        <v>6574.5599999999977</v>
      </c>
      <c r="Q132" s="219">
        <v>88001.64</v>
      </c>
      <c r="R132" s="189">
        <f t="shared" si="34"/>
        <v>94576.2</v>
      </c>
      <c r="S132" s="225">
        <v>73319.049999999988</v>
      </c>
      <c r="T132" s="303">
        <v>21257.150000000009</v>
      </c>
      <c r="U132" s="303">
        <v>82637.209999999992</v>
      </c>
      <c r="V132" s="189">
        <f t="shared" si="35"/>
        <v>103894.36</v>
      </c>
      <c r="W132" s="225"/>
      <c r="X132" s="303">
        <f t="shared" si="22"/>
        <v>103894.36</v>
      </c>
      <c r="Y132" s="303"/>
      <c r="AA132" s="67">
        <f t="shared" si="23"/>
        <v>0</v>
      </c>
      <c r="AC132" t="s">
        <v>283</v>
      </c>
      <c r="AD132" t="s">
        <v>1572</v>
      </c>
      <c r="AE132" s="481">
        <f t="shared" si="29"/>
        <v>82637.209999999992</v>
      </c>
      <c r="AF132"/>
      <c r="AG132" s="48">
        <v>5550.92</v>
      </c>
      <c r="AH132" s="48">
        <v>3402.76</v>
      </c>
      <c r="AI132" s="48">
        <v>0</v>
      </c>
      <c r="AJ132" s="48">
        <v>467.84</v>
      </c>
      <c r="AK132" s="48">
        <v>12981.42</v>
      </c>
      <c r="AL132" s="48">
        <v>60234.27</v>
      </c>
      <c r="AN132"/>
      <c r="AO132"/>
      <c r="AP132" t="str">
        <f t="shared" si="25"/>
        <v>33212</v>
      </c>
      <c r="AQ132" s="481">
        <f t="shared" si="26"/>
        <v>82637.209999999992</v>
      </c>
    </row>
    <row r="133" spans="1:43">
      <c r="A133" s="217">
        <v>126</v>
      </c>
      <c r="B133" s="74" t="s">
        <v>285</v>
      </c>
      <c r="C133" s="74" t="s">
        <v>1573</v>
      </c>
      <c r="D133" s="186">
        <v>0</v>
      </c>
      <c r="E133" s="188">
        <v>93852.72</v>
      </c>
      <c r="F133" s="189">
        <f t="shared" si="36"/>
        <v>93852.72</v>
      </c>
      <c r="G133" s="200">
        <v>95288.44</v>
      </c>
      <c r="H133" s="197">
        <v>0</v>
      </c>
      <c r="I133" s="188">
        <v>137832.32000000001</v>
      </c>
      <c r="J133" s="189">
        <f t="shared" si="37"/>
        <v>137832.32000000001</v>
      </c>
      <c r="K133" s="225">
        <v>139040.27000000002</v>
      </c>
      <c r="L133" s="189">
        <v>0</v>
      </c>
      <c r="M133" s="219">
        <v>143557.91</v>
      </c>
      <c r="N133" s="189">
        <f t="shared" si="33"/>
        <v>143557.91</v>
      </c>
      <c r="O133" s="225">
        <v>150771</v>
      </c>
      <c r="P133" s="303">
        <v>0</v>
      </c>
      <c r="Q133" s="219">
        <v>150374.20000000001</v>
      </c>
      <c r="R133" s="189">
        <f t="shared" si="34"/>
        <v>150374.20000000001</v>
      </c>
      <c r="S133" s="225">
        <v>155006.56</v>
      </c>
      <c r="T133" s="303">
        <v>0</v>
      </c>
      <c r="U133" s="303">
        <v>159327.16</v>
      </c>
      <c r="V133" s="189">
        <f t="shared" si="35"/>
        <v>159327.16</v>
      </c>
      <c r="W133" s="225"/>
      <c r="X133" s="303">
        <f t="shared" si="22"/>
        <v>159327.16</v>
      </c>
      <c r="Y133" s="303"/>
      <c r="AA133" s="67">
        <f t="shared" si="23"/>
        <v>0</v>
      </c>
      <c r="AC133" t="s">
        <v>285</v>
      </c>
      <c r="AD133" t="s">
        <v>1574</v>
      </c>
      <c r="AE133" s="481">
        <f t="shared" si="29"/>
        <v>159327.16</v>
      </c>
      <c r="AF133"/>
      <c r="AG133" s="48">
        <v>11417.69</v>
      </c>
      <c r="AH133" s="48">
        <v>6228.8</v>
      </c>
      <c r="AI133" s="48">
        <v>8190.55</v>
      </c>
      <c r="AJ133" s="48">
        <v>593.58000000000004</v>
      </c>
      <c r="AK133" s="48">
        <v>18356.12</v>
      </c>
      <c r="AL133" s="48">
        <v>114540.42</v>
      </c>
      <c r="AN133"/>
      <c r="AO133"/>
      <c r="AP133" t="str">
        <f t="shared" si="25"/>
        <v>03052</v>
      </c>
      <c r="AQ133" s="481">
        <f t="shared" si="26"/>
        <v>159327.16</v>
      </c>
    </row>
    <row r="134" spans="1:43">
      <c r="A134" s="217">
        <v>127</v>
      </c>
      <c r="B134" s="74" t="s">
        <v>287</v>
      </c>
      <c r="C134" s="74" t="s">
        <v>1575</v>
      </c>
      <c r="D134" s="186">
        <v>2482.1100000000006</v>
      </c>
      <c r="E134" s="188">
        <v>41069.39</v>
      </c>
      <c r="F134" s="189">
        <f t="shared" si="36"/>
        <v>43551.5</v>
      </c>
      <c r="G134" s="200">
        <v>43106.6</v>
      </c>
      <c r="H134" s="197">
        <v>444.90000000000146</v>
      </c>
      <c r="I134" s="188">
        <v>57158.44</v>
      </c>
      <c r="J134" s="189">
        <f t="shared" si="37"/>
        <v>57603.340000000004</v>
      </c>
      <c r="K134" s="225">
        <v>34568.949999999997</v>
      </c>
      <c r="L134" s="189">
        <v>23034.390000000007</v>
      </c>
      <c r="M134" s="219">
        <v>55938.32</v>
      </c>
      <c r="N134" s="189">
        <f t="shared" si="33"/>
        <v>78972.710000000006</v>
      </c>
      <c r="O134" s="225">
        <v>35346.9</v>
      </c>
      <c r="P134" s="303">
        <v>43625.810000000005</v>
      </c>
      <c r="Q134" s="219">
        <v>60208.66</v>
      </c>
      <c r="R134" s="189">
        <f t="shared" si="34"/>
        <v>103834.47</v>
      </c>
      <c r="S134" s="225">
        <v>44422.11</v>
      </c>
      <c r="T134" s="303">
        <v>59412.36</v>
      </c>
      <c r="U134" s="303">
        <v>60816.579999999987</v>
      </c>
      <c r="V134" s="189">
        <f t="shared" si="35"/>
        <v>120228.93999999999</v>
      </c>
      <c r="W134" s="225"/>
      <c r="X134" s="303">
        <f t="shared" si="22"/>
        <v>120228.93999999999</v>
      </c>
      <c r="Y134" s="303"/>
      <c r="AA134" s="67">
        <f t="shared" si="23"/>
        <v>0</v>
      </c>
      <c r="AC134" t="s">
        <v>287</v>
      </c>
      <c r="AD134" t="s">
        <v>1576</v>
      </c>
      <c r="AE134" s="481">
        <f t="shared" si="29"/>
        <v>60816.579999999987</v>
      </c>
      <c r="AF134"/>
      <c r="AG134" s="48">
        <v>2870</v>
      </c>
      <c r="AH134" s="48">
        <v>1420.24</v>
      </c>
      <c r="AI134" s="48">
        <v>945.36</v>
      </c>
      <c r="AJ134" s="48">
        <v>233.02</v>
      </c>
      <c r="AK134" s="48">
        <v>6891.32</v>
      </c>
      <c r="AL134" s="48">
        <v>48456.639999999992</v>
      </c>
      <c r="AN134"/>
      <c r="AO134"/>
      <c r="AP134" t="str">
        <f t="shared" si="25"/>
        <v>19403</v>
      </c>
      <c r="AQ134" s="481">
        <f t="shared" si="26"/>
        <v>60816.579999999987</v>
      </c>
    </row>
    <row r="135" spans="1:43">
      <c r="A135" s="217">
        <v>128</v>
      </c>
      <c r="B135" s="74" t="s">
        <v>289</v>
      </c>
      <c r="C135" s="74" t="s">
        <v>1577</v>
      </c>
      <c r="D135" s="186">
        <v>2941.46</v>
      </c>
      <c r="E135" s="188">
        <v>12611.93</v>
      </c>
      <c r="F135" s="189">
        <f t="shared" si="36"/>
        <v>15553.39</v>
      </c>
      <c r="G135" s="200">
        <v>7588.65</v>
      </c>
      <c r="H135" s="197">
        <v>7964.74</v>
      </c>
      <c r="I135" s="188">
        <v>19060.11</v>
      </c>
      <c r="J135" s="189">
        <f t="shared" si="37"/>
        <v>27024.85</v>
      </c>
      <c r="K135" s="225">
        <v>7992.17</v>
      </c>
      <c r="L135" s="189">
        <v>19032.68</v>
      </c>
      <c r="M135" s="219">
        <v>19736.64</v>
      </c>
      <c r="N135" s="189">
        <f t="shared" si="33"/>
        <v>38769.32</v>
      </c>
      <c r="O135" s="225">
        <v>14894.45</v>
      </c>
      <c r="P135" s="303">
        <v>23874.87</v>
      </c>
      <c r="Q135" s="219">
        <v>21159.54</v>
      </c>
      <c r="R135" s="189">
        <f t="shared" si="34"/>
        <v>45034.41</v>
      </c>
      <c r="S135" s="225">
        <v>13995.61</v>
      </c>
      <c r="T135" s="303">
        <v>31038.800000000003</v>
      </c>
      <c r="U135" s="303">
        <v>20310.73</v>
      </c>
      <c r="V135" s="189">
        <f t="shared" si="35"/>
        <v>51349.53</v>
      </c>
      <c r="W135" s="225"/>
      <c r="X135" s="303">
        <f t="shared" si="22"/>
        <v>51349.53</v>
      </c>
      <c r="Y135" s="303"/>
      <c r="AA135" s="67">
        <f t="shared" si="23"/>
        <v>0</v>
      </c>
      <c r="AC135" t="s">
        <v>289</v>
      </c>
      <c r="AD135" t="s">
        <v>1578</v>
      </c>
      <c r="AE135" s="481">
        <f t="shared" si="29"/>
        <v>20310.73</v>
      </c>
      <c r="AF135"/>
      <c r="AG135" s="48">
        <v>452.47</v>
      </c>
      <c r="AH135" s="48">
        <v>0</v>
      </c>
      <c r="AI135" s="48">
        <v>0</v>
      </c>
      <c r="AJ135" s="48">
        <v>0</v>
      </c>
      <c r="AK135" s="48">
        <v>0</v>
      </c>
      <c r="AL135" s="48">
        <v>19858.259999999998</v>
      </c>
      <c r="AN135"/>
      <c r="AO135"/>
      <c r="AP135" t="str">
        <f t="shared" si="25"/>
        <v>20402</v>
      </c>
      <c r="AQ135" s="481">
        <f t="shared" si="26"/>
        <v>20310.73</v>
      </c>
    </row>
    <row r="136" spans="1:43">
      <c r="A136" s="217">
        <v>129</v>
      </c>
      <c r="B136" s="74" t="s">
        <v>291</v>
      </c>
      <c r="C136" s="74" t="s">
        <v>1579</v>
      </c>
      <c r="D136" s="186">
        <v>0</v>
      </c>
      <c r="E136" s="188">
        <v>47848.420000000006</v>
      </c>
      <c r="F136" s="189">
        <f t="shared" si="36"/>
        <v>47848.420000000006</v>
      </c>
      <c r="G136" s="200">
        <v>48964.98</v>
      </c>
      <c r="H136" s="197">
        <v>0</v>
      </c>
      <c r="I136" s="188">
        <v>66829.39</v>
      </c>
      <c r="J136" s="189">
        <f t="shared" si="37"/>
        <v>66829.39</v>
      </c>
      <c r="K136" s="225">
        <v>68620.08</v>
      </c>
      <c r="L136" s="189">
        <v>0</v>
      </c>
      <c r="M136" s="219">
        <v>64529.5</v>
      </c>
      <c r="N136" s="189">
        <f t="shared" si="33"/>
        <v>64529.5</v>
      </c>
      <c r="O136" s="225">
        <v>77440.569999999992</v>
      </c>
      <c r="P136" s="303">
        <v>0</v>
      </c>
      <c r="Q136" s="219">
        <v>69114.070000000007</v>
      </c>
      <c r="R136" s="189">
        <f t="shared" si="34"/>
        <v>69114.070000000007</v>
      </c>
      <c r="S136" s="225">
        <v>69114.990000000005</v>
      </c>
      <c r="T136" s="303">
        <v>0</v>
      </c>
      <c r="U136" s="303">
        <v>66043.25</v>
      </c>
      <c r="V136" s="189">
        <f t="shared" si="35"/>
        <v>66043.25</v>
      </c>
      <c r="W136" s="225"/>
      <c r="X136" s="303">
        <f t="shared" ref="X136:X199" si="38">+V136-W136</f>
        <v>66043.25</v>
      </c>
      <c r="Y136" s="303"/>
      <c r="AA136" s="67">
        <f t="shared" ref="AA136:AA199" si="39">+AC136-B136</f>
        <v>0</v>
      </c>
      <c r="AC136" t="s">
        <v>291</v>
      </c>
      <c r="AD136" t="s">
        <v>1580</v>
      </c>
      <c r="AE136" s="481">
        <f t="shared" si="29"/>
        <v>66043.25</v>
      </c>
      <c r="AF136"/>
      <c r="AG136" s="48">
        <v>3194.46</v>
      </c>
      <c r="AH136" s="48">
        <v>2621.14</v>
      </c>
      <c r="AI136" s="48">
        <v>237.07</v>
      </c>
      <c r="AJ136" s="48">
        <v>243.79</v>
      </c>
      <c r="AK136" s="48">
        <v>8406.82</v>
      </c>
      <c r="AL136" s="48">
        <v>51339.97</v>
      </c>
      <c r="AN136"/>
      <c r="AO136"/>
      <c r="AP136" t="str">
        <f t="shared" ref="AP136:AP199" si="40">TEXT(AC136, "00000")</f>
        <v>29311</v>
      </c>
      <c r="AQ136" s="481">
        <f t="shared" ref="AQ136:AQ199" si="41">AE136</f>
        <v>66043.25</v>
      </c>
    </row>
    <row r="137" spans="1:43">
      <c r="A137" s="217">
        <v>130</v>
      </c>
      <c r="B137" s="74" t="s">
        <v>293</v>
      </c>
      <c r="C137" s="74" t="s">
        <v>1581</v>
      </c>
      <c r="D137" s="186">
        <v>45455.72</v>
      </c>
      <c r="E137" s="188">
        <v>105514.59999999999</v>
      </c>
      <c r="F137" s="189">
        <f t="shared" si="36"/>
        <v>150970.32</v>
      </c>
      <c r="G137" s="200">
        <v>109808.03</v>
      </c>
      <c r="H137" s="197">
        <v>41162.290000000008</v>
      </c>
      <c r="I137" s="188">
        <v>139662.26999999999</v>
      </c>
      <c r="J137" s="189">
        <f t="shared" si="37"/>
        <v>180824.56</v>
      </c>
      <c r="K137" s="225">
        <v>170184.27000000002</v>
      </c>
      <c r="L137" s="189">
        <v>10640.289999999979</v>
      </c>
      <c r="M137" s="219">
        <v>154160.63</v>
      </c>
      <c r="N137" s="189">
        <f t="shared" si="33"/>
        <v>164800.91999999998</v>
      </c>
      <c r="O137" s="225">
        <v>175380.65999999997</v>
      </c>
      <c r="P137" s="303">
        <v>0</v>
      </c>
      <c r="Q137" s="219">
        <v>174685.7</v>
      </c>
      <c r="R137" s="189">
        <f t="shared" si="34"/>
        <v>174685.7</v>
      </c>
      <c r="S137" s="225">
        <v>184546.3</v>
      </c>
      <c r="T137" s="303">
        <v>0</v>
      </c>
      <c r="U137" s="303">
        <v>192932.13</v>
      </c>
      <c r="V137" s="189">
        <f t="shared" si="35"/>
        <v>192932.13</v>
      </c>
      <c r="W137" s="225"/>
      <c r="X137" s="303">
        <f t="shared" si="38"/>
        <v>192932.13</v>
      </c>
      <c r="Y137" s="303"/>
      <c r="AA137" s="67">
        <f t="shared" si="39"/>
        <v>0</v>
      </c>
      <c r="AC137" t="s">
        <v>293</v>
      </c>
      <c r="AD137" t="s">
        <v>1582</v>
      </c>
      <c r="AE137" s="481">
        <f t="shared" si="29"/>
        <v>192932.13</v>
      </c>
      <c r="AF137"/>
      <c r="AG137" s="48">
        <v>4896.1000000000004</v>
      </c>
      <c r="AH137" s="48">
        <v>0</v>
      </c>
      <c r="AI137" s="48">
        <v>1336.78</v>
      </c>
      <c r="AJ137" s="48">
        <v>832.25</v>
      </c>
      <c r="AK137" s="48">
        <v>28440.59</v>
      </c>
      <c r="AL137" s="48">
        <v>157426.41</v>
      </c>
      <c r="AN137"/>
      <c r="AO137"/>
      <c r="AP137" t="str">
        <f t="shared" si="40"/>
        <v>06101</v>
      </c>
      <c r="AQ137" s="481">
        <f t="shared" si="41"/>
        <v>192932.13</v>
      </c>
    </row>
    <row r="138" spans="1:43">
      <c r="A138" s="217">
        <v>131</v>
      </c>
      <c r="B138" s="74" t="s">
        <v>295</v>
      </c>
      <c r="C138" s="74" t="s">
        <v>1583</v>
      </c>
      <c r="D138" s="186">
        <v>4897.58</v>
      </c>
      <c r="E138" s="188">
        <v>12832.039999999999</v>
      </c>
      <c r="F138" s="189">
        <f t="shared" si="36"/>
        <v>17729.62</v>
      </c>
      <c r="G138" s="200">
        <v>6405.71</v>
      </c>
      <c r="H138" s="197">
        <v>11323.91</v>
      </c>
      <c r="I138" s="188">
        <v>19934.330000000002</v>
      </c>
      <c r="J138" s="189">
        <f t="shared" si="37"/>
        <v>31258.240000000002</v>
      </c>
      <c r="K138" s="225">
        <v>22802.5</v>
      </c>
      <c r="L138" s="189">
        <v>8455.7400000000016</v>
      </c>
      <c r="M138" s="219">
        <v>19923.179999999997</v>
      </c>
      <c r="N138" s="189">
        <f t="shared" si="33"/>
        <v>28378.92</v>
      </c>
      <c r="O138" s="225">
        <v>18105.73</v>
      </c>
      <c r="P138" s="303">
        <v>10273.189999999999</v>
      </c>
      <c r="Q138" s="219">
        <v>21339.62</v>
      </c>
      <c r="R138" s="189">
        <f t="shared" si="34"/>
        <v>31612.809999999998</v>
      </c>
      <c r="S138" s="225">
        <v>3660.36</v>
      </c>
      <c r="T138" s="303">
        <v>27952.449999999997</v>
      </c>
      <c r="U138" s="303">
        <v>20931.87</v>
      </c>
      <c r="V138" s="189">
        <f t="shared" si="35"/>
        <v>48884.319999999992</v>
      </c>
      <c r="W138" s="225"/>
      <c r="X138" s="303">
        <f t="shared" si="38"/>
        <v>48884.319999999992</v>
      </c>
      <c r="Y138" s="303"/>
      <c r="AA138" s="67">
        <f t="shared" si="39"/>
        <v>0</v>
      </c>
      <c r="AC138" t="s">
        <v>295</v>
      </c>
      <c r="AD138" t="s">
        <v>1584</v>
      </c>
      <c r="AE138" s="481">
        <f t="shared" si="29"/>
        <v>20931.87</v>
      </c>
      <c r="AF138"/>
      <c r="AG138" s="48">
        <v>436.26</v>
      </c>
      <c r="AH138" s="48">
        <v>188.04</v>
      </c>
      <c r="AI138" s="48">
        <v>0</v>
      </c>
      <c r="AJ138" s="48">
        <v>31.59</v>
      </c>
      <c r="AK138" s="48">
        <v>1126.05</v>
      </c>
      <c r="AL138" s="48">
        <v>19149.93</v>
      </c>
      <c r="AN138"/>
      <c r="AO138"/>
      <c r="AP138" t="str">
        <f t="shared" si="40"/>
        <v>38126</v>
      </c>
      <c r="AQ138" s="481">
        <f t="shared" si="41"/>
        <v>20931.87</v>
      </c>
    </row>
    <row r="139" spans="1:43">
      <c r="A139" s="217">
        <v>132</v>
      </c>
      <c r="B139" s="74" t="s">
        <v>297</v>
      </c>
      <c r="C139" s="74" t="s">
        <v>1585</v>
      </c>
      <c r="D139" s="186">
        <v>38608.43</v>
      </c>
      <c r="E139" s="188">
        <v>92561.78</v>
      </c>
      <c r="F139" s="189">
        <f t="shared" si="36"/>
        <v>131170.21</v>
      </c>
      <c r="G139" s="200">
        <v>94647.07</v>
      </c>
      <c r="H139" s="197">
        <v>36523.139999999985</v>
      </c>
      <c r="I139" s="188">
        <v>134275.22</v>
      </c>
      <c r="J139" s="189">
        <f t="shared" si="37"/>
        <v>170798.36</v>
      </c>
      <c r="K139" s="225">
        <v>133983.47999999998</v>
      </c>
      <c r="L139" s="189">
        <v>36814.880000000005</v>
      </c>
      <c r="M139" s="219">
        <v>125866.18</v>
      </c>
      <c r="N139" s="189">
        <f t="shared" si="33"/>
        <v>162681.06</v>
      </c>
      <c r="O139" s="225">
        <v>111112.45</v>
      </c>
      <c r="P139" s="303">
        <v>51568.61</v>
      </c>
      <c r="Q139" s="219">
        <v>136293.36000000002</v>
      </c>
      <c r="R139" s="189">
        <f t="shared" si="34"/>
        <v>187861.97000000003</v>
      </c>
      <c r="S139" s="225">
        <v>187861.99999999997</v>
      </c>
      <c r="T139" s="303">
        <v>0</v>
      </c>
      <c r="U139" s="303">
        <v>139279.35</v>
      </c>
      <c r="V139" s="189">
        <f t="shared" si="35"/>
        <v>139279.35</v>
      </c>
      <c r="W139" s="225"/>
      <c r="X139" s="303">
        <f t="shared" si="38"/>
        <v>139279.35</v>
      </c>
      <c r="Y139" s="303"/>
      <c r="AA139" s="67">
        <f t="shared" si="39"/>
        <v>0</v>
      </c>
      <c r="AC139" t="s">
        <v>297</v>
      </c>
      <c r="AD139" t="s">
        <v>1586</v>
      </c>
      <c r="AE139" s="481">
        <f t="shared" si="29"/>
        <v>139279.35</v>
      </c>
      <c r="AF139"/>
      <c r="AG139" s="48">
        <v>7236.94</v>
      </c>
      <c r="AH139" s="48">
        <v>5462.73</v>
      </c>
      <c r="AI139" s="48">
        <v>8503.81</v>
      </c>
      <c r="AJ139" s="48">
        <v>539.79</v>
      </c>
      <c r="AK139" s="48">
        <v>13222.17</v>
      </c>
      <c r="AL139" s="48">
        <v>104313.91</v>
      </c>
      <c r="AN139"/>
      <c r="AO139"/>
      <c r="AP139" t="str">
        <f t="shared" si="40"/>
        <v>04129</v>
      </c>
      <c r="AQ139" s="481">
        <f t="shared" si="41"/>
        <v>139279.35</v>
      </c>
    </row>
    <row r="140" spans="1:43">
      <c r="A140" s="217">
        <v>133</v>
      </c>
      <c r="B140" s="74" t="s">
        <v>299</v>
      </c>
      <c r="C140" s="74" t="s">
        <v>1587</v>
      </c>
      <c r="D140" s="186">
        <v>0</v>
      </c>
      <c r="E140" s="188">
        <v>677651.62999999989</v>
      </c>
      <c r="F140" s="189">
        <f t="shared" si="36"/>
        <v>677651.62999999989</v>
      </c>
      <c r="G140" s="200">
        <v>747983.05</v>
      </c>
      <c r="H140" s="197">
        <v>0</v>
      </c>
      <c r="I140" s="188">
        <v>964893.79</v>
      </c>
      <c r="J140" s="189">
        <f t="shared" si="37"/>
        <v>964893.79</v>
      </c>
      <c r="K140" s="225">
        <v>1120354.73</v>
      </c>
      <c r="L140" s="189">
        <v>0</v>
      </c>
      <c r="M140" s="219">
        <v>1008288.3400000001</v>
      </c>
      <c r="N140" s="189">
        <f t="shared" si="33"/>
        <v>1008288.3400000001</v>
      </c>
      <c r="O140" s="225">
        <v>1036620.72</v>
      </c>
      <c r="P140" s="303">
        <v>0</v>
      </c>
      <c r="Q140" s="219">
        <v>1080841.6299999999</v>
      </c>
      <c r="R140" s="189">
        <f t="shared" si="34"/>
        <v>1080841.6299999999</v>
      </c>
      <c r="S140" s="225">
        <v>1124211.0499999998</v>
      </c>
      <c r="T140" s="303">
        <v>0</v>
      </c>
      <c r="U140" s="303">
        <v>1140421.96</v>
      </c>
      <c r="V140" s="189">
        <f t="shared" si="35"/>
        <v>1140421.96</v>
      </c>
      <c r="W140" s="225"/>
      <c r="X140" s="303">
        <f t="shared" si="38"/>
        <v>1140421.96</v>
      </c>
      <c r="Y140" s="303"/>
      <c r="AA140" s="67">
        <f t="shared" si="39"/>
        <v>0</v>
      </c>
      <c r="AC140" t="s">
        <v>299</v>
      </c>
      <c r="AD140" t="s">
        <v>1588</v>
      </c>
      <c r="AE140" s="481">
        <f t="shared" si="29"/>
        <v>1140421.96</v>
      </c>
      <c r="AF140"/>
      <c r="AG140" s="48">
        <v>29835.46</v>
      </c>
      <c r="AH140" s="48">
        <v>0</v>
      </c>
      <c r="AI140" s="48">
        <v>19928.02</v>
      </c>
      <c r="AJ140" s="48">
        <v>4723.13</v>
      </c>
      <c r="AK140" s="48">
        <v>177210.27</v>
      </c>
      <c r="AL140" s="48">
        <v>908725.08000000007</v>
      </c>
      <c r="AN140"/>
      <c r="AO140"/>
      <c r="AP140" t="str">
        <f t="shared" si="40"/>
        <v>31004</v>
      </c>
      <c r="AQ140" s="481">
        <f t="shared" si="41"/>
        <v>1140421.96</v>
      </c>
    </row>
    <row r="141" spans="1:43">
      <c r="A141" s="217">
        <v>134</v>
      </c>
      <c r="B141" s="74" t="s">
        <v>301</v>
      </c>
      <c r="C141" s="74" t="s">
        <v>1589</v>
      </c>
      <c r="D141" s="186">
        <v>0</v>
      </c>
      <c r="E141" s="188">
        <v>2210473.4900000002</v>
      </c>
      <c r="F141" s="189">
        <f t="shared" si="36"/>
        <v>2210473.4900000002</v>
      </c>
      <c r="G141" s="200">
        <v>2210473.4900000002</v>
      </c>
      <c r="H141" s="197">
        <v>0</v>
      </c>
      <c r="I141" s="188">
        <v>3148521.2899999996</v>
      </c>
      <c r="J141" s="189">
        <f t="shared" si="37"/>
        <v>3148521.2899999996</v>
      </c>
      <c r="K141" s="225">
        <v>3178521.2900000005</v>
      </c>
      <c r="L141" s="189">
        <v>0</v>
      </c>
      <c r="M141" s="219">
        <v>3150381.17</v>
      </c>
      <c r="N141" s="189">
        <f t="shared" si="33"/>
        <v>3150381.17</v>
      </c>
      <c r="O141" s="225">
        <v>3152160.54</v>
      </c>
      <c r="P141" s="303">
        <v>0</v>
      </c>
      <c r="Q141" s="219">
        <v>3378890.89</v>
      </c>
      <c r="R141" s="189">
        <f t="shared" si="34"/>
        <v>3378890.89</v>
      </c>
      <c r="S141" s="225">
        <v>3368677.9800000004</v>
      </c>
      <c r="T141" s="303">
        <v>10212.909999999683</v>
      </c>
      <c r="U141" s="303">
        <v>3464127.06</v>
      </c>
      <c r="V141" s="189">
        <f t="shared" si="35"/>
        <v>3474339.9699999997</v>
      </c>
      <c r="W141" s="225"/>
      <c r="X141" s="303">
        <f t="shared" si="38"/>
        <v>3474339.9699999997</v>
      </c>
      <c r="Y141" s="303"/>
      <c r="AA141" s="67">
        <f t="shared" si="39"/>
        <v>0</v>
      </c>
      <c r="AC141" t="s">
        <v>301</v>
      </c>
      <c r="AD141" t="s">
        <v>1590</v>
      </c>
      <c r="AE141" s="481">
        <f t="shared" si="29"/>
        <v>3464127.06</v>
      </c>
      <c r="AF141"/>
      <c r="AG141" s="48">
        <v>41041.17</v>
      </c>
      <c r="AH141" s="48">
        <v>0</v>
      </c>
      <c r="AI141" s="48">
        <v>113148.17</v>
      </c>
      <c r="AJ141" s="48">
        <v>15363.25</v>
      </c>
      <c r="AK141" s="48">
        <v>313527.39</v>
      </c>
      <c r="AL141" s="48">
        <v>2981047.08</v>
      </c>
      <c r="AN141"/>
      <c r="AO141"/>
      <c r="AP141" t="str">
        <f t="shared" si="40"/>
        <v>17414</v>
      </c>
      <c r="AQ141" s="481">
        <f t="shared" si="41"/>
        <v>3464127.06</v>
      </c>
    </row>
    <row r="142" spans="1:43">
      <c r="A142" s="217">
        <v>135</v>
      </c>
      <c r="B142" s="74" t="s">
        <v>303</v>
      </c>
      <c r="C142" s="74" t="s">
        <v>1591</v>
      </c>
      <c r="D142" s="186">
        <v>0</v>
      </c>
      <c r="E142" s="188">
        <v>183212.68</v>
      </c>
      <c r="F142" s="189">
        <f t="shared" si="36"/>
        <v>183212.68</v>
      </c>
      <c r="G142" s="200">
        <v>128900.49</v>
      </c>
      <c r="H142" s="197">
        <v>54312.189999999988</v>
      </c>
      <c r="I142" s="188">
        <v>260000.15</v>
      </c>
      <c r="J142" s="189">
        <f t="shared" si="37"/>
        <v>314312.33999999997</v>
      </c>
      <c r="K142" s="225">
        <v>110315.85999999999</v>
      </c>
      <c r="L142" s="189">
        <v>203996.47999999998</v>
      </c>
      <c r="M142" s="219">
        <v>265030.19</v>
      </c>
      <c r="N142" s="189">
        <f t="shared" si="33"/>
        <v>469026.67</v>
      </c>
      <c r="O142" s="225">
        <v>205661.28999999998</v>
      </c>
      <c r="P142" s="303">
        <v>263365.38</v>
      </c>
      <c r="Q142" s="219">
        <v>292310.61</v>
      </c>
      <c r="R142" s="189">
        <f t="shared" si="34"/>
        <v>555675.99</v>
      </c>
      <c r="S142" s="225">
        <v>378186.56</v>
      </c>
      <c r="T142" s="303">
        <v>177489.43</v>
      </c>
      <c r="U142" s="303">
        <v>301825.95999999996</v>
      </c>
      <c r="V142" s="189">
        <f t="shared" si="35"/>
        <v>479315.38999999996</v>
      </c>
      <c r="W142" s="225"/>
      <c r="X142" s="303">
        <f t="shared" si="38"/>
        <v>479315.38999999996</v>
      </c>
      <c r="Y142" s="303"/>
      <c r="AA142" s="67">
        <f t="shared" si="39"/>
        <v>0</v>
      </c>
      <c r="AC142" t="s">
        <v>303</v>
      </c>
      <c r="AD142" t="s">
        <v>1592</v>
      </c>
      <c r="AE142" s="481">
        <f t="shared" si="29"/>
        <v>301825.95999999996</v>
      </c>
      <c r="AF142"/>
      <c r="AG142" s="48">
        <v>11938.39</v>
      </c>
      <c r="AH142" s="48">
        <v>0</v>
      </c>
      <c r="AI142" s="48">
        <v>7310</v>
      </c>
      <c r="AJ142" s="48">
        <v>1238.7</v>
      </c>
      <c r="AK142" s="48">
        <v>44342.07</v>
      </c>
      <c r="AL142" s="48">
        <v>236996.8</v>
      </c>
      <c r="AN142"/>
      <c r="AO142"/>
      <c r="AP142" t="str">
        <f t="shared" si="40"/>
        <v>31306</v>
      </c>
      <c r="AQ142" s="481">
        <f t="shared" si="41"/>
        <v>301825.95999999996</v>
      </c>
    </row>
    <row r="143" spans="1:43">
      <c r="A143" s="217">
        <v>136</v>
      </c>
      <c r="B143" s="74" t="s">
        <v>305</v>
      </c>
      <c r="C143" s="74" t="s">
        <v>1593</v>
      </c>
      <c r="D143" s="186">
        <v>253.01000000000022</v>
      </c>
      <c r="E143" s="188">
        <v>3949.9700000000003</v>
      </c>
      <c r="F143" s="189">
        <f t="shared" si="36"/>
        <v>4202.9800000000005</v>
      </c>
      <c r="G143" s="200">
        <v>3402.66</v>
      </c>
      <c r="H143" s="197">
        <v>800.32000000000062</v>
      </c>
      <c r="I143" s="188">
        <v>5867.87</v>
      </c>
      <c r="J143" s="189">
        <f t="shared" si="37"/>
        <v>6668.1900000000005</v>
      </c>
      <c r="K143" s="225">
        <v>6669.8099999999995</v>
      </c>
      <c r="L143" s="189">
        <v>0</v>
      </c>
      <c r="M143" s="219">
        <v>5845.29</v>
      </c>
      <c r="N143" s="189">
        <f t="shared" si="33"/>
        <v>5845.29</v>
      </c>
      <c r="O143" s="225">
        <v>6152.37</v>
      </c>
      <c r="P143" s="303">
        <v>0</v>
      </c>
      <c r="Q143" s="219">
        <v>6084.83</v>
      </c>
      <c r="R143" s="189">
        <f t="shared" si="34"/>
        <v>6084.83</v>
      </c>
      <c r="S143" s="225">
        <v>5890.33</v>
      </c>
      <c r="T143" s="303">
        <v>194.5</v>
      </c>
      <c r="U143" s="303">
        <v>5908.39</v>
      </c>
      <c r="V143" s="189">
        <f t="shared" si="35"/>
        <v>6102.89</v>
      </c>
      <c r="W143" s="225"/>
      <c r="X143" s="303">
        <f t="shared" si="38"/>
        <v>6102.89</v>
      </c>
      <c r="Y143" s="303"/>
      <c r="AA143" s="67">
        <f t="shared" si="39"/>
        <v>0</v>
      </c>
      <c r="AC143" t="s">
        <v>305</v>
      </c>
      <c r="AD143" t="s">
        <v>1594</v>
      </c>
      <c r="AE143" s="481">
        <f t="shared" si="29"/>
        <v>5908.39</v>
      </c>
      <c r="AF143"/>
      <c r="AG143" s="48">
        <v>168.13</v>
      </c>
      <c r="AH143" s="48">
        <v>119.47</v>
      </c>
      <c r="AI143" s="48">
        <v>0</v>
      </c>
      <c r="AJ143" s="48">
        <v>10.33</v>
      </c>
      <c r="AK143" s="48">
        <v>286.36</v>
      </c>
      <c r="AL143" s="48">
        <v>5324.1</v>
      </c>
      <c r="AN143"/>
      <c r="AO143"/>
      <c r="AP143" t="str">
        <f t="shared" si="40"/>
        <v>38264</v>
      </c>
      <c r="AQ143" s="481">
        <f t="shared" si="41"/>
        <v>5908.39</v>
      </c>
    </row>
    <row r="144" spans="1:43">
      <c r="A144" s="217">
        <v>137</v>
      </c>
      <c r="B144" s="74" t="s">
        <v>307</v>
      </c>
      <c r="C144" s="74" t="s">
        <v>1595</v>
      </c>
      <c r="D144" s="186">
        <v>0</v>
      </c>
      <c r="E144" s="188">
        <v>34801.15</v>
      </c>
      <c r="F144" s="189">
        <f t="shared" si="36"/>
        <v>34801.15</v>
      </c>
      <c r="G144" s="200">
        <v>15389.65</v>
      </c>
      <c r="H144" s="197">
        <v>19411.5</v>
      </c>
      <c r="I144" s="188">
        <v>50257.58</v>
      </c>
      <c r="J144" s="189">
        <f t="shared" si="37"/>
        <v>69669.08</v>
      </c>
      <c r="K144" s="225">
        <v>73370.3</v>
      </c>
      <c r="L144" s="189">
        <v>0</v>
      </c>
      <c r="M144" s="219">
        <v>54229.790000000008</v>
      </c>
      <c r="N144" s="189">
        <f t="shared" si="33"/>
        <v>54229.790000000008</v>
      </c>
      <c r="O144" s="225">
        <v>55083.86</v>
      </c>
      <c r="P144" s="303">
        <v>0</v>
      </c>
      <c r="Q144" s="219">
        <v>58452.549999999996</v>
      </c>
      <c r="R144" s="189">
        <f t="shared" si="34"/>
        <v>58452.549999999996</v>
      </c>
      <c r="S144" s="225">
        <v>38739.83</v>
      </c>
      <c r="T144" s="303">
        <v>19712.719999999994</v>
      </c>
      <c r="U144" s="303">
        <v>60802.829999999994</v>
      </c>
      <c r="V144" s="189">
        <f t="shared" si="35"/>
        <v>80515.549999999988</v>
      </c>
      <c r="W144" s="225"/>
      <c r="X144" s="303">
        <f t="shared" si="38"/>
        <v>80515.549999999988</v>
      </c>
      <c r="Y144" s="303"/>
      <c r="AA144" s="67">
        <f t="shared" si="39"/>
        <v>0</v>
      </c>
      <c r="AC144" t="s">
        <v>307</v>
      </c>
      <c r="AD144" t="s">
        <v>1596</v>
      </c>
      <c r="AE144" s="481">
        <f t="shared" si="29"/>
        <v>60802.829999999994</v>
      </c>
      <c r="AF144"/>
      <c r="AG144" s="48">
        <v>2210.7600000000002</v>
      </c>
      <c r="AH144" s="48">
        <v>0</v>
      </c>
      <c r="AI144" s="48">
        <v>0</v>
      </c>
      <c r="AJ144" s="48">
        <v>252.19</v>
      </c>
      <c r="AK144" s="48">
        <v>5939.58</v>
      </c>
      <c r="AL144" s="48">
        <v>52400.299999999996</v>
      </c>
      <c r="AN144"/>
      <c r="AO144"/>
      <c r="AP144" t="str">
        <f t="shared" si="40"/>
        <v>32362</v>
      </c>
      <c r="AQ144" s="481">
        <f t="shared" si="41"/>
        <v>60802.829999999994</v>
      </c>
    </row>
    <row r="145" spans="1:43">
      <c r="A145" s="217">
        <v>138</v>
      </c>
      <c r="B145" s="74" t="s">
        <v>309</v>
      </c>
      <c r="C145" s="74" t="s">
        <v>1597</v>
      </c>
      <c r="D145" s="186">
        <v>558.14999999999964</v>
      </c>
      <c r="E145" s="188">
        <v>19069.79</v>
      </c>
      <c r="F145" s="189">
        <f t="shared" si="36"/>
        <v>19627.940000000002</v>
      </c>
      <c r="G145" s="200">
        <v>17991.97</v>
      </c>
      <c r="H145" s="197">
        <v>1635.9700000000012</v>
      </c>
      <c r="I145" s="188">
        <v>28392.959999999999</v>
      </c>
      <c r="J145" s="189">
        <f t="shared" si="37"/>
        <v>30028.93</v>
      </c>
      <c r="K145" s="225">
        <v>28656.620000000003</v>
      </c>
      <c r="L145" s="189">
        <v>1372.3099999999977</v>
      </c>
      <c r="M145" s="219">
        <v>28563.809999999998</v>
      </c>
      <c r="N145" s="189">
        <f t="shared" si="33"/>
        <v>29936.119999999995</v>
      </c>
      <c r="O145" s="225">
        <v>29960.089999999997</v>
      </c>
      <c r="P145" s="303">
        <v>0</v>
      </c>
      <c r="Q145" s="219">
        <v>32128</v>
      </c>
      <c r="R145" s="189">
        <f t="shared" si="34"/>
        <v>32128</v>
      </c>
      <c r="S145" s="225">
        <v>32350.979999999996</v>
      </c>
      <c r="T145" s="303">
        <v>0</v>
      </c>
      <c r="U145" s="303">
        <v>29636.07</v>
      </c>
      <c r="V145" s="189">
        <f t="shared" si="35"/>
        <v>29636.07</v>
      </c>
      <c r="W145" s="225"/>
      <c r="X145" s="303">
        <f t="shared" si="38"/>
        <v>29636.07</v>
      </c>
      <c r="Y145" s="303"/>
      <c r="AA145" s="67">
        <f t="shared" si="39"/>
        <v>0</v>
      </c>
      <c r="AC145" t="s">
        <v>309</v>
      </c>
      <c r="AD145" t="s">
        <v>1598</v>
      </c>
      <c r="AE145" s="481">
        <f t="shared" si="29"/>
        <v>29636.07</v>
      </c>
      <c r="AF145"/>
      <c r="AG145" s="48">
        <v>1409.93</v>
      </c>
      <c r="AH145" s="48">
        <v>876.04</v>
      </c>
      <c r="AI145" s="48">
        <v>606.15</v>
      </c>
      <c r="AJ145" s="48">
        <v>73.739999999999995</v>
      </c>
      <c r="AK145" s="48">
        <v>1705.96</v>
      </c>
      <c r="AL145" s="48">
        <v>24964.25</v>
      </c>
      <c r="AN145"/>
      <c r="AO145"/>
      <c r="AP145" t="str">
        <f t="shared" si="40"/>
        <v>01158</v>
      </c>
      <c r="AQ145" s="481">
        <f t="shared" si="41"/>
        <v>29636.07</v>
      </c>
    </row>
    <row r="146" spans="1:43">
      <c r="A146" s="217">
        <v>139</v>
      </c>
      <c r="B146" s="74" t="s">
        <v>311</v>
      </c>
      <c r="C146" s="74" t="s">
        <v>1599</v>
      </c>
      <c r="D146" s="186">
        <v>0</v>
      </c>
      <c r="E146" s="188">
        <v>427087.6</v>
      </c>
      <c r="F146" s="189">
        <f t="shared" si="36"/>
        <v>427087.6</v>
      </c>
      <c r="G146" s="200">
        <v>423746.18</v>
      </c>
      <c r="H146" s="197">
        <v>3341.4199999999837</v>
      </c>
      <c r="I146" s="188">
        <v>587125.79</v>
      </c>
      <c r="J146" s="189">
        <f t="shared" si="37"/>
        <v>590467.21</v>
      </c>
      <c r="K146" s="225">
        <v>701968.9</v>
      </c>
      <c r="L146" s="189">
        <v>0</v>
      </c>
      <c r="M146" s="219">
        <v>592234.70000000007</v>
      </c>
      <c r="N146" s="189">
        <f t="shared" si="33"/>
        <v>592234.70000000007</v>
      </c>
      <c r="O146" s="225">
        <v>708443.97</v>
      </c>
      <c r="P146" s="303">
        <v>0</v>
      </c>
      <c r="Q146" s="219">
        <v>646232.68999999994</v>
      </c>
      <c r="R146" s="189">
        <f t="shared" si="34"/>
        <v>646232.68999999994</v>
      </c>
      <c r="S146" s="225">
        <v>765153.14999999991</v>
      </c>
      <c r="T146" s="303">
        <v>0</v>
      </c>
      <c r="U146" s="303">
        <v>664436.69999999995</v>
      </c>
      <c r="V146" s="189">
        <f t="shared" si="35"/>
        <v>664436.69999999995</v>
      </c>
      <c r="W146" s="225"/>
      <c r="X146" s="303">
        <f t="shared" si="38"/>
        <v>664436.69999999995</v>
      </c>
      <c r="Y146" s="303"/>
      <c r="AA146" s="67">
        <f t="shared" si="39"/>
        <v>0</v>
      </c>
      <c r="AC146" t="s">
        <v>311</v>
      </c>
      <c r="AD146" t="s">
        <v>1600</v>
      </c>
      <c r="AE146" s="481">
        <f t="shared" si="29"/>
        <v>664436.69999999995</v>
      </c>
      <c r="AF146"/>
      <c r="AG146" s="48">
        <v>38582.730000000003</v>
      </c>
      <c r="AH146" s="48">
        <v>20868.68</v>
      </c>
      <c r="AI146" s="48">
        <v>10721.93</v>
      </c>
      <c r="AJ146" s="48">
        <v>2600.1</v>
      </c>
      <c r="AK146" s="48">
        <v>95724.56</v>
      </c>
      <c r="AL146" s="48">
        <v>495938.7</v>
      </c>
      <c r="AN146"/>
      <c r="AO146"/>
      <c r="AP146" t="str">
        <f t="shared" si="40"/>
        <v>08122</v>
      </c>
      <c r="AQ146" s="481">
        <f t="shared" si="41"/>
        <v>664436.69999999995</v>
      </c>
    </row>
    <row r="147" spans="1:43">
      <c r="A147" s="217">
        <v>140</v>
      </c>
      <c r="B147" s="74" t="s">
        <v>313</v>
      </c>
      <c r="C147" s="74" t="s">
        <v>1601</v>
      </c>
      <c r="D147" s="186">
        <v>474.21000000000004</v>
      </c>
      <c r="E147" s="188">
        <v>7045.1799999999994</v>
      </c>
      <c r="F147" s="189">
        <f t="shared" si="36"/>
        <v>7519.3899999999994</v>
      </c>
      <c r="G147" s="200">
        <v>7887.34</v>
      </c>
      <c r="H147" s="197">
        <v>0</v>
      </c>
      <c r="I147" s="188">
        <v>10576.33</v>
      </c>
      <c r="J147" s="189">
        <f t="shared" si="37"/>
        <v>10576.33</v>
      </c>
      <c r="K147" s="225">
        <v>9071.15</v>
      </c>
      <c r="L147" s="189">
        <v>1505.1800000000003</v>
      </c>
      <c r="M147" s="219">
        <v>11958.84</v>
      </c>
      <c r="N147" s="189">
        <f t="shared" si="33"/>
        <v>13464.02</v>
      </c>
      <c r="O147" s="225">
        <v>15982.989999999998</v>
      </c>
      <c r="P147" s="303">
        <v>0</v>
      </c>
      <c r="Q147" s="219">
        <v>13010.560000000001</v>
      </c>
      <c r="R147" s="189">
        <f t="shared" si="34"/>
        <v>13010.560000000001</v>
      </c>
      <c r="S147" s="225">
        <v>14879.37</v>
      </c>
      <c r="T147" s="303">
        <v>0</v>
      </c>
      <c r="U147" s="303">
        <v>12298.34</v>
      </c>
      <c r="V147" s="189">
        <f t="shared" si="35"/>
        <v>12298.34</v>
      </c>
      <c r="W147" s="225"/>
      <c r="X147" s="303">
        <f t="shared" si="38"/>
        <v>12298.34</v>
      </c>
      <c r="Y147" s="303"/>
      <c r="AA147" s="67">
        <f t="shared" si="39"/>
        <v>0</v>
      </c>
      <c r="AC147" t="s">
        <v>313</v>
      </c>
      <c r="AD147" t="s">
        <v>1602</v>
      </c>
      <c r="AE147" s="481">
        <f t="shared" si="29"/>
        <v>12298.34</v>
      </c>
      <c r="AF147"/>
      <c r="AG147" s="48">
        <v>1190.18</v>
      </c>
      <c r="AH147" s="48">
        <v>463.09</v>
      </c>
      <c r="AI147" s="48">
        <v>0</v>
      </c>
      <c r="AJ147" s="48">
        <v>104.72</v>
      </c>
      <c r="AK147" s="48">
        <v>1489.38</v>
      </c>
      <c r="AL147" s="48">
        <v>9050.9699999999993</v>
      </c>
      <c r="AN147"/>
      <c r="AO147"/>
      <c r="AP147" t="str">
        <f t="shared" si="40"/>
        <v>33183</v>
      </c>
      <c r="AQ147" s="481">
        <f t="shared" si="41"/>
        <v>12298.34</v>
      </c>
    </row>
    <row r="148" spans="1:43">
      <c r="A148" s="217">
        <v>141</v>
      </c>
      <c r="B148" s="74" t="s">
        <v>315</v>
      </c>
      <c r="C148" s="74" t="s">
        <v>1603</v>
      </c>
      <c r="D148" s="186">
        <v>3747.8200000000015</v>
      </c>
      <c r="E148" s="188">
        <v>24192.289999999997</v>
      </c>
      <c r="F148" s="189">
        <f t="shared" si="36"/>
        <v>27940.11</v>
      </c>
      <c r="G148" s="200">
        <v>23542.07</v>
      </c>
      <c r="H148" s="197">
        <v>4398.0400000000009</v>
      </c>
      <c r="I148" s="188">
        <v>33330.840000000004</v>
      </c>
      <c r="J148" s="189">
        <f t="shared" si="37"/>
        <v>37728.880000000005</v>
      </c>
      <c r="K148" s="225"/>
      <c r="L148" s="189">
        <v>37728.880000000005</v>
      </c>
      <c r="M148" s="219">
        <v>34824.949999999997</v>
      </c>
      <c r="N148" s="189">
        <f t="shared" si="33"/>
        <v>72553.83</v>
      </c>
      <c r="O148" s="225">
        <v>38336.51</v>
      </c>
      <c r="P148" s="303">
        <v>34217.32</v>
      </c>
      <c r="Q148" s="219">
        <v>36294.899999999994</v>
      </c>
      <c r="R148" s="189">
        <f t="shared" si="34"/>
        <v>70512.22</v>
      </c>
      <c r="S148" s="225">
        <v>36025.85</v>
      </c>
      <c r="T148" s="303">
        <v>34486.370000000003</v>
      </c>
      <c r="U148" s="303">
        <v>36481.96</v>
      </c>
      <c r="V148" s="189">
        <f t="shared" si="35"/>
        <v>70968.33</v>
      </c>
      <c r="W148" s="225"/>
      <c r="X148" s="303">
        <f t="shared" si="38"/>
        <v>70968.33</v>
      </c>
      <c r="Y148" s="303"/>
      <c r="AA148" s="67">
        <f t="shared" si="39"/>
        <v>0</v>
      </c>
      <c r="AC148" t="s">
        <v>315</v>
      </c>
      <c r="AD148" t="s">
        <v>1604</v>
      </c>
      <c r="AE148" s="481">
        <f t="shared" si="29"/>
        <v>36481.96</v>
      </c>
      <c r="AF148"/>
      <c r="AG148" s="48">
        <v>1425.5</v>
      </c>
      <c r="AH148" s="48">
        <v>632.64</v>
      </c>
      <c r="AI148" s="48">
        <v>513.71</v>
      </c>
      <c r="AJ148" s="48">
        <v>104.06</v>
      </c>
      <c r="AK148" s="48">
        <v>3500.54</v>
      </c>
      <c r="AL148" s="48">
        <v>30305.51</v>
      </c>
      <c r="AN148"/>
      <c r="AO148"/>
      <c r="AP148" t="str">
        <f t="shared" si="40"/>
        <v>28144</v>
      </c>
      <c r="AQ148" s="481">
        <f t="shared" si="41"/>
        <v>36481.96</v>
      </c>
    </row>
    <row r="149" spans="1:43">
      <c r="A149" s="217">
        <v>142</v>
      </c>
      <c r="B149" s="192" t="s">
        <v>317</v>
      </c>
      <c r="C149" s="193" t="s">
        <v>1605</v>
      </c>
      <c r="D149" s="186"/>
      <c r="E149" s="188"/>
      <c r="F149" s="189">
        <f t="shared" si="36"/>
        <v>0</v>
      </c>
      <c r="G149" s="200"/>
      <c r="H149" s="198">
        <v>0</v>
      </c>
      <c r="I149" s="188">
        <v>13679.67</v>
      </c>
      <c r="J149" s="189">
        <f t="shared" si="37"/>
        <v>13679.67</v>
      </c>
      <c r="K149" s="225">
        <v>13927.7</v>
      </c>
      <c r="L149" s="189">
        <v>0</v>
      </c>
      <c r="M149" s="219">
        <v>13945.5</v>
      </c>
      <c r="N149" s="189">
        <f t="shared" si="33"/>
        <v>13945.5</v>
      </c>
      <c r="O149" s="225">
        <v>14015.420000000002</v>
      </c>
      <c r="P149" s="303">
        <v>0</v>
      </c>
      <c r="Q149" s="219">
        <v>14609.08</v>
      </c>
      <c r="R149" s="189">
        <f t="shared" si="34"/>
        <v>14609.08</v>
      </c>
      <c r="S149" s="225">
        <v>14660.31</v>
      </c>
      <c r="T149" s="303">
        <v>0</v>
      </c>
      <c r="U149" s="303">
        <v>14090.960000000001</v>
      </c>
      <c r="V149" s="189">
        <f t="shared" si="35"/>
        <v>14090.960000000001</v>
      </c>
      <c r="W149" s="225"/>
      <c r="X149" s="303">
        <f t="shared" si="38"/>
        <v>14090.960000000001</v>
      </c>
      <c r="Y149" s="303"/>
      <c r="AA149" s="67">
        <f t="shared" si="39"/>
        <v>0</v>
      </c>
      <c r="AC149" t="s">
        <v>317</v>
      </c>
      <c r="AD149" t="s">
        <v>1606</v>
      </c>
      <c r="AE149" s="481">
        <f t="shared" si="29"/>
        <v>14090.960000000001</v>
      </c>
      <c r="AF149"/>
      <c r="AG149" s="48">
        <v>308.37</v>
      </c>
      <c r="AH149" s="48">
        <v>151.19</v>
      </c>
      <c r="AI149" s="48">
        <v>0</v>
      </c>
      <c r="AJ149" s="48">
        <v>0</v>
      </c>
      <c r="AK149" s="48">
        <v>148.46</v>
      </c>
      <c r="AL149" s="48">
        <v>13482.94</v>
      </c>
      <c r="AN149"/>
      <c r="AO149"/>
      <c r="AP149" t="str">
        <f t="shared" si="40"/>
        <v>32903</v>
      </c>
      <c r="AQ149" s="481">
        <f t="shared" si="41"/>
        <v>14090.960000000001</v>
      </c>
    </row>
    <row r="150" spans="1:43">
      <c r="A150" s="217">
        <v>143</v>
      </c>
      <c r="B150" s="74" t="s">
        <v>319</v>
      </c>
      <c r="C150" s="74" t="s">
        <v>1607</v>
      </c>
      <c r="D150" s="186">
        <v>15296.679999999998</v>
      </c>
      <c r="E150" s="188">
        <v>35418.61</v>
      </c>
      <c r="F150" s="189">
        <f t="shared" si="36"/>
        <v>50715.29</v>
      </c>
      <c r="G150" s="200"/>
      <c r="H150" s="197">
        <v>50715.29</v>
      </c>
      <c r="I150" s="188">
        <v>50970.239999999998</v>
      </c>
      <c r="J150" s="189">
        <f t="shared" si="37"/>
        <v>101685.53</v>
      </c>
      <c r="K150" s="225"/>
      <c r="L150" s="189">
        <v>101685.53</v>
      </c>
      <c r="M150" s="219">
        <v>51056.790000000008</v>
      </c>
      <c r="N150" s="189">
        <f t="shared" si="33"/>
        <v>152742.32</v>
      </c>
      <c r="O150" s="225">
        <v>42646.380000000005</v>
      </c>
      <c r="P150" s="303">
        <v>110095.94</v>
      </c>
      <c r="Q150" s="219">
        <v>54646.81</v>
      </c>
      <c r="R150" s="189">
        <f t="shared" si="34"/>
        <v>164742.75</v>
      </c>
      <c r="S150" s="225">
        <v>15629.11</v>
      </c>
      <c r="T150" s="303">
        <v>149113.64000000001</v>
      </c>
      <c r="U150" s="303">
        <v>53903.25</v>
      </c>
      <c r="V150" s="189">
        <f t="shared" si="35"/>
        <v>203016.89</v>
      </c>
      <c r="W150" s="225"/>
      <c r="X150" s="303">
        <f t="shared" si="38"/>
        <v>203016.89</v>
      </c>
      <c r="Y150" s="303"/>
      <c r="AA150" s="67">
        <f t="shared" si="39"/>
        <v>0</v>
      </c>
      <c r="AC150" t="s">
        <v>319</v>
      </c>
      <c r="AD150" t="s">
        <v>1608</v>
      </c>
      <c r="AE150" s="481">
        <f t="shared" si="29"/>
        <v>53903.25</v>
      </c>
      <c r="AF150"/>
      <c r="AG150" s="48">
        <v>3638.57</v>
      </c>
      <c r="AH150" s="48">
        <v>1797.88</v>
      </c>
      <c r="AI150" s="48">
        <v>0</v>
      </c>
      <c r="AJ150" s="48">
        <v>0</v>
      </c>
      <c r="AK150" s="48">
        <v>7529.41</v>
      </c>
      <c r="AL150" s="48">
        <v>40937.39</v>
      </c>
      <c r="AN150"/>
      <c r="AO150"/>
      <c r="AP150" t="str">
        <f t="shared" si="40"/>
        <v>37903</v>
      </c>
      <c r="AQ150" s="481">
        <f t="shared" si="41"/>
        <v>53903.25</v>
      </c>
    </row>
    <row r="151" spans="1:43">
      <c r="A151" s="217">
        <v>144</v>
      </c>
      <c r="B151" s="74" t="s">
        <v>321</v>
      </c>
      <c r="C151" s="74" t="s">
        <v>1609</v>
      </c>
      <c r="D151" s="186">
        <v>0</v>
      </c>
      <c r="E151" s="188">
        <v>19155.219999999998</v>
      </c>
      <c r="F151" s="189">
        <f t="shared" si="36"/>
        <v>19155.219999999998</v>
      </c>
      <c r="G151" s="200">
        <v>3076.96</v>
      </c>
      <c r="H151" s="197">
        <v>16078.259999999998</v>
      </c>
      <c r="I151" s="188">
        <v>26581.56</v>
      </c>
      <c r="J151" s="189">
        <f t="shared" si="37"/>
        <v>42659.82</v>
      </c>
      <c r="K151" s="225">
        <v>31946.720000000001</v>
      </c>
      <c r="L151" s="189">
        <v>10713.099999999999</v>
      </c>
      <c r="M151" s="219">
        <v>26165.480000000003</v>
      </c>
      <c r="N151" s="189">
        <f t="shared" si="33"/>
        <v>36878.58</v>
      </c>
      <c r="O151" s="225">
        <v>21244.149999999998</v>
      </c>
      <c r="P151" s="303">
        <v>15634.430000000004</v>
      </c>
      <c r="Q151" s="219">
        <v>28452.86</v>
      </c>
      <c r="R151" s="189">
        <f t="shared" si="34"/>
        <v>44087.290000000008</v>
      </c>
      <c r="S151" s="225">
        <v>0</v>
      </c>
      <c r="T151" s="303">
        <v>44087.290000000008</v>
      </c>
      <c r="U151" s="303">
        <v>28158.71</v>
      </c>
      <c r="V151" s="189">
        <f t="shared" si="35"/>
        <v>72246</v>
      </c>
      <c r="W151" s="225"/>
      <c r="X151" s="303">
        <f t="shared" si="38"/>
        <v>72246</v>
      </c>
      <c r="Y151" s="303"/>
      <c r="AA151" s="67">
        <f t="shared" si="39"/>
        <v>0</v>
      </c>
      <c r="AC151" t="s">
        <v>321</v>
      </c>
      <c r="AD151" t="s">
        <v>1610</v>
      </c>
      <c r="AE151" s="481">
        <f t="shared" si="29"/>
        <v>28158.71</v>
      </c>
      <c r="AF151"/>
      <c r="AG151" s="48">
        <v>1523.48</v>
      </c>
      <c r="AH151" s="48">
        <v>881.95</v>
      </c>
      <c r="AI151" s="48">
        <v>0</v>
      </c>
      <c r="AJ151" s="48">
        <v>82.59</v>
      </c>
      <c r="AK151" s="48">
        <v>0</v>
      </c>
      <c r="AL151" s="48">
        <v>25670.69</v>
      </c>
      <c r="AN151"/>
      <c r="AO151"/>
      <c r="AP151" t="str">
        <f t="shared" si="40"/>
        <v>20406</v>
      </c>
      <c r="AQ151" s="481">
        <f t="shared" si="41"/>
        <v>28158.71</v>
      </c>
    </row>
    <row r="152" spans="1:43">
      <c r="A152" s="217">
        <v>145</v>
      </c>
      <c r="B152" s="74" t="s">
        <v>323</v>
      </c>
      <c r="C152" s="74" t="s">
        <v>1611</v>
      </c>
      <c r="D152" s="186">
        <v>0</v>
      </c>
      <c r="E152" s="188">
        <v>212590.22999999998</v>
      </c>
      <c r="F152" s="189">
        <f t="shared" si="36"/>
        <v>212590.22999999998</v>
      </c>
      <c r="G152" s="200">
        <v>205750.32</v>
      </c>
      <c r="H152" s="197">
        <v>6839.9099999999744</v>
      </c>
      <c r="I152" s="188">
        <v>278932.16000000003</v>
      </c>
      <c r="J152" s="189">
        <f t="shared" si="37"/>
        <v>285772.07</v>
      </c>
      <c r="K152" s="225">
        <v>349748.5799999999</v>
      </c>
      <c r="L152" s="189">
        <v>0</v>
      </c>
      <c r="M152" s="219">
        <v>290188.18000000005</v>
      </c>
      <c r="N152" s="189">
        <f t="shared" ref="N152:N183" si="42">+L152+M152</f>
        <v>290188.18000000005</v>
      </c>
      <c r="O152" s="225">
        <v>267698</v>
      </c>
      <c r="P152" s="303">
        <v>22490.180000000051</v>
      </c>
      <c r="Q152" s="219">
        <v>326496.51</v>
      </c>
      <c r="R152" s="189">
        <f t="shared" ref="R152:R183" si="43">+P152+Q152</f>
        <v>348986.69000000006</v>
      </c>
      <c r="S152" s="225">
        <v>261862</v>
      </c>
      <c r="T152" s="303">
        <v>87124.690000000061</v>
      </c>
      <c r="U152" s="303">
        <v>359121.2</v>
      </c>
      <c r="V152" s="189">
        <f t="shared" ref="V152:V183" si="44">+T152+U152</f>
        <v>446245.89000000007</v>
      </c>
      <c r="W152" s="225"/>
      <c r="X152" s="303">
        <f t="shared" si="38"/>
        <v>446245.89000000007</v>
      </c>
      <c r="Y152" s="303"/>
      <c r="AA152" s="67">
        <f t="shared" si="39"/>
        <v>0</v>
      </c>
      <c r="AC152" t="s">
        <v>323</v>
      </c>
      <c r="AD152" t="s">
        <v>1612</v>
      </c>
      <c r="AE152" s="481">
        <f t="shared" si="29"/>
        <v>359121.2</v>
      </c>
      <c r="AF152"/>
      <c r="AG152" s="48">
        <v>14856.27</v>
      </c>
      <c r="AH152" s="48">
        <v>0</v>
      </c>
      <c r="AI152" s="48">
        <v>12158.87</v>
      </c>
      <c r="AJ152" s="48">
        <v>1633.63</v>
      </c>
      <c r="AK152" s="48">
        <v>54734.69</v>
      </c>
      <c r="AL152" s="48">
        <v>275737.74</v>
      </c>
      <c r="AN152"/>
      <c r="AO152"/>
      <c r="AP152" t="str">
        <f t="shared" si="40"/>
        <v>37504</v>
      </c>
      <c r="AQ152" s="481">
        <f t="shared" si="41"/>
        <v>359121.2</v>
      </c>
    </row>
    <row r="153" spans="1:43">
      <c r="A153" s="217">
        <v>146</v>
      </c>
      <c r="B153" s="74" t="s">
        <v>325</v>
      </c>
      <c r="C153" s="74" t="s">
        <v>1613</v>
      </c>
      <c r="D153" s="186">
        <v>0</v>
      </c>
      <c r="E153" s="188">
        <v>61154.79</v>
      </c>
      <c r="F153" s="189">
        <f t="shared" ref="F153:F184" si="45">+D153+E153</f>
        <v>61154.79</v>
      </c>
      <c r="G153" s="200">
        <v>61306.21</v>
      </c>
      <c r="H153" s="197">
        <v>0</v>
      </c>
      <c r="I153" s="188">
        <v>91882.060000000012</v>
      </c>
      <c r="J153" s="189">
        <f t="shared" ref="J153:J184" si="46">+H153+I153</f>
        <v>91882.060000000012</v>
      </c>
      <c r="K153" s="225">
        <v>69472.259999999995</v>
      </c>
      <c r="L153" s="189">
        <v>22409.800000000017</v>
      </c>
      <c r="M153" s="219">
        <v>88785.83</v>
      </c>
      <c r="N153" s="189">
        <f t="shared" si="42"/>
        <v>111195.63000000002</v>
      </c>
      <c r="O153" s="225"/>
      <c r="P153" s="303">
        <v>111195.63000000002</v>
      </c>
      <c r="Q153" s="219">
        <v>91870.43</v>
      </c>
      <c r="R153" s="189">
        <f t="shared" si="43"/>
        <v>203066.06</v>
      </c>
      <c r="S153" s="225">
        <v>67935.7</v>
      </c>
      <c r="T153" s="303">
        <v>135130.35999999999</v>
      </c>
      <c r="U153" s="303">
        <v>83690.959999999992</v>
      </c>
      <c r="V153" s="189">
        <f t="shared" si="44"/>
        <v>218821.31999999998</v>
      </c>
      <c r="W153" s="225"/>
      <c r="X153" s="303">
        <f t="shared" si="38"/>
        <v>218821.31999999998</v>
      </c>
      <c r="Y153" s="303"/>
      <c r="AA153" s="67">
        <f t="shared" si="39"/>
        <v>0</v>
      </c>
      <c r="AC153" t="s">
        <v>325</v>
      </c>
      <c r="AD153" t="s">
        <v>1614</v>
      </c>
      <c r="AE153" s="481">
        <f t="shared" si="29"/>
        <v>83690.959999999992</v>
      </c>
      <c r="AF153"/>
      <c r="AG153" s="48">
        <v>7189.74</v>
      </c>
      <c r="AH153" s="48">
        <v>3328.66</v>
      </c>
      <c r="AI153" s="48">
        <v>6974.41</v>
      </c>
      <c r="AJ153" s="48">
        <v>303.81</v>
      </c>
      <c r="AK153" s="48">
        <v>8200.9</v>
      </c>
      <c r="AL153" s="48">
        <v>57693.440000000002</v>
      </c>
      <c r="AN153"/>
      <c r="AO153"/>
      <c r="AP153" t="str">
        <f t="shared" si="40"/>
        <v>39120</v>
      </c>
      <c r="AQ153" s="481">
        <f t="shared" si="41"/>
        <v>83690.959999999992</v>
      </c>
    </row>
    <row r="154" spans="1:43">
      <c r="A154" s="217">
        <v>147</v>
      </c>
      <c r="B154" s="74" t="s">
        <v>327</v>
      </c>
      <c r="C154" s="74" t="s">
        <v>1615</v>
      </c>
      <c r="D154" s="186">
        <v>2717.8199999999997</v>
      </c>
      <c r="E154" s="188">
        <v>13049.989999999998</v>
      </c>
      <c r="F154" s="189">
        <f t="shared" si="45"/>
        <v>15767.809999999998</v>
      </c>
      <c r="G154" s="200">
        <v>10690.06</v>
      </c>
      <c r="H154" s="197">
        <v>5077.7499999999982</v>
      </c>
      <c r="I154" s="188">
        <v>19659.199999999997</v>
      </c>
      <c r="J154" s="189">
        <f t="shared" si="46"/>
        <v>24736.949999999997</v>
      </c>
      <c r="K154" s="225">
        <v>16962.48</v>
      </c>
      <c r="L154" s="189">
        <v>7774.4699999999975</v>
      </c>
      <c r="M154" s="219">
        <v>19822.45</v>
      </c>
      <c r="N154" s="189">
        <f t="shared" si="42"/>
        <v>27596.92</v>
      </c>
      <c r="O154" s="225">
        <v>15884.550000000001</v>
      </c>
      <c r="P154" s="303">
        <v>11712.369999999997</v>
      </c>
      <c r="Q154" s="219">
        <v>21844.89</v>
      </c>
      <c r="R154" s="189">
        <f t="shared" si="43"/>
        <v>33557.259999999995</v>
      </c>
      <c r="S154" s="225">
        <v>16147.12</v>
      </c>
      <c r="T154" s="303">
        <v>17410.139999999992</v>
      </c>
      <c r="U154" s="303">
        <v>20982.25</v>
      </c>
      <c r="V154" s="189">
        <f t="shared" si="44"/>
        <v>38392.389999999992</v>
      </c>
      <c r="W154" s="225"/>
      <c r="X154" s="303">
        <f t="shared" si="38"/>
        <v>38392.389999999992</v>
      </c>
      <c r="Y154" s="303"/>
      <c r="AA154" s="67">
        <f t="shared" si="39"/>
        <v>0</v>
      </c>
      <c r="AC154" t="s">
        <v>327</v>
      </c>
      <c r="AD154" t="s">
        <v>1616</v>
      </c>
      <c r="AE154" s="481">
        <f t="shared" si="29"/>
        <v>20982.25</v>
      </c>
      <c r="AF154"/>
      <c r="AG154" s="48">
        <v>638.59</v>
      </c>
      <c r="AH154" s="48">
        <v>424.75</v>
      </c>
      <c r="AI154" s="48">
        <v>0</v>
      </c>
      <c r="AJ154" s="48">
        <v>0</v>
      </c>
      <c r="AK154" s="48">
        <v>0</v>
      </c>
      <c r="AL154" s="48">
        <v>19918.91</v>
      </c>
      <c r="AN154"/>
      <c r="AO154"/>
      <c r="AP154" t="str">
        <f t="shared" si="40"/>
        <v>09207</v>
      </c>
      <c r="AQ154" s="481">
        <f t="shared" si="41"/>
        <v>20982.25</v>
      </c>
    </row>
    <row r="155" spans="1:43">
      <c r="A155" s="217">
        <v>148</v>
      </c>
      <c r="B155" s="74" t="s">
        <v>329</v>
      </c>
      <c r="C155" s="74" t="s">
        <v>1617</v>
      </c>
      <c r="D155" s="186">
        <v>1521.3199999999997</v>
      </c>
      <c r="E155" s="188">
        <v>44970.34</v>
      </c>
      <c r="F155" s="189">
        <f t="shared" si="45"/>
        <v>46491.659999999996</v>
      </c>
      <c r="G155" s="200">
        <v>42657.25</v>
      </c>
      <c r="H155" s="197">
        <v>3834.4099999999962</v>
      </c>
      <c r="I155" s="188">
        <v>65829.38</v>
      </c>
      <c r="J155" s="189">
        <f t="shared" si="46"/>
        <v>69663.790000000008</v>
      </c>
      <c r="K155" s="225">
        <v>69563.919999999984</v>
      </c>
      <c r="L155" s="189">
        <v>99.870000000024447</v>
      </c>
      <c r="M155" s="219">
        <v>65845.69</v>
      </c>
      <c r="N155" s="189">
        <f t="shared" si="42"/>
        <v>65945.560000000027</v>
      </c>
      <c r="O155" s="225">
        <v>67219.77</v>
      </c>
      <c r="P155" s="303">
        <v>0</v>
      </c>
      <c r="Q155" s="219">
        <v>72348.26999999999</v>
      </c>
      <c r="R155" s="189">
        <f t="shared" si="43"/>
        <v>72348.26999999999</v>
      </c>
      <c r="S155" s="225">
        <v>72384.01999999999</v>
      </c>
      <c r="T155" s="303">
        <v>0</v>
      </c>
      <c r="U155" s="303">
        <v>75654.19</v>
      </c>
      <c r="V155" s="189">
        <f t="shared" si="44"/>
        <v>75654.19</v>
      </c>
      <c r="W155" s="225"/>
      <c r="X155" s="303">
        <f t="shared" si="38"/>
        <v>75654.19</v>
      </c>
      <c r="Y155" s="303"/>
      <c r="AA155" s="67">
        <f t="shared" si="39"/>
        <v>0</v>
      </c>
      <c r="AC155" t="s">
        <v>329</v>
      </c>
      <c r="AD155" t="s">
        <v>1618</v>
      </c>
      <c r="AE155" s="481">
        <f t="shared" si="29"/>
        <v>75654.19</v>
      </c>
      <c r="AF155"/>
      <c r="AG155" s="48">
        <v>3825.67</v>
      </c>
      <c r="AH155" s="48">
        <v>2665</v>
      </c>
      <c r="AI155" s="48">
        <v>5363.92</v>
      </c>
      <c r="AJ155" s="48">
        <v>275.8</v>
      </c>
      <c r="AK155" s="48">
        <v>8070.62</v>
      </c>
      <c r="AL155" s="48">
        <v>55453.18</v>
      </c>
      <c r="AN155"/>
      <c r="AO155"/>
      <c r="AP155" t="str">
        <f t="shared" si="40"/>
        <v>04019</v>
      </c>
      <c r="AQ155" s="481">
        <f t="shared" si="41"/>
        <v>75654.19</v>
      </c>
    </row>
    <row r="156" spans="1:43">
      <c r="A156" s="217">
        <v>149</v>
      </c>
      <c r="B156" s="74" t="s">
        <v>331</v>
      </c>
      <c r="C156" s="74" t="s">
        <v>1619</v>
      </c>
      <c r="D156" s="186">
        <v>4940.5</v>
      </c>
      <c r="E156" s="188">
        <v>21965.48</v>
      </c>
      <c r="F156" s="189">
        <f t="shared" si="45"/>
        <v>26905.98</v>
      </c>
      <c r="G156" s="200">
        <v>10986.78</v>
      </c>
      <c r="H156" s="197">
        <v>15919.199999999999</v>
      </c>
      <c r="I156" s="188">
        <v>45461.670000000006</v>
      </c>
      <c r="J156" s="189">
        <f t="shared" si="46"/>
        <v>61380.87</v>
      </c>
      <c r="K156" s="225">
        <v>21792.539999999997</v>
      </c>
      <c r="L156" s="189">
        <v>39588.33</v>
      </c>
      <c r="M156" s="219">
        <v>41207.339999999997</v>
      </c>
      <c r="N156" s="189">
        <f t="shared" si="42"/>
        <v>80795.67</v>
      </c>
      <c r="O156" s="225">
        <v>21671.75</v>
      </c>
      <c r="P156" s="303">
        <v>59123.92</v>
      </c>
      <c r="Q156" s="219">
        <v>39018.629999999997</v>
      </c>
      <c r="R156" s="189">
        <f t="shared" si="43"/>
        <v>98142.549999999988</v>
      </c>
      <c r="S156" s="225">
        <v>30347.46</v>
      </c>
      <c r="T156" s="303">
        <v>67795.09</v>
      </c>
      <c r="U156" s="303">
        <v>40115.919999999998</v>
      </c>
      <c r="V156" s="189">
        <f t="shared" si="44"/>
        <v>107911.01</v>
      </c>
      <c r="W156" s="225"/>
      <c r="X156" s="303">
        <f t="shared" si="38"/>
        <v>107911.01</v>
      </c>
      <c r="Y156" s="303"/>
      <c r="AA156" s="67">
        <f t="shared" si="39"/>
        <v>0</v>
      </c>
      <c r="AC156" t="s">
        <v>331</v>
      </c>
      <c r="AD156" t="s">
        <v>1620</v>
      </c>
      <c r="AE156" s="481">
        <f t="shared" ref="AE156:AE219" si="47">SUM(AG156:AL156)</f>
        <v>40115.919999999998</v>
      </c>
      <c r="AF156"/>
      <c r="AG156" s="48">
        <v>2598.62</v>
      </c>
      <c r="AH156" s="48">
        <v>743.31</v>
      </c>
      <c r="AI156" s="48">
        <v>328.89</v>
      </c>
      <c r="AJ156" s="48">
        <v>371.65</v>
      </c>
      <c r="AK156" s="48">
        <v>11171.14</v>
      </c>
      <c r="AL156" s="48">
        <v>24902.31</v>
      </c>
      <c r="AN156"/>
      <c r="AO156"/>
      <c r="AP156" t="str">
        <f t="shared" si="40"/>
        <v>23311</v>
      </c>
      <c r="AQ156" s="481">
        <f t="shared" si="41"/>
        <v>40115.919999999998</v>
      </c>
    </row>
    <row r="157" spans="1:43">
      <c r="A157" s="217">
        <v>150</v>
      </c>
      <c r="B157" s="74" t="s">
        <v>333</v>
      </c>
      <c r="C157" s="74" t="s">
        <v>1621</v>
      </c>
      <c r="D157" s="186">
        <v>275.80999999999949</v>
      </c>
      <c r="E157" s="188">
        <v>29533.65</v>
      </c>
      <c r="F157" s="189">
        <f t="shared" si="45"/>
        <v>29809.46</v>
      </c>
      <c r="G157" s="200">
        <v>29388.1</v>
      </c>
      <c r="H157" s="197">
        <v>421.36000000000058</v>
      </c>
      <c r="I157" s="188">
        <v>39342.19</v>
      </c>
      <c r="J157" s="189">
        <f t="shared" si="46"/>
        <v>39763.550000000003</v>
      </c>
      <c r="K157" s="225">
        <v>25824.460000000003</v>
      </c>
      <c r="L157" s="189">
        <v>13939.09</v>
      </c>
      <c r="M157" s="219">
        <v>42155.519999999997</v>
      </c>
      <c r="N157" s="189">
        <f t="shared" si="42"/>
        <v>56094.61</v>
      </c>
      <c r="O157" s="225">
        <v>37336.550000000003</v>
      </c>
      <c r="P157" s="303">
        <v>18758.059999999998</v>
      </c>
      <c r="Q157" s="219">
        <v>50928.32</v>
      </c>
      <c r="R157" s="189">
        <f t="shared" si="43"/>
        <v>69686.38</v>
      </c>
      <c r="S157" s="225">
        <v>38222.39</v>
      </c>
      <c r="T157" s="303">
        <v>31463.990000000005</v>
      </c>
      <c r="U157" s="303">
        <v>50752.47</v>
      </c>
      <c r="V157" s="189">
        <f t="shared" si="44"/>
        <v>82216.460000000006</v>
      </c>
      <c r="W157" s="225"/>
      <c r="X157" s="303">
        <f t="shared" si="38"/>
        <v>82216.460000000006</v>
      </c>
      <c r="Y157" s="303"/>
      <c r="AA157" s="67">
        <f t="shared" si="39"/>
        <v>0</v>
      </c>
      <c r="AC157" t="s">
        <v>333</v>
      </c>
      <c r="AD157" t="s">
        <v>1622</v>
      </c>
      <c r="AE157" s="481">
        <f t="shared" si="47"/>
        <v>50752.47</v>
      </c>
      <c r="AF157"/>
      <c r="AG157" s="48">
        <v>3632.48</v>
      </c>
      <c r="AH157" s="48">
        <v>2126.69</v>
      </c>
      <c r="AI157" s="48">
        <v>0</v>
      </c>
      <c r="AJ157" s="48">
        <v>0</v>
      </c>
      <c r="AK157" s="48">
        <v>7195.19</v>
      </c>
      <c r="AL157" s="48">
        <v>37798.11</v>
      </c>
      <c r="AN157"/>
      <c r="AO157"/>
      <c r="AP157" t="str">
        <f t="shared" si="40"/>
        <v>33207</v>
      </c>
      <c r="AQ157" s="481">
        <f t="shared" si="41"/>
        <v>50752.47</v>
      </c>
    </row>
    <row r="158" spans="1:43">
      <c r="A158" s="217">
        <v>151</v>
      </c>
      <c r="B158" s="74" t="s">
        <v>335</v>
      </c>
      <c r="C158" s="74" t="s">
        <v>1623</v>
      </c>
      <c r="D158" s="186">
        <v>0</v>
      </c>
      <c r="E158" s="188">
        <v>787163.36</v>
      </c>
      <c r="F158" s="189">
        <f t="shared" si="45"/>
        <v>787163.36</v>
      </c>
      <c r="G158" s="200">
        <v>808920.92</v>
      </c>
      <c r="H158" s="197">
        <v>0</v>
      </c>
      <c r="I158" s="188">
        <v>1085715.31</v>
      </c>
      <c r="J158" s="189">
        <f t="shared" si="46"/>
        <v>1085715.31</v>
      </c>
      <c r="K158" s="225">
        <v>1257385.4700000002</v>
      </c>
      <c r="L158" s="189">
        <v>0</v>
      </c>
      <c r="M158" s="219">
        <v>1074763.9900000002</v>
      </c>
      <c r="N158" s="189">
        <f t="shared" si="42"/>
        <v>1074763.9900000002</v>
      </c>
      <c r="O158" s="225">
        <v>1130548.9000000001</v>
      </c>
      <c r="P158" s="303">
        <v>0</v>
      </c>
      <c r="Q158" s="219">
        <v>1173975.73</v>
      </c>
      <c r="R158" s="189">
        <f t="shared" si="43"/>
        <v>1173975.73</v>
      </c>
      <c r="S158" s="225">
        <v>1226907.4100000001</v>
      </c>
      <c r="T158" s="303">
        <v>0</v>
      </c>
      <c r="U158" s="303">
        <v>1191812.83</v>
      </c>
      <c r="V158" s="189">
        <f t="shared" si="44"/>
        <v>1191812.83</v>
      </c>
      <c r="W158" s="225"/>
      <c r="X158" s="303">
        <f t="shared" si="38"/>
        <v>1191812.83</v>
      </c>
      <c r="Y158" s="303"/>
      <c r="AA158" s="67">
        <f t="shared" si="39"/>
        <v>0</v>
      </c>
      <c r="AC158" t="s">
        <v>335</v>
      </c>
      <c r="AD158" t="s">
        <v>1624</v>
      </c>
      <c r="AE158" s="481">
        <f t="shared" si="47"/>
        <v>1191812.83</v>
      </c>
      <c r="AF158"/>
      <c r="AG158" s="48">
        <v>59777.08</v>
      </c>
      <c r="AH158" s="48">
        <v>31586.19</v>
      </c>
      <c r="AI158" s="48">
        <v>28192.63</v>
      </c>
      <c r="AJ158" s="48">
        <v>4733.57</v>
      </c>
      <c r="AK158" s="48">
        <v>169708.13</v>
      </c>
      <c r="AL158" s="48">
        <v>897815.23</v>
      </c>
      <c r="AN158"/>
      <c r="AO158"/>
      <c r="AP158" t="str">
        <f t="shared" si="40"/>
        <v>31025</v>
      </c>
      <c r="AQ158" s="481">
        <f t="shared" si="41"/>
        <v>1191812.83</v>
      </c>
    </row>
    <row r="159" spans="1:43">
      <c r="A159" s="217">
        <v>152</v>
      </c>
      <c r="B159" s="74" t="s">
        <v>337</v>
      </c>
      <c r="C159" s="74" t="s">
        <v>1625</v>
      </c>
      <c r="D159" s="186">
        <v>1336.9500000000007</v>
      </c>
      <c r="E159" s="188">
        <v>22432.28</v>
      </c>
      <c r="F159" s="189">
        <f t="shared" si="45"/>
        <v>23769.23</v>
      </c>
      <c r="G159" s="200">
        <v>12240.05</v>
      </c>
      <c r="H159" s="197">
        <v>11529.18</v>
      </c>
      <c r="I159" s="188">
        <v>29702.440000000002</v>
      </c>
      <c r="J159" s="189">
        <f t="shared" si="46"/>
        <v>41231.620000000003</v>
      </c>
      <c r="K159" s="225">
        <v>41231.630000000005</v>
      </c>
      <c r="L159" s="189">
        <v>0</v>
      </c>
      <c r="M159" s="219">
        <v>29185.3</v>
      </c>
      <c r="N159" s="189">
        <f t="shared" si="42"/>
        <v>29185.3</v>
      </c>
      <c r="O159" s="225">
        <v>29265.040000000001</v>
      </c>
      <c r="P159" s="303">
        <v>0</v>
      </c>
      <c r="Q159" s="219">
        <v>33737.32</v>
      </c>
      <c r="R159" s="189">
        <f t="shared" si="43"/>
        <v>33737.32</v>
      </c>
      <c r="S159" s="225">
        <v>33823.879999999997</v>
      </c>
      <c r="T159" s="303">
        <v>0</v>
      </c>
      <c r="U159" s="303">
        <v>36816.57</v>
      </c>
      <c r="V159" s="189">
        <f t="shared" si="44"/>
        <v>36816.57</v>
      </c>
      <c r="W159" s="225"/>
      <c r="X159" s="303">
        <f t="shared" si="38"/>
        <v>36816.57</v>
      </c>
      <c r="Y159" s="303"/>
      <c r="AA159" s="67">
        <f t="shared" si="39"/>
        <v>0</v>
      </c>
      <c r="AC159" t="s">
        <v>337</v>
      </c>
      <c r="AD159" t="s">
        <v>1626</v>
      </c>
      <c r="AE159" s="481">
        <f t="shared" si="47"/>
        <v>36816.57</v>
      </c>
      <c r="AF159"/>
      <c r="AG159" s="48">
        <v>1800.76</v>
      </c>
      <c r="AH159" s="48">
        <v>1317.02</v>
      </c>
      <c r="AI159" s="48">
        <v>98.82</v>
      </c>
      <c r="AJ159" s="48">
        <v>135.68</v>
      </c>
      <c r="AK159" s="48">
        <v>5270.18</v>
      </c>
      <c r="AL159" s="48">
        <v>28194.11</v>
      </c>
      <c r="AN159"/>
      <c r="AO159"/>
      <c r="AP159" t="str">
        <f t="shared" si="40"/>
        <v>14065</v>
      </c>
      <c r="AQ159" s="481">
        <f t="shared" si="41"/>
        <v>36816.57</v>
      </c>
    </row>
    <row r="160" spans="1:43">
      <c r="A160" s="217">
        <v>153</v>
      </c>
      <c r="B160" s="74" t="s">
        <v>339</v>
      </c>
      <c r="C160" s="74" t="s">
        <v>1627</v>
      </c>
      <c r="D160" s="186">
        <v>0</v>
      </c>
      <c r="E160" s="188">
        <v>630551.75</v>
      </c>
      <c r="F160" s="189">
        <f t="shared" si="45"/>
        <v>630551.75</v>
      </c>
      <c r="G160" s="200">
        <v>648725.42000000004</v>
      </c>
      <c r="H160" s="197">
        <v>0</v>
      </c>
      <c r="I160" s="188">
        <v>885935.2</v>
      </c>
      <c r="J160" s="189">
        <f t="shared" si="46"/>
        <v>885935.2</v>
      </c>
      <c r="K160" s="225">
        <v>952201.13</v>
      </c>
      <c r="L160" s="189">
        <v>0</v>
      </c>
      <c r="M160" s="219">
        <v>886620.65999999992</v>
      </c>
      <c r="N160" s="189">
        <f t="shared" si="42"/>
        <v>886620.65999999992</v>
      </c>
      <c r="O160" s="225">
        <v>731335.04</v>
      </c>
      <c r="P160" s="303">
        <v>155285.61999999988</v>
      </c>
      <c r="Q160" s="219">
        <v>955389.28</v>
      </c>
      <c r="R160" s="189">
        <f t="shared" si="43"/>
        <v>1110674.8999999999</v>
      </c>
      <c r="S160" s="225">
        <v>1105888.57</v>
      </c>
      <c r="T160" s="303">
        <v>4786.3299999998417</v>
      </c>
      <c r="U160" s="303">
        <v>991374.97</v>
      </c>
      <c r="V160" s="189">
        <f t="shared" si="44"/>
        <v>996161.29999999981</v>
      </c>
      <c r="W160" s="225"/>
      <c r="X160" s="303">
        <f t="shared" si="38"/>
        <v>996161.29999999981</v>
      </c>
      <c r="Y160" s="303"/>
      <c r="AA160" s="67">
        <f t="shared" si="39"/>
        <v>0</v>
      </c>
      <c r="AC160" t="s">
        <v>339</v>
      </c>
      <c r="AD160" t="s">
        <v>1628</v>
      </c>
      <c r="AE160" s="481">
        <f t="shared" si="47"/>
        <v>991374.97</v>
      </c>
      <c r="AF160"/>
      <c r="AG160" s="48">
        <v>31553.57</v>
      </c>
      <c r="AH160" s="48">
        <v>1863.58</v>
      </c>
      <c r="AI160" s="48">
        <v>9652.27</v>
      </c>
      <c r="AJ160" s="48">
        <v>4474.13</v>
      </c>
      <c r="AK160" s="48">
        <v>156960.16</v>
      </c>
      <c r="AL160" s="48">
        <v>786871.26</v>
      </c>
      <c r="AN160"/>
      <c r="AO160"/>
      <c r="AP160" t="str">
        <f t="shared" si="40"/>
        <v>32354</v>
      </c>
      <c r="AQ160" s="481">
        <f t="shared" si="41"/>
        <v>991374.97</v>
      </c>
    </row>
    <row r="161" spans="1:43">
      <c r="A161" s="217">
        <v>154</v>
      </c>
      <c r="B161" s="74" t="s">
        <v>341</v>
      </c>
      <c r="C161" s="74" t="s">
        <v>1629</v>
      </c>
      <c r="D161" s="186">
        <v>0</v>
      </c>
      <c r="E161" s="188">
        <v>109134.96999999999</v>
      </c>
      <c r="F161" s="189">
        <f t="shared" si="45"/>
        <v>109134.96999999999</v>
      </c>
      <c r="G161" s="200">
        <v>110246.93</v>
      </c>
      <c r="H161" s="197">
        <v>0</v>
      </c>
      <c r="I161" s="188">
        <v>140992.13</v>
      </c>
      <c r="J161" s="189">
        <f t="shared" si="46"/>
        <v>140992.13</v>
      </c>
      <c r="K161" s="225">
        <v>159120.30999999997</v>
      </c>
      <c r="L161" s="189">
        <v>0</v>
      </c>
      <c r="M161" s="219">
        <v>155611.13</v>
      </c>
      <c r="N161" s="189">
        <f t="shared" si="42"/>
        <v>155611.13</v>
      </c>
      <c r="O161" s="225">
        <v>151350.82999999999</v>
      </c>
      <c r="P161" s="303">
        <v>4260.3000000000175</v>
      </c>
      <c r="Q161" s="219">
        <v>170920.27000000002</v>
      </c>
      <c r="R161" s="189">
        <f t="shared" si="43"/>
        <v>175180.57000000004</v>
      </c>
      <c r="S161" s="225">
        <v>136749.85999999999</v>
      </c>
      <c r="T161" s="303">
        <v>38430.71000000005</v>
      </c>
      <c r="U161" s="303">
        <v>169847.85</v>
      </c>
      <c r="V161" s="189">
        <f t="shared" si="44"/>
        <v>208278.56000000006</v>
      </c>
      <c r="W161" s="225"/>
      <c r="X161" s="303">
        <f t="shared" si="38"/>
        <v>208278.56000000006</v>
      </c>
      <c r="Y161" s="303"/>
      <c r="AA161" s="67">
        <f t="shared" si="39"/>
        <v>0</v>
      </c>
      <c r="AC161" t="s">
        <v>341</v>
      </c>
      <c r="AD161" t="s">
        <v>1630</v>
      </c>
      <c r="AE161" s="481">
        <f t="shared" si="47"/>
        <v>169847.85</v>
      </c>
      <c r="AF161"/>
      <c r="AG161" s="48">
        <v>6431.68</v>
      </c>
      <c r="AH161" s="48">
        <v>0</v>
      </c>
      <c r="AI161" s="48">
        <v>352.48</v>
      </c>
      <c r="AJ161" s="48">
        <v>725.62</v>
      </c>
      <c r="AK161" s="48">
        <v>22864.47</v>
      </c>
      <c r="AL161" s="48">
        <v>139473.60000000001</v>
      </c>
      <c r="AN161"/>
      <c r="AO161"/>
      <c r="AP161" t="str">
        <f t="shared" si="40"/>
        <v>32326</v>
      </c>
      <c r="AQ161" s="481">
        <f t="shared" si="41"/>
        <v>169847.85</v>
      </c>
    </row>
    <row r="162" spans="1:43">
      <c r="A162" s="217">
        <v>155</v>
      </c>
      <c r="B162" s="74" t="s">
        <v>343</v>
      </c>
      <c r="C162" s="74" t="s">
        <v>1631</v>
      </c>
      <c r="D162" s="186">
        <v>0</v>
      </c>
      <c r="E162" s="188">
        <v>287521.94</v>
      </c>
      <c r="F162" s="189">
        <f t="shared" si="45"/>
        <v>287521.94</v>
      </c>
      <c r="G162" s="200">
        <v>312104.83</v>
      </c>
      <c r="H162" s="197">
        <v>0</v>
      </c>
      <c r="I162" s="188">
        <v>392615.18999999994</v>
      </c>
      <c r="J162" s="189">
        <f t="shared" si="46"/>
        <v>392615.18999999994</v>
      </c>
      <c r="K162" s="225">
        <v>489482.36000000004</v>
      </c>
      <c r="L162" s="189">
        <v>0</v>
      </c>
      <c r="M162" s="219">
        <v>394850.47000000003</v>
      </c>
      <c r="N162" s="189">
        <f t="shared" si="42"/>
        <v>394850.47000000003</v>
      </c>
      <c r="O162" s="225">
        <v>470185.65</v>
      </c>
      <c r="P162" s="303">
        <v>0</v>
      </c>
      <c r="Q162" s="219">
        <v>425775.37</v>
      </c>
      <c r="R162" s="189">
        <f t="shared" si="43"/>
        <v>425775.37</v>
      </c>
      <c r="S162" s="225">
        <v>469781.07</v>
      </c>
      <c r="T162" s="303">
        <v>0</v>
      </c>
      <c r="U162" s="303">
        <v>434207.62999999995</v>
      </c>
      <c r="V162" s="189">
        <f t="shared" si="44"/>
        <v>434207.62999999995</v>
      </c>
      <c r="W162" s="225"/>
      <c r="X162" s="303">
        <f t="shared" si="38"/>
        <v>434207.62999999995</v>
      </c>
      <c r="Y162" s="303"/>
      <c r="AA162" s="67">
        <f t="shared" si="39"/>
        <v>0</v>
      </c>
      <c r="AC162" t="s">
        <v>343</v>
      </c>
      <c r="AD162" t="s">
        <v>1632</v>
      </c>
      <c r="AE162" s="481">
        <f t="shared" si="47"/>
        <v>434207.62999999995</v>
      </c>
      <c r="AF162"/>
      <c r="AG162" s="48">
        <v>2264.12</v>
      </c>
      <c r="AH162" s="48">
        <v>0</v>
      </c>
      <c r="AI162" s="48">
        <v>5125.1400000000003</v>
      </c>
      <c r="AJ162" s="48">
        <v>1968.26</v>
      </c>
      <c r="AK162" s="48">
        <v>47991.21</v>
      </c>
      <c r="AL162" s="48">
        <v>376858.89999999997</v>
      </c>
      <c r="AN162"/>
      <c r="AO162"/>
      <c r="AP162" t="str">
        <f t="shared" si="40"/>
        <v>17400</v>
      </c>
      <c r="AQ162" s="481">
        <f t="shared" si="41"/>
        <v>434207.62999999995</v>
      </c>
    </row>
    <row r="163" spans="1:43">
      <c r="A163" s="217">
        <v>156</v>
      </c>
      <c r="B163" s="74" t="s">
        <v>345</v>
      </c>
      <c r="C163" s="74" t="s">
        <v>1633</v>
      </c>
      <c r="D163" s="186">
        <v>46305.26</v>
      </c>
      <c r="E163" s="188">
        <v>99282.540000000008</v>
      </c>
      <c r="F163" s="189">
        <f t="shared" si="45"/>
        <v>145587.80000000002</v>
      </c>
      <c r="G163" s="200">
        <v>106732.26</v>
      </c>
      <c r="H163" s="197">
        <v>38855.540000000023</v>
      </c>
      <c r="I163" s="188">
        <v>136804.71</v>
      </c>
      <c r="J163" s="189">
        <f t="shared" si="46"/>
        <v>175660.25</v>
      </c>
      <c r="K163" s="225">
        <v>232451.43000000002</v>
      </c>
      <c r="L163" s="189">
        <v>0</v>
      </c>
      <c r="M163" s="219">
        <v>145837.89000000001</v>
      </c>
      <c r="N163" s="189">
        <f t="shared" si="42"/>
        <v>145837.89000000001</v>
      </c>
      <c r="O163" s="225">
        <v>254680.81</v>
      </c>
      <c r="P163" s="303">
        <v>0</v>
      </c>
      <c r="Q163" s="219">
        <v>161092.31</v>
      </c>
      <c r="R163" s="189">
        <f t="shared" si="43"/>
        <v>161092.31</v>
      </c>
      <c r="S163" s="225">
        <v>265223.33</v>
      </c>
      <c r="T163" s="303">
        <v>0</v>
      </c>
      <c r="U163" s="303">
        <v>177146.85</v>
      </c>
      <c r="V163" s="189">
        <f t="shared" si="44"/>
        <v>177146.85</v>
      </c>
      <c r="W163" s="225"/>
      <c r="X163" s="303">
        <f t="shared" si="38"/>
        <v>177146.85</v>
      </c>
      <c r="Y163" s="303"/>
      <c r="AA163" s="67">
        <f t="shared" si="39"/>
        <v>0</v>
      </c>
      <c r="AC163" t="s">
        <v>345</v>
      </c>
      <c r="AD163" t="s">
        <v>1634</v>
      </c>
      <c r="AE163" s="481">
        <f t="shared" si="47"/>
        <v>177146.85</v>
      </c>
      <c r="AF163"/>
      <c r="AG163" s="48">
        <v>7150.63</v>
      </c>
      <c r="AH163" s="48">
        <v>0</v>
      </c>
      <c r="AI163" s="48">
        <v>5962.99</v>
      </c>
      <c r="AJ163" s="48">
        <v>863.89</v>
      </c>
      <c r="AK163" s="48">
        <v>23827.06</v>
      </c>
      <c r="AL163" s="48">
        <v>139342.28</v>
      </c>
      <c r="AN163"/>
      <c r="AO163"/>
      <c r="AP163" t="str">
        <f t="shared" si="40"/>
        <v>37505</v>
      </c>
      <c r="AQ163" s="481">
        <f t="shared" si="41"/>
        <v>177146.85</v>
      </c>
    </row>
    <row r="164" spans="1:43">
      <c r="A164" s="217">
        <v>157</v>
      </c>
      <c r="B164" s="74" t="s">
        <v>347</v>
      </c>
      <c r="C164" s="74" t="s">
        <v>1635</v>
      </c>
      <c r="D164" s="186">
        <v>0</v>
      </c>
      <c r="E164" s="188">
        <v>37364.629999999997</v>
      </c>
      <c r="F164" s="189">
        <f t="shared" si="45"/>
        <v>37364.629999999997</v>
      </c>
      <c r="G164" s="200">
        <v>46779.05</v>
      </c>
      <c r="H164" s="197">
        <v>0</v>
      </c>
      <c r="I164" s="188">
        <v>54484.91</v>
      </c>
      <c r="J164" s="189">
        <f t="shared" si="46"/>
        <v>54484.91</v>
      </c>
      <c r="K164" s="225">
        <v>76404.41</v>
      </c>
      <c r="L164" s="189">
        <v>0</v>
      </c>
      <c r="M164" s="219">
        <v>58423.51</v>
      </c>
      <c r="N164" s="189">
        <f t="shared" si="42"/>
        <v>58423.51</v>
      </c>
      <c r="O164" s="225">
        <v>78628.350000000006</v>
      </c>
      <c r="P164" s="303">
        <v>0</v>
      </c>
      <c r="Q164" s="219">
        <v>65407.33</v>
      </c>
      <c r="R164" s="189">
        <f t="shared" si="43"/>
        <v>65407.33</v>
      </c>
      <c r="S164" s="225">
        <v>93795.69</v>
      </c>
      <c r="T164" s="303">
        <v>0</v>
      </c>
      <c r="U164" s="303">
        <v>66405.180000000008</v>
      </c>
      <c r="V164" s="189">
        <f t="shared" si="44"/>
        <v>66405.180000000008</v>
      </c>
      <c r="W164" s="225"/>
      <c r="X164" s="303">
        <f t="shared" si="38"/>
        <v>66405.180000000008</v>
      </c>
      <c r="Y164" s="303"/>
      <c r="AA164" s="67">
        <f t="shared" si="39"/>
        <v>0</v>
      </c>
      <c r="AC164" t="s">
        <v>347</v>
      </c>
      <c r="AD164" t="s">
        <v>1636</v>
      </c>
      <c r="AE164" s="481">
        <f t="shared" si="47"/>
        <v>66405.180000000008</v>
      </c>
      <c r="AF164"/>
      <c r="AG164" s="48">
        <v>2458.52</v>
      </c>
      <c r="AH164" s="48">
        <v>153.38999999999999</v>
      </c>
      <c r="AI164" s="48">
        <v>638.59</v>
      </c>
      <c r="AJ164" s="48">
        <v>318.56</v>
      </c>
      <c r="AK164" s="48">
        <v>0</v>
      </c>
      <c r="AL164" s="48">
        <v>62836.12</v>
      </c>
      <c r="AN164"/>
      <c r="AO164"/>
      <c r="AP164" t="str">
        <f t="shared" si="40"/>
        <v>24350</v>
      </c>
      <c r="AQ164" s="481">
        <f t="shared" si="41"/>
        <v>66405.180000000008</v>
      </c>
    </row>
    <row r="165" spans="1:43">
      <c r="A165" s="217">
        <v>158</v>
      </c>
      <c r="B165" s="74" t="s">
        <v>349</v>
      </c>
      <c r="C165" s="74" t="s">
        <v>1637</v>
      </c>
      <c r="D165" s="186">
        <v>5742.67</v>
      </c>
      <c r="E165" s="188">
        <v>11765.5</v>
      </c>
      <c r="F165" s="189">
        <f t="shared" si="45"/>
        <v>17508.169999999998</v>
      </c>
      <c r="G165" s="200"/>
      <c r="H165" s="197">
        <v>17508.169999999998</v>
      </c>
      <c r="I165" s="188">
        <v>17985.120000000003</v>
      </c>
      <c r="J165" s="189">
        <f t="shared" si="46"/>
        <v>35493.29</v>
      </c>
      <c r="K165" s="225"/>
      <c r="L165" s="189">
        <v>35493.29</v>
      </c>
      <c r="M165" s="219">
        <v>18110.79</v>
      </c>
      <c r="N165" s="189">
        <f t="shared" si="42"/>
        <v>53604.08</v>
      </c>
      <c r="O165" s="225"/>
      <c r="P165" s="303">
        <v>53604.08</v>
      </c>
      <c r="Q165" s="219">
        <v>19263.18</v>
      </c>
      <c r="R165" s="189">
        <f t="shared" si="43"/>
        <v>72867.260000000009</v>
      </c>
      <c r="S165" s="225">
        <v>17244.59</v>
      </c>
      <c r="T165" s="303">
        <v>55622.670000000013</v>
      </c>
      <c r="U165" s="303">
        <v>19199.190000000002</v>
      </c>
      <c r="V165" s="189">
        <f t="shared" si="44"/>
        <v>74821.860000000015</v>
      </c>
      <c r="W165" s="225"/>
      <c r="X165" s="303">
        <f t="shared" si="38"/>
        <v>74821.860000000015</v>
      </c>
      <c r="Y165" s="303"/>
      <c r="AA165" s="67">
        <f t="shared" si="39"/>
        <v>0</v>
      </c>
      <c r="AC165" t="s">
        <v>349</v>
      </c>
      <c r="AD165" t="s">
        <v>1638</v>
      </c>
      <c r="AE165" s="481">
        <f t="shared" si="47"/>
        <v>19199.190000000002</v>
      </c>
      <c r="AF165"/>
      <c r="AG165" s="48">
        <v>328.89</v>
      </c>
      <c r="AH165" s="48">
        <v>169.6</v>
      </c>
      <c r="AI165" s="48">
        <v>0</v>
      </c>
      <c r="AJ165" s="48">
        <v>0</v>
      </c>
      <c r="AK165" s="48">
        <v>0</v>
      </c>
      <c r="AL165" s="48">
        <v>18700.7</v>
      </c>
      <c r="AN165"/>
      <c r="AO165"/>
      <c r="AP165" t="str">
        <f t="shared" si="40"/>
        <v>30031</v>
      </c>
      <c r="AQ165" s="481">
        <f t="shared" si="41"/>
        <v>19199.190000000002</v>
      </c>
    </row>
    <row r="166" spans="1:43">
      <c r="A166" s="217">
        <v>159</v>
      </c>
      <c r="B166" s="74" t="s">
        <v>351</v>
      </c>
      <c r="C166" s="74" t="s">
        <v>1639</v>
      </c>
      <c r="D166" s="186">
        <v>0</v>
      </c>
      <c r="E166" s="188">
        <v>412061.2</v>
      </c>
      <c r="F166" s="189">
        <f t="shared" si="45"/>
        <v>412061.2</v>
      </c>
      <c r="G166" s="200">
        <v>412061.2</v>
      </c>
      <c r="H166" s="197">
        <v>0</v>
      </c>
      <c r="I166" s="188">
        <v>559439.15</v>
      </c>
      <c r="J166" s="189">
        <f t="shared" si="46"/>
        <v>559439.15</v>
      </c>
      <c r="K166" s="225">
        <v>559345.38</v>
      </c>
      <c r="L166" s="189">
        <v>93.770000000018626</v>
      </c>
      <c r="M166" s="219">
        <v>546604.54</v>
      </c>
      <c r="N166" s="189">
        <f t="shared" si="42"/>
        <v>546698.31000000006</v>
      </c>
      <c r="O166" s="225">
        <v>567070.34</v>
      </c>
      <c r="P166" s="303">
        <v>0</v>
      </c>
      <c r="Q166" s="219">
        <v>574723.44000000006</v>
      </c>
      <c r="R166" s="189">
        <f t="shared" si="43"/>
        <v>574723.44000000006</v>
      </c>
      <c r="S166" s="225">
        <v>615778.58000000007</v>
      </c>
      <c r="T166" s="303">
        <v>0</v>
      </c>
      <c r="U166" s="303">
        <v>584414.21</v>
      </c>
      <c r="V166" s="189">
        <f t="shared" si="44"/>
        <v>584414.21</v>
      </c>
      <c r="W166" s="225"/>
      <c r="X166" s="303">
        <f t="shared" si="38"/>
        <v>584414.21</v>
      </c>
      <c r="Y166" s="303"/>
      <c r="AA166" s="67">
        <f t="shared" si="39"/>
        <v>0</v>
      </c>
      <c r="AC166" t="s">
        <v>351</v>
      </c>
      <c r="AD166" t="s">
        <v>1640</v>
      </c>
      <c r="AE166" s="481">
        <f t="shared" si="47"/>
        <v>584414.21</v>
      </c>
      <c r="AF166"/>
      <c r="AG166" s="48">
        <v>20441.400000000001</v>
      </c>
      <c r="AH166" s="48">
        <v>3233.45</v>
      </c>
      <c r="AI166" s="48">
        <v>21774.45</v>
      </c>
      <c r="AJ166" s="48">
        <v>2730.5</v>
      </c>
      <c r="AK166" s="48">
        <v>89191.52</v>
      </c>
      <c r="AL166" s="48">
        <v>447042.89</v>
      </c>
      <c r="AN166"/>
      <c r="AO166"/>
      <c r="AP166" t="str">
        <f t="shared" si="40"/>
        <v>31103</v>
      </c>
      <c r="AQ166" s="481">
        <f t="shared" si="41"/>
        <v>584414.21</v>
      </c>
    </row>
    <row r="167" spans="1:43">
      <c r="A167" s="217">
        <v>160</v>
      </c>
      <c r="B167" s="74" t="s">
        <v>353</v>
      </c>
      <c r="C167" s="74" t="s">
        <v>1641</v>
      </c>
      <c r="D167" s="186">
        <v>4177.2800000000061</v>
      </c>
      <c r="E167" s="188">
        <v>88486.040000000008</v>
      </c>
      <c r="F167" s="189">
        <f t="shared" si="45"/>
        <v>92663.32</v>
      </c>
      <c r="G167" s="200">
        <v>96892.31</v>
      </c>
      <c r="H167" s="197">
        <v>0</v>
      </c>
      <c r="I167" s="188">
        <v>123921.54</v>
      </c>
      <c r="J167" s="189">
        <f t="shared" si="46"/>
        <v>123921.54</v>
      </c>
      <c r="K167" s="225">
        <v>182088.69</v>
      </c>
      <c r="L167" s="189">
        <v>0</v>
      </c>
      <c r="M167" s="219">
        <v>125254.57999999999</v>
      </c>
      <c r="N167" s="189">
        <f t="shared" si="42"/>
        <v>125254.57999999999</v>
      </c>
      <c r="O167" s="225">
        <v>161704.56</v>
      </c>
      <c r="P167" s="303">
        <v>0</v>
      </c>
      <c r="Q167" s="219">
        <v>140510.74</v>
      </c>
      <c r="R167" s="189">
        <f t="shared" si="43"/>
        <v>140510.74</v>
      </c>
      <c r="S167" s="225">
        <v>193719.98</v>
      </c>
      <c r="T167" s="303">
        <v>0</v>
      </c>
      <c r="U167" s="303">
        <v>144944.43</v>
      </c>
      <c r="V167" s="189">
        <f t="shared" si="44"/>
        <v>144944.43</v>
      </c>
      <c r="W167" s="225"/>
      <c r="X167" s="303">
        <f t="shared" si="38"/>
        <v>144944.43</v>
      </c>
      <c r="Y167" s="303"/>
      <c r="AA167" s="67">
        <f t="shared" si="39"/>
        <v>0</v>
      </c>
      <c r="AC167" t="s">
        <v>353</v>
      </c>
      <c r="AD167" t="s">
        <v>1642</v>
      </c>
      <c r="AE167" s="481">
        <f t="shared" si="47"/>
        <v>144944.43</v>
      </c>
      <c r="AF167"/>
      <c r="AG167" s="48">
        <v>5106.0600000000004</v>
      </c>
      <c r="AH167" s="48">
        <v>0</v>
      </c>
      <c r="AI167" s="48">
        <v>923.35</v>
      </c>
      <c r="AJ167" s="48">
        <v>624.27</v>
      </c>
      <c r="AK167" s="48">
        <v>22730.35</v>
      </c>
      <c r="AL167" s="48">
        <v>115560.4</v>
      </c>
      <c r="AN167"/>
      <c r="AO167"/>
      <c r="AP167" t="str">
        <f t="shared" si="40"/>
        <v>14066</v>
      </c>
      <c r="AQ167" s="481">
        <f t="shared" si="41"/>
        <v>144944.43</v>
      </c>
    </row>
    <row r="168" spans="1:43">
      <c r="A168" s="217">
        <v>161</v>
      </c>
      <c r="B168" s="74" t="s">
        <v>355</v>
      </c>
      <c r="C168" s="74" t="s">
        <v>1643</v>
      </c>
      <c r="D168" s="186">
        <v>1375.7399999999998</v>
      </c>
      <c r="E168" s="188">
        <v>26387.54</v>
      </c>
      <c r="F168" s="189">
        <f t="shared" si="45"/>
        <v>27763.279999999999</v>
      </c>
      <c r="G168" s="200">
        <v>21697.360000000001</v>
      </c>
      <c r="H168" s="197">
        <v>6065.9199999999983</v>
      </c>
      <c r="I168" s="188">
        <v>37519.370000000003</v>
      </c>
      <c r="J168" s="189">
        <f t="shared" si="46"/>
        <v>43585.29</v>
      </c>
      <c r="K168" s="225">
        <v>39280.230000000003</v>
      </c>
      <c r="L168" s="189">
        <v>4305.0599999999977</v>
      </c>
      <c r="M168" s="219">
        <v>42933.340000000004</v>
      </c>
      <c r="N168" s="189">
        <f t="shared" si="42"/>
        <v>47238.400000000001</v>
      </c>
      <c r="O168" s="225">
        <v>42716.95</v>
      </c>
      <c r="P168" s="303">
        <v>4521.4500000000044</v>
      </c>
      <c r="Q168" s="219">
        <v>50113.02</v>
      </c>
      <c r="R168" s="189">
        <f t="shared" si="43"/>
        <v>54634.47</v>
      </c>
      <c r="S168" s="225">
        <v>55635.630000000005</v>
      </c>
      <c r="T168" s="303">
        <v>0</v>
      </c>
      <c r="U168" s="303">
        <v>49444.759999999995</v>
      </c>
      <c r="V168" s="189">
        <f t="shared" si="44"/>
        <v>49444.759999999995</v>
      </c>
      <c r="W168" s="225"/>
      <c r="X168" s="303">
        <f t="shared" si="38"/>
        <v>49444.759999999995</v>
      </c>
      <c r="Y168" s="303"/>
      <c r="AA168" s="67">
        <f t="shared" si="39"/>
        <v>0</v>
      </c>
      <c r="AC168" t="s">
        <v>355</v>
      </c>
      <c r="AD168" t="s">
        <v>1644</v>
      </c>
      <c r="AE168" s="481">
        <f t="shared" si="47"/>
        <v>49444.759999999995</v>
      </c>
      <c r="AF168"/>
      <c r="AG168" s="48">
        <v>2281.54</v>
      </c>
      <c r="AH168" s="48">
        <v>1787.48</v>
      </c>
      <c r="AI168" s="48">
        <v>0</v>
      </c>
      <c r="AJ168" s="48">
        <v>169.6</v>
      </c>
      <c r="AK168" s="48">
        <v>5657.4</v>
      </c>
      <c r="AL168" s="48">
        <v>39548.74</v>
      </c>
      <c r="AN168"/>
      <c r="AO168"/>
      <c r="AP168" t="str">
        <f t="shared" si="40"/>
        <v>21214</v>
      </c>
      <c r="AQ168" s="481">
        <f t="shared" si="41"/>
        <v>49444.759999999995</v>
      </c>
    </row>
    <row r="169" spans="1:43">
      <c r="A169" s="217">
        <v>162</v>
      </c>
      <c r="B169" s="74" t="s">
        <v>357</v>
      </c>
      <c r="C169" s="74" t="s">
        <v>1645</v>
      </c>
      <c r="D169" s="186">
        <v>91109.920000000013</v>
      </c>
      <c r="E169" s="188">
        <v>587216.43999999994</v>
      </c>
      <c r="F169" s="189">
        <f t="shared" si="45"/>
        <v>678326.36</v>
      </c>
      <c r="G169" s="200">
        <v>395684.08</v>
      </c>
      <c r="H169" s="197">
        <v>282642.27999999997</v>
      </c>
      <c r="I169" s="188">
        <v>836257.8899999999</v>
      </c>
      <c r="J169" s="189">
        <f t="shared" si="46"/>
        <v>1118900.17</v>
      </c>
      <c r="K169" s="225">
        <v>788265.67</v>
      </c>
      <c r="L169" s="189">
        <v>330634.49999999988</v>
      </c>
      <c r="M169" s="219">
        <v>847676.63</v>
      </c>
      <c r="N169" s="189">
        <f t="shared" si="42"/>
        <v>1178311.1299999999</v>
      </c>
      <c r="O169" s="225">
        <v>921263.11</v>
      </c>
      <c r="P169" s="303">
        <v>257048.0199999999</v>
      </c>
      <c r="Q169" s="219">
        <v>927474.69</v>
      </c>
      <c r="R169" s="189">
        <f t="shared" si="43"/>
        <v>1184522.71</v>
      </c>
      <c r="S169" s="225">
        <v>1087245.5699999998</v>
      </c>
      <c r="T169" s="303">
        <v>97277.14000000013</v>
      </c>
      <c r="U169" s="303">
        <v>944313.54</v>
      </c>
      <c r="V169" s="189">
        <f t="shared" si="44"/>
        <v>1041590.6800000002</v>
      </c>
      <c r="W169" s="225"/>
      <c r="X169" s="303">
        <f t="shared" si="38"/>
        <v>1041590.6800000002</v>
      </c>
      <c r="Y169" s="303"/>
      <c r="AA169" s="67">
        <f t="shared" si="39"/>
        <v>0</v>
      </c>
      <c r="AC169" t="s">
        <v>357</v>
      </c>
      <c r="AD169" t="s">
        <v>1646</v>
      </c>
      <c r="AE169" s="481">
        <f t="shared" si="47"/>
        <v>944313.54</v>
      </c>
      <c r="AF169"/>
      <c r="AG169" s="48">
        <v>52891.41</v>
      </c>
      <c r="AH169" s="48">
        <v>32941.68</v>
      </c>
      <c r="AI169" s="48">
        <v>29837.02</v>
      </c>
      <c r="AJ169" s="48">
        <v>3703.43</v>
      </c>
      <c r="AK169" s="48">
        <v>131769.56</v>
      </c>
      <c r="AL169" s="48">
        <v>693170.44000000006</v>
      </c>
      <c r="AN169"/>
      <c r="AO169"/>
      <c r="AP169" t="str">
        <f t="shared" si="40"/>
        <v>13161</v>
      </c>
      <c r="AQ169" s="481">
        <f t="shared" si="41"/>
        <v>944313.54</v>
      </c>
    </row>
    <row r="170" spans="1:43">
      <c r="A170" s="217">
        <v>163</v>
      </c>
      <c r="B170" s="74" t="s">
        <v>359</v>
      </c>
      <c r="C170" s="74" t="s">
        <v>1647</v>
      </c>
      <c r="D170" s="186">
        <v>1751.2099999999991</v>
      </c>
      <c r="E170" s="188">
        <v>39822.659999999996</v>
      </c>
      <c r="F170" s="189">
        <f t="shared" si="45"/>
        <v>41573.869999999995</v>
      </c>
      <c r="G170" s="200"/>
      <c r="H170" s="197">
        <v>41573.869999999995</v>
      </c>
      <c r="I170" s="188">
        <v>58944.479999999996</v>
      </c>
      <c r="J170" s="189">
        <f t="shared" si="46"/>
        <v>100518.34999999999</v>
      </c>
      <c r="K170" s="225">
        <v>79170.399999999994</v>
      </c>
      <c r="L170" s="189">
        <v>21347.949999999997</v>
      </c>
      <c r="M170" s="219">
        <v>58443.850000000006</v>
      </c>
      <c r="N170" s="189">
        <f t="shared" si="42"/>
        <v>79791.8</v>
      </c>
      <c r="O170" s="225">
        <v>79136.55</v>
      </c>
      <c r="P170" s="303">
        <v>655.25</v>
      </c>
      <c r="Q170" s="219">
        <v>65165.549999999996</v>
      </c>
      <c r="R170" s="189">
        <f t="shared" si="43"/>
        <v>65820.799999999988</v>
      </c>
      <c r="S170" s="225">
        <v>74215.490000000005</v>
      </c>
      <c r="T170" s="303">
        <v>0</v>
      </c>
      <c r="U170" s="303">
        <v>68914.959999999992</v>
      </c>
      <c r="V170" s="189">
        <f t="shared" si="44"/>
        <v>68914.959999999992</v>
      </c>
      <c r="W170" s="225"/>
      <c r="X170" s="303">
        <f t="shared" si="38"/>
        <v>68914.959999999992</v>
      </c>
      <c r="Y170" s="303"/>
      <c r="AA170" s="67">
        <f t="shared" si="39"/>
        <v>0</v>
      </c>
      <c r="AC170" t="s">
        <v>359</v>
      </c>
      <c r="AD170" t="s">
        <v>1648</v>
      </c>
      <c r="AE170" s="481">
        <f t="shared" si="47"/>
        <v>68914.959999999992</v>
      </c>
      <c r="AF170"/>
      <c r="AG170" s="48">
        <v>3368.49</v>
      </c>
      <c r="AH170" s="48">
        <v>2583.88</v>
      </c>
      <c r="AI170" s="48">
        <v>1412.88</v>
      </c>
      <c r="AJ170" s="48">
        <v>262.51</v>
      </c>
      <c r="AK170" s="48">
        <v>8460.67</v>
      </c>
      <c r="AL170" s="48">
        <v>52826.53</v>
      </c>
      <c r="AN170"/>
      <c r="AO170"/>
      <c r="AP170" t="str">
        <f t="shared" si="40"/>
        <v>21206</v>
      </c>
      <c r="AQ170" s="481">
        <f t="shared" si="41"/>
        <v>68914.959999999992</v>
      </c>
    </row>
    <row r="171" spans="1:43">
      <c r="A171" s="217">
        <v>164</v>
      </c>
      <c r="B171" s="74" t="s">
        <v>361</v>
      </c>
      <c r="C171" s="74" t="s">
        <v>1649</v>
      </c>
      <c r="D171" s="186">
        <v>6381.3899999999994</v>
      </c>
      <c r="E171" s="188">
        <v>62411</v>
      </c>
      <c r="F171" s="189">
        <f t="shared" si="45"/>
        <v>68792.39</v>
      </c>
      <c r="G171" s="200">
        <v>44379.64</v>
      </c>
      <c r="H171" s="198">
        <v>24412.75</v>
      </c>
      <c r="I171" s="188">
        <v>82710.649999999994</v>
      </c>
      <c r="J171" s="189">
        <f t="shared" si="46"/>
        <v>107123.4</v>
      </c>
      <c r="K171" s="225">
        <v>91062</v>
      </c>
      <c r="L171" s="189">
        <v>16061.399999999994</v>
      </c>
      <c r="M171" s="219">
        <v>83884.489999999991</v>
      </c>
      <c r="N171" s="189">
        <f t="shared" si="42"/>
        <v>99945.889999999985</v>
      </c>
      <c r="O171" s="225">
        <v>87901.430000000008</v>
      </c>
      <c r="P171" s="303">
        <v>12044.459999999977</v>
      </c>
      <c r="Q171" s="219">
        <v>97046.069999999992</v>
      </c>
      <c r="R171" s="189">
        <f t="shared" si="43"/>
        <v>109090.52999999997</v>
      </c>
      <c r="S171" s="225">
        <v>101974.83</v>
      </c>
      <c r="T171" s="303">
        <v>7115.699999999968</v>
      </c>
      <c r="U171" s="303">
        <v>99115.1</v>
      </c>
      <c r="V171" s="189">
        <f t="shared" si="44"/>
        <v>106230.79999999997</v>
      </c>
      <c r="W171" s="225"/>
      <c r="X171" s="303">
        <f t="shared" si="38"/>
        <v>106230.79999999997</v>
      </c>
      <c r="Y171" s="303"/>
      <c r="AA171" s="67">
        <f t="shared" si="39"/>
        <v>0</v>
      </c>
      <c r="AC171" t="s">
        <v>361</v>
      </c>
      <c r="AD171" t="s">
        <v>1650</v>
      </c>
      <c r="AE171" s="481">
        <f t="shared" si="47"/>
        <v>99115.1</v>
      </c>
      <c r="AF171"/>
      <c r="AG171" s="48">
        <v>8309.1200000000008</v>
      </c>
      <c r="AH171" s="48">
        <v>3827.15</v>
      </c>
      <c r="AI171" s="48">
        <v>2964.39</v>
      </c>
      <c r="AJ171" s="48">
        <v>370.18</v>
      </c>
      <c r="AK171" s="48">
        <v>11596.42</v>
      </c>
      <c r="AL171" s="48">
        <v>72047.839999999997</v>
      </c>
      <c r="AN171"/>
      <c r="AO171"/>
      <c r="AP171" t="str">
        <f t="shared" si="40"/>
        <v>39209</v>
      </c>
      <c r="AQ171" s="481">
        <f t="shared" si="41"/>
        <v>99115.1</v>
      </c>
    </row>
    <row r="172" spans="1:43">
      <c r="A172" s="217">
        <v>165</v>
      </c>
      <c r="B172" s="74" t="s">
        <v>363</v>
      </c>
      <c r="C172" s="74" t="s">
        <v>1651</v>
      </c>
      <c r="D172" s="186">
        <v>64193.17</v>
      </c>
      <c r="E172" s="188">
        <v>127983.13999999998</v>
      </c>
      <c r="F172" s="189">
        <f t="shared" si="45"/>
        <v>192176.31</v>
      </c>
      <c r="G172" s="200">
        <v>89724.23</v>
      </c>
      <c r="H172" s="197">
        <v>102452.08</v>
      </c>
      <c r="I172" s="188">
        <v>156697.65999999997</v>
      </c>
      <c r="J172" s="189">
        <f t="shared" si="46"/>
        <v>259149.74</v>
      </c>
      <c r="K172" s="225">
        <v>137400.75</v>
      </c>
      <c r="L172" s="189">
        <v>121748.98999999999</v>
      </c>
      <c r="M172" s="219">
        <v>165342.56</v>
      </c>
      <c r="N172" s="189">
        <f t="shared" si="42"/>
        <v>287091.55</v>
      </c>
      <c r="O172" s="225"/>
      <c r="P172" s="303">
        <v>287091.55</v>
      </c>
      <c r="Q172" s="219">
        <v>182009.48</v>
      </c>
      <c r="R172" s="189">
        <f t="shared" si="43"/>
        <v>469101.03</v>
      </c>
      <c r="S172" s="225">
        <v>105780.71</v>
      </c>
      <c r="T172" s="303">
        <v>363320.32000000001</v>
      </c>
      <c r="U172" s="303">
        <v>178840.65999999997</v>
      </c>
      <c r="V172" s="189">
        <f t="shared" si="44"/>
        <v>542160.98</v>
      </c>
      <c r="W172" s="225"/>
      <c r="X172" s="303">
        <f t="shared" si="38"/>
        <v>542160.98</v>
      </c>
      <c r="Y172" s="303"/>
      <c r="AA172" s="67">
        <f t="shared" si="39"/>
        <v>0</v>
      </c>
      <c r="AC172" t="s">
        <v>363</v>
      </c>
      <c r="AD172" t="s">
        <v>1652</v>
      </c>
      <c r="AE172" s="481">
        <f t="shared" si="47"/>
        <v>178840.65999999997</v>
      </c>
      <c r="AF172"/>
      <c r="AG172" s="48">
        <v>8915.48</v>
      </c>
      <c r="AH172" s="48">
        <v>3928.85</v>
      </c>
      <c r="AI172" s="48">
        <v>2374.36</v>
      </c>
      <c r="AJ172" s="48">
        <v>723.4</v>
      </c>
      <c r="AK172" s="48">
        <v>27274.21</v>
      </c>
      <c r="AL172" s="48">
        <v>135624.35999999999</v>
      </c>
      <c r="AN172"/>
      <c r="AO172"/>
      <c r="AP172" t="str">
        <f t="shared" si="40"/>
        <v>37507</v>
      </c>
      <c r="AQ172" s="481">
        <f t="shared" si="41"/>
        <v>178840.65999999997</v>
      </c>
    </row>
    <row r="173" spans="1:43">
      <c r="A173" s="217">
        <v>166</v>
      </c>
      <c r="B173" s="74" t="s">
        <v>365</v>
      </c>
      <c r="C173" s="74" t="s">
        <v>1653</v>
      </c>
      <c r="D173" s="186">
        <v>527.58999999999992</v>
      </c>
      <c r="E173" s="188">
        <v>3980.25</v>
      </c>
      <c r="F173" s="189">
        <f t="shared" si="45"/>
        <v>4507.84</v>
      </c>
      <c r="G173" s="200">
        <v>5119.32</v>
      </c>
      <c r="H173" s="197">
        <v>0</v>
      </c>
      <c r="I173" s="188">
        <v>6183.3600000000006</v>
      </c>
      <c r="J173" s="189">
        <f t="shared" si="46"/>
        <v>6183.3600000000006</v>
      </c>
      <c r="K173" s="225">
        <v>7578.5599999999995</v>
      </c>
      <c r="L173" s="189">
        <v>0</v>
      </c>
      <c r="M173" s="219">
        <v>5821.81</v>
      </c>
      <c r="N173" s="189">
        <f t="shared" si="42"/>
        <v>5821.81</v>
      </c>
      <c r="O173" s="225">
        <v>9035.92</v>
      </c>
      <c r="P173" s="303">
        <v>0</v>
      </c>
      <c r="Q173" s="219">
        <v>7188.2999999999993</v>
      </c>
      <c r="R173" s="189">
        <f t="shared" si="43"/>
        <v>7188.2999999999993</v>
      </c>
      <c r="S173" s="225">
        <v>8820.8100000000013</v>
      </c>
      <c r="T173" s="303">
        <v>0</v>
      </c>
      <c r="U173" s="303">
        <v>7100.55</v>
      </c>
      <c r="V173" s="189">
        <f t="shared" si="44"/>
        <v>7100.55</v>
      </c>
      <c r="W173" s="225"/>
      <c r="X173" s="303">
        <f t="shared" si="38"/>
        <v>7100.55</v>
      </c>
      <c r="Y173" s="303"/>
      <c r="AA173" s="67">
        <f t="shared" si="39"/>
        <v>0</v>
      </c>
      <c r="AC173" t="s">
        <v>365</v>
      </c>
      <c r="AD173" t="s">
        <v>1654</v>
      </c>
      <c r="AE173" s="481">
        <f t="shared" si="47"/>
        <v>7100.55</v>
      </c>
      <c r="AF173"/>
      <c r="AG173" s="48">
        <v>221.99</v>
      </c>
      <c r="AH173" s="48">
        <v>0</v>
      </c>
      <c r="AI173" s="48">
        <v>0</v>
      </c>
      <c r="AJ173" s="48">
        <v>29.71</v>
      </c>
      <c r="AK173" s="48">
        <v>0</v>
      </c>
      <c r="AL173" s="48">
        <v>6848.85</v>
      </c>
      <c r="AN173"/>
      <c r="AO173"/>
      <c r="AP173" t="str">
        <f t="shared" si="40"/>
        <v>30029</v>
      </c>
      <c r="AQ173" s="481">
        <f t="shared" si="41"/>
        <v>7100.55</v>
      </c>
    </row>
    <row r="174" spans="1:43">
      <c r="A174" s="217">
        <v>167</v>
      </c>
      <c r="B174" s="74" t="s">
        <v>367</v>
      </c>
      <c r="C174" s="74" t="s">
        <v>1655</v>
      </c>
      <c r="D174" s="186">
        <v>31080.649999999965</v>
      </c>
      <c r="E174" s="188">
        <v>505955.81999999995</v>
      </c>
      <c r="F174" s="189">
        <f t="shared" si="45"/>
        <v>537036.47</v>
      </c>
      <c r="G174" s="200">
        <v>562000</v>
      </c>
      <c r="H174" s="197">
        <v>0</v>
      </c>
      <c r="I174" s="188">
        <v>717232.13</v>
      </c>
      <c r="J174" s="189">
        <f t="shared" si="46"/>
        <v>717232.13</v>
      </c>
      <c r="K174" s="225">
        <v>700446.13</v>
      </c>
      <c r="L174" s="189">
        <v>16786</v>
      </c>
      <c r="M174" s="219">
        <v>718316.92999999993</v>
      </c>
      <c r="N174" s="189">
        <f t="shared" si="42"/>
        <v>735102.92999999993</v>
      </c>
      <c r="O174" s="225">
        <v>813576.2</v>
      </c>
      <c r="P174" s="303">
        <v>0</v>
      </c>
      <c r="Q174" s="219">
        <v>797212.2</v>
      </c>
      <c r="R174" s="189">
        <f t="shared" si="43"/>
        <v>797212.2</v>
      </c>
      <c r="S174" s="225">
        <v>797213</v>
      </c>
      <c r="T174" s="303">
        <v>0</v>
      </c>
      <c r="U174" s="303">
        <v>804636.49</v>
      </c>
      <c r="V174" s="189">
        <f t="shared" si="44"/>
        <v>804636.49</v>
      </c>
      <c r="W174" s="225"/>
      <c r="X174" s="303">
        <f t="shared" si="38"/>
        <v>804636.49</v>
      </c>
      <c r="Y174" s="303"/>
      <c r="AA174" s="67">
        <f t="shared" si="39"/>
        <v>0</v>
      </c>
      <c r="AC174" t="s">
        <v>367</v>
      </c>
      <c r="AD174" t="s">
        <v>1656</v>
      </c>
      <c r="AE174" s="481">
        <f t="shared" si="47"/>
        <v>804636.49</v>
      </c>
      <c r="AF174"/>
      <c r="AG174" s="48">
        <v>45781.2</v>
      </c>
      <c r="AH174" s="48">
        <v>29410.240000000002</v>
      </c>
      <c r="AI174" s="48">
        <v>46189.2</v>
      </c>
      <c r="AJ174" s="48">
        <v>3097.12</v>
      </c>
      <c r="AK174" s="48">
        <v>109869.28</v>
      </c>
      <c r="AL174" s="48">
        <v>570289.45000000007</v>
      </c>
      <c r="AN174"/>
      <c r="AO174"/>
      <c r="AP174" t="str">
        <f t="shared" si="40"/>
        <v>29320</v>
      </c>
      <c r="AQ174" s="481">
        <f t="shared" si="41"/>
        <v>804636.49</v>
      </c>
    </row>
    <row r="175" spans="1:43">
      <c r="A175" s="217">
        <v>168</v>
      </c>
      <c r="B175" s="74" t="s">
        <v>369</v>
      </c>
      <c r="C175" s="74" t="s">
        <v>1657</v>
      </c>
      <c r="D175" s="186">
        <v>19286.320000000003</v>
      </c>
      <c r="E175" s="188">
        <v>39385.530000000006</v>
      </c>
      <c r="F175" s="189">
        <f t="shared" si="45"/>
        <v>58671.850000000006</v>
      </c>
      <c r="G175" s="200"/>
      <c r="H175" s="197">
        <v>58671.850000000006</v>
      </c>
      <c r="I175" s="188">
        <v>63119.53</v>
      </c>
      <c r="J175" s="189">
        <f t="shared" si="46"/>
        <v>121791.38</v>
      </c>
      <c r="K175" s="225"/>
      <c r="L175" s="189">
        <v>121791.38</v>
      </c>
      <c r="M175" s="219">
        <v>61604.89</v>
      </c>
      <c r="N175" s="189">
        <f t="shared" si="42"/>
        <v>183396.27000000002</v>
      </c>
      <c r="O175" s="225"/>
      <c r="P175" s="303">
        <v>183396.27000000002</v>
      </c>
      <c r="Q175" s="219">
        <v>75030.709999999992</v>
      </c>
      <c r="R175" s="189">
        <f t="shared" si="43"/>
        <v>258426.98</v>
      </c>
      <c r="S175" s="225">
        <v>161715.98000000001</v>
      </c>
      <c r="T175" s="303">
        <v>96711</v>
      </c>
      <c r="U175" s="303">
        <v>72589.05</v>
      </c>
      <c r="V175" s="189">
        <f t="shared" si="44"/>
        <v>169300.05</v>
      </c>
      <c r="W175" s="225"/>
      <c r="X175" s="303">
        <f t="shared" si="38"/>
        <v>169300.05</v>
      </c>
      <c r="Y175" s="303"/>
      <c r="AA175" s="67">
        <f t="shared" si="39"/>
        <v>0</v>
      </c>
      <c r="AC175" t="s">
        <v>369</v>
      </c>
      <c r="AD175" t="s">
        <v>1658</v>
      </c>
      <c r="AE175" s="481">
        <f t="shared" si="47"/>
        <v>72589.05</v>
      </c>
      <c r="AF175"/>
      <c r="AG175" s="48">
        <v>4075.59</v>
      </c>
      <c r="AH175" s="48">
        <v>2740.81</v>
      </c>
      <c r="AI175" s="48">
        <v>0</v>
      </c>
      <c r="AJ175" s="48">
        <v>0</v>
      </c>
      <c r="AK175" s="48">
        <v>8526.17</v>
      </c>
      <c r="AL175" s="48">
        <v>57246.48</v>
      </c>
      <c r="AN175"/>
      <c r="AO175"/>
      <c r="AP175" t="str">
        <f t="shared" si="40"/>
        <v>17903</v>
      </c>
      <c r="AQ175" s="481">
        <f t="shared" si="41"/>
        <v>72589.05</v>
      </c>
    </row>
    <row r="176" spans="1:43">
      <c r="A176" s="217">
        <v>169</v>
      </c>
      <c r="B176" s="74" t="s">
        <v>371</v>
      </c>
      <c r="C176" s="74" t="s">
        <v>1659</v>
      </c>
      <c r="D176" s="186">
        <v>66577.35000000021</v>
      </c>
      <c r="E176" s="188">
        <v>1290030.76</v>
      </c>
      <c r="F176" s="189">
        <f t="shared" si="45"/>
        <v>1356608.1100000003</v>
      </c>
      <c r="G176" s="200">
        <v>1601181.16</v>
      </c>
      <c r="H176" s="197">
        <v>0</v>
      </c>
      <c r="I176" s="188">
        <v>1804422.9099999997</v>
      </c>
      <c r="J176" s="189">
        <f t="shared" si="46"/>
        <v>1804422.9099999997</v>
      </c>
      <c r="K176" s="225">
        <v>2290394.02</v>
      </c>
      <c r="L176" s="189">
        <v>0</v>
      </c>
      <c r="M176" s="219">
        <v>1788368.2399999998</v>
      </c>
      <c r="N176" s="189">
        <f t="shared" si="42"/>
        <v>1788368.2399999998</v>
      </c>
      <c r="O176" s="225">
        <v>2266130.71</v>
      </c>
      <c r="P176" s="303">
        <v>0</v>
      </c>
      <c r="Q176" s="219">
        <v>1926330.01</v>
      </c>
      <c r="R176" s="189">
        <f t="shared" si="43"/>
        <v>1926330.01</v>
      </c>
      <c r="S176" s="225">
        <v>2156591.41</v>
      </c>
      <c r="T176" s="303">
        <v>0</v>
      </c>
      <c r="U176" s="303">
        <v>1969463.99</v>
      </c>
      <c r="V176" s="189">
        <f t="shared" si="44"/>
        <v>1969463.99</v>
      </c>
      <c r="W176" s="225"/>
      <c r="X176" s="303">
        <f t="shared" si="38"/>
        <v>1969463.99</v>
      </c>
      <c r="Y176" s="303"/>
      <c r="AA176" s="67">
        <f t="shared" si="39"/>
        <v>0</v>
      </c>
      <c r="AC176" t="s">
        <v>371</v>
      </c>
      <c r="AD176" t="s">
        <v>1660</v>
      </c>
      <c r="AE176" s="481">
        <f t="shared" si="47"/>
        <v>1969463.99</v>
      </c>
      <c r="AF176"/>
      <c r="AG176" s="48">
        <v>84048.85</v>
      </c>
      <c r="AH176" s="48">
        <v>42400.33</v>
      </c>
      <c r="AI176" s="48">
        <v>108750.47</v>
      </c>
      <c r="AJ176" s="48">
        <v>7646.82</v>
      </c>
      <c r="AK176" s="48">
        <v>251542.5</v>
      </c>
      <c r="AL176" s="48">
        <v>1475075.02</v>
      </c>
      <c r="AN176"/>
      <c r="AO176"/>
      <c r="AP176" t="str">
        <f t="shared" si="40"/>
        <v>31006</v>
      </c>
      <c r="AQ176" s="481">
        <f t="shared" si="41"/>
        <v>1969463.99</v>
      </c>
    </row>
    <row r="177" spans="1:43">
      <c r="A177" s="217">
        <v>170</v>
      </c>
      <c r="B177" s="74" t="s">
        <v>373</v>
      </c>
      <c r="C177" s="74" t="s">
        <v>1661</v>
      </c>
      <c r="D177" s="186">
        <v>0</v>
      </c>
      <c r="E177" s="188">
        <v>77364.179999999993</v>
      </c>
      <c r="F177" s="189">
        <f t="shared" si="45"/>
        <v>77364.179999999993</v>
      </c>
      <c r="G177" s="200">
        <v>99011.42</v>
      </c>
      <c r="H177" s="197">
        <v>0</v>
      </c>
      <c r="I177" s="188">
        <v>111392.91999999998</v>
      </c>
      <c r="J177" s="189">
        <f t="shared" si="46"/>
        <v>111392.91999999998</v>
      </c>
      <c r="K177" s="225">
        <v>128067.54000000001</v>
      </c>
      <c r="L177" s="189">
        <v>0</v>
      </c>
      <c r="M177" s="219">
        <v>115183.67000000001</v>
      </c>
      <c r="N177" s="189">
        <f t="shared" si="42"/>
        <v>115183.67000000001</v>
      </c>
      <c r="O177" s="225">
        <v>85058.569999999992</v>
      </c>
      <c r="P177" s="303">
        <v>30125.10000000002</v>
      </c>
      <c r="Q177" s="219">
        <v>131937.76</v>
      </c>
      <c r="R177" s="189">
        <f t="shared" si="43"/>
        <v>162062.86000000004</v>
      </c>
      <c r="S177" s="225">
        <v>123082.02</v>
      </c>
      <c r="T177" s="303">
        <v>38980.84000000004</v>
      </c>
      <c r="U177" s="303">
        <v>136319.87</v>
      </c>
      <c r="V177" s="189">
        <f t="shared" si="44"/>
        <v>175300.71000000002</v>
      </c>
      <c r="W177" s="225"/>
      <c r="X177" s="303">
        <f t="shared" si="38"/>
        <v>175300.71000000002</v>
      </c>
      <c r="Y177" s="303"/>
      <c r="AA177" s="67">
        <f t="shared" si="39"/>
        <v>0</v>
      </c>
      <c r="AC177" t="s">
        <v>373</v>
      </c>
      <c r="AD177" t="s">
        <v>1662</v>
      </c>
      <c r="AE177" s="481">
        <f t="shared" si="47"/>
        <v>136319.87</v>
      </c>
      <c r="AF177"/>
      <c r="AG177" s="48">
        <v>6614.56</v>
      </c>
      <c r="AH177" s="48">
        <v>5568.92</v>
      </c>
      <c r="AI177" s="48">
        <v>1647.37</v>
      </c>
      <c r="AJ177" s="48">
        <v>542.73</v>
      </c>
      <c r="AK177" s="48">
        <v>18972.990000000002</v>
      </c>
      <c r="AL177" s="48">
        <v>102973.3</v>
      </c>
      <c r="AN177"/>
      <c r="AO177"/>
      <c r="AP177" t="str">
        <f t="shared" si="40"/>
        <v>39003</v>
      </c>
      <c r="AQ177" s="481">
        <f t="shared" si="41"/>
        <v>136319.87</v>
      </c>
    </row>
    <row r="178" spans="1:43">
      <c r="A178" s="217">
        <v>171</v>
      </c>
      <c r="B178" s="74" t="s">
        <v>375</v>
      </c>
      <c r="C178" s="74" t="s">
        <v>1663</v>
      </c>
      <c r="D178" s="186">
        <v>0</v>
      </c>
      <c r="E178" s="188">
        <v>50675.420000000006</v>
      </c>
      <c r="F178" s="189">
        <f t="shared" si="45"/>
        <v>50675.420000000006</v>
      </c>
      <c r="G178" s="200">
        <v>45760.45</v>
      </c>
      <c r="H178" s="197">
        <v>4914.9700000000084</v>
      </c>
      <c r="I178" s="188">
        <v>69865.209999999992</v>
      </c>
      <c r="J178" s="189">
        <f t="shared" si="46"/>
        <v>74780.179999999993</v>
      </c>
      <c r="K178" s="225">
        <v>78456.86</v>
      </c>
      <c r="L178" s="189">
        <v>0</v>
      </c>
      <c r="M178" s="219">
        <v>70153.91</v>
      </c>
      <c r="N178" s="189">
        <f t="shared" si="42"/>
        <v>70153.91</v>
      </c>
      <c r="O178" s="225">
        <v>80041.510000000009</v>
      </c>
      <c r="P178" s="303">
        <v>0</v>
      </c>
      <c r="Q178" s="219">
        <v>77354.400000000009</v>
      </c>
      <c r="R178" s="189">
        <f t="shared" si="43"/>
        <v>77354.400000000009</v>
      </c>
      <c r="S178" s="225">
        <v>85766.75999999998</v>
      </c>
      <c r="T178" s="303">
        <v>0</v>
      </c>
      <c r="U178" s="303">
        <v>79224.509999999995</v>
      </c>
      <c r="V178" s="189">
        <f t="shared" si="44"/>
        <v>79224.509999999995</v>
      </c>
      <c r="W178" s="225"/>
      <c r="X178" s="303">
        <f t="shared" si="38"/>
        <v>79224.509999999995</v>
      </c>
      <c r="Y178" s="303"/>
      <c r="AA178" s="67">
        <f t="shared" si="39"/>
        <v>0</v>
      </c>
      <c r="AC178" t="s">
        <v>375</v>
      </c>
      <c r="AD178" t="s">
        <v>1664</v>
      </c>
      <c r="AE178" s="481">
        <f t="shared" si="47"/>
        <v>79224.509999999995</v>
      </c>
      <c r="AF178"/>
      <c r="AG178" s="48">
        <v>3455.5</v>
      </c>
      <c r="AH178" s="48">
        <v>0</v>
      </c>
      <c r="AI178" s="48">
        <v>628.27</v>
      </c>
      <c r="AJ178" s="48">
        <v>343.64</v>
      </c>
      <c r="AK178" s="48">
        <v>9082.1299999999992</v>
      </c>
      <c r="AL178" s="48">
        <v>65714.97</v>
      </c>
      <c r="AN178"/>
      <c r="AO178"/>
      <c r="AP178" t="str">
        <f t="shared" si="40"/>
        <v>21014</v>
      </c>
      <c r="AQ178" s="481">
        <f t="shared" si="41"/>
        <v>79224.509999999995</v>
      </c>
    </row>
    <row r="179" spans="1:43">
      <c r="A179" s="217">
        <v>172</v>
      </c>
      <c r="B179" s="74" t="s">
        <v>377</v>
      </c>
      <c r="C179" s="74" t="s">
        <v>1665</v>
      </c>
      <c r="D179" s="186">
        <v>0</v>
      </c>
      <c r="E179" s="188">
        <v>23763.13</v>
      </c>
      <c r="F179" s="189">
        <f t="shared" si="45"/>
        <v>23763.13</v>
      </c>
      <c r="G179" s="200">
        <v>27150.07</v>
      </c>
      <c r="H179" s="197">
        <v>0</v>
      </c>
      <c r="I179" s="188">
        <v>34656.840000000004</v>
      </c>
      <c r="J179" s="189">
        <f t="shared" si="46"/>
        <v>34656.840000000004</v>
      </c>
      <c r="K179" s="225">
        <v>42033.17</v>
      </c>
      <c r="L179" s="189">
        <v>0</v>
      </c>
      <c r="M179" s="219">
        <v>33984.5</v>
      </c>
      <c r="N179" s="189">
        <f t="shared" si="42"/>
        <v>33984.5</v>
      </c>
      <c r="O179" s="225">
        <v>42158.979999999996</v>
      </c>
      <c r="P179" s="303">
        <v>0</v>
      </c>
      <c r="Q179" s="219">
        <v>37218.92</v>
      </c>
      <c r="R179" s="189">
        <f t="shared" si="43"/>
        <v>37218.92</v>
      </c>
      <c r="S179" s="225">
        <v>36344.130000000005</v>
      </c>
      <c r="T179" s="303">
        <v>874.7899999999936</v>
      </c>
      <c r="U179" s="303">
        <v>36384.870000000003</v>
      </c>
      <c r="V179" s="189">
        <f t="shared" si="44"/>
        <v>37259.659999999996</v>
      </c>
      <c r="W179" s="225"/>
      <c r="X179" s="303">
        <f t="shared" si="38"/>
        <v>37259.659999999996</v>
      </c>
      <c r="Y179" s="303"/>
      <c r="AA179" s="67">
        <f t="shared" si="39"/>
        <v>0</v>
      </c>
      <c r="AC179" t="s">
        <v>377</v>
      </c>
      <c r="AD179" t="s">
        <v>1666</v>
      </c>
      <c r="AE179" s="481">
        <f t="shared" si="47"/>
        <v>36384.870000000003</v>
      </c>
      <c r="AF179"/>
      <c r="AG179" s="48">
        <v>1578.03</v>
      </c>
      <c r="AH179" s="48">
        <v>1365.92</v>
      </c>
      <c r="AI179" s="48">
        <v>240.69</v>
      </c>
      <c r="AJ179" s="48">
        <v>133.88999999999999</v>
      </c>
      <c r="AK179" s="48">
        <v>0</v>
      </c>
      <c r="AL179" s="48">
        <v>33066.340000000004</v>
      </c>
      <c r="AN179"/>
      <c r="AO179"/>
      <c r="AP179" t="str">
        <f t="shared" si="40"/>
        <v>25155</v>
      </c>
      <c r="AQ179" s="481">
        <f t="shared" si="41"/>
        <v>36384.870000000003</v>
      </c>
    </row>
    <row r="180" spans="1:43">
      <c r="A180" s="217">
        <v>173</v>
      </c>
      <c r="B180" s="74" t="s">
        <v>379</v>
      </c>
      <c r="C180" s="74" t="s">
        <v>1667</v>
      </c>
      <c r="D180" s="186">
        <v>5054.08</v>
      </c>
      <c r="E180" s="188">
        <v>10071.43</v>
      </c>
      <c r="F180" s="189">
        <f t="shared" si="45"/>
        <v>15125.51</v>
      </c>
      <c r="G180" s="200">
        <v>9604.19</v>
      </c>
      <c r="H180" s="197">
        <v>5521.32</v>
      </c>
      <c r="I180" s="188">
        <v>14507.57</v>
      </c>
      <c r="J180" s="189">
        <f t="shared" si="46"/>
        <v>20028.89</v>
      </c>
      <c r="K180" s="225">
        <v>8635.36</v>
      </c>
      <c r="L180" s="189">
        <v>11393.529999999999</v>
      </c>
      <c r="M180" s="219">
        <v>14635.68</v>
      </c>
      <c r="N180" s="189">
        <f t="shared" si="42"/>
        <v>26029.21</v>
      </c>
      <c r="O180" s="225">
        <v>17414.349999999999</v>
      </c>
      <c r="P180" s="303">
        <v>8614.86</v>
      </c>
      <c r="Q180" s="219">
        <v>15497.66</v>
      </c>
      <c r="R180" s="189">
        <f t="shared" si="43"/>
        <v>24112.52</v>
      </c>
      <c r="S180" s="225">
        <v>17113.5</v>
      </c>
      <c r="T180" s="303">
        <v>6999.02</v>
      </c>
      <c r="U180" s="303">
        <v>27877.94</v>
      </c>
      <c r="V180" s="189">
        <f t="shared" si="44"/>
        <v>34876.959999999999</v>
      </c>
      <c r="W180" s="225"/>
      <c r="X180" s="303">
        <f t="shared" si="38"/>
        <v>34876.959999999999</v>
      </c>
      <c r="Y180" s="303"/>
      <c r="AA180" s="67">
        <f t="shared" si="39"/>
        <v>0</v>
      </c>
      <c r="AC180" t="s">
        <v>379</v>
      </c>
      <c r="AD180" t="s">
        <v>1668</v>
      </c>
      <c r="AE180" s="481">
        <f t="shared" si="47"/>
        <v>27877.94</v>
      </c>
      <c r="AF180"/>
      <c r="AG180" s="48">
        <v>1156.25</v>
      </c>
      <c r="AH180" s="48">
        <v>530.92999999999995</v>
      </c>
      <c r="AI180" s="48">
        <v>0</v>
      </c>
      <c r="AJ180" s="48">
        <v>0</v>
      </c>
      <c r="AK180" s="48">
        <v>2723.46</v>
      </c>
      <c r="AL180" s="48">
        <v>23467.3</v>
      </c>
      <c r="AN180"/>
      <c r="AO180"/>
      <c r="AP180" t="str">
        <f t="shared" si="40"/>
        <v>24014</v>
      </c>
      <c r="AQ180" s="481">
        <f t="shared" si="41"/>
        <v>27877.94</v>
      </c>
    </row>
    <row r="181" spans="1:43">
      <c r="A181" s="217">
        <v>174</v>
      </c>
      <c r="B181" s="74" t="s">
        <v>381</v>
      </c>
      <c r="C181" s="74" t="s">
        <v>1669</v>
      </c>
      <c r="D181" s="186">
        <v>5235.09</v>
      </c>
      <c r="E181" s="188">
        <v>69453.56</v>
      </c>
      <c r="F181" s="189">
        <f t="shared" si="45"/>
        <v>74688.649999999994</v>
      </c>
      <c r="G181" s="200">
        <v>96156.45</v>
      </c>
      <c r="H181" s="197">
        <v>0</v>
      </c>
      <c r="I181" s="188">
        <v>89974.62</v>
      </c>
      <c r="J181" s="189">
        <f t="shared" si="46"/>
        <v>89974.62</v>
      </c>
      <c r="K181" s="225">
        <v>100325.13</v>
      </c>
      <c r="L181" s="189">
        <v>0</v>
      </c>
      <c r="M181" s="219">
        <v>88870.31</v>
      </c>
      <c r="N181" s="189">
        <f t="shared" si="42"/>
        <v>88870.31</v>
      </c>
      <c r="O181" s="225">
        <v>106609.1</v>
      </c>
      <c r="P181" s="303">
        <v>0</v>
      </c>
      <c r="Q181" s="219">
        <v>100789.17000000001</v>
      </c>
      <c r="R181" s="189">
        <f t="shared" si="43"/>
        <v>100789.17000000001</v>
      </c>
      <c r="S181" s="225">
        <v>127533.22</v>
      </c>
      <c r="T181" s="303">
        <v>0</v>
      </c>
      <c r="U181" s="303">
        <v>108456.7</v>
      </c>
      <c r="V181" s="189">
        <f t="shared" si="44"/>
        <v>108456.7</v>
      </c>
      <c r="W181" s="225"/>
      <c r="X181" s="303">
        <f t="shared" si="38"/>
        <v>108456.7</v>
      </c>
      <c r="Y181" s="303"/>
      <c r="AA181" s="67">
        <f t="shared" si="39"/>
        <v>0</v>
      </c>
      <c r="AC181" t="s">
        <v>381</v>
      </c>
      <c r="AD181" t="s">
        <v>1670</v>
      </c>
      <c r="AE181" s="481">
        <f t="shared" si="47"/>
        <v>108456.7</v>
      </c>
      <c r="AF181"/>
      <c r="AG181" s="48">
        <v>6127.88</v>
      </c>
      <c r="AH181" s="48">
        <v>4703.2</v>
      </c>
      <c r="AI181" s="48">
        <v>0</v>
      </c>
      <c r="AJ181" s="48">
        <v>485.22</v>
      </c>
      <c r="AK181" s="48">
        <v>16892.560000000001</v>
      </c>
      <c r="AL181" s="48">
        <v>80247.839999999997</v>
      </c>
      <c r="AN181"/>
      <c r="AO181"/>
      <c r="AP181" t="str">
        <f t="shared" si="40"/>
        <v>26056</v>
      </c>
      <c r="AQ181" s="481">
        <f t="shared" si="41"/>
        <v>108456.7</v>
      </c>
    </row>
    <row r="182" spans="1:43">
      <c r="A182" s="217">
        <v>175</v>
      </c>
      <c r="B182" s="74" t="s">
        <v>383</v>
      </c>
      <c r="C182" s="74" t="s">
        <v>1671</v>
      </c>
      <c r="D182" s="186">
        <v>0</v>
      </c>
      <c r="E182" s="188">
        <v>81635.77</v>
      </c>
      <c r="F182" s="189">
        <f t="shared" si="45"/>
        <v>81635.77</v>
      </c>
      <c r="G182" s="200">
        <v>92793.91</v>
      </c>
      <c r="H182" s="197">
        <v>0</v>
      </c>
      <c r="I182" s="188">
        <v>112635.20000000001</v>
      </c>
      <c r="J182" s="189">
        <f t="shared" si="46"/>
        <v>112635.20000000001</v>
      </c>
      <c r="K182" s="225">
        <v>137057.70000000001</v>
      </c>
      <c r="L182" s="189">
        <v>0</v>
      </c>
      <c r="M182" s="219">
        <v>114731.11</v>
      </c>
      <c r="N182" s="189">
        <f t="shared" si="42"/>
        <v>114731.11</v>
      </c>
      <c r="O182" s="225">
        <v>119563.45000000001</v>
      </c>
      <c r="P182" s="303">
        <v>0</v>
      </c>
      <c r="Q182" s="219">
        <v>127269.39</v>
      </c>
      <c r="R182" s="189">
        <f t="shared" si="43"/>
        <v>127269.39</v>
      </c>
      <c r="S182" s="225">
        <v>127796.31</v>
      </c>
      <c r="T182" s="303">
        <v>0</v>
      </c>
      <c r="U182" s="303">
        <v>138317.06</v>
      </c>
      <c r="V182" s="189">
        <f t="shared" si="44"/>
        <v>138317.06</v>
      </c>
      <c r="W182" s="225"/>
      <c r="X182" s="303">
        <f t="shared" si="38"/>
        <v>138317.06</v>
      </c>
      <c r="Y182" s="303"/>
      <c r="AA182" s="67">
        <f t="shared" si="39"/>
        <v>0</v>
      </c>
      <c r="AC182" t="s">
        <v>383</v>
      </c>
      <c r="AD182" t="s">
        <v>1672</v>
      </c>
      <c r="AE182" s="481">
        <f t="shared" si="47"/>
        <v>138317.06</v>
      </c>
      <c r="AF182"/>
      <c r="AG182" s="48">
        <v>4264</v>
      </c>
      <c r="AH182" s="48">
        <v>0</v>
      </c>
      <c r="AI182" s="48">
        <v>280.69</v>
      </c>
      <c r="AJ182" s="48">
        <v>622.73</v>
      </c>
      <c r="AK182" s="48">
        <v>19259.54</v>
      </c>
      <c r="AL182" s="48">
        <v>113890.1</v>
      </c>
      <c r="AN182"/>
      <c r="AO182"/>
      <c r="AP182" t="str">
        <f t="shared" si="40"/>
        <v>32325</v>
      </c>
      <c r="AQ182" s="481">
        <f t="shared" si="41"/>
        <v>138317.06</v>
      </c>
    </row>
    <row r="183" spans="1:43">
      <c r="A183" s="217">
        <v>176</v>
      </c>
      <c r="B183" s="74" t="s">
        <v>385</v>
      </c>
      <c r="C183" s="74" t="s">
        <v>1673</v>
      </c>
      <c r="D183" s="186">
        <v>11136.169999999998</v>
      </c>
      <c r="E183" s="188">
        <v>134429.70000000001</v>
      </c>
      <c r="F183" s="189">
        <f t="shared" si="45"/>
        <v>145565.87</v>
      </c>
      <c r="G183" s="200">
        <v>145565.87</v>
      </c>
      <c r="H183" s="197">
        <v>0</v>
      </c>
      <c r="I183" s="188">
        <v>194562.43</v>
      </c>
      <c r="J183" s="189">
        <f t="shared" si="46"/>
        <v>194562.43</v>
      </c>
      <c r="K183" s="225">
        <v>204434.27</v>
      </c>
      <c r="L183" s="189">
        <v>0</v>
      </c>
      <c r="M183" s="219">
        <v>189818.66999999998</v>
      </c>
      <c r="N183" s="189">
        <f t="shared" si="42"/>
        <v>189818.66999999998</v>
      </c>
      <c r="O183" s="225">
        <v>232371.99000000002</v>
      </c>
      <c r="P183" s="303">
        <v>0</v>
      </c>
      <c r="Q183" s="219">
        <v>214712.57999999996</v>
      </c>
      <c r="R183" s="189">
        <f t="shared" si="43"/>
        <v>214712.57999999996</v>
      </c>
      <c r="S183" s="225">
        <v>238720.16</v>
      </c>
      <c r="T183" s="303">
        <v>0</v>
      </c>
      <c r="U183" s="303">
        <v>223870.35</v>
      </c>
      <c r="V183" s="189">
        <f t="shared" si="44"/>
        <v>223870.35</v>
      </c>
      <c r="W183" s="225"/>
      <c r="X183" s="303">
        <f t="shared" si="38"/>
        <v>223870.35</v>
      </c>
      <c r="Y183" s="303"/>
      <c r="AA183" s="67">
        <f t="shared" si="39"/>
        <v>0</v>
      </c>
      <c r="AC183" t="s">
        <v>385</v>
      </c>
      <c r="AD183" t="s">
        <v>1674</v>
      </c>
      <c r="AE183" s="481">
        <f t="shared" si="47"/>
        <v>223870.35</v>
      </c>
      <c r="AF183"/>
      <c r="AG183" s="48">
        <v>11093.23</v>
      </c>
      <c r="AH183" s="48">
        <v>6834.78</v>
      </c>
      <c r="AI183" s="48">
        <v>6687.83</v>
      </c>
      <c r="AJ183" s="48">
        <v>847.31</v>
      </c>
      <c r="AK183" s="48">
        <v>31220.82</v>
      </c>
      <c r="AL183" s="48">
        <v>167186.38</v>
      </c>
      <c r="AN183"/>
      <c r="AO183"/>
      <c r="AP183" t="str">
        <f t="shared" si="40"/>
        <v>37506</v>
      </c>
      <c r="AQ183" s="481">
        <f t="shared" si="41"/>
        <v>223870.35</v>
      </c>
    </row>
    <row r="184" spans="1:43">
      <c r="A184" s="217">
        <v>177</v>
      </c>
      <c r="B184" s="74" t="s">
        <v>387</v>
      </c>
      <c r="C184" s="74" t="s">
        <v>1675</v>
      </c>
      <c r="D184" s="186">
        <v>2831.7000000000007</v>
      </c>
      <c r="E184" s="188">
        <v>49364.789999999994</v>
      </c>
      <c r="F184" s="189">
        <f t="shared" si="45"/>
        <v>52196.489999999991</v>
      </c>
      <c r="G184" s="200">
        <v>27534.080000000002</v>
      </c>
      <c r="H184" s="197">
        <v>24662.409999999989</v>
      </c>
      <c r="I184" s="188">
        <v>76068.58</v>
      </c>
      <c r="J184" s="189">
        <f t="shared" si="46"/>
        <v>100730.98999999999</v>
      </c>
      <c r="K184" s="225">
        <v>59643.23</v>
      </c>
      <c r="L184" s="189">
        <v>41087.759999999987</v>
      </c>
      <c r="M184" s="219">
        <v>74388.38</v>
      </c>
      <c r="N184" s="189">
        <f t="shared" ref="N184:N211" si="48">+L184+M184</f>
        <v>115476.13999999998</v>
      </c>
      <c r="O184" s="225">
        <v>111317.34</v>
      </c>
      <c r="P184" s="303">
        <v>4158.7999999999884</v>
      </c>
      <c r="Q184" s="219">
        <v>73968.850000000006</v>
      </c>
      <c r="R184" s="189">
        <f t="shared" ref="R184:R211" si="49">+P184+Q184</f>
        <v>78127.649999999994</v>
      </c>
      <c r="S184" s="225">
        <v>109493.43</v>
      </c>
      <c r="T184" s="303">
        <v>0</v>
      </c>
      <c r="U184" s="303">
        <v>71787.98</v>
      </c>
      <c r="V184" s="189">
        <f t="shared" ref="V184:V211" si="50">+T184+U184</f>
        <v>71787.98</v>
      </c>
      <c r="W184" s="225"/>
      <c r="X184" s="303">
        <f t="shared" si="38"/>
        <v>71787.98</v>
      </c>
      <c r="Y184" s="303"/>
      <c r="AA184" s="67">
        <f t="shared" si="39"/>
        <v>0</v>
      </c>
      <c r="AC184" t="s">
        <v>387</v>
      </c>
      <c r="AD184" t="s">
        <v>1676</v>
      </c>
      <c r="AE184" s="481">
        <f t="shared" si="47"/>
        <v>71787.98</v>
      </c>
      <c r="AF184"/>
      <c r="AG184" s="48">
        <v>4474.6000000000004</v>
      </c>
      <c r="AH184" s="48">
        <v>2808.06</v>
      </c>
      <c r="AI184" s="48">
        <v>227.13</v>
      </c>
      <c r="AJ184" s="48">
        <v>268.42</v>
      </c>
      <c r="AK184" s="48">
        <v>9355.9500000000007</v>
      </c>
      <c r="AL184" s="48">
        <v>54653.82</v>
      </c>
      <c r="AN184"/>
      <c r="AO184"/>
      <c r="AP184" t="str">
        <f t="shared" si="40"/>
        <v>14064</v>
      </c>
      <c r="AQ184" s="481">
        <f t="shared" si="41"/>
        <v>71787.98</v>
      </c>
    </row>
    <row r="185" spans="1:43">
      <c r="A185" s="217">
        <v>178</v>
      </c>
      <c r="B185" s="74" t="s">
        <v>389</v>
      </c>
      <c r="C185" s="74" t="s">
        <v>1677</v>
      </c>
      <c r="D185" s="186">
        <v>12259.650000000001</v>
      </c>
      <c r="E185" s="188">
        <v>145011.26</v>
      </c>
      <c r="F185" s="189">
        <f t="shared" ref="F185:F211" si="51">+D185+E185</f>
        <v>157270.91</v>
      </c>
      <c r="G185" s="200">
        <v>130044.62</v>
      </c>
      <c r="H185" s="197">
        <v>27226.290000000008</v>
      </c>
      <c r="I185" s="188">
        <v>206658.96000000002</v>
      </c>
      <c r="J185" s="189">
        <f t="shared" ref="J185:J211" si="52">+H185+I185</f>
        <v>233885.25000000003</v>
      </c>
      <c r="K185" s="225">
        <v>137316.6</v>
      </c>
      <c r="L185" s="189">
        <v>96568.650000000023</v>
      </c>
      <c r="M185" s="219">
        <v>213710.44</v>
      </c>
      <c r="N185" s="189">
        <f t="shared" si="48"/>
        <v>310279.09000000003</v>
      </c>
      <c r="O185" s="225">
        <v>213868.88</v>
      </c>
      <c r="P185" s="303">
        <v>96410.210000000021</v>
      </c>
      <c r="Q185" s="219">
        <v>228289.78000000003</v>
      </c>
      <c r="R185" s="189">
        <f t="shared" si="49"/>
        <v>324699.99000000005</v>
      </c>
      <c r="S185" s="225">
        <v>228624.81</v>
      </c>
      <c r="T185" s="303">
        <v>96075.180000000051</v>
      </c>
      <c r="U185" s="303">
        <v>222255.52999999997</v>
      </c>
      <c r="V185" s="189">
        <f t="shared" si="50"/>
        <v>318330.71000000002</v>
      </c>
      <c r="W185" s="225"/>
      <c r="X185" s="303">
        <f t="shared" si="38"/>
        <v>318330.71000000002</v>
      </c>
      <c r="Y185" s="303"/>
      <c r="AA185" s="67">
        <f t="shared" si="39"/>
        <v>0</v>
      </c>
      <c r="AC185" t="s">
        <v>389</v>
      </c>
      <c r="AD185" t="s">
        <v>1678</v>
      </c>
      <c r="AE185" s="481">
        <f t="shared" si="47"/>
        <v>222255.52999999997</v>
      </c>
      <c r="AF185"/>
      <c r="AG185" s="48">
        <v>14321.97</v>
      </c>
      <c r="AH185" s="48">
        <v>8540.67</v>
      </c>
      <c r="AI185" s="48">
        <v>16584.34</v>
      </c>
      <c r="AJ185" s="48">
        <v>843.59</v>
      </c>
      <c r="AK185" s="48">
        <v>28290.35</v>
      </c>
      <c r="AL185" s="48">
        <v>153674.60999999999</v>
      </c>
      <c r="AN185"/>
      <c r="AO185"/>
      <c r="AP185" t="str">
        <f t="shared" si="40"/>
        <v>11051</v>
      </c>
      <c r="AQ185" s="481">
        <f t="shared" si="41"/>
        <v>222255.52999999997</v>
      </c>
    </row>
    <row r="186" spans="1:43">
      <c r="A186" s="217">
        <v>179</v>
      </c>
      <c r="B186" s="74" t="s">
        <v>391</v>
      </c>
      <c r="C186" s="74" t="s">
        <v>1679</v>
      </c>
      <c r="D186" s="186">
        <v>0</v>
      </c>
      <c r="E186" s="188">
        <v>410067.51000000007</v>
      </c>
      <c r="F186" s="189">
        <f t="shared" si="51"/>
        <v>410067.51000000007</v>
      </c>
      <c r="G186" s="200">
        <v>387816.66</v>
      </c>
      <c r="H186" s="197">
        <v>22250.850000000093</v>
      </c>
      <c r="I186" s="188">
        <v>552599.55000000005</v>
      </c>
      <c r="J186" s="189">
        <f t="shared" si="52"/>
        <v>574850.40000000014</v>
      </c>
      <c r="K186" s="225">
        <v>604994.7799999998</v>
      </c>
      <c r="L186" s="189">
        <v>0</v>
      </c>
      <c r="M186" s="219">
        <v>554195.63</v>
      </c>
      <c r="N186" s="189">
        <f t="shared" si="48"/>
        <v>554195.63</v>
      </c>
      <c r="O186" s="225">
        <v>668096.58000000007</v>
      </c>
      <c r="P186" s="303">
        <v>0</v>
      </c>
      <c r="Q186" s="219">
        <v>593796.18999999994</v>
      </c>
      <c r="R186" s="189">
        <f t="shared" si="49"/>
        <v>593796.18999999994</v>
      </c>
      <c r="S186" s="225">
        <v>692431.99999999988</v>
      </c>
      <c r="T186" s="303">
        <v>0</v>
      </c>
      <c r="U186" s="303">
        <v>627992.21000000008</v>
      </c>
      <c r="V186" s="189">
        <f t="shared" si="50"/>
        <v>627992.21000000008</v>
      </c>
      <c r="W186" s="225"/>
      <c r="X186" s="303">
        <f t="shared" si="38"/>
        <v>627992.21000000008</v>
      </c>
      <c r="Y186" s="303"/>
      <c r="AA186" s="67">
        <f t="shared" si="39"/>
        <v>0</v>
      </c>
      <c r="AC186" t="s">
        <v>391</v>
      </c>
      <c r="AD186" t="s">
        <v>1680</v>
      </c>
      <c r="AE186" s="481">
        <f t="shared" si="47"/>
        <v>627992.21000000008</v>
      </c>
      <c r="AF186"/>
      <c r="AG186" s="48">
        <v>21348.44</v>
      </c>
      <c r="AH186" s="48">
        <v>1506</v>
      </c>
      <c r="AI186" s="48">
        <v>7947.42</v>
      </c>
      <c r="AJ186" s="48">
        <v>2742.1</v>
      </c>
      <c r="AK186" s="48">
        <v>83127.45</v>
      </c>
      <c r="AL186" s="48">
        <v>511320.80000000005</v>
      </c>
      <c r="AN186"/>
      <c r="AO186"/>
      <c r="AP186" t="str">
        <f t="shared" si="40"/>
        <v>18400</v>
      </c>
      <c r="AQ186" s="481">
        <f t="shared" si="41"/>
        <v>627992.21000000008</v>
      </c>
    </row>
    <row r="187" spans="1:43">
      <c r="A187" s="217">
        <v>180</v>
      </c>
      <c r="B187" s="74" t="s">
        <v>393</v>
      </c>
      <c r="C187" s="74" t="s">
        <v>1681</v>
      </c>
      <c r="D187" s="186">
        <v>25235.920000000006</v>
      </c>
      <c r="E187" s="188">
        <v>158180.90000000002</v>
      </c>
      <c r="F187" s="189">
        <f t="shared" si="51"/>
        <v>183416.82000000004</v>
      </c>
      <c r="G187" s="200">
        <v>154322.26999999999</v>
      </c>
      <c r="H187" s="197">
        <v>29094.550000000047</v>
      </c>
      <c r="I187" s="188">
        <v>219456</v>
      </c>
      <c r="J187" s="189">
        <f t="shared" si="52"/>
        <v>248550.55000000005</v>
      </c>
      <c r="K187" s="225">
        <v>128537.95999999998</v>
      </c>
      <c r="L187" s="189">
        <v>120012.59000000007</v>
      </c>
      <c r="M187" s="219">
        <v>219197.66</v>
      </c>
      <c r="N187" s="189">
        <f t="shared" si="48"/>
        <v>339210.25000000006</v>
      </c>
      <c r="O187" s="225">
        <v>165877.89000000001</v>
      </c>
      <c r="P187" s="303">
        <v>173332.36000000004</v>
      </c>
      <c r="Q187" s="219">
        <v>242476.3</v>
      </c>
      <c r="R187" s="189">
        <f t="shared" si="49"/>
        <v>415808.66000000003</v>
      </c>
      <c r="S187" s="225">
        <v>299208.24</v>
      </c>
      <c r="T187" s="303">
        <v>116600.42000000004</v>
      </c>
      <c r="U187" s="303">
        <v>265512.60000000003</v>
      </c>
      <c r="V187" s="189">
        <f t="shared" si="50"/>
        <v>382113.02000000008</v>
      </c>
      <c r="W187" s="225"/>
      <c r="X187" s="303">
        <f t="shared" si="38"/>
        <v>382113.02000000008</v>
      </c>
      <c r="Y187" s="303"/>
      <c r="AA187" s="67">
        <f t="shared" si="39"/>
        <v>0</v>
      </c>
      <c r="AC187" t="s">
        <v>393</v>
      </c>
      <c r="AD187" t="s">
        <v>1682</v>
      </c>
      <c r="AE187" s="481">
        <f t="shared" si="47"/>
        <v>265512.60000000003</v>
      </c>
      <c r="AF187"/>
      <c r="AG187" s="48">
        <v>13554.64</v>
      </c>
      <c r="AH187" s="48">
        <v>7350.49</v>
      </c>
      <c r="AI187" s="48">
        <v>9532.52</v>
      </c>
      <c r="AJ187" s="48">
        <v>1078.6300000000001</v>
      </c>
      <c r="AK187" s="48">
        <v>37799.199999999997</v>
      </c>
      <c r="AL187" s="48">
        <v>196197.12000000002</v>
      </c>
      <c r="AN187"/>
      <c r="AO187"/>
      <c r="AP187" t="str">
        <f t="shared" si="40"/>
        <v>23403</v>
      </c>
      <c r="AQ187" s="481">
        <f t="shared" si="41"/>
        <v>265512.60000000003</v>
      </c>
    </row>
    <row r="188" spans="1:43">
      <c r="A188" s="217">
        <v>181</v>
      </c>
      <c r="B188" s="74" t="s">
        <v>395</v>
      </c>
      <c r="C188" s="74" t="s">
        <v>1683</v>
      </c>
      <c r="D188" s="186">
        <v>296.81999999999971</v>
      </c>
      <c r="E188" s="188">
        <v>12351.45</v>
      </c>
      <c r="F188" s="189">
        <f t="shared" si="51"/>
        <v>12648.27</v>
      </c>
      <c r="G188" s="200">
        <v>10486.93</v>
      </c>
      <c r="H188" s="197">
        <v>2161.34</v>
      </c>
      <c r="I188" s="188">
        <v>18992.990000000002</v>
      </c>
      <c r="J188" s="189">
        <f t="shared" si="52"/>
        <v>21154.33</v>
      </c>
      <c r="K188" s="225">
        <v>1641.92</v>
      </c>
      <c r="L188" s="189">
        <v>19512.410000000003</v>
      </c>
      <c r="M188" s="219">
        <v>19094.489999999998</v>
      </c>
      <c r="N188" s="189">
        <f t="shared" si="48"/>
        <v>38606.9</v>
      </c>
      <c r="O188" s="225">
        <v>1388.73</v>
      </c>
      <c r="P188" s="303">
        <v>37218.17</v>
      </c>
      <c r="Q188" s="219">
        <v>20516.62</v>
      </c>
      <c r="R188" s="189">
        <f t="shared" si="49"/>
        <v>57734.789999999994</v>
      </c>
      <c r="S188" s="225">
        <v>14536.38</v>
      </c>
      <c r="T188" s="303">
        <v>43198.409999999996</v>
      </c>
      <c r="U188" s="303">
        <v>20125.12</v>
      </c>
      <c r="V188" s="189">
        <f t="shared" si="50"/>
        <v>63323.53</v>
      </c>
      <c r="W188" s="225"/>
      <c r="X188" s="303">
        <f t="shared" si="38"/>
        <v>63323.53</v>
      </c>
      <c r="Y188" s="303"/>
      <c r="AA188" s="67">
        <f t="shared" si="39"/>
        <v>0</v>
      </c>
      <c r="AC188" t="s">
        <v>395</v>
      </c>
      <c r="AD188" t="s">
        <v>1684</v>
      </c>
      <c r="AE188" s="481">
        <f t="shared" si="47"/>
        <v>20125.12</v>
      </c>
      <c r="AF188"/>
      <c r="AG188" s="48">
        <v>548.64</v>
      </c>
      <c r="AH188" s="48">
        <v>311.18</v>
      </c>
      <c r="AI188" s="48">
        <v>0</v>
      </c>
      <c r="AJ188" s="48">
        <v>0</v>
      </c>
      <c r="AK188" s="48">
        <v>628.02</v>
      </c>
      <c r="AL188" s="48">
        <v>18637.28</v>
      </c>
      <c r="AN188"/>
      <c r="AO188"/>
      <c r="AP188" t="str">
        <f t="shared" si="40"/>
        <v>25200</v>
      </c>
      <c r="AQ188" s="481">
        <f t="shared" si="41"/>
        <v>20125.12</v>
      </c>
    </row>
    <row r="189" spans="1:43">
      <c r="A189" s="217">
        <v>182</v>
      </c>
      <c r="B189" s="74" t="s">
        <v>397</v>
      </c>
      <c r="C189" s="74" t="s">
        <v>1685</v>
      </c>
      <c r="D189" s="186">
        <v>0</v>
      </c>
      <c r="E189" s="188">
        <v>1017027.0499999999</v>
      </c>
      <c r="F189" s="189">
        <f t="shared" si="51"/>
        <v>1017027.0499999999</v>
      </c>
      <c r="G189" s="200">
        <v>1115646.95</v>
      </c>
      <c r="H189" s="197">
        <v>0</v>
      </c>
      <c r="I189" s="188">
        <v>1402368.38</v>
      </c>
      <c r="J189" s="189">
        <f t="shared" si="52"/>
        <v>1402368.38</v>
      </c>
      <c r="K189" s="225">
        <v>1893843.2699999996</v>
      </c>
      <c r="L189" s="189">
        <v>0</v>
      </c>
      <c r="M189" s="219">
        <v>1382115.5499999998</v>
      </c>
      <c r="N189" s="189">
        <f t="shared" si="48"/>
        <v>1382115.5499999998</v>
      </c>
      <c r="O189" s="225">
        <v>1960850.17</v>
      </c>
      <c r="P189" s="303">
        <v>0</v>
      </c>
      <c r="Q189" s="219">
        <v>1510152.53</v>
      </c>
      <c r="R189" s="189">
        <f t="shared" si="49"/>
        <v>1510152.53</v>
      </c>
      <c r="S189" s="225">
        <v>2077603.62</v>
      </c>
      <c r="T189" s="303">
        <v>0</v>
      </c>
      <c r="U189" s="303">
        <v>1534103.52</v>
      </c>
      <c r="V189" s="189">
        <f t="shared" si="50"/>
        <v>1534103.52</v>
      </c>
      <c r="W189" s="225"/>
      <c r="X189" s="303">
        <f t="shared" si="38"/>
        <v>1534103.52</v>
      </c>
      <c r="Y189" s="303"/>
      <c r="AA189" s="67">
        <f t="shared" si="39"/>
        <v>0</v>
      </c>
      <c r="AC189" t="s">
        <v>397</v>
      </c>
      <c r="AD189" t="s">
        <v>1686</v>
      </c>
      <c r="AE189" s="481">
        <f t="shared" si="47"/>
        <v>1534103.52</v>
      </c>
      <c r="AF189"/>
      <c r="AG189" s="48">
        <v>62346.09</v>
      </c>
      <c r="AH189" s="48">
        <v>15604.12</v>
      </c>
      <c r="AI189" s="48">
        <v>23811.84</v>
      </c>
      <c r="AJ189" s="48">
        <v>6341.04</v>
      </c>
      <c r="AK189" s="48">
        <v>242123.83</v>
      </c>
      <c r="AL189" s="48">
        <v>1183876.6000000001</v>
      </c>
      <c r="AN189"/>
      <c r="AO189"/>
      <c r="AP189" t="str">
        <f t="shared" si="40"/>
        <v>34003</v>
      </c>
      <c r="AQ189" s="481">
        <f t="shared" si="41"/>
        <v>1534103.52</v>
      </c>
    </row>
    <row r="190" spans="1:43">
      <c r="A190" s="217">
        <v>183</v>
      </c>
      <c r="B190" s="74" t="s">
        <v>399</v>
      </c>
      <c r="C190" s="74" t="s">
        <v>1687</v>
      </c>
      <c r="D190" s="186">
        <v>1411.3899999999994</v>
      </c>
      <c r="E190" s="188">
        <v>15451.06</v>
      </c>
      <c r="F190" s="189">
        <f t="shared" si="51"/>
        <v>16862.449999999997</v>
      </c>
      <c r="G190" s="200">
        <v>13580.35</v>
      </c>
      <c r="H190" s="197">
        <v>3282.0999999999967</v>
      </c>
      <c r="I190" s="188">
        <v>24233.920000000002</v>
      </c>
      <c r="J190" s="189">
        <f t="shared" si="52"/>
        <v>27516.019999999997</v>
      </c>
      <c r="K190" s="225">
        <v>13423.119999999999</v>
      </c>
      <c r="L190" s="189">
        <v>14092.899999999998</v>
      </c>
      <c r="M190" s="219">
        <v>24210.14</v>
      </c>
      <c r="N190" s="189">
        <f t="shared" si="48"/>
        <v>38303.039999999994</v>
      </c>
      <c r="O190" s="225">
        <v>24018.92</v>
      </c>
      <c r="P190" s="303">
        <v>14284.119999999995</v>
      </c>
      <c r="Q190" s="219">
        <v>26607.74</v>
      </c>
      <c r="R190" s="189">
        <f t="shared" si="49"/>
        <v>40891.86</v>
      </c>
      <c r="S190" s="225">
        <v>27760.519999999997</v>
      </c>
      <c r="T190" s="303">
        <v>13131.340000000004</v>
      </c>
      <c r="U190" s="303">
        <v>27780.670000000002</v>
      </c>
      <c r="V190" s="189">
        <f t="shared" si="50"/>
        <v>40912.010000000009</v>
      </c>
      <c r="W190" s="225"/>
      <c r="X190" s="303">
        <f t="shared" si="38"/>
        <v>40912.010000000009</v>
      </c>
      <c r="Y190" s="303"/>
      <c r="AA190" s="67">
        <f t="shared" si="39"/>
        <v>0</v>
      </c>
      <c r="AC190" t="s">
        <v>399</v>
      </c>
      <c r="AD190" t="s">
        <v>1688</v>
      </c>
      <c r="AE190" s="481">
        <f t="shared" si="47"/>
        <v>27780.670000000002</v>
      </c>
      <c r="AF190"/>
      <c r="AG190" s="48">
        <v>1609.03</v>
      </c>
      <c r="AH190" s="48">
        <v>709.39</v>
      </c>
      <c r="AI190" s="48">
        <v>0</v>
      </c>
      <c r="AJ190" s="48">
        <v>112.09</v>
      </c>
      <c r="AK190" s="48">
        <v>3424.03</v>
      </c>
      <c r="AL190" s="48">
        <v>21926.13</v>
      </c>
      <c r="AN190"/>
      <c r="AO190"/>
      <c r="AP190" t="str">
        <f t="shared" si="40"/>
        <v>33211</v>
      </c>
      <c r="AQ190" s="481">
        <f t="shared" si="41"/>
        <v>27780.670000000002</v>
      </c>
    </row>
    <row r="191" spans="1:43">
      <c r="A191" s="217">
        <v>184</v>
      </c>
      <c r="B191" s="74" t="s">
        <v>401</v>
      </c>
      <c r="C191" s="74" t="s">
        <v>1689</v>
      </c>
      <c r="D191" s="186">
        <v>40720.999999999884</v>
      </c>
      <c r="E191" s="188">
        <v>1606706.9</v>
      </c>
      <c r="F191" s="189">
        <f t="shared" si="51"/>
        <v>1647427.9</v>
      </c>
      <c r="G191" s="200">
        <v>1584338.58</v>
      </c>
      <c r="H191" s="197">
        <v>63089.319999999832</v>
      </c>
      <c r="I191" s="188">
        <v>2325953.86</v>
      </c>
      <c r="J191" s="189">
        <f t="shared" si="52"/>
        <v>2389043.1799999997</v>
      </c>
      <c r="K191" s="225">
        <v>2307691.66</v>
      </c>
      <c r="L191" s="189">
        <v>81351.519999999553</v>
      </c>
      <c r="M191" s="219">
        <v>2304827.0099999998</v>
      </c>
      <c r="N191" s="189">
        <f t="shared" si="48"/>
        <v>2386178.5299999993</v>
      </c>
      <c r="O191" s="225">
        <v>2386178.54</v>
      </c>
      <c r="P191" s="303">
        <v>0</v>
      </c>
      <c r="Q191" s="219">
        <v>2511815.15</v>
      </c>
      <c r="R191" s="189">
        <f t="shared" si="49"/>
        <v>2511815.15</v>
      </c>
      <c r="S191" s="225">
        <v>2511815.15</v>
      </c>
      <c r="T191" s="303">
        <v>0</v>
      </c>
      <c r="U191" s="303">
        <v>2564714.29</v>
      </c>
      <c r="V191" s="189">
        <f t="shared" si="50"/>
        <v>2564714.29</v>
      </c>
      <c r="W191" s="225"/>
      <c r="X191" s="303">
        <f t="shared" si="38"/>
        <v>2564714.29</v>
      </c>
      <c r="Y191" s="303"/>
      <c r="AA191" s="67">
        <f t="shared" si="39"/>
        <v>0</v>
      </c>
      <c r="AC191" t="s">
        <v>401</v>
      </c>
      <c r="AD191" t="s">
        <v>1690</v>
      </c>
      <c r="AE191" s="481">
        <f t="shared" si="47"/>
        <v>2564714.29</v>
      </c>
      <c r="AF191"/>
      <c r="AG191" s="48">
        <v>40459.9</v>
      </c>
      <c r="AH191" s="48">
        <v>0</v>
      </c>
      <c r="AI191" s="48">
        <v>69602.740000000005</v>
      </c>
      <c r="AJ191" s="48">
        <v>11228.33</v>
      </c>
      <c r="AK191" s="48">
        <v>333947.96000000002</v>
      </c>
      <c r="AL191" s="48">
        <v>2109475.36</v>
      </c>
      <c r="AN191"/>
      <c r="AO191"/>
      <c r="AP191" t="str">
        <f t="shared" si="40"/>
        <v>17417</v>
      </c>
      <c r="AQ191" s="481">
        <f t="shared" si="41"/>
        <v>2564714.29</v>
      </c>
    </row>
    <row r="192" spans="1:43">
      <c r="A192" s="217">
        <v>185</v>
      </c>
      <c r="B192" s="74" t="s">
        <v>403</v>
      </c>
      <c r="C192" s="74" t="s">
        <v>1691</v>
      </c>
      <c r="D192" s="186">
        <v>47274.320000000007</v>
      </c>
      <c r="E192" s="188">
        <v>409732.80000000005</v>
      </c>
      <c r="F192" s="189">
        <f t="shared" si="51"/>
        <v>457007.12000000005</v>
      </c>
      <c r="G192" s="200">
        <v>349380.15</v>
      </c>
      <c r="H192" s="197">
        <v>107626.97000000003</v>
      </c>
      <c r="I192" s="188">
        <v>557083.54999999993</v>
      </c>
      <c r="J192" s="189">
        <f t="shared" si="52"/>
        <v>664710.52</v>
      </c>
      <c r="K192" s="225">
        <v>585251.85000000009</v>
      </c>
      <c r="L192" s="189">
        <v>79458.669999999925</v>
      </c>
      <c r="M192" s="219">
        <v>554706.57999999996</v>
      </c>
      <c r="N192" s="189">
        <f t="shared" si="48"/>
        <v>634165.24999999988</v>
      </c>
      <c r="O192" s="225">
        <v>766134.72000000009</v>
      </c>
      <c r="P192" s="303">
        <v>0</v>
      </c>
      <c r="Q192" s="219">
        <v>606757.06999999995</v>
      </c>
      <c r="R192" s="189">
        <f t="shared" si="49"/>
        <v>606757.06999999995</v>
      </c>
      <c r="S192" s="225">
        <v>783053.92000000016</v>
      </c>
      <c r="T192" s="303">
        <v>0</v>
      </c>
      <c r="U192" s="303">
        <v>632246.59000000008</v>
      </c>
      <c r="V192" s="189">
        <f t="shared" si="50"/>
        <v>632246.59000000008</v>
      </c>
      <c r="W192" s="225"/>
      <c r="X192" s="303">
        <f t="shared" si="38"/>
        <v>632246.59000000008</v>
      </c>
      <c r="Y192" s="303"/>
      <c r="AA192" s="67">
        <f t="shared" si="39"/>
        <v>0</v>
      </c>
      <c r="AC192" t="s">
        <v>403</v>
      </c>
      <c r="AD192" t="s">
        <v>1692</v>
      </c>
      <c r="AE192" s="481">
        <f t="shared" si="47"/>
        <v>632246.59000000008</v>
      </c>
      <c r="AF192"/>
      <c r="AG192" s="48">
        <v>24025.38</v>
      </c>
      <c r="AH192" s="48">
        <v>4383.87</v>
      </c>
      <c r="AI192" s="48">
        <v>6921.03</v>
      </c>
      <c r="AJ192" s="48">
        <v>2649.49</v>
      </c>
      <c r="AK192" s="48">
        <v>105254.05</v>
      </c>
      <c r="AL192" s="48">
        <v>489012.77</v>
      </c>
      <c r="AN192"/>
      <c r="AO192"/>
      <c r="AP192" t="str">
        <f t="shared" si="40"/>
        <v>15201</v>
      </c>
      <c r="AQ192" s="481">
        <f t="shared" si="41"/>
        <v>632246.59000000008</v>
      </c>
    </row>
    <row r="193" spans="1:43">
      <c r="A193" s="217">
        <v>186</v>
      </c>
      <c r="B193" s="74" t="s">
        <v>405</v>
      </c>
      <c r="C193" s="74" t="s">
        <v>1693</v>
      </c>
      <c r="D193" s="186">
        <v>318.81999999999971</v>
      </c>
      <c r="E193" s="188">
        <v>14118.189999999999</v>
      </c>
      <c r="F193" s="189">
        <f t="shared" si="51"/>
        <v>14437.009999999998</v>
      </c>
      <c r="G193" s="200">
        <v>17754.79</v>
      </c>
      <c r="H193" s="197">
        <v>0</v>
      </c>
      <c r="I193" s="188">
        <v>23161.949999999997</v>
      </c>
      <c r="J193" s="189">
        <f t="shared" si="52"/>
        <v>23161.949999999997</v>
      </c>
      <c r="K193" s="225">
        <v>39091.019999999997</v>
      </c>
      <c r="L193" s="189">
        <v>0</v>
      </c>
      <c r="M193" s="219">
        <v>24318.48</v>
      </c>
      <c r="N193" s="189">
        <f t="shared" si="48"/>
        <v>24318.48</v>
      </c>
      <c r="O193" s="225">
        <v>24792.320000000003</v>
      </c>
      <c r="P193" s="303">
        <v>0</v>
      </c>
      <c r="Q193" s="219">
        <v>25724.799999999996</v>
      </c>
      <c r="R193" s="189">
        <f t="shared" si="49"/>
        <v>25724.799999999996</v>
      </c>
      <c r="S193" s="225">
        <v>34259.22</v>
      </c>
      <c r="T193" s="303">
        <v>0</v>
      </c>
      <c r="U193" s="303">
        <v>26148.500000000004</v>
      </c>
      <c r="V193" s="189">
        <f t="shared" si="50"/>
        <v>26148.500000000004</v>
      </c>
      <c r="W193" s="225"/>
      <c r="X193" s="303">
        <f t="shared" si="38"/>
        <v>26148.500000000004</v>
      </c>
      <c r="Y193" s="303"/>
      <c r="AA193" s="67">
        <f t="shared" si="39"/>
        <v>0</v>
      </c>
      <c r="AC193" t="s">
        <v>405</v>
      </c>
      <c r="AD193" t="s">
        <v>1694</v>
      </c>
      <c r="AE193" s="481">
        <f t="shared" si="47"/>
        <v>26148.500000000004</v>
      </c>
      <c r="AF193"/>
      <c r="AG193" s="48">
        <v>573.15</v>
      </c>
      <c r="AH193" s="48">
        <v>0</v>
      </c>
      <c r="AI193" s="48">
        <v>0</v>
      </c>
      <c r="AJ193" s="48">
        <v>66.19</v>
      </c>
      <c r="AK193" s="48">
        <v>2390.86</v>
      </c>
      <c r="AL193" s="48">
        <v>23118.300000000003</v>
      </c>
      <c r="AN193"/>
      <c r="AO193"/>
      <c r="AP193" t="str">
        <f t="shared" si="40"/>
        <v>38324</v>
      </c>
      <c r="AQ193" s="481">
        <f t="shared" si="41"/>
        <v>26148.500000000004</v>
      </c>
    </row>
    <row r="194" spans="1:43">
      <c r="A194" s="217">
        <v>187</v>
      </c>
      <c r="B194" s="74" t="s">
        <v>407</v>
      </c>
      <c r="C194" s="74" t="s">
        <v>1695</v>
      </c>
      <c r="D194" s="186">
        <v>0</v>
      </c>
      <c r="E194" s="188">
        <v>22326.97</v>
      </c>
      <c r="F194" s="189">
        <f t="shared" si="51"/>
        <v>22326.97</v>
      </c>
      <c r="G194" s="200">
        <v>31376.75</v>
      </c>
      <c r="H194" s="197">
        <v>0</v>
      </c>
      <c r="I194" s="188">
        <v>34755.409999999996</v>
      </c>
      <c r="J194" s="189">
        <f t="shared" si="52"/>
        <v>34755.409999999996</v>
      </c>
      <c r="K194" s="225">
        <v>26776.199999999997</v>
      </c>
      <c r="L194" s="189">
        <v>7979.2099999999991</v>
      </c>
      <c r="M194" s="219">
        <v>36881.83</v>
      </c>
      <c r="N194" s="189">
        <f t="shared" si="48"/>
        <v>44861.04</v>
      </c>
      <c r="O194" s="225">
        <v>34967.18</v>
      </c>
      <c r="P194" s="303">
        <v>9893.86</v>
      </c>
      <c r="Q194" s="219">
        <v>41202.979999999996</v>
      </c>
      <c r="R194" s="189">
        <f t="shared" si="49"/>
        <v>51096.84</v>
      </c>
      <c r="S194" s="225">
        <v>36413.640000000007</v>
      </c>
      <c r="T194" s="303">
        <v>14683.19999999999</v>
      </c>
      <c r="U194" s="303">
        <v>39927.870000000003</v>
      </c>
      <c r="V194" s="189">
        <f t="shared" si="50"/>
        <v>54611.069999999992</v>
      </c>
      <c r="W194" s="225"/>
      <c r="X194" s="303">
        <f t="shared" si="38"/>
        <v>54611.069999999992</v>
      </c>
      <c r="Y194" s="303"/>
      <c r="AA194" s="67">
        <f t="shared" si="39"/>
        <v>0</v>
      </c>
      <c r="AC194" t="s">
        <v>407</v>
      </c>
      <c r="AD194" t="s">
        <v>1696</v>
      </c>
      <c r="AE194" s="481">
        <f t="shared" si="47"/>
        <v>39927.870000000003</v>
      </c>
      <c r="AF194"/>
      <c r="AG194" s="48">
        <v>2343.4899999999998</v>
      </c>
      <c r="AH194" s="48">
        <v>1330.29</v>
      </c>
      <c r="AI194" s="48">
        <v>0</v>
      </c>
      <c r="AJ194" s="48">
        <v>128.31</v>
      </c>
      <c r="AK194" s="48">
        <v>5126.57</v>
      </c>
      <c r="AL194" s="48">
        <v>30999.210000000003</v>
      </c>
      <c r="AN194"/>
      <c r="AO194"/>
      <c r="AP194" t="str">
        <f t="shared" si="40"/>
        <v>14400</v>
      </c>
      <c r="AQ194" s="481">
        <f t="shared" si="41"/>
        <v>39927.870000000003</v>
      </c>
    </row>
    <row r="195" spans="1:43">
      <c r="A195" s="217">
        <v>188</v>
      </c>
      <c r="B195" s="74" t="s">
        <v>409</v>
      </c>
      <c r="C195" s="74" t="s">
        <v>1697</v>
      </c>
      <c r="D195" s="186">
        <v>5202.3099999999977</v>
      </c>
      <c r="E195" s="188">
        <v>56376.03</v>
      </c>
      <c r="F195" s="189">
        <f t="shared" si="51"/>
        <v>61578.34</v>
      </c>
      <c r="G195" s="200">
        <v>67599.960000000006</v>
      </c>
      <c r="H195" s="197">
        <v>0</v>
      </c>
      <c r="I195" s="188">
        <v>83015.09</v>
      </c>
      <c r="J195" s="189">
        <f t="shared" si="52"/>
        <v>83015.09</v>
      </c>
      <c r="K195" s="225">
        <v>37657.599999999999</v>
      </c>
      <c r="L195" s="189">
        <v>45357.49</v>
      </c>
      <c r="M195" s="219">
        <v>80880.72</v>
      </c>
      <c r="N195" s="189">
        <f t="shared" si="48"/>
        <v>126238.20999999999</v>
      </c>
      <c r="O195" s="225">
        <v>107008.72</v>
      </c>
      <c r="P195" s="303">
        <v>19229.489999999991</v>
      </c>
      <c r="Q195" s="219">
        <v>91625.420000000013</v>
      </c>
      <c r="R195" s="189">
        <f t="shared" si="49"/>
        <v>110854.91</v>
      </c>
      <c r="S195" s="225">
        <v>98779.23000000001</v>
      </c>
      <c r="T195" s="303">
        <v>12075.679999999993</v>
      </c>
      <c r="U195" s="303">
        <v>87518.69</v>
      </c>
      <c r="V195" s="189">
        <f t="shared" si="50"/>
        <v>99594.37</v>
      </c>
      <c r="W195" s="225"/>
      <c r="X195" s="303">
        <f t="shared" si="38"/>
        <v>99594.37</v>
      </c>
      <c r="Y195" s="303"/>
      <c r="AA195" s="67">
        <f t="shared" si="39"/>
        <v>0</v>
      </c>
      <c r="AC195" t="s">
        <v>409</v>
      </c>
      <c r="AD195" t="s">
        <v>1698</v>
      </c>
      <c r="AE195" s="481">
        <f t="shared" si="47"/>
        <v>87518.69</v>
      </c>
      <c r="AF195"/>
      <c r="AG195" s="48">
        <v>6113.13</v>
      </c>
      <c r="AH195" s="48">
        <v>4387.59</v>
      </c>
      <c r="AI195" s="48">
        <v>1380.43</v>
      </c>
      <c r="AJ195" s="48">
        <v>415.9</v>
      </c>
      <c r="AK195" s="48">
        <v>0</v>
      </c>
      <c r="AL195" s="48">
        <v>75221.64</v>
      </c>
      <c r="AN195"/>
      <c r="AO195"/>
      <c r="AP195" t="str">
        <f t="shared" si="40"/>
        <v>25101</v>
      </c>
      <c r="AQ195" s="481">
        <f t="shared" si="41"/>
        <v>87518.69</v>
      </c>
    </row>
    <row r="196" spans="1:43">
      <c r="A196" s="217">
        <v>189</v>
      </c>
      <c r="B196" s="74" t="s">
        <v>411</v>
      </c>
      <c r="C196" s="74" t="s">
        <v>1699</v>
      </c>
      <c r="D196" s="186">
        <v>0</v>
      </c>
      <c r="E196" s="188">
        <v>44235.790000000008</v>
      </c>
      <c r="F196" s="189">
        <f t="shared" si="51"/>
        <v>44235.790000000008</v>
      </c>
      <c r="G196" s="200">
        <v>43581.75</v>
      </c>
      <c r="H196" s="197">
        <v>654.04000000000815</v>
      </c>
      <c r="I196" s="188">
        <v>63240.97</v>
      </c>
      <c r="J196" s="189">
        <f t="shared" si="52"/>
        <v>63895.010000000009</v>
      </c>
      <c r="K196" s="225">
        <v>24032.839999999997</v>
      </c>
      <c r="L196" s="189">
        <v>39862.170000000013</v>
      </c>
      <c r="M196" s="219">
        <v>58845.07</v>
      </c>
      <c r="N196" s="189">
        <f t="shared" si="48"/>
        <v>98707.24000000002</v>
      </c>
      <c r="O196" s="225">
        <v>51916.229999999996</v>
      </c>
      <c r="P196" s="303">
        <v>46791.010000000024</v>
      </c>
      <c r="Q196" s="219">
        <v>59837.16</v>
      </c>
      <c r="R196" s="189">
        <f t="shared" si="49"/>
        <v>106628.17000000003</v>
      </c>
      <c r="S196" s="225">
        <v>63719.21</v>
      </c>
      <c r="T196" s="303">
        <v>42908.960000000028</v>
      </c>
      <c r="U196" s="303">
        <v>65415.839999999997</v>
      </c>
      <c r="V196" s="189">
        <f t="shared" si="50"/>
        <v>108324.80000000002</v>
      </c>
      <c r="W196" s="225"/>
      <c r="X196" s="303">
        <f t="shared" si="38"/>
        <v>108324.80000000002</v>
      </c>
      <c r="Y196" s="303"/>
      <c r="AA196" s="67">
        <f t="shared" si="39"/>
        <v>0</v>
      </c>
      <c r="AC196" t="s">
        <v>411</v>
      </c>
      <c r="AD196" t="s">
        <v>1700</v>
      </c>
      <c r="AE196" s="481">
        <f t="shared" si="47"/>
        <v>65415.839999999997</v>
      </c>
      <c r="AF196"/>
      <c r="AG196" s="48">
        <v>3734.24</v>
      </c>
      <c r="AH196" s="48">
        <v>2445.25</v>
      </c>
      <c r="AI196" s="48">
        <v>1693.1</v>
      </c>
      <c r="AJ196" s="48">
        <v>247.77</v>
      </c>
      <c r="AK196" s="48">
        <v>6439.31</v>
      </c>
      <c r="AL196" s="48">
        <v>50856.17</v>
      </c>
      <c r="AN196"/>
      <c r="AO196"/>
      <c r="AP196" t="str">
        <f t="shared" si="40"/>
        <v>14172</v>
      </c>
      <c r="AQ196" s="481">
        <f t="shared" si="41"/>
        <v>65415.839999999997</v>
      </c>
    </row>
    <row r="197" spans="1:43">
      <c r="A197" s="217">
        <v>190</v>
      </c>
      <c r="B197" s="74" t="s">
        <v>413</v>
      </c>
      <c r="C197" s="74" t="s">
        <v>1701</v>
      </c>
      <c r="D197" s="186">
        <v>1688.840000000002</v>
      </c>
      <c r="E197" s="188">
        <v>21149.14</v>
      </c>
      <c r="F197" s="189">
        <f t="shared" si="51"/>
        <v>22837.980000000003</v>
      </c>
      <c r="G197" s="200">
        <v>18295.09</v>
      </c>
      <c r="H197" s="197">
        <v>4542.8900000000031</v>
      </c>
      <c r="I197" s="188">
        <v>29309.31</v>
      </c>
      <c r="J197" s="189">
        <f t="shared" si="52"/>
        <v>33852.200000000004</v>
      </c>
      <c r="K197" s="225">
        <v>32697.609999999997</v>
      </c>
      <c r="L197" s="189">
        <v>1154.5900000000074</v>
      </c>
      <c r="M197" s="219">
        <v>30066.55</v>
      </c>
      <c r="N197" s="189">
        <f t="shared" si="48"/>
        <v>31221.140000000007</v>
      </c>
      <c r="O197" s="225">
        <v>33252.92</v>
      </c>
      <c r="P197" s="303">
        <v>0</v>
      </c>
      <c r="Q197" s="219">
        <v>31740.54</v>
      </c>
      <c r="R197" s="189">
        <f t="shared" si="49"/>
        <v>31740.54</v>
      </c>
      <c r="S197" s="225">
        <v>31741</v>
      </c>
      <c r="T197" s="303">
        <v>0</v>
      </c>
      <c r="U197" s="303">
        <v>31904.159999999996</v>
      </c>
      <c r="V197" s="189">
        <f t="shared" si="50"/>
        <v>31904.159999999996</v>
      </c>
      <c r="W197" s="225"/>
      <c r="X197" s="303">
        <f t="shared" si="38"/>
        <v>31904.159999999996</v>
      </c>
      <c r="Y197" s="303"/>
      <c r="AA197" s="67">
        <f t="shared" si="39"/>
        <v>0</v>
      </c>
      <c r="AC197" t="s">
        <v>413</v>
      </c>
      <c r="AD197" t="s">
        <v>1702</v>
      </c>
      <c r="AE197" s="481">
        <f t="shared" si="47"/>
        <v>31904.159999999996</v>
      </c>
      <c r="AF197"/>
      <c r="AG197" s="48">
        <v>1129.6099999999999</v>
      </c>
      <c r="AH197" s="48">
        <v>0</v>
      </c>
      <c r="AI197" s="48">
        <v>0</v>
      </c>
      <c r="AJ197" s="48">
        <v>94.91</v>
      </c>
      <c r="AK197" s="48">
        <v>3197.19</v>
      </c>
      <c r="AL197" s="48">
        <v>27482.449999999997</v>
      </c>
      <c r="AN197"/>
      <c r="AO197"/>
      <c r="AP197" t="str">
        <f t="shared" si="40"/>
        <v>22105</v>
      </c>
      <c r="AQ197" s="481">
        <f t="shared" si="41"/>
        <v>31904.159999999996</v>
      </c>
    </row>
    <row r="198" spans="1:43">
      <c r="A198" s="217">
        <v>191</v>
      </c>
      <c r="B198" s="74" t="s">
        <v>415</v>
      </c>
      <c r="C198" s="74" t="s">
        <v>1703</v>
      </c>
      <c r="D198" s="186">
        <v>11855.219999999998</v>
      </c>
      <c r="E198" s="188">
        <v>69273.279999999999</v>
      </c>
      <c r="F198" s="189">
        <f t="shared" si="51"/>
        <v>81128.5</v>
      </c>
      <c r="G198" s="200">
        <v>58897.18</v>
      </c>
      <c r="H198" s="197">
        <v>22231.32</v>
      </c>
      <c r="I198" s="188">
        <v>95192.47</v>
      </c>
      <c r="J198" s="189">
        <f t="shared" si="52"/>
        <v>117423.79000000001</v>
      </c>
      <c r="K198" s="225">
        <v>88410.540000000023</v>
      </c>
      <c r="L198" s="189">
        <v>29013.249999999985</v>
      </c>
      <c r="M198" s="219">
        <v>97380.81</v>
      </c>
      <c r="N198" s="189">
        <f t="shared" si="48"/>
        <v>126394.05999999998</v>
      </c>
      <c r="O198" s="225">
        <v>91819.010000000009</v>
      </c>
      <c r="P198" s="303">
        <v>34575.049999999974</v>
      </c>
      <c r="Q198" s="219">
        <v>108630.98999999999</v>
      </c>
      <c r="R198" s="189">
        <f t="shared" si="49"/>
        <v>143206.03999999998</v>
      </c>
      <c r="S198" s="225">
        <v>149243.99</v>
      </c>
      <c r="T198" s="303">
        <v>0</v>
      </c>
      <c r="U198" s="303">
        <v>110628.03999999998</v>
      </c>
      <c r="V198" s="189">
        <f t="shared" si="50"/>
        <v>110628.03999999998</v>
      </c>
      <c r="W198" s="225"/>
      <c r="X198" s="303">
        <f t="shared" si="38"/>
        <v>110628.03999999998</v>
      </c>
      <c r="Y198" s="303"/>
      <c r="AA198" s="67">
        <f t="shared" si="39"/>
        <v>0</v>
      </c>
      <c r="AC198" t="s">
        <v>415</v>
      </c>
      <c r="AD198" t="s">
        <v>1704</v>
      </c>
      <c r="AE198" s="481">
        <f t="shared" si="47"/>
        <v>110628.03999999998</v>
      </c>
      <c r="AF198"/>
      <c r="AG198" s="48">
        <v>7532.1</v>
      </c>
      <c r="AH198" s="48">
        <v>4673.91</v>
      </c>
      <c r="AI198" s="48">
        <v>1994.73</v>
      </c>
      <c r="AJ198" s="48">
        <v>455.8</v>
      </c>
      <c r="AK198" s="48">
        <v>15510.2</v>
      </c>
      <c r="AL198" s="48">
        <v>80461.299999999988</v>
      </c>
      <c r="AN198"/>
      <c r="AO198"/>
      <c r="AP198" t="str">
        <f t="shared" si="40"/>
        <v>24105</v>
      </c>
      <c r="AQ198" s="481">
        <f t="shared" si="41"/>
        <v>110628.03999999998</v>
      </c>
    </row>
    <row r="199" spans="1:43">
      <c r="A199" s="217">
        <v>192</v>
      </c>
      <c r="B199" s="74" t="s">
        <v>417</v>
      </c>
      <c r="C199" s="74" t="s">
        <v>1705</v>
      </c>
      <c r="D199" s="186">
        <v>0</v>
      </c>
      <c r="E199" s="188">
        <v>596729.18000000005</v>
      </c>
      <c r="F199" s="189">
        <f t="shared" si="51"/>
        <v>596729.18000000005</v>
      </c>
      <c r="G199" s="200">
        <v>615969.51</v>
      </c>
      <c r="H199" s="197">
        <v>0</v>
      </c>
      <c r="I199" s="188">
        <v>835054.05999999994</v>
      </c>
      <c r="J199" s="189">
        <f t="shared" si="52"/>
        <v>835054.05999999994</v>
      </c>
      <c r="K199" s="225">
        <v>777662.35000000009</v>
      </c>
      <c r="L199" s="189">
        <v>57391.709999999846</v>
      </c>
      <c r="M199" s="219">
        <v>818725.57000000007</v>
      </c>
      <c r="N199" s="189">
        <f t="shared" si="48"/>
        <v>876117.27999999991</v>
      </c>
      <c r="O199" s="225">
        <v>909752.40000000014</v>
      </c>
      <c r="P199" s="303">
        <v>0</v>
      </c>
      <c r="Q199" s="219">
        <v>900402.75</v>
      </c>
      <c r="R199" s="189">
        <f t="shared" si="49"/>
        <v>900402.75</v>
      </c>
      <c r="S199" s="225">
        <v>985901.33000000007</v>
      </c>
      <c r="T199" s="303">
        <v>0</v>
      </c>
      <c r="U199" s="303">
        <v>925744.44</v>
      </c>
      <c r="V199" s="189">
        <f t="shared" si="50"/>
        <v>925744.44</v>
      </c>
      <c r="W199" s="225"/>
      <c r="X199" s="303">
        <f t="shared" si="38"/>
        <v>925744.44</v>
      </c>
      <c r="Y199" s="303"/>
      <c r="AA199" s="67">
        <f t="shared" si="39"/>
        <v>0</v>
      </c>
      <c r="AC199" t="s">
        <v>417</v>
      </c>
      <c r="AD199" t="s">
        <v>1706</v>
      </c>
      <c r="AE199" s="481">
        <f t="shared" si="47"/>
        <v>925744.44</v>
      </c>
      <c r="AF199"/>
      <c r="AG199" s="48">
        <v>29605.62</v>
      </c>
      <c r="AH199" s="48">
        <v>2829.88</v>
      </c>
      <c r="AI199" s="48">
        <v>8994.27</v>
      </c>
      <c r="AJ199" s="48">
        <v>4170.4399999999996</v>
      </c>
      <c r="AK199" s="48">
        <v>148376.68</v>
      </c>
      <c r="AL199" s="48">
        <v>731767.54999999993</v>
      </c>
      <c r="AN199"/>
      <c r="AO199"/>
      <c r="AP199" t="str">
        <f t="shared" si="40"/>
        <v>34111</v>
      </c>
      <c r="AQ199" s="481">
        <f t="shared" si="41"/>
        <v>925744.44</v>
      </c>
    </row>
    <row r="200" spans="1:43">
      <c r="A200" s="217">
        <v>193</v>
      </c>
      <c r="B200" s="74" t="s">
        <v>419</v>
      </c>
      <c r="C200" s="74" t="s">
        <v>1707</v>
      </c>
      <c r="D200" s="186">
        <v>31779.590000000004</v>
      </c>
      <c r="E200" s="188">
        <v>147326.41</v>
      </c>
      <c r="F200" s="189">
        <f t="shared" si="51"/>
        <v>179106</v>
      </c>
      <c r="G200" s="200">
        <v>141958.60999999999</v>
      </c>
      <c r="H200" s="197">
        <v>37147.390000000014</v>
      </c>
      <c r="I200" s="188">
        <v>243196.44</v>
      </c>
      <c r="J200" s="189">
        <f t="shared" si="52"/>
        <v>280343.83</v>
      </c>
      <c r="K200" s="225">
        <v>110819.82</v>
      </c>
      <c r="L200" s="189">
        <v>169524.01</v>
      </c>
      <c r="M200" s="219">
        <v>237573.68</v>
      </c>
      <c r="N200" s="189">
        <f t="shared" si="48"/>
        <v>407097.69</v>
      </c>
      <c r="O200" s="225">
        <v>488435.66</v>
      </c>
      <c r="P200" s="303">
        <v>0</v>
      </c>
      <c r="Q200" s="219">
        <v>262723.32999999996</v>
      </c>
      <c r="R200" s="189">
        <f t="shared" si="49"/>
        <v>262723.32999999996</v>
      </c>
      <c r="S200" s="225">
        <v>555453.1</v>
      </c>
      <c r="T200" s="303">
        <v>0</v>
      </c>
      <c r="U200" s="303">
        <v>254717.37</v>
      </c>
      <c r="V200" s="189">
        <f t="shared" si="50"/>
        <v>254717.37</v>
      </c>
      <c r="W200" s="225"/>
      <c r="X200" s="303">
        <f t="shared" ref="X200:X263" si="53">+V200-W200</f>
        <v>254717.37</v>
      </c>
      <c r="Y200" s="303"/>
      <c r="AA200" s="67">
        <f t="shared" ref="AA200:AA263" si="54">+AC200-B200</f>
        <v>0</v>
      </c>
      <c r="AC200" t="s">
        <v>419</v>
      </c>
      <c r="AD200" t="s">
        <v>1708</v>
      </c>
      <c r="AE200" s="481">
        <f t="shared" si="47"/>
        <v>254717.37</v>
      </c>
      <c r="AF200"/>
      <c r="AG200" s="48">
        <v>33015.29</v>
      </c>
      <c r="AH200" s="48">
        <v>12605.28</v>
      </c>
      <c r="AI200" s="48">
        <v>8130.68</v>
      </c>
      <c r="AJ200" s="48">
        <v>2471.79</v>
      </c>
      <c r="AK200" s="48">
        <v>76559.289999999994</v>
      </c>
      <c r="AL200" s="48">
        <v>121935.03999999999</v>
      </c>
      <c r="AN200"/>
      <c r="AO200"/>
      <c r="AP200" t="str">
        <f t="shared" ref="AP200:AP263" si="55">TEXT(AC200, "00000")</f>
        <v>24019</v>
      </c>
      <c r="AQ200" s="481">
        <f t="shared" ref="AQ200:AQ263" si="56">AE200</f>
        <v>254717.37</v>
      </c>
    </row>
    <row r="201" spans="1:43">
      <c r="A201" s="217">
        <v>194</v>
      </c>
      <c r="B201" s="74" t="s">
        <v>421</v>
      </c>
      <c r="C201" s="74" t="s">
        <v>1709</v>
      </c>
      <c r="D201" s="186">
        <v>296.85000000000218</v>
      </c>
      <c r="E201" s="188">
        <v>53398.579999999994</v>
      </c>
      <c r="F201" s="189">
        <f t="shared" si="51"/>
        <v>53695.429999999993</v>
      </c>
      <c r="G201" s="200">
        <v>40232.959999999999</v>
      </c>
      <c r="H201" s="197">
        <v>13462.469999999994</v>
      </c>
      <c r="I201" s="188">
        <v>77796.63</v>
      </c>
      <c r="J201" s="189">
        <f t="shared" si="52"/>
        <v>91259.1</v>
      </c>
      <c r="K201" s="225">
        <v>86411.42</v>
      </c>
      <c r="L201" s="189">
        <v>4847.6800000000076</v>
      </c>
      <c r="M201" s="219">
        <v>74077.399999999994</v>
      </c>
      <c r="N201" s="189">
        <f t="shared" si="48"/>
        <v>78925.08</v>
      </c>
      <c r="O201" s="225">
        <v>85955.72</v>
      </c>
      <c r="P201" s="303">
        <v>0</v>
      </c>
      <c r="Q201" s="219">
        <v>87047.62</v>
      </c>
      <c r="R201" s="189">
        <f t="shared" si="49"/>
        <v>87047.62</v>
      </c>
      <c r="S201" s="225">
        <v>98889.260000000009</v>
      </c>
      <c r="T201" s="303">
        <v>0</v>
      </c>
      <c r="U201" s="303">
        <v>90708.74</v>
      </c>
      <c r="V201" s="189">
        <f t="shared" si="50"/>
        <v>90708.74</v>
      </c>
      <c r="W201" s="225"/>
      <c r="X201" s="303">
        <f t="shared" si="53"/>
        <v>90708.74</v>
      </c>
      <c r="Y201" s="303"/>
      <c r="AA201" s="67">
        <f t="shared" si="54"/>
        <v>0</v>
      </c>
      <c r="AC201" t="s">
        <v>421</v>
      </c>
      <c r="AD201" t="s">
        <v>1710</v>
      </c>
      <c r="AE201" s="481">
        <f t="shared" si="47"/>
        <v>90708.74</v>
      </c>
      <c r="AF201"/>
      <c r="AG201" s="48">
        <v>4626.51</v>
      </c>
      <c r="AH201" s="48">
        <v>3614.78</v>
      </c>
      <c r="AI201" s="48">
        <v>544.21</v>
      </c>
      <c r="AJ201" s="48">
        <v>353.96</v>
      </c>
      <c r="AK201" s="48">
        <v>12659.84</v>
      </c>
      <c r="AL201" s="48">
        <v>68909.440000000002</v>
      </c>
      <c r="AN201"/>
      <c r="AO201"/>
      <c r="AP201" t="str">
        <f t="shared" si="55"/>
        <v>21300</v>
      </c>
      <c r="AQ201" s="481">
        <f t="shared" si="56"/>
        <v>90708.74</v>
      </c>
    </row>
    <row r="202" spans="1:43">
      <c r="A202" s="217">
        <v>195</v>
      </c>
      <c r="B202" s="191" t="s">
        <v>423</v>
      </c>
      <c r="C202" s="74" t="s">
        <v>1711</v>
      </c>
      <c r="D202" s="186">
        <v>0</v>
      </c>
      <c r="E202" s="188">
        <v>3933.9300000000003</v>
      </c>
      <c r="F202" s="189">
        <f t="shared" si="51"/>
        <v>3933.9300000000003</v>
      </c>
      <c r="G202" s="200">
        <v>6142.12</v>
      </c>
      <c r="H202" s="197">
        <v>0</v>
      </c>
      <c r="I202" s="188">
        <v>6054.5700000000006</v>
      </c>
      <c r="J202" s="189">
        <f t="shared" si="52"/>
        <v>6054.5700000000006</v>
      </c>
      <c r="K202" s="225"/>
      <c r="L202" s="189">
        <v>6054.5700000000006</v>
      </c>
      <c r="M202" s="219">
        <v>6188.5</v>
      </c>
      <c r="N202" s="189">
        <f t="shared" si="48"/>
        <v>12243.07</v>
      </c>
      <c r="O202" s="225">
        <v>1091.5</v>
      </c>
      <c r="P202" s="303">
        <v>11151.57</v>
      </c>
      <c r="Q202" s="219">
        <v>6791.74</v>
      </c>
      <c r="R202" s="189">
        <f t="shared" si="49"/>
        <v>17943.309999999998</v>
      </c>
      <c r="S202" s="225">
        <v>2387.2800000000002</v>
      </c>
      <c r="T202" s="303">
        <v>15556.029999999997</v>
      </c>
      <c r="U202" s="303">
        <v>6622.48</v>
      </c>
      <c r="V202" s="189">
        <f t="shared" si="50"/>
        <v>22178.509999999995</v>
      </c>
      <c r="W202" s="225"/>
      <c r="X202" s="303">
        <f t="shared" si="53"/>
        <v>22178.509999999995</v>
      </c>
      <c r="Y202" s="303"/>
      <c r="AA202" s="67">
        <f t="shared" si="54"/>
        <v>0</v>
      </c>
      <c r="AC202" t="s">
        <v>423</v>
      </c>
      <c r="AD202" t="s">
        <v>1712</v>
      </c>
      <c r="AE202" s="481">
        <f t="shared" si="47"/>
        <v>6622.48</v>
      </c>
      <c r="AF202"/>
      <c r="AG202" s="48">
        <v>297.85000000000002</v>
      </c>
      <c r="AH202" s="48">
        <v>169.99</v>
      </c>
      <c r="AI202" s="48">
        <v>0</v>
      </c>
      <c r="AJ202" s="48">
        <v>16.54</v>
      </c>
      <c r="AK202" s="48">
        <v>576.65</v>
      </c>
      <c r="AL202" s="48">
        <v>5561.45</v>
      </c>
      <c r="AN202"/>
      <c r="AO202"/>
      <c r="AP202" t="str">
        <f t="shared" si="55"/>
        <v>33030</v>
      </c>
      <c r="AQ202" s="481">
        <f t="shared" si="56"/>
        <v>6622.48</v>
      </c>
    </row>
    <row r="203" spans="1:43">
      <c r="A203" s="217">
        <v>196</v>
      </c>
      <c r="B203" s="74" t="s">
        <v>425</v>
      </c>
      <c r="C203" s="74" t="s">
        <v>1713</v>
      </c>
      <c r="D203" s="186">
        <v>17786.32</v>
      </c>
      <c r="E203" s="188">
        <v>36205.879999999997</v>
      </c>
      <c r="F203" s="189">
        <f t="shared" si="51"/>
        <v>53992.2</v>
      </c>
      <c r="G203" s="200"/>
      <c r="H203" s="197">
        <v>53992.2</v>
      </c>
      <c r="I203" s="188">
        <v>79316.549999999988</v>
      </c>
      <c r="J203" s="189">
        <f t="shared" si="52"/>
        <v>133308.75</v>
      </c>
      <c r="K203" s="225"/>
      <c r="L203" s="189">
        <v>133308.75</v>
      </c>
      <c r="M203" s="219">
        <v>50647.380000000005</v>
      </c>
      <c r="N203" s="189">
        <f t="shared" si="48"/>
        <v>183956.13</v>
      </c>
      <c r="O203" s="225"/>
      <c r="P203" s="303">
        <v>183956.13</v>
      </c>
      <c r="Q203" s="219">
        <v>55337.67</v>
      </c>
      <c r="R203" s="189">
        <f t="shared" si="49"/>
        <v>239293.8</v>
      </c>
      <c r="S203" s="225">
        <v>74800.149999999994</v>
      </c>
      <c r="T203" s="303">
        <v>164493.65</v>
      </c>
      <c r="U203" s="303">
        <v>59256.82</v>
      </c>
      <c r="V203" s="189">
        <f t="shared" si="50"/>
        <v>223750.47</v>
      </c>
      <c r="W203" s="225"/>
      <c r="X203" s="303">
        <f t="shared" si="53"/>
        <v>223750.47</v>
      </c>
      <c r="Y203" s="303"/>
      <c r="AA203" s="67">
        <f t="shared" si="54"/>
        <v>0</v>
      </c>
      <c r="AC203" t="s">
        <v>425</v>
      </c>
      <c r="AD203" t="s">
        <v>1714</v>
      </c>
      <c r="AE203" s="481">
        <f t="shared" si="47"/>
        <v>59256.82</v>
      </c>
      <c r="AF203"/>
      <c r="AG203" s="48">
        <v>2172.12</v>
      </c>
      <c r="AH203" s="48">
        <v>0</v>
      </c>
      <c r="AI203" s="48">
        <v>1252.06</v>
      </c>
      <c r="AJ203" s="48">
        <v>358.44</v>
      </c>
      <c r="AK203" s="48">
        <v>11967.53</v>
      </c>
      <c r="AL203" s="48">
        <v>43506.67</v>
      </c>
      <c r="AN203"/>
      <c r="AO203"/>
      <c r="AP203" t="str">
        <f t="shared" si="55"/>
        <v>28137</v>
      </c>
      <c r="AQ203" s="481">
        <f t="shared" si="56"/>
        <v>59256.82</v>
      </c>
    </row>
    <row r="204" spans="1:43">
      <c r="A204" s="217">
        <v>197</v>
      </c>
      <c r="B204" s="74" t="s">
        <v>427</v>
      </c>
      <c r="C204" s="74" t="s">
        <v>1715</v>
      </c>
      <c r="D204" s="186">
        <v>2491.71</v>
      </c>
      <c r="E204" s="188">
        <v>5066.26</v>
      </c>
      <c r="F204" s="189">
        <f t="shared" si="51"/>
        <v>7557.97</v>
      </c>
      <c r="G204" s="200">
        <v>1462.5</v>
      </c>
      <c r="H204" s="197">
        <v>6095.47</v>
      </c>
      <c r="I204" s="188">
        <v>7867.56</v>
      </c>
      <c r="J204" s="189">
        <f t="shared" si="52"/>
        <v>13963.03</v>
      </c>
      <c r="K204" s="225">
        <v>1786.62</v>
      </c>
      <c r="L204" s="189">
        <v>12176.41</v>
      </c>
      <c r="M204" s="219">
        <v>6608.32</v>
      </c>
      <c r="N204" s="189">
        <f t="shared" si="48"/>
        <v>18784.73</v>
      </c>
      <c r="O204" s="225">
        <v>1172.97</v>
      </c>
      <c r="P204" s="303">
        <v>17611.759999999998</v>
      </c>
      <c r="Q204" s="219">
        <v>9056.869999999999</v>
      </c>
      <c r="R204" s="189">
        <f t="shared" si="49"/>
        <v>26668.629999999997</v>
      </c>
      <c r="S204" s="225">
        <v>712.5</v>
      </c>
      <c r="T204" s="303">
        <v>25956.129999999997</v>
      </c>
      <c r="U204" s="303">
        <v>9385.6299999999992</v>
      </c>
      <c r="V204" s="189">
        <f t="shared" si="50"/>
        <v>35341.759999999995</v>
      </c>
      <c r="W204" s="225"/>
      <c r="X204" s="303">
        <f t="shared" si="53"/>
        <v>35341.759999999995</v>
      </c>
      <c r="Y204" s="303"/>
      <c r="AA204" s="67">
        <f t="shared" si="54"/>
        <v>0</v>
      </c>
      <c r="AC204" t="s">
        <v>427</v>
      </c>
      <c r="AD204" t="s">
        <v>1716</v>
      </c>
      <c r="AE204" s="481">
        <f t="shared" si="47"/>
        <v>9385.6299999999992</v>
      </c>
      <c r="AF204"/>
      <c r="AG204" s="48">
        <v>75.22</v>
      </c>
      <c r="AH204" s="48">
        <v>0</v>
      </c>
      <c r="AI204" s="48">
        <v>0</v>
      </c>
      <c r="AJ204" s="48">
        <v>0</v>
      </c>
      <c r="AK204" s="48">
        <v>578.01</v>
      </c>
      <c r="AL204" s="48">
        <v>8732.4</v>
      </c>
      <c r="AN204"/>
      <c r="AO204"/>
      <c r="AP204" t="str">
        <f t="shared" si="55"/>
        <v>32123</v>
      </c>
      <c r="AQ204" s="481">
        <f t="shared" si="56"/>
        <v>9385.6299999999992</v>
      </c>
    </row>
    <row r="205" spans="1:43">
      <c r="A205" s="217">
        <v>198</v>
      </c>
      <c r="B205" s="74" t="s">
        <v>429</v>
      </c>
      <c r="C205" s="74" t="s">
        <v>1717</v>
      </c>
      <c r="D205" s="186">
        <v>0</v>
      </c>
      <c r="E205" s="188">
        <v>4206.04</v>
      </c>
      <c r="F205" s="189">
        <f t="shared" si="51"/>
        <v>4206.04</v>
      </c>
      <c r="G205" s="200">
        <v>4289.04</v>
      </c>
      <c r="H205" s="197">
        <v>0</v>
      </c>
      <c r="I205" s="188">
        <v>6209.04</v>
      </c>
      <c r="J205" s="189">
        <f t="shared" si="52"/>
        <v>6209.04</v>
      </c>
      <c r="K205" s="225">
        <v>17157.7</v>
      </c>
      <c r="L205" s="189">
        <v>0</v>
      </c>
      <c r="M205" s="219">
        <v>6131.15</v>
      </c>
      <c r="N205" s="189">
        <f t="shared" si="48"/>
        <v>6131.15</v>
      </c>
      <c r="O205" s="225">
        <v>6608.7800000000007</v>
      </c>
      <c r="P205" s="303">
        <v>0</v>
      </c>
      <c r="Q205" s="219">
        <v>6614.01</v>
      </c>
      <c r="R205" s="189">
        <f t="shared" si="49"/>
        <v>6614.01</v>
      </c>
      <c r="S205" s="225">
        <v>8846.94</v>
      </c>
      <c r="T205" s="303">
        <v>0</v>
      </c>
      <c r="U205" s="303">
        <v>6550.14</v>
      </c>
      <c r="V205" s="189">
        <f t="shared" si="50"/>
        <v>6550.14</v>
      </c>
      <c r="W205" s="225"/>
      <c r="X205" s="303">
        <f t="shared" si="53"/>
        <v>6550.14</v>
      </c>
      <c r="Y205" s="303"/>
      <c r="AA205" s="67">
        <f t="shared" si="54"/>
        <v>0</v>
      </c>
      <c r="AC205" t="s">
        <v>429</v>
      </c>
      <c r="AD205" t="s">
        <v>1718</v>
      </c>
      <c r="AE205" s="481">
        <f t="shared" si="47"/>
        <v>6550.14</v>
      </c>
      <c r="AF205"/>
      <c r="AG205" s="48">
        <v>273.79000000000002</v>
      </c>
      <c r="AH205" s="48">
        <v>174.5</v>
      </c>
      <c r="AI205" s="48">
        <v>0</v>
      </c>
      <c r="AJ205" s="48">
        <v>15.04</v>
      </c>
      <c r="AK205" s="48">
        <v>531.38</v>
      </c>
      <c r="AL205" s="48">
        <v>5555.43</v>
      </c>
      <c r="AN205"/>
      <c r="AO205"/>
      <c r="AP205" t="str">
        <f t="shared" si="55"/>
        <v>10065</v>
      </c>
      <c r="AQ205" s="481">
        <f t="shared" si="56"/>
        <v>6550.14</v>
      </c>
    </row>
    <row r="206" spans="1:43">
      <c r="A206" s="217">
        <v>199</v>
      </c>
      <c r="B206" s="74" t="s">
        <v>431</v>
      </c>
      <c r="C206" s="74" t="s">
        <v>1719</v>
      </c>
      <c r="D206" s="186">
        <v>286.73999999999978</v>
      </c>
      <c r="E206" s="188">
        <v>11843.77</v>
      </c>
      <c r="F206" s="189">
        <f t="shared" si="51"/>
        <v>12130.51</v>
      </c>
      <c r="G206" s="200">
        <v>10022.77</v>
      </c>
      <c r="H206" s="197">
        <v>2107.7399999999998</v>
      </c>
      <c r="I206" s="188">
        <v>16153.26</v>
      </c>
      <c r="J206" s="189">
        <f t="shared" si="52"/>
        <v>18261</v>
      </c>
      <c r="K206" s="225">
        <v>15288</v>
      </c>
      <c r="L206" s="189">
        <v>2973</v>
      </c>
      <c r="M206" s="219">
        <v>14833.08</v>
      </c>
      <c r="N206" s="189">
        <f t="shared" si="48"/>
        <v>17806.080000000002</v>
      </c>
      <c r="O206" s="225">
        <v>16975.13</v>
      </c>
      <c r="P206" s="303">
        <v>830.95000000000073</v>
      </c>
      <c r="Q206" s="219">
        <v>13969.149999999998</v>
      </c>
      <c r="R206" s="189">
        <f t="shared" si="49"/>
        <v>14800.099999999999</v>
      </c>
      <c r="S206" s="225">
        <v>15858.319999999998</v>
      </c>
      <c r="T206" s="303">
        <v>0</v>
      </c>
      <c r="U206" s="303">
        <v>13193.73</v>
      </c>
      <c r="V206" s="189">
        <f t="shared" si="50"/>
        <v>13193.73</v>
      </c>
      <c r="W206" s="225"/>
      <c r="X206" s="303">
        <f t="shared" si="53"/>
        <v>13193.73</v>
      </c>
      <c r="Y206" s="303"/>
      <c r="AA206" s="67">
        <f t="shared" si="54"/>
        <v>0</v>
      </c>
      <c r="AC206" t="s">
        <v>431</v>
      </c>
      <c r="AD206" t="s">
        <v>1720</v>
      </c>
      <c r="AE206" s="481">
        <f t="shared" si="47"/>
        <v>13193.73</v>
      </c>
      <c r="AF206"/>
      <c r="AG206" s="48">
        <v>988.13</v>
      </c>
      <c r="AH206" s="48">
        <v>507.33</v>
      </c>
      <c r="AI206" s="48">
        <v>1219.68</v>
      </c>
      <c r="AJ206" s="48">
        <v>45.72</v>
      </c>
      <c r="AK206" s="48">
        <v>0</v>
      </c>
      <c r="AL206" s="48">
        <v>10432.869999999999</v>
      </c>
      <c r="AN206"/>
      <c r="AO206"/>
      <c r="AP206" t="str">
        <f t="shared" si="55"/>
        <v>09013</v>
      </c>
      <c r="AQ206" s="481">
        <f t="shared" si="56"/>
        <v>13193.73</v>
      </c>
    </row>
    <row r="207" spans="1:43">
      <c r="A207" s="217">
        <v>200</v>
      </c>
      <c r="B207" s="74" t="s">
        <v>433</v>
      </c>
      <c r="C207" s="74" t="s">
        <v>1721</v>
      </c>
      <c r="D207" s="186">
        <v>0</v>
      </c>
      <c r="E207" s="188">
        <v>38052.950000000004</v>
      </c>
      <c r="F207" s="189">
        <f t="shared" si="51"/>
        <v>38052.950000000004</v>
      </c>
      <c r="G207" s="200">
        <v>87568.46</v>
      </c>
      <c r="H207" s="197">
        <v>0</v>
      </c>
      <c r="I207" s="188">
        <v>54151.909999999989</v>
      </c>
      <c r="J207" s="189">
        <f t="shared" si="52"/>
        <v>54151.909999999989</v>
      </c>
      <c r="K207" s="225">
        <v>82586.180000000008</v>
      </c>
      <c r="L207" s="189">
        <v>0</v>
      </c>
      <c r="M207" s="219">
        <v>52879.260000000009</v>
      </c>
      <c r="N207" s="189">
        <f t="shared" si="48"/>
        <v>52879.260000000009</v>
      </c>
      <c r="O207" s="225">
        <v>89157.170000000013</v>
      </c>
      <c r="P207" s="303">
        <v>0</v>
      </c>
      <c r="Q207" s="219">
        <v>55534.28</v>
      </c>
      <c r="R207" s="189">
        <f t="shared" si="49"/>
        <v>55534.28</v>
      </c>
      <c r="S207" s="225">
        <v>88831.609999999986</v>
      </c>
      <c r="T207" s="303">
        <v>0</v>
      </c>
      <c r="U207" s="303">
        <v>56786.22</v>
      </c>
      <c r="V207" s="189">
        <f t="shared" si="50"/>
        <v>56786.22</v>
      </c>
      <c r="W207" s="225"/>
      <c r="X207" s="303">
        <f t="shared" si="53"/>
        <v>56786.22</v>
      </c>
      <c r="Y207" s="303"/>
      <c r="AA207" s="67">
        <f t="shared" si="54"/>
        <v>0</v>
      </c>
      <c r="AC207" t="s">
        <v>433</v>
      </c>
      <c r="AD207" t="s">
        <v>1722</v>
      </c>
      <c r="AE207" s="481">
        <f t="shared" si="47"/>
        <v>56786.22</v>
      </c>
      <c r="AF207"/>
      <c r="AG207" s="48">
        <v>3464.34</v>
      </c>
      <c r="AH207" s="48">
        <v>2169.46</v>
      </c>
      <c r="AI207" s="48">
        <v>1392.23</v>
      </c>
      <c r="AJ207" s="48">
        <v>0</v>
      </c>
      <c r="AK207" s="48">
        <v>6611.43</v>
      </c>
      <c r="AL207" s="48">
        <v>43148.76</v>
      </c>
      <c r="AN207"/>
      <c r="AO207"/>
      <c r="AP207" t="str">
        <f t="shared" si="55"/>
        <v>24410</v>
      </c>
      <c r="AQ207" s="481">
        <f t="shared" si="56"/>
        <v>56786.22</v>
      </c>
    </row>
    <row r="208" spans="1:43">
      <c r="A208" s="217">
        <v>201</v>
      </c>
      <c r="B208" s="74" t="s">
        <v>435</v>
      </c>
      <c r="C208" s="74" t="s">
        <v>1723</v>
      </c>
      <c r="D208" s="186">
        <v>12665.760000000024</v>
      </c>
      <c r="E208" s="188">
        <v>168573.80999999997</v>
      </c>
      <c r="F208" s="189">
        <f t="shared" si="51"/>
        <v>181239.57</v>
      </c>
      <c r="G208" s="200">
        <v>151225.42000000001</v>
      </c>
      <c r="H208" s="197">
        <v>30014.149999999994</v>
      </c>
      <c r="I208" s="188">
        <v>209867.13</v>
      </c>
      <c r="J208" s="189">
        <f t="shared" si="52"/>
        <v>239881.28</v>
      </c>
      <c r="K208" s="225">
        <v>231927.34</v>
      </c>
      <c r="L208" s="189">
        <v>7953.9400000000023</v>
      </c>
      <c r="M208" s="219">
        <v>237205.75</v>
      </c>
      <c r="N208" s="189">
        <f t="shared" si="48"/>
        <v>245159.69</v>
      </c>
      <c r="O208" s="225">
        <v>317101.81</v>
      </c>
      <c r="P208" s="303">
        <v>0</v>
      </c>
      <c r="Q208" s="219">
        <v>276951.45999999996</v>
      </c>
      <c r="R208" s="189">
        <f t="shared" si="49"/>
        <v>276951.45999999996</v>
      </c>
      <c r="S208" s="225">
        <v>348379.77000000008</v>
      </c>
      <c r="T208" s="303">
        <v>0</v>
      </c>
      <c r="U208" s="303">
        <v>297201.27999999997</v>
      </c>
      <c r="V208" s="189">
        <f t="shared" si="50"/>
        <v>297201.27999999997</v>
      </c>
      <c r="W208" s="225"/>
      <c r="X208" s="303">
        <f t="shared" si="53"/>
        <v>297201.27999999997</v>
      </c>
      <c r="Y208" s="303"/>
      <c r="AA208" s="67">
        <f t="shared" si="54"/>
        <v>0</v>
      </c>
      <c r="AC208" t="s">
        <v>435</v>
      </c>
      <c r="AD208" t="s">
        <v>1724</v>
      </c>
      <c r="AE208" s="481">
        <f t="shared" si="47"/>
        <v>297201.27999999997</v>
      </c>
      <c r="AF208"/>
      <c r="AG208" s="48">
        <v>8340.25</v>
      </c>
      <c r="AH208" s="48">
        <v>0</v>
      </c>
      <c r="AI208" s="48">
        <v>3404.88</v>
      </c>
      <c r="AJ208" s="48">
        <v>1247.52</v>
      </c>
      <c r="AK208" s="48">
        <v>44917.83</v>
      </c>
      <c r="AL208" s="48">
        <v>239290.8</v>
      </c>
      <c r="AN208"/>
      <c r="AO208"/>
      <c r="AP208" t="str">
        <f t="shared" si="55"/>
        <v>27344</v>
      </c>
      <c r="AQ208" s="481">
        <f t="shared" si="56"/>
        <v>297201.27999999997</v>
      </c>
    </row>
    <row r="209" spans="1:43">
      <c r="A209" s="217">
        <v>202</v>
      </c>
      <c r="B209" s="74" t="s">
        <v>437</v>
      </c>
      <c r="C209" s="74" t="s">
        <v>1725</v>
      </c>
      <c r="D209" s="186">
        <v>0</v>
      </c>
      <c r="E209" s="188">
        <v>320986.71999999997</v>
      </c>
      <c r="F209" s="189">
        <f t="shared" si="51"/>
        <v>320986.71999999997</v>
      </c>
      <c r="G209" s="200">
        <v>253398.2</v>
      </c>
      <c r="H209" s="197">
        <v>67588.51999999996</v>
      </c>
      <c r="I209" s="188">
        <v>474610.13999999996</v>
      </c>
      <c r="J209" s="189">
        <f t="shared" si="52"/>
        <v>542198.65999999992</v>
      </c>
      <c r="K209" s="225">
        <v>104776.38000000002</v>
      </c>
      <c r="L209" s="189">
        <v>437422.27999999991</v>
      </c>
      <c r="M209" s="219">
        <v>472990.57999999996</v>
      </c>
      <c r="N209" s="189">
        <f t="shared" si="48"/>
        <v>910412.85999999987</v>
      </c>
      <c r="O209" s="225">
        <v>246308</v>
      </c>
      <c r="P209" s="303">
        <v>664104.85999999987</v>
      </c>
      <c r="Q209" s="219">
        <v>523274.28</v>
      </c>
      <c r="R209" s="189">
        <f t="shared" si="49"/>
        <v>1187379.1399999999</v>
      </c>
      <c r="S209" s="225">
        <v>610116.7300000001</v>
      </c>
      <c r="T209" s="303">
        <v>577262.4099999998</v>
      </c>
      <c r="U209" s="303">
        <v>515819.49</v>
      </c>
      <c r="V209" s="189">
        <f t="shared" si="50"/>
        <v>1093081.8999999999</v>
      </c>
      <c r="W209" s="225"/>
      <c r="X209" s="303">
        <f t="shared" si="53"/>
        <v>1093081.8999999999</v>
      </c>
      <c r="Y209" s="303"/>
      <c r="AA209" s="67">
        <f t="shared" si="54"/>
        <v>0</v>
      </c>
      <c r="AC209" t="s">
        <v>437</v>
      </c>
      <c r="AD209" t="s">
        <v>1726</v>
      </c>
      <c r="AE209" s="481">
        <f t="shared" si="47"/>
        <v>515819.49</v>
      </c>
      <c r="AF209"/>
      <c r="AG209" s="48">
        <v>35054.97</v>
      </c>
      <c r="AH209" s="48">
        <v>19705.05</v>
      </c>
      <c r="AI209" s="48">
        <v>43967.29</v>
      </c>
      <c r="AJ209" s="48">
        <v>1893.67</v>
      </c>
      <c r="AK209" s="48">
        <v>52521.45</v>
      </c>
      <c r="AL209" s="48">
        <v>362677.06</v>
      </c>
      <c r="AN209"/>
      <c r="AO209"/>
      <c r="AP209" t="str">
        <f t="shared" si="55"/>
        <v>01147</v>
      </c>
      <c r="AQ209" s="481">
        <f t="shared" si="56"/>
        <v>515819.49</v>
      </c>
    </row>
    <row r="210" spans="1:43">
      <c r="A210" s="217">
        <v>203</v>
      </c>
      <c r="B210" s="74" t="s">
        <v>439</v>
      </c>
      <c r="C210" s="74" t="s">
        <v>1727</v>
      </c>
      <c r="D210" s="186">
        <v>1506.6499999999999</v>
      </c>
      <c r="E210" s="188">
        <v>3060.2999999999997</v>
      </c>
      <c r="F210" s="189">
        <f t="shared" si="51"/>
        <v>4566.95</v>
      </c>
      <c r="G210" s="200">
        <v>392.06</v>
      </c>
      <c r="H210" s="197">
        <v>4174.8899999999994</v>
      </c>
      <c r="I210" s="188">
        <v>4700.0599999999995</v>
      </c>
      <c r="J210" s="189">
        <f t="shared" si="52"/>
        <v>8874.9499999999989</v>
      </c>
      <c r="K210" s="225">
        <v>5015.4699999999993</v>
      </c>
      <c r="L210" s="189">
        <v>3859.4799999999996</v>
      </c>
      <c r="M210" s="219">
        <v>4656.6000000000004</v>
      </c>
      <c r="N210" s="189">
        <f t="shared" si="48"/>
        <v>8516.08</v>
      </c>
      <c r="O210" s="225">
        <v>3227.45</v>
      </c>
      <c r="P210" s="303">
        <v>5288.63</v>
      </c>
      <c r="Q210" s="219">
        <v>4934.84</v>
      </c>
      <c r="R210" s="189">
        <f t="shared" si="49"/>
        <v>10223.470000000001</v>
      </c>
      <c r="S210" s="225">
        <v>6132.27</v>
      </c>
      <c r="T210" s="303">
        <v>4091.2000000000007</v>
      </c>
      <c r="U210" s="303">
        <v>4518.8500000000004</v>
      </c>
      <c r="V210" s="189">
        <f t="shared" si="50"/>
        <v>8610.0500000000011</v>
      </c>
      <c r="W210" s="225"/>
      <c r="X210" s="303">
        <f t="shared" si="53"/>
        <v>8610.0500000000011</v>
      </c>
      <c r="Y210" s="303"/>
      <c r="AA210" s="67">
        <f t="shared" si="54"/>
        <v>0</v>
      </c>
      <c r="AC210" t="s">
        <v>439</v>
      </c>
      <c r="AD210" t="s">
        <v>1728</v>
      </c>
      <c r="AE210" s="481">
        <f t="shared" si="47"/>
        <v>4518.8500000000004</v>
      </c>
      <c r="AF210"/>
      <c r="AG210" s="48">
        <v>230.07</v>
      </c>
      <c r="AH210" s="48">
        <v>116.51</v>
      </c>
      <c r="AI210" s="48">
        <v>172.56</v>
      </c>
      <c r="AJ210" s="48">
        <v>10.33</v>
      </c>
      <c r="AK210" s="48">
        <v>0</v>
      </c>
      <c r="AL210" s="48">
        <v>3989.38</v>
      </c>
      <c r="AN210"/>
      <c r="AO210"/>
      <c r="AP210" t="str">
        <f t="shared" si="55"/>
        <v>09102</v>
      </c>
      <c r="AQ210" s="481">
        <f t="shared" si="56"/>
        <v>4518.8500000000004</v>
      </c>
    </row>
    <row r="211" spans="1:43">
      <c r="A211" s="217">
        <v>204</v>
      </c>
      <c r="B211" s="74" t="s">
        <v>441</v>
      </c>
      <c r="C211" s="74" t="s">
        <v>1729</v>
      </c>
      <c r="D211" s="186">
        <v>8098.05</v>
      </c>
      <c r="E211" s="188">
        <v>16472.289999999997</v>
      </c>
      <c r="F211" s="189">
        <f t="shared" si="51"/>
        <v>24570.339999999997</v>
      </c>
      <c r="G211" s="200"/>
      <c r="H211" s="197">
        <v>24570.339999999997</v>
      </c>
      <c r="I211" s="188">
        <v>22709.79</v>
      </c>
      <c r="J211" s="189">
        <f t="shared" si="52"/>
        <v>47280.13</v>
      </c>
      <c r="K211" s="225"/>
      <c r="L211" s="189">
        <v>47280.13</v>
      </c>
      <c r="M211" s="219">
        <v>23197.34</v>
      </c>
      <c r="N211" s="189">
        <f t="shared" si="48"/>
        <v>70477.47</v>
      </c>
      <c r="O211" s="225">
        <v>21900.09</v>
      </c>
      <c r="P211" s="303">
        <v>48577.380000000005</v>
      </c>
      <c r="Q211" s="219">
        <v>25145.75</v>
      </c>
      <c r="R211" s="189">
        <f t="shared" si="49"/>
        <v>73723.13</v>
      </c>
      <c r="S211" s="225">
        <v>27046.440000000002</v>
      </c>
      <c r="T211" s="303">
        <v>46676.69</v>
      </c>
      <c r="U211" s="303">
        <v>25515.88</v>
      </c>
      <c r="V211" s="189">
        <f t="shared" si="50"/>
        <v>72192.570000000007</v>
      </c>
      <c r="W211" s="225"/>
      <c r="X211" s="303">
        <f t="shared" si="53"/>
        <v>72192.570000000007</v>
      </c>
      <c r="Y211" s="303"/>
      <c r="AA211" s="67">
        <f t="shared" si="54"/>
        <v>0</v>
      </c>
      <c r="AC211" t="s">
        <v>441</v>
      </c>
      <c r="AD211" t="s">
        <v>1730</v>
      </c>
      <c r="AE211" s="481">
        <f t="shared" si="47"/>
        <v>25515.88</v>
      </c>
      <c r="AF211"/>
      <c r="AG211" s="48">
        <v>591.4</v>
      </c>
      <c r="AH211" s="48">
        <v>0</v>
      </c>
      <c r="AI211" s="48">
        <v>0</v>
      </c>
      <c r="AJ211" s="48">
        <v>0</v>
      </c>
      <c r="AK211" s="48">
        <v>1930.58</v>
      </c>
      <c r="AL211" s="48">
        <v>22993.9</v>
      </c>
      <c r="AN211"/>
      <c r="AO211"/>
      <c r="AP211" t="str">
        <f t="shared" si="55"/>
        <v>38301</v>
      </c>
      <c r="AQ211" s="481">
        <f t="shared" si="56"/>
        <v>25515.88</v>
      </c>
    </row>
    <row r="212" spans="1:43">
      <c r="A212" s="217">
        <v>205</v>
      </c>
      <c r="B212" s="375" t="s">
        <v>443</v>
      </c>
      <c r="C212" s="380" t="s">
        <v>1731</v>
      </c>
      <c r="D212" s="186"/>
      <c r="E212" s="188"/>
      <c r="F212" s="189"/>
      <c r="G212" s="200"/>
      <c r="H212" s="197"/>
      <c r="I212" s="188"/>
      <c r="J212" s="189"/>
      <c r="K212" s="225"/>
      <c r="L212" s="189"/>
      <c r="M212" s="219"/>
      <c r="N212" s="189"/>
      <c r="O212" s="225"/>
      <c r="P212" s="303"/>
      <c r="Q212" s="219"/>
      <c r="R212" s="189"/>
      <c r="S212" s="225">
        <v>0</v>
      </c>
      <c r="T212" s="303">
        <v>0</v>
      </c>
      <c r="U212" s="303">
        <v>30213.91</v>
      </c>
      <c r="V212" s="189"/>
      <c r="W212" s="225"/>
      <c r="X212" s="303">
        <f t="shared" si="53"/>
        <v>0</v>
      </c>
      <c r="Y212" s="303"/>
      <c r="AA212" s="67">
        <f t="shared" si="54"/>
        <v>0</v>
      </c>
      <c r="AC212" t="s">
        <v>443</v>
      </c>
      <c r="AD212" t="s">
        <v>1732</v>
      </c>
      <c r="AE212" s="481">
        <f t="shared" si="47"/>
        <v>30213.91</v>
      </c>
      <c r="AF212"/>
      <c r="AG212" s="48">
        <v>1370.11</v>
      </c>
      <c r="AH212" s="48">
        <v>628.27</v>
      </c>
      <c r="AI212" s="48">
        <v>0</v>
      </c>
      <c r="AJ212" s="48">
        <v>0</v>
      </c>
      <c r="AK212" s="48">
        <v>1077.3900000000001</v>
      </c>
      <c r="AL212" s="48">
        <v>27138.14</v>
      </c>
      <c r="AN212"/>
      <c r="AO212"/>
      <c r="AP212" t="str">
        <f t="shared" si="55"/>
        <v>24915</v>
      </c>
      <c r="AQ212" s="481">
        <f t="shared" si="56"/>
        <v>30213.91</v>
      </c>
    </row>
    <row r="213" spans="1:43">
      <c r="A213" s="217">
        <v>206</v>
      </c>
      <c r="B213" s="74" t="s">
        <v>445</v>
      </c>
      <c r="C213" s="74" t="s">
        <v>1733</v>
      </c>
      <c r="D213" s="186">
        <v>71272.899999999907</v>
      </c>
      <c r="E213" s="188">
        <v>1237361.24</v>
      </c>
      <c r="F213" s="189">
        <f>+D213+E213</f>
        <v>1308634.1399999999</v>
      </c>
      <c r="G213" s="200">
        <v>1155448.05</v>
      </c>
      <c r="H213" s="197">
        <v>153186.08999999985</v>
      </c>
      <c r="I213" s="188">
        <v>1816798.91</v>
      </c>
      <c r="J213" s="189">
        <f>+H213+I213</f>
        <v>1969984.9999999998</v>
      </c>
      <c r="K213" s="225">
        <v>2520354.7400000002</v>
      </c>
      <c r="L213" s="189">
        <v>0</v>
      </c>
      <c r="M213" s="219">
        <v>1841766.78</v>
      </c>
      <c r="N213" s="189">
        <f t="shared" ref="N213:N248" si="57">+L213+M213</f>
        <v>1841766.78</v>
      </c>
      <c r="O213" s="225">
        <v>1305153.26</v>
      </c>
      <c r="P213" s="303">
        <v>536613.52</v>
      </c>
      <c r="Q213" s="219">
        <v>2015531.5699999998</v>
      </c>
      <c r="R213" s="189">
        <f t="shared" ref="R213:R248" si="58">+P213+Q213</f>
        <v>2552145.09</v>
      </c>
      <c r="S213" s="225">
        <v>2736932.8000000003</v>
      </c>
      <c r="T213" s="303">
        <v>0</v>
      </c>
      <c r="U213" s="303">
        <v>2075379.08</v>
      </c>
      <c r="V213" s="189">
        <f t="shared" ref="V213:V248" si="59">+T213+U213</f>
        <v>2075379.08</v>
      </c>
      <c r="W213" s="225"/>
      <c r="X213" s="303">
        <f t="shared" si="53"/>
        <v>2075379.08</v>
      </c>
      <c r="Y213" s="303"/>
      <c r="AA213" s="67">
        <f t="shared" si="54"/>
        <v>0</v>
      </c>
      <c r="AC213" t="s">
        <v>445</v>
      </c>
      <c r="AD213" t="s">
        <v>1734</v>
      </c>
      <c r="AE213" s="481">
        <f t="shared" si="47"/>
        <v>2075379.08</v>
      </c>
      <c r="AF213"/>
      <c r="AG213" s="48">
        <v>126872.74</v>
      </c>
      <c r="AH213" s="48">
        <v>73046.289999999994</v>
      </c>
      <c r="AI213" s="48">
        <v>154749.76000000001</v>
      </c>
      <c r="AJ213" s="48">
        <v>7720.68</v>
      </c>
      <c r="AK213" s="48">
        <v>239231.44</v>
      </c>
      <c r="AL213" s="48">
        <v>1473758.17</v>
      </c>
      <c r="AN213"/>
      <c r="AO213"/>
      <c r="AP213" t="str">
        <f t="shared" si="55"/>
        <v>11001</v>
      </c>
      <c r="AQ213" s="481">
        <f t="shared" si="56"/>
        <v>2075379.08</v>
      </c>
    </row>
    <row r="214" spans="1:43">
      <c r="A214" s="217">
        <v>207</v>
      </c>
      <c r="B214" s="74" t="s">
        <v>447</v>
      </c>
      <c r="C214" s="74" t="s">
        <v>1735</v>
      </c>
      <c r="D214" s="186">
        <v>0</v>
      </c>
      <c r="E214" s="188">
        <v>25355.58</v>
      </c>
      <c r="F214" s="189">
        <f>+D214+E214</f>
        <v>25355.58</v>
      </c>
      <c r="G214" s="200">
        <v>1223.82</v>
      </c>
      <c r="H214" s="197">
        <v>24131.760000000002</v>
      </c>
      <c r="I214" s="188">
        <v>37787.39</v>
      </c>
      <c r="J214" s="189">
        <f>+H214+I214</f>
        <v>61919.15</v>
      </c>
      <c r="K214" s="225">
        <v>22999.99</v>
      </c>
      <c r="L214" s="189">
        <v>38919.160000000003</v>
      </c>
      <c r="M214" s="219">
        <v>37269.490000000005</v>
      </c>
      <c r="N214" s="189">
        <f t="shared" si="57"/>
        <v>76188.650000000009</v>
      </c>
      <c r="O214" s="225">
        <v>34721</v>
      </c>
      <c r="P214" s="303">
        <v>41467.650000000009</v>
      </c>
      <c r="Q214" s="219">
        <v>37632.25</v>
      </c>
      <c r="R214" s="189">
        <f t="shared" si="58"/>
        <v>79099.900000000009</v>
      </c>
      <c r="S214" s="225">
        <v>34347.93</v>
      </c>
      <c r="T214" s="303">
        <v>44751.970000000008</v>
      </c>
      <c r="U214" s="303">
        <v>33947.740000000005</v>
      </c>
      <c r="V214" s="189">
        <f t="shared" si="59"/>
        <v>78699.710000000021</v>
      </c>
      <c r="W214" s="225"/>
      <c r="X214" s="303">
        <f t="shared" si="53"/>
        <v>78699.710000000021</v>
      </c>
      <c r="Y214" s="303"/>
      <c r="AA214" s="67">
        <f t="shared" si="54"/>
        <v>0</v>
      </c>
      <c r="AC214" t="s">
        <v>447</v>
      </c>
      <c r="AD214" t="s">
        <v>1736</v>
      </c>
      <c r="AE214" s="481">
        <f t="shared" si="47"/>
        <v>33947.740000000005</v>
      </c>
      <c r="AF214"/>
      <c r="AG214" s="48">
        <v>1830.75</v>
      </c>
      <c r="AH214" s="48">
        <v>1147.79</v>
      </c>
      <c r="AI214" s="48">
        <v>627.29999999999995</v>
      </c>
      <c r="AJ214" s="48">
        <v>96.28</v>
      </c>
      <c r="AK214" s="48">
        <v>3369.54</v>
      </c>
      <c r="AL214" s="48">
        <v>26876.080000000002</v>
      </c>
      <c r="AN214"/>
      <c r="AO214"/>
      <c r="AP214" t="str">
        <f t="shared" si="55"/>
        <v>24122</v>
      </c>
      <c r="AQ214" s="481">
        <f t="shared" si="56"/>
        <v>33947.740000000005</v>
      </c>
    </row>
    <row r="215" spans="1:43">
      <c r="A215" s="217">
        <v>208</v>
      </c>
      <c r="B215" s="74" t="s">
        <v>449</v>
      </c>
      <c r="C215" s="74" t="s">
        <v>1737</v>
      </c>
      <c r="D215" s="186">
        <v>1839.7800000000007</v>
      </c>
      <c r="E215" s="188">
        <v>7724.67</v>
      </c>
      <c r="F215" s="189">
        <f>+D215+E215</f>
        <v>9564.4500000000007</v>
      </c>
      <c r="G215" s="200">
        <v>2965.02</v>
      </c>
      <c r="H215" s="197">
        <v>6599.43</v>
      </c>
      <c r="I215" s="188">
        <v>15162.550000000001</v>
      </c>
      <c r="J215" s="189">
        <f>+H215+I215</f>
        <v>21761.980000000003</v>
      </c>
      <c r="K215" s="225">
        <v>20338.63</v>
      </c>
      <c r="L215" s="189">
        <v>1423.3500000000022</v>
      </c>
      <c r="M215" s="219">
        <v>15831.239999999998</v>
      </c>
      <c r="N215" s="189">
        <f t="shared" si="57"/>
        <v>17254.59</v>
      </c>
      <c r="O215" s="225">
        <v>6988.4400000000005</v>
      </c>
      <c r="P215" s="303">
        <v>10266.15</v>
      </c>
      <c r="Q215" s="219">
        <v>17677.120000000003</v>
      </c>
      <c r="R215" s="189">
        <f t="shared" si="58"/>
        <v>27943.270000000004</v>
      </c>
      <c r="S215" s="225">
        <v>5076.6600000000008</v>
      </c>
      <c r="T215" s="303">
        <v>22866.610000000004</v>
      </c>
      <c r="U215" s="303">
        <v>17821.72</v>
      </c>
      <c r="V215" s="189">
        <f t="shared" si="59"/>
        <v>40688.33</v>
      </c>
      <c r="W215" s="225"/>
      <c r="X215" s="303">
        <f t="shared" si="53"/>
        <v>40688.33</v>
      </c>
      <c r="Y215" s="303"/>
      <c r="AA215" s="67">
        <f t="shared" si="54"/>
        <v>0</v>
      </c>
      <c r="AC215" t="s">
        <v>449</v>
      </c>
      <c r="AD215" t="s">
        <v>1738</v>
      </c>
      <c r="AE215" s="481">
        <f t="shared" si="47"/>
        <v>17821.72</v>
      </c>
      <c r="AF215"/>
      <c r="AG215" s="48">
        <v>1293.4100000000001</v>
      </c>
      <c r="AH215" s="48">
        <v>606.15</v>
      </c>
      <c r="AI215" s="48">
        <v>381.98</v>
      </c>
      <c r="AJ215" s="48">
        <v>60.47</v>
      </c>
      <c r="AK215" s="48">
        <v>2362.67</v>
      </c>
      <c r="AL215" s="48">
        <v>13117.04</v>
      </c>
      <c r="AN215"/>
      <c r="AO215"/>
      <c r="AP215" t="str">
        <f t="shared" si="55"/>
        <v>03050</v>
      </c>
      <c r="AQ215" s="481">
        <f t="shared" si="56"/>
        <v>17821.72</v>
      </c>
    </row>
    <row r="216" spans="1:43">
      <c r="A216" s="217">
        <v>209</v>
      </c>
      <c r="B216" s="74" t="s">
        <v>451</v>
      </c>
      <c r="C216" s="74" t="s">
        <v>1739</v>
      </c>
      <c r="D216" s="186">
        <v>877.38000000000102</v>
      </c>
      <c r="E216" s="188">
        <v>22306.749999999996</v>
      </c>
      <c r="F216" s="189">
        <f>+D216+E216</f>
        <v>23184.129999999997</v>
      </c>
      <c r="G216" s="200">
        <v>25251.16</v>
      </c>
      <c r="H216" s="197">
        <v>0</v>
      </c>
      <c r="I216" s="188">
        <v>33578.43</v>
      </c>
      <c r="J216" s="189">
        <f>+H216+I216</f>
        <v>33578.43</v>
      </c>
      <c r="K216" s="225">
        <v>39508.07</v>
      </c>
      <c r="L216" s="189">
        <v>0</v>
      </c>
      <c r="M216" s="219">
        <v>33922.300000000003</v>
      </c>
      <c r="N216" s="189">
        <f t="shared" si="57"/>
        <v>33922.300000000003</v>
      </c>
      <c r="O216" s="225">
        <v>24188.079999999998</v>
      </c>
      <c r="P216" s="303">
        <v>9734.2200000000048</v>
      </c>
      <c r="Q216" s="219">
        <v>38899.93</v>
      </c>
      <c r="R216" s="189">
        <f t="shared" si="58"/>
        <v>48634.150000000009</v>
      </c>
      <c r="S216" s="225">
        <v>36847.759999999995</v>
      </c>
      <c r="T216" s="303">
        <v>11786.390000000014</v>
      </c>
      <c r="U216" s="303">
        <v>38018.26</v>
      </c>
      <c r="V216" s="189">
        <f t="shared" si="59"/>
        <v>49804.650000000016</v>
      </c>
      <c r="W216" s="225"/>
      <c r="X216" s="303">
        <f t="shared" si="53"/>
        <v>49804.650000000016</v>
      </c>
      <c r="Y216" s="303"/>
      <c r="AA216" s="67">
        <f t="shared" si="54"/>
        <v>0</v>
      </c>
      <c r="AC216" t="s">
        <v>451</v>
      </c>
      <c r="AD216" t="s">
        <v>1740</v>
      </c>
      <c r="AE216" s="481">
        <f t="shared" si="47"/>
        <v>38018.26</v>
      </c>
      <c r="AF216"/>
      <c r="AG216" s="48">
        <v>1526.15</v>
      </c>
      <c r="AH216" s="48">
        <v>1184.1099999999999</v>
      </c>
      <c r="AI216" s="48">
        <v>0</v>
      </c>
      <c r="AJ216" s="48">
        <v>111.97</v>
      </c>
      <c r="AK216" s="48">
        <v>4421.6400000000003</v>
      </c>
      <c r="AL216" s="48">
        <v>30774.39</v>
      </c>
      <c r="AN216"/>
      <c r="AO216"/>
      <c r="AP216" t="str">
        <f t="shared" si="55"/>
        <v>21301</v>
      </c>
      <c r="AQ216" s="481">
        <f t="shared" si="56"/>
        <v>38018.26</v>
      </c>
    </row>
    <row r="217" spans="1:43">
      <c r="A217" s="217">
        <v>210</v>
      </c>
      <c r="B217" s="74" t="s">
        <v>453</v>
      </c>
      <c r="C217" s="74" t="s">
        <v>1741</v>
      </c>
      <c r="D217" s="186">
        <v>42057.5</v>
      </c>
      <c r="E217" s="188">
        <v>626601.04999999993</v>
      </c>
      <c r="F217" s="189">
        <f>+D217+E217</f>
        <v>668658.54999999993</v>
      </c>
      <c r="G217" s="200">
        <v>679779.57</v>
      </c>
      <c r="H217" s="197">
        <v>0</v>
      </c>
      <c r="I217" s="188">
        <v>833816.44</v>
      </c>
      <c r="J217" s="189">
        <f>+H217+I217</f>
        <v>833816.44</v>
      </c>
      <c r="K217" s="225">
        <v>1182434.5499999998</v>
      </c>
      <c r="L217" s="189">
        <v>0</v>
      </c>
      <c r="M217" s="219">
        <v>853308.49</v>
      </c>
      <c r="N217" s="189">
        <f t="shared" si="57"/>
        <v>853308.49</v>
      </c>
      <c r="O217" s="225">
        <v>1108539.1800000002</v>
      </c>
      <c r="P217" s="303">
        <v>0</v>
      </c>
      <c r="Q217" s="219">
        <v>963510.41999999993</v>
      </c>
      <c r="R217" s="189">
        <f t="shared" si="58"/>
        <v>963510.41999999993</v>
      </c>
      <c r="S217" s="225">
        <v>1117270.8700000003</v>
      </c>
      <c r="T217" s="303">
        <v>0</v>
      </c>
      <c r="U217" s="303">
        <v>964542.15</v>
      </c>
      <c r="V217" s="189">
        <f t="shared" si="59"/>
        <v>964542.15</v>
      </c>
      <c r="W217" s="225"/>
      <c r="X217" s="303">
        <f t="shared" si="53"/>
        <v>964542.15</v>
      </c>
      <c r="Y217" s="303"/>
      <c r="AA217" s="67">
        <f t="shared" si="54"/>
        <v>0</v>
      </c>
      <c r="AC217" t="s">
        <v>453</v>
      </c>
      <c r="AD217" t="s">
        <v>1742</v>
      </c>
      <c r="AE217" s="481">
        <f t="shared" si="47"/>
        <v>964542.15</v>
      </c>
      <c r="AF217"/>
      <c r="AG217" s="48">
        <v>20157.02</v>
      </c>
      <c r="AH217" s="48">
        <v>0</v>
      </c>
      <c r="AI217" s="48">
        <v>6725.17</v>
      </c>
      <c r="AJ217" s="48">
        <v>4220.04</v>
      </c>
      <c r="AK217" s="48">
        <v>137989.87</v>
      </c>
      <c r="AL217" s="48">
        <v>795450.05</v>
      </c>
      <c r="AN217"/>
      <c r="AO217"/>
      <c r="AP217" t="str">
        <f t="shared" si="55"/>
        <v>27401</v>
      </c>
      <c r="AQ217" s="481">
        <f t="shared" si="56"/>
        <v>964542.15</v>
      </c>
    </row>
    <row r="218" spans="1:43">
      <c r="A218" s="217">
        <v>211</v>
      </c>
      <c r="B218" s="221" t="s">
        <v>455</v>
      </c>
      <c r="C218" s="190" t="s">
        <v>1743</v>
      </c>
      <c r="D218" s="186"/>
      <c r="E218" s="188"/>
      <c r="F218" s="189"/>
      <c r="G218" s="200"/>
      <c r="H218" s="197"/>
      <c r="I218" s="188"/>
      <c r="J218" s="189"/>
      <c r="K218" s="225"/>
      <c r="L218" s="189">
        <v>0</v>
      </c>
      <c r="M218" s="219">
        <v>9858.32</v>
      </c>
      <c r="N218" s="189">
        <f t="shared" si="57"/>
        <v>9858.32</v>
      </c>
      <c r="O218" s="225">
        <v>9858.32</v>
      </c>
      <c r="P218" s="303">
        <v>0</v>
      </c>
      <c r="Q218" s="219">
        <v>15600.060000000001</v>
      </c>
      <c r="R218" s="189">
        <f t="shared" si="58"/>
        <v>15600.060000000001</v>
      </c>
      <c r="S218" s="225">
        <v>0</v>
      </c>
      <c r="T218" s="303">
        <v>15600.060000000001</v>
      </c>
      <c r="U218" s="303">
        <v>30361.870000000003</v>
      </c>
      <c r="V218" s="189">
        <f t="shared" si="59"/>
        <v>45961.930000000008</v>
      </c>
      <c r="W218" s="225"/>
      <c r="X218" s="303">
        <f t="shared" si="53"/>
        <v>45961.930000000008</v>
      </c>
      <c r="Y218" s="303"/>
      <c r="AA218" s="67">
        <f t="shared" si="54"/>
        <v>0</v>
      </c>
      <c r="AC218" t="s">
        <v>455</v>
      </c>
      <c r="AD218" t="s">
        <v>1744</v>
      </c>
      <c r="AE218" s="481">
        <f t="shared" si="47"/>
        <v>30361.870000000003</v>
      </c>
      <c r="AF218"/>
      <c r="AG218" s="48">
        <v>791.88</v>
      </c>
      <c r="AH218" s="48">
        <v>0</v>
      </c>
      <c r="AI218" s="48">
        <v>717.04</v>
      </c>
      <c r="AJ218" s="48">
        <v>94.31</v>
      </c>
      <c r="AK218" s="48">
        <v>2663.96</v>
      </c>
      <c r="AL218" s="48">
        <v>26094.68</v>
      </c>
      <c r="AN218"/>
      <c r="AO218"/>
      <c r="AP218" t="str">
        <f t="shared" si="55"/>
        <v>04901</v>
      </c>
      <c r="AQ218" s="481">
        <f t="shared" si="56"/>
        <v>30361.870000000003</v>
      </c>
    </row>
    <row r="219" spans="1:43">
      <c r="A219" s="217">
        <v>212</v>
      </c>
      <c r="B219" s="74" t="s">
        <v>457</v>
      </c>
      <c r="C219" s="74" t="s">
        <v>1745</v>
      </c>
      <c r="D219" s="186">
        <v>0</v>
      </c>
      <c r="E219" s="188">
        <v>50545.82</v>
      </c>
      <c r="F219" s="189">
        <f t="shared" ref="F219:F226" si="60">+D219+E219</f>
        <v>50545.82</v>
      </c>
      <c r="G219" s="200">
        <v>56633.79</v>
      </c>
      <c r="H219" s="197">
        <v>0</v>
      </c>
      <c r="I219" s="188">
        <v>66661.820000000007</v>
      </c>
      <c r="J219" s="189">
        <f t="shared" ref="J219:J226" si="61">+H219+I219</f>
        <v>66661.820000000007</v>
      </c>
      <c r="K219" s="225">
        <v>55370.07</v>
      </c>
      <c r="L219" s="189">
        <v>11291.750000000007</v>
      </c>
      <c r="M219" s="219">
        <v>64762.319999999992</v>
      </c>
      <c r="N219" s="189">
        <f t="shared" si="57"/>
        <v>76054.070000000007</v>
      </c>
      <c r="O219" s="225">
        <v>79879.06</v>
      </c>
      <c r="P219" s="303">
        <v>0</v>
      </c>
      <c r="Q219" s="219">
        <v>80305.460000000006</v>
      </c>
      <c r="R219" s="189">
        <f t="shared" si="58"/>
        <v>80305.460000000006</v>
      </c>
      <c r="S219" s="225">
        <v>125220.09999999999</v>
      </c>
      <c r="T219" s="303">
        <v>0</v>
      </c>
      <c r="U219" s="303">
        <v>90595.66</v>
      </c>
      <c r="V219" s="189">
        <f t="shared" si="59"/>
        <v>90595.66</v>
      </c>
      <c r="W219" s="225"/>
      <c r="X219" s="303">
        <f t="shared" si="53"/>
        <v>90595.66</v>
      </c>
      <c r="Y219" s="303"/>
      <c r="AA219" s="67">
        <f t="shared" si="54"/>
        <v>0</v>
      </c>
      <c r="AC219" t="s">
        <v>457</v>
      </c>
      <c r="AD219" t="s">
        <v>1746</v>
      </c>
      <c r="AE219" s="481">
        <f t="shared" si="47"/>
        <v>90595.66</v>
      </c>
      <c r="AF219"/>
      <c r="AG219" s="48">
        <v>3991.12</v>
      </c>
      <c r="AH219" s="48">
        <v>3332.97</v>
      </c>
      <c r="AI219" s="48">
        <v>1108.3800000000001</v>
      </c>
      <c r="AJ219" s="48">
        <v>331.42</v>
      </c>
      <c r="AK219" s="48">
        <v>13185.37</v>
      </c>
      <c r="AL219" s="48">
        <v>68646.399999999994</v>
      </c>
      <c r="AN219"/>
      <c r="AO219"/>
      <c r="AP219" t="str">
        <f t="shared" si="55"/>
        <v>23402</v>
      </c>
      <c r="AQ219" s="481">
        <f t="shared" si="56"/>
        <v>90595.66</v>
      </c>
    </row>
    <row r="220" spans="1:43">
      <c r="A220" s="217">
        <v>213</v>
      </c>
      <c r="B220" s="74" t="s">
        <v>459</v>
      </c>
      <c r="C220" s="74" t="s">
        <v>1747</v>
      </c>
      <c r="D220" s="186">
        <v>4482.88</v>
      </c>
      <c r="E220" s="188">
        <v>25294.760000000002</v>
      </c>
      <c r="F220" s="189">
        <f t="shared" si="60"/>
        <v>29777.640000000003</v>
      </c>
      <c r="G220" s="200">
        <v>20335.900000000001</v>
      </c>
      <c r="H220" s="197">
        <v>9441.7400000000016</v>
      </c>
      <c r="I220" s="188">
        <v>37101.89</v>
      </c>
      <c r="J220" s="189">
        <f t="shared" si="61"/>
        <v>46543.630000000005</v>
      </c>
      <c r="K220" s="225">
        <v>44537.179999999993</v>
      </c>
      <c r="L220" s="189">
        <v>2006.4500000000116</v>
      </c>
      <c r="M220" s="219">
        <v>43127.740000000005</v>
      </c>
      <c r="N220" s="189">
        <f t="shared" si="57"/>
        <v>45134.190000000017</v>
      </c>
      <c r="O220" s="225">
        <v>47170.13</v>
      </c>
      <c r="P220" s="303">
        <v>0</v>
      </c>
      <c r="Q220" s="219">
        <v>45546.78</v>
      </c>
      <c r="R220" s="189">
        <f t="shared" si="58"/>
        <v>45546.78</v>
      </c>
      <c r="S220" s="225">
        <v>50650.74</v>
      </c>
      <c r="T220" s="303">
        <v>0</v>
      </c>
      <c r="U220" s="303">
        <v>42904.03</v>
      </c>
      <c r="V220" s="189">
        <f t="shared" si="59"/>
        <v>42904.03</v>
      </c>
      <c r="W220" s="225"/>
      <c r="X220" s="303">
        <f t="shared" si="53"/>
        <v>42904.03</v>
      </c>
      <c r="Y220" s="303"/>
      <c r="AA220" s="67">
        <f t="shared" si="54"/>
        <v>0</v>
      </c>
      <c r="AC220" t="s">
        <v>459</v>
      </c>
      <c r="AD220" t="s">
        <v>1748</v>
      </c>
      <c r="AE220" s="481">
        <f t="shared" ref="AE220:AE283" si="62">SUM(AG220:AL220)</f>
        <v>42904.03</v>
      </c>
      <c r="AF220"/>
      <c r="AG220" s="48">
        <v>1693.86</v>
      </c>
      <c r="AH220" s="48">
        <v>612.25</v>
      </c>
      <c r="AI220" s="48">
        <v>84.24</v>
      </c>
      <c r="AJ220" s="48">
        <v>138.4</v>
      </c>
      <c r="AK220" s="48">
        <v>4868.93</v>
      </c>
      <c r="AL220" s="48">
        <v>35506.35</v>
      </c>
      <c r="AN220"/>
      <c r="AO220"/>
      <c r="AP220" t="str">
        <f t="shared" si="55"/>
        <v>12110</v>
      </c>
      <c r="AQ220" s="481">
        <f t="shared" si="56"/>
        <v>42904.03</v>
      </c>
    </row>
    <row r="221" spans="1:43">
      <c r="A221" s="217">
        <v>214</v>
      </c>
      <c r="B221" s="74" t="s">
        <v>461</v>
      </c>
      <c r="C221" s="74" t="s">
        <v>1749</v>
      </c>
      <c r="D221" s="186">
        <v>10422.48000000004</v>
      </c>
      <c r="E221" s="188">
        <v>243092.85</v>
      </c>
      <c r="F221" s="189">
        <f t="shared" si="60"/>
        <v>253515.33000000005</v>
      </c>
      <c r="G221" s="200">
        <v>234508.43</v>
      </c>
      <c r="H221" s="197">
        <v>19006.900000000052</v>
      </c>
      <c r="I221" s="188">
        <v>268713.71000000002</v>
      </c>
      <c r="J221" s="189">
        <f t="shared" si="61"/>
        <v>287720.6100000001</v>
      </c>
      <c r="K221" s="225">
        <v>359195.74000000005</v>
      </c>
      <c r="L221" s="189">
        <v>0</v>
      </c>
      <c r="M221" s="219">
        <v>311073.28000000003</v>
      </c>
      <c r="N221" s="189">
        <f t="shared" si="57"/>
        <v>311073.28000000003</v>
      </c>
      <c r="O221" s="225">
        <v>331370.3</v>
      </c>
      <c r="P221" s="303">
        <v>0</v>
      </c>
      <c r="Q221" s="219">
        <v>340297.31999999995</v>
      </c>
      <c r="R221" s="189">
        <f t="shared" si="58"/>
        <v>340297.31999999995</v>
      </c>
      <c r="S221" s="225">
        <v>358964.41</v>
      </c>
      <c r="T221" s="303">
        <v>0</v>
      </c>
      <c r="U221" s="303">
        <v>359240.30000000005</v>
      </c>
      <c r="V221" s="189">
        <f t="shared" si="59"/>
        <v>359240.30000000005</v>
      </c>
      <c r="W221" s="225"/>
      <c r="X221" s="303">
        <f t="shared" si="53"/>
        <v>359240.30000000005</v>
      </c>
      <c r="Y221" s="303"/>
      <c r="AA221" s="67">
        <f t="shared" si="54"/>
        <v>0</v>
      </c>
      <c r="AC221" t="s">
        <v>461</v>
      </c>
      <c r="AD221" t="s">
        <v>1750</v>
      </c>
      <c r="AE221" s="481">
        <f t="shared" si="62"/>
        <v>359240.30000000005</v>
      </c>
      <c r="AF221"/>
      <c r="AG221" s="48">
        <v>20810.75</v>
      </c>
      <c r="AH221" s="48">
        <v>11419.22</v>
      </c>
      <c r="AI221" s="48">
        <v>1265.3900000000001</v>
      </c>
      <c r="AJ221" s="48">
        <v>1520.01</v>
      </c>
      <c r="AK221" s="48">
        <v>52872.23</v>
      </c>
      <c r="AL221" s="48">
        <v>271352.7</v>
      </c>
      <c r="AN221"/>
      <c r="AO221"/>
      <c r="AP221" t="str">
        <f t="shared" si="55"/>
        <v>05121</v>
      </c>
      <c r="AQ221" s="481">
        <f t="shared" si="56"/>
        <v>359240.30000000005</v>
      </c>
    </row>
    <row r="222" spans="1:43">
      <c r="A222" s="217">
        <v>215</v>
      </c>
      <c r="B222" s="74" t="s">
        <v>463</v>
      </c>
      <c r="C222" s="74" t="s">
        <v>1751</v>
      </c>
      <c r="D222" s="186">
        <v>5159.7599999999984</v>
      </c>
      <c r="E222" s="188">
        <v>79240.59</v>
      </c>
      <c r="F222" s="189">
        <f t="shared" si="60"/>
        <v>84400.349999999991</v>
      </c>
      <c r="G222" s="200">
        <v>66194.59</v>
      </c>
      <c r="H222" s="197">
        <v>18205.759999999995</v>
      </c>
      <c r="I222" s="188">
        <v>102028.40000000001</v>
      </c>
      <c r="J222" s="189">
        <f t="shared" si="61"/>
        <v>120234.16</v>
      </c>
      <c r="K222" s="225">
        <v>127105.77999999997</v>
      </c>
      <c r="L222" s="189">
        <v>0</v>
      </c>
      <c r="M222" s="219">
        <v>106156.07</v>
      </c>
      <c r="N222" s="189">
        <f t="shared" si="57"/>
        <v>106156.07</v>
      </c>
      <c r="O222" s="225">
        <v>140604.65999999997</v>
      </c>
      <c r="P222" s="303">
        <v>0</v>
      </c>
      <c r="Q222" s="219">
        <v>113597.25</v>
      </c>
      <c r="R222" s="189">
        <f t="shared" si="58"/>
        <v>113597.25</v>
      </c>
      <c r="S222" s="225">
        <v>149040.85</v>
      </c>
      <c r="T222" s="303">
        <v>0</v>
      </c>
      <c r="U222" s="303">
        <v>116448.63</v>
      </c>
      <c r="V222" s="189">
        <f t="shared" si="59"/>
        <v>116448.63</v>
      </c>
      <c r="W222" s="225"/>
      <c r="X222" s="303">
        <f t="shared" si="53"/>
        <v>116448.63</v>
      </c>
      <c r="Y222" s="303"/>
      <c r="AA222" s="67">
        <f t="shared" si="54"/>
        <v>0</v>
      </c>
      <c r="AC222" t="s">
        <v>463</v>
      </c>
      <c r="AD222" t="s">
        <v>1752</v>
      </c>
      <c r="AE222" s="481">
        <f t="shared" si="62"/>
        <v>116448.63</v>
      </c>
      <c r="AF222"/>
      <c r="AG222" s="48">
        <v>5303.91</v>
      </c>
      <c r="AH222" s="48">
        <v>644.20000000000005</v>
      </c>
      <c r="AI222" s="48">
        <v>1035.67</v>
      </c>
      <c r="AJ222" s="48">
        <v>548.4</v>
      </c>
      <c r="AK222" s="48">
        <v>16316.73</v>
      </c>
      <c r="AL222" s="48">
        <v>92599.72</v>
      </c>
      <c r="AN222"/>
      <c r="AO222"/>
      <c r="AP222" t="str">
        <f t="shared" si="55"/>
        <v>16050</v>
      </c>
      <c r="AQ222" s="481">
        <f t="shared" si="56"/>
        <v>116448.63</v>
      </c>
    </row>
    <row r="223" spans="1:43">
      <c r="A223" s="217">
        <v>216</v>
      </c>
      <c r="B223" s="74" t="s">
        <v>465</v>
      </c>
      <c r="C223" s="74" t="s">
        <v>1753</v>
      </c>
      <c r="D223" s="186">
        <v>0</v>
      </c>
      <c r="E223" s="188">
        <v>22509.59</v>
      </c>
      <c r="F223" s="189">
        <f t="shared" si="60"/>
        <v>22509.59</v>
      </c>
      <c r="G223" s="200">
        <v>25268.91</v>
      </c>
      <c r="H223" s="197">
        <v>0</v>
      </c>
      <c r="I223" s="188">
        <v>34534.93</v>
      </c>
      <c r="J223" s="189">
        <f t="shared" si="61"/>
        <v>34534.93</v>
      </c>
      <c r="K223" s="225">
        <v>36262.86</v>
      </c>
      <c r="L223" s="189">
        <v>0</v>
      </c>
      <c r="M223" s="219">
        <v>32807.31</v>
      </c>
      <c r="N223" s="189">
        <f t="shared" si="57"/>
        <v>32807.31</v>
      </c>
      <c r="O223" s="225"/>
      <c r="P223" s="303">
        <v>32807.31</v>
      </c>
      <c r="Q223" s="219">
        <v>35126.020000000004</v>
      </c>
      <c r="R223" s="189">
        <f t="shared" si="58"/>
        <v>67933.33</v>
      </c>
      <c r="S223" s="225">
        <v>28463.3</v>
      </c>
      <c r="T223" s="303">
        <v>39470.03</v>
      </c>
      <c r="U223" s="303">
        <v>39658.179999999993</v>
      </c>
      <c r="V223" s="189">
        <f t="shared" si="59"/>
        <v>79128.209999999992</v>
      </c>
      <c r="W223" s="225"/>
      <c r="X223" s="303">
        <f t="shared" si="53"/>
        <v>79128.209999999992</v>
      </c>
      <c r="Y223" s="303"/>
      <c r="AA223" s="67">
        <f t="shared" si="54"/>
        <v>0</v>
      </c>
      <c r="AC223" t="s">
        <v>465</v>
      </c>
      <c r="AD223" t="s">
        <v>1754</v>
      </c>
      <c r="AE223" s="481">
        <f t="shared" si="62"/>
        <v>39658.179999999993</v>
      </c>
      <c r="AF223"/>
      <c r="AG223" s="48">
        <v>1911.36</v>
      </c>
      <c r="AH223" s="48">
        <v>1054.49</v>
      </c>
      <c r="AI223" s="48">
        <v>2306.61</v>
      </c>
      <c r="AJ223" s="48">
        <v>0</v>
      </c>
      <c r="AK223" s="48">
        <v>3873.2</v>
      </c>
      <c r="AL223" s="48">
        <v>30512.519999999997</v>
      </c>
      <c r="AN223"/>
      <c r="AO223"/>
      <c r="AP223" t="str">
        <f t="shared" si="55"/>
        <v>36402</v>
      </c>
      <c r="AQ223" s="481">
        <f t="shared" si="56"/>
        <v>39658.179999999993</v>
      </c>
    </row>
    <row r="224" spans="1:43">
      <c r="A224" s="217">
        <v>217</v>
      </c>
      <c r="B224" s="74" t="s">
        <v>467</v>
      </c>
      <c r="C224" s="74" t="s">
        <v>1755</v>
      </c>
      <c r="D224" s="186">
        <v>14833.269999999999</v>
      </c>
      <c r="E224" s="188">
        <v>30213.98</v>
      </c>
      <c r="F224" s="189">
        <f t="shared" si="60"/>
        <v>45047.25</v>
      </c>
      <c r="G224" s="200">
        <v>9909</v>
      </c>
      <c r="H224" s="198">
        <v>35138.25</v>
      </c>
      <c r="I224" s="188">
        <v>58389.119999999995</v>
      </c>
      <c r="J224" s="189">
        <f t="shared" si="61"/>
        <v>93527.37</v>
      </c>
      <c r="K224" s="225"/>
      <c r="L224" s="189">
        <v>93527.37</v>
      </c>
      <c r="M224" s="219">
        <v>53993.960000000006</v>
      </c>
      <c r="N224" s="189">
        <f t="shared" si="57"/>
        <v>147521.33000000002</v>
      </c>
      <c r="O224" s="225">
        <v>28534.46</v>
      </c>
      <c r="P224" s="303">
        <v>118986.87000000002</v>
      </c>
      <c r="Q224" s="219">
        <v>48237.760000000009</v>
      </c>
      <c r="R224" s="189">
        <f t="shared" si="58"/>
        <v>167224.63000000003</v>
      </c>
      <c r="S224" s="225">
        <v>19544.419999999998</v>
      </c>
      <c r="T224" s="303">
        <v>147680.21000000002</v>
      </c>
      <c r="U224" s="303">
        <v>42040.88</v>
      </c>
      <c r="V224" s="189">
        <f t="shared" si="59"/>
        <v>189721.09000000003</v>
      </c>
      <c r="W224" s="225"/>
      <c r="X224" s="303">
        <f t="shared" si="53"/>
        <v>189721.09000000003</v>
      </c>
      <c r="Y224" s="303"/>
      <c r="AA224" s="67">
        <f t="shared" si="54"/>
        <v>0</v>
      </c>
      <c r="AC224" t="s">
        <v>467</v>
      </c>
      <c r="AD224" t="s">
        <v>1756</v>
      </c>
      <c r="AE224" s="481">
        <f t="shared" si="62"/>
        <v>42040.88</v>
      </c>
      <c r="AF224"/>
      <c r="AG224" s="48">
        <v>2678.02</v>
      </c>
      <c r="AH224" s="48">
        <v>2215.4699999999998</v>
      </c>
      <c r="AI224" s="48">
        <v>0</v>
      </c>
      <c r="AJ224" s="48">
        <v>184.13</v>
      </c>
      <c r="AK224" s="48">
        <v>5331.39</v>
      </c>
      <c r="AL224" s="48">
        <v>31631.87</v>
      </c>
      <c r="AN224"/>
      <c r="AO224"/>
      <c r="AP224" t="str">
        <f t="shared" si="55"/>
        <v>32907</v>
      </c>
      <c r="AQ224" s="481">
        <f t="shared" si="56"/>
        <v>42040.88</v>
      </c>
    </row>
    <row r="225" spans="1:43">
      <c r="A225" s="217">
        <v>218</v>
      </c>
      <c r="B225" s="74" t="s">
        <v>469</v>
      </c>
      <c r="C225" s="74" t="s">
        <v>1757</v>
      </c>
      <c r="D225" s="186">
        <v>22544.600000000006</v>
      </c>
      <c r="E225" s="188">
        <v>173728.88</v>
      </c>
      <c r="F225" s="189">
        <f t="shared" si="60"/>
        <v>196273.48</v>
      </c>
      <c r="G225" s="200">
        <v>193007.64</v>
      </c>
      <c r="H225" s="197">
        <v>3265.8399999999965</v>
      </c>
      <c r="I225" s="188">
        <v>247801.90000000002</v>
      </c>
      <c r="J225" s="189">
        <f t="shared" si="61"/>
        <v>251067.74000000002</v>
      </c>
      <c r="K225" s="225">
        <v>70376.679999999993</v>
      </c>
      <c r="L225" s="189">
        <v>180691.06000000003</v>
      </c>
      <c r="M225" s="219">
        <v>244906.66000000003</v>
      </c>
      <c r="N225" s="189">
        <f t="shared" si="57"/>
        <v>425597.72000000009</v>
      </c>
      <c r="O225" s="225">
        <v>261496.01999999996</v>
      </c>
      <c r="P225" s="303">
        <v>164101.70000000013</v>
      </c>
      <c r="Q225" s="219">
        <v>253741.53</v>
      </c>
      <c r="R225" s="189">
        <f t="shared" si="58"/>
        <v>417843.2300000001</v>
      </c>
      <c r="S225" s="225">
        <v>232414.75</v>
      </c>
      <c r="T225" s="303">
        <v>185428.4800000001</v>
      </c>
      <c r="U225" s="303">
        <v>267575.62</v>
      </c>
      <c r="V225" s="189">
        <f t="shared" si="59"/>
        <v>453004.10000000009</v>
      </c>
      <c r="W225" s="225"/>
      <c r="X225" s="303">
        <f t="shared" si="53"/>
        <v>453004.10000000009</v>
      </c>
      <c r="Y225" s="303"/>
      <c r="AA225" s="67">
        <f t="shared" si="54"/>
        <v>0</v>
      </c>
      <c r="AC225" t="s">
        <v>469</v>
      </c>
      <c r="AD225" t="s">
        <v>1758</v>
      </c>
      <c r="AE225" s="481">
        <f t="shared" si="62"/>
        <v>267575.62</v>
      </c>
      <c r="AF225"/>
      <c r="AG225" s="48">
        <v>17563.61</v>
      </c>
      <c r="AH225" s="48">
        <v>10258.84</v>
      </c>
      <c r="AI225" s="48">
        <v>14820.46</v>
      </c>
      <c r="AJ225" s="48">
        <v>1019.1</v>
      </c>
      <c r="AK225" s="48">
        <v>32393.67</v>
      </c>
      <c r="AL225" s="48">
        <v>191519.94</v>
      </c>
      <c r="AN225"/>
      <c r="AO225"/>
      <c r="AP225" t="str">
        <f t="shared" si="55"/>
        <v>03116</v>
      </c>
      <c r="AQ225" s="481">
        <f t="shared" si="56"/>
        <v>267575.62</v>
      </c>
    </row>
    <row r="226" spans="1:43">
      <c r="A226" s="217">
        <v>219</v>
      </c>
      <c r="B226" s="74" t="s">
        <v>471</v>
      </c>
      <c r="C226" s="74" t="s">
        <v>1759</v>
      </c>
      <c r="D226" s="186">
        <v>23184.139999999985</v>
      </c>
      <c r="E226" s="188">
        <v>163868.85000000003</v>
      </c>
      <c r="F226" s="189">
        <f t="shared" si="60"/>
        <v>187052.99000000002</v>
      </c>
      <c r="G226" s="200">
        <v>148391.54</v>
      </c>
      <c r="H226" s="197">
        <v>38661.450000000012</v>
      </c>
      <c r="I226" s="188">
        <v>230691.99</v>
      </c>
      <c r="J226" s="189">
        <f t="shared" si="61"/>
        <v>269353.44</v>
      </c>
      <c r="K226" s="225">
        <v>314440.83999999997</v>
      </c>
      <c r="L226" s="189">
        <v>0</v>
      </c>
      <c r="M226" s="219">
        <v>235284.93</v>
      </c>
      <c r="N226" s="189">
        <f t="shared" si="57"/>
        <v>235284.93</v>
      </c>
      <c r="O226" s="225">
        <v>235284.92999999996</v>
      </c>
      <c r="P226" s="303">
        <v>2.9103830456733704E-11</v>
      </c>
      <c r="Q226" s="219">
        <v>261813.53</v>
      </c>
      <c r="R226" s="189">
        <f t="shared" si="58"/>
        <v>261813.53000000003</v>
      </c>
      <c r="S226" s="225">
        <v>260753.72999999998</v>
      </c>
      <c r="T226" s="303">
        <v>1059.8000000000466</v>
      </c>
      <c r="U226" s="303">
        <v>268408.72000000003</v>
      </c>
      <c r="V226" s="189">
        <f t="shared" si="59"/>
        <v>269468.52000000008</v>
      </c>
      <c r="W226" s="225"/>
      <c r="X226" s="303">
        <f t="shared" si="53"/>
        <v>269468.52000000008</v>
      </c>
      <c r="Y226" s="303"/>
      <c r="AA226" s="67">
        <f t="shared" si="54"/>
        <v>0</v>
      </c>
      <c r="AC226" t="s">
        <v>471</v>
      </c>
      <c r="AD226" t="s">
        <v>1760</v>
      </c>
      <c r="AE226" s="481">
        <f t="shared" si="62"/>
        <v>268408.72000000003</v>
      </c>
      <c r="AF226"/>
      <c r="AG226" s="48">
        <v>9104.06</v>
      </c>
      <c r="AH226" s="48">
        <v>1364.21</v>
      </c>
      <c r="AI226" s="48">
        <v>3802.08</v>
      </c>
      <c r="AJ226" s="48">
        <v>1112.02</v>
      </c>
      <c r="AK226" s="48">
        <v>36292.92</v>
      </c>
      <c r="AL226" s="48">
        <v>216733.43000000002</v>
      </c>
      <c r="AN226"/>
      <c r="AO226"/>
      <c r="AP226" t="str">
        <f t="shared" si="55"/>
        <v>38267</v>
      </c>
      <c r="AQ226" s="481">
        <f t="shared" si="56"/>
        <v>268408.72000000003</v>
      </c>
    </row>
    <row r="227" spans="1:43">
      <c r="A227" s="217">
        <v>220</v>
      </c>
      <c r="B227" s="221" t="s">
        <v>473</v>
      </c>
      <c r="C227" s="190" t="s">
        <v>1761</v>
      </c>
      <c r="D227" s="186"/>
      <c r="E227" s="188"/>
      <c r="F227" s="189"/>
      <c r="G227" s="200"/>
      <c r="H227" s="197"/>
      <c r="I227" s="188"/>
      <c r="J227" s="189"/>
      <c r="K227" s="225"/>
      <c r="L227" s="189">
        <v>0</v>
      </c>
      <c r="M227" s="219">
        <v>8657.3700000000008</v>
      </c>
      <c r="N227" s="189">
        <f t="shared" si="57"/>
        <v>8657.3700000000008</v>
      </c>
      <c r="O227" s="225">
        <v>8657.3700000000008</v>
      </c>
      <c r="P227" s="303">
        <v>0</v>
      </c>
      <c r="Q227" s="219">
        <v>11567.67</v>
      </c>
      <c r="R227" s="189">
        <f t="shared" si="58"/>
        <v>11567.67</v>
      </c>
      <c r="S227" s="225">
        <v>0</v>
      </c>
      <c r="T227" s="303">
        <v>11567.67</v>
      </c>
      <c r="U227" s="303">
        <v>12675.86</v>
      </c>
      <c r="V227" s="189">
        <f t="shared" si="59"/>
        <v>24243.53</v>
      </c>
      <c r="W227" s="225"/>
      <c r="X227" s="303">
        <f t="shared" si="53"/>
        <v>24243.53</v>
      </c>
      <c r="Y227" s="303"/>
      <c r="AA227" s="67">
        <f t="shared" si="54"/>
        <v>0</v>
      </c>
      <c r="AC227" t="s">
        <v>473</v>
      </c>
      <c r="AD227" t="s">
        <v>1762</v>
      </c>
      <c r="AE227" s="481">
        <f t="shared" si="62"/>
        <v>12675.86</v>
      </c>
      <c r="AF227"/>
      <c r="AG227" s="48">
        <v>191.73</v>
      </c>
      <c r="AH227" s="48">
        <v>0</v>
      </c>
      <c r="AI227" s="48">
        <v>0</v>
      </c>
      <c r="AJ227" s="48">
        <v>0</v>
      </c>
      <c r="AK227" s="48">
        <v>1682.55</v>
      </c>
      <c r="AL227" s="48">
        <v>10801.58</v>
      </c>
      <c r="AN227"/>
      <c r="AO227"/>
      <c r="AP227" t="str">
        <f t="shared" si="55"/>
        <v>38901</v>
      </c>
      <c r="AQ227" s="481">
        <f t="shared" si="56"/>
        <v>12675.86</v>
      </c>
    </row>
    <row r="228" spans="1:43">
      <c r="A228" s="217">
        <v>221</v>
      </c>
      <c r="B228" s="74" t="s">
        <v>475</v>
      </c>
      <c r="C228" s="74" t="s">
        <v>1763</v>
      </c>
      <c r="D228" s="186">
        <v>0</v>
      </c>
      <c r="E228" s="188">
        <v>1464208.4600000004</v>
      </c>
      <c r="F228" s="189">
        <f t="shared" ref="F228:F248" si="63">+D228+E228</f>
        <v>1464208.4600000004</v>
      </c>
      <c r="G228" s="200">
        <v>1364973.78</v>
      </c>
      <c r="H228" s="197">
        <v>99234.6800000004</v>
      </c>
      <c r="I228" s="188">
        <v>2048225.1</v>
      </c>
      <c r="J228" s="189">
        <f t="shared" ref="J228:J248" si="64">+H228+I228</f>
        <v>2147459.7800000003</v>
      </c>
      <c r="K228" s="225">
        <v>2267407.6100000003</v>
      </c>
      <c r="L228" s="189">
        <v>0</v>
      </c>
      <c r="M228" s="219">
        <v>2077041.7899999998</v>
      </c>
      <c r="N228" s="189">
        <f t="shared" si="57"/>
        <v>2077041.7899999998</v>
      </c>
      <c r="O228" s="225">
        <v>2156530.4500000002</v>
      </c>
      <c r="P228" s="303">
        <v>0</v>
      </c>
      <c r="Q228" s="219">
        <v>2310880.9299999997</v>
      </c>
      <c r="R228" s="189">
        <f t="shared" si="58"/>
        <v>2310880.9299999997</v>
      </c>
      <c r="S228" s="225">
        <v>2817845.48</v>
      </c>
      <c r="T228" s="303">
        <v>0</v>
      </c>
      <c r="U228" s="303">
        <v>2522581.4799999995</v>
      </c>
      <c r="V228" s="189">
        <f t="shared" si="59"/>
        <v>2522581.4799999995</v>
      </c>
      <c r="W228" s="225"/>
      <c r="X228" s="303">
        <f t="shared" si="53"/>
        <v>2522581.4799999995</v>
      </c>
      <c r="Y228" s="303"/>
      <c r="AA228" s="67">
        <f t="shared" si="54"/>
        <v>0</v>
      </c>
      <c r="AC228" t="s">
        <v>475</v>
      </c>
      <c r="AD228" t="s">
        <v>1764</v>
      </c>
      <c r="AE228" s="481">
        <f t="shared" si="62"/>
        <v>2522581.4799999995</v>
      </c>
      <c r="AF228"/>
      <c r="AG228" s="48">
        <v>102231.35</v>
      </c>
      <c r="AH228" s="48">
        <v>13567.85</v>
      </c>
      <c r="AI228" s="48">
        <v>50153.51</v>
      </c>
      <c r="AJ228" s="48">
        <v>10764.76</v>
      </c>
      <c r="AK228" s="48">
        <v>321524.3</v>
      </c>
      <c r="AL228" s="48">
        <v>2024339.7099999997</v>
      </c>
      <c r="AN228"/>
      <c r="AO228"/>
      <c r="AP228" t="str">
        <f t="shared" si="55"/>
        <v>27003</v>
      </c>
      <c r="AQ228" s="481">
        <f t="shared" si="56"/>
        <v>2522581.4799999995</v>
      </c>
    </row>
    <row r="229" spans="1:43">
      <c r="A229" s="217">
        <v>222</v>
      </c>
      <c r="B229" s="74" t="s">
        <v>477</v>
      </c>
      <c r="C229" s="74" t="s">
        <v>1765</v>
      </c>
      <c r="D229" s="186">
        <v>1203.78</v>
      </c>
      <c r="E229" s="188">
        <v>3576.4500000000003</v>
      </c>
      <c r="F229" s="189">
        <f t="shared" si="63"/>
        <v>4780.2300000000005</v>
      </c>
      <c r="G229" s="200">
        <v>2841.28</v>
      </c>
      <c r="H229" s="197">
        <v>1938.9500000000003</v>
      </c>
      <c r="I229" s="188">
        <v>5793.67</v>
      </c>
      <c r="J229" s="189">
        <f t="shared" si="64"/>
        <v>7732.6200000000008</v>
      </c>
      <c r="K229" s="225">
        <v>4433.5600000000004</v>
      </c>
      <c r="L229" s="189">
        <v>3299.0600000000004</v>
      </c>
      <c r="M229" s="219">
        <v>5075.88</v>
      </c>
      <c r="N229" s="189">
        <f t="shared" si="57"/>
        <v>8374.94</v>
      </c>
      <c r="O229" s="225">
        <v>4477.78</v>
      </c>
      <c r="P229" s="303">
        <v>3897.1600000000008</v>
      </c>
      <c r="Q229" s="219">
        <v>6619.01</v>
      </c>
      <c r="R229" s="189">
        <f t="shared" si="58"/>
        <v>10516.170000000002</v>
      </c>
      <c r="S229" s="225">
        <v>3655.2</v>
      </c>
      <c r="T229" s="303">
        <v>6860.9700000000021</v>
      </c>
      <c r="U229" s="303">
        <v>6812.62</v>
      </c>
      <c r="V229" s="189">
        <f t="shared" si="59"/>
        <v>13673.590000000002</v>
      </c>
      <c r="W229" s="225"/>
      <c r="X229" s="303">
        <f t="shared" si="53"/>
        <v>13673.590000000002</v>
      </c>
      <c r="Y229" s="303"/>
      <c r="AA229" s="67">
        <f t="shared" si="54"/>
        <v>0</v>
      </c>
      <c r="AC229" t="s">
        <v>477</v>
      </c>
      <c r="AD229" t="s">
        <v>1766</v>
      </c>
      <c r="AE229" s="481">
        <f t="shared" si="62"/>
        <v>6812.62</v>
      </c>
      <c r="AF229"/>
      <c r="AG229" s="48">
        <v>354.31</v>
      </c>
      <c r="AH229" s="48">
        <v>162.58000000000001</v>
      </c>
      <c r="AI229" s="48">
        <v>0</v>
      </c>
      <c r="AJ229" s="48">
        <v>0</v>
      </c>
      <c r="AK229" s="48">
        <v>703.45</v>
      </c>
      <c r="AL229" s="48">
        <v>5592.28</v>
      </c>
      <c r="AN229"/>
      <c r="AO229"/>
      <c r="AP229" t="str">
        <f t="shared" si="55"/>
        <v>16020</v>
      </c>
      <c r="AQ229" s="481">
        <f t="shared" si="56"/>
        <v>6812.62</v>
      </c>
    </row>
    <row r="230" spans="1:43">
      <c r="A230" s="217">
        <v>223</v>
      </c>
      <c r="B230" s="74" t="s">
        <v>479</v>
      </c>
      <c r="C230" s="74" t="s">
        <v>1767</v>
      </c>
      <c r="D230" s="186">
        <v>0</v>
      </c>
      <c r="E230" s="188">
        <v>20202.800000000003</v>
      </c>
      <c r="F230" s="189">
        <f t="shared" si="63"/>
        <v>20202.800000000003</v>
      </c>
      <c r="G230" s="200">
        <v>33163.360000000001</v>
      </c>
      <c r="H230" s="197">
        <v>0</v>
      </c>
      <c r="I230" s="188">
        <v>30395.58</v>
      </c>
      <c r="J230" s="189">
        <f t="shared" si="64"/>
        <v>30395.58</v>
      </c>
      <c r="K230" s="225">
        <v>53080.780000000006</v>
      </c>
      <c r="L230" s="189">
        <v>0</v>
      </c>
      <c r="M230" s="219">
        <v>30843.710000000003</v>
      </c>
      <c r="N230" s="189">
        <f t="shared" si="57"/>
        <v>30843.710000000003</v>
      </c>
      <c r="O230" s="225">
        <v>62855.490000000005</v>
      </c>
      <c r="P230" s="303">
        <v>0</v>
      </c>
      <c r="Q230" s="219">
        <v>32679.95</v>
      </c>
      <c r="R230" s="189">
        <f t="shared" si="58"/>
        <v>32679.95</v>
      </c>
      <c r="S230" s="225">
        <v>67305.26999999999</v>
      </c>
      <c r="T230" s="303">
        <v>0</v>
      </c>
      <c r="U230" s="303">
        <v>35155.930000000008</v>
      </c>
      <c r="V230" s="189">
        <f t="shared" si="59"/>
        <v>35155.930000000008</v>
      </c>
      <c r="W230" s="225"/>
      <c r="X230" s="303">
        <f t="shared" si="53"/>
        <v>35155.930000000008</v>
      </c>
      <c r="Y230" s="303"/>
      <c r="AA230" s="67">
        <f t="shared" si="54"/>
        <v>0</v>
      </c>
      <c r="AC230" t="s">
        <v>479</v>
      </c>
      <c r="AD230" t="s">
        <v>1768</v>
      </c>
      <c r="AE230" s="481">
        <f t="shared" si="62"/>
        <v>35155.930000000008</v>
      </c>
      <c r="AF230"/>
      <c r="AG230" s="48">
        <v>3109.42</v>
      </c>
      <c r="AH230" s="48">
        <v>923.92</v>
      </c>
      <c r="AI230" s="48">
        <v>0</v>
      </c>
      <c r="AJ230" s="48">
        <v>284.52999999999997</v>
      </c>
      <c r="AK230" s="48">
        <v>6717.79</v>
      </c>
      <c r="AL230" s="48">
        <v>24120.270000000004</v>
      </c>
      <c r="AN230"/>
      <c r="AO230"/>
      <c r="AP230" t="str">
        <f t="shared" si="55"/>
        <v>16048</v>
      </c>
      <c r="AQ230" s="481">
        <f t="shared" si="56"/>
        <v>35155.930000000008</v>
      </c>
    </row>
    <row r="231" spans="1:43">
      <c r="A231" s="217">
        <v>224</v>
      </c>
      <c r="B231" s="74" t="s">
        <v>481</v>
      </c>
      <c r="C231" s="74" t="s">
        <v>1769</v>
      </c>
      <c r="D231" s="186">
        <v>6548.75</v>
      </c>
      <c r="E231" s="188">
        <v>14092.55</v>
      </c>
      <c r="F231" s="189">
        <f t="shared" si="63"/>
        <v>20641.3</v>
      </c>
      <c r="G231" s="200">
        <v>13180.88</v>
      </c>
      <c r="H231" s="197">
        <v>7460.42</v>
      </c>
      <c r="I231" s="188">
        <v>22352.440000000002</v>
      </c>
      <c r="J231" s="189">
        <f t="shared" si="64"/>
        <v>29812.86</v>
      </c>
      <c r="K231" s="225">
        <v>16811.510000000002</v>
      </c>
      <c r="L231" s="189">
        <v>13001.349999999999</v>
      </c>
      <c r="M231" s="219">
        <v>21596.58</v>
      </c>
      <c r="N231" s="189">
        <f t="shared" si="57"/>
        <v>34597.93</v>
      </c>
      <c r="O231" s="225">
        <v>38189.11</v>
      </c>
      <c r="P231" s="303">
        <v>0</v>
      </c>
      <c r="Q231" s="219">
        <v>24177.399999999998</v>
      </c>
      <c r="R231" s="189">
        <f t="shared" si="58"/>
        <v>24177.399999999998</v>
      </c>
      <c r="S231" s="225">
        <v>0</v>
      </c>
      <c r="T231" s="303">
        <v>24177.399999999998</v>
      </c>
      <c r="U231" s="303">
        <v>24260.579999999998</v>
      </c>
      <c r="V231" s="189">
        <f t="shared" si="59"/>
        <v>48437.979999999996</v>
      </c>
      <c r="W231" s="225"/>
      <c r="X231" s="303">
        <f t="shared" si="53"/>
        <v>48437.979999999996</v>
      </c>
      <c r="Y231" s="303"/>
      <c r="AA231" s="67">
        <f t="shared" si="54"/>
        <v>0</v>
      </c>
      <c r="AC231" t="s">
        <v>481</v>
      </c>
      <c r="AD231" t="s">
        <v>1770</v>
      </c>
      <c r="AE231" s="481">
        <f t="shared" si="62"/>
        <v>24260.579999999998</v>
      </c>
      <c r="AF231"/>
      <c r="AG231" s="48">
        <v>1222.6300000000001</v>
      </c>
      <c r="AH231" s="48">
        <v>597.29999999999995</v>
      </c>
      <c r="AI231" s="48">
        <v>0</v>
      </c>
      <c r="AJ231" s="48">
        <v>0</v>
      </c>
      <c r="AK231" s="48">
        <v>1744.53</v>
      </c>
      <c r="AL231" s="48">
        <v>20696.12</v>
      </c>
      <c r="AN231"/>
      <c r="AO231"/>
      <c r="AP231" t="str">
        <f t="shared" si="55"/>
        <v>05903</v>
      </c>
      <c r="AQ231" s="481">
        <f t="shared" si="56"/>
        <v>24260.579999999998</v>
      </c>
    </row>
    <row r="232" spans="1:43">
      <c r="A232" s="217">
        <v>225</v>
      </c>
      <c r="B232" s="74" t="s">
        <v>483</v>
      </c>
      <c r="C232" s="74" t="s">
        <v>1771</v>
      </c>
      <c r="D232" s="186">
        <v>17040.119999999992</v>
      </c>
      <c r="E232" s="188">
        <v>90435.91</v>
      </c>
      <c r="F232" s="189">
        <f t="shared" si="63"/>
        <v>107476.03</v>
      </c>
      <c r="G232" s="200">
        <v>63210.81</v>
      </c>
      <c r="H232" s="197">
        <v>44265.22</v>
      </c>
      <c r="I232" s="188">
        <v>126099.90000000001</v>
      </c>
      <c r="J232" s="189">
        <f t="shared" si="64"/>
        <v>170365.12</v>
      </c>
      <c r="K232" s="225">
        <v>128630.28000000001</v>
      </c>
      <c r="L232" s="189">
        <v>41734.839999999982</v>
      </c>
      <c r="M232" s="219">
        <v>132832.11000000002</v>
      </c>
      <c r="N232" s="189">
        <f t="shared" si="57"/>
        <v>174566.95</v>
      </c>
      <c r="O232" s="225">
        <v>136522.77000000002</v>
      </c>
      <c r="P232" s="303">
        <v>38044.179999999993</v>
      </c>
      <c r="Q232" s="219">
        <v>151856.5</v>
      </c>
      <c r="R232" s="189">
        <f t="shared" si="58"/>
        <v>189900.68</v>
      </c>
      <c r="S232" s="225">
        <v>127982.61</v>
      </c>
      <c r="T232" s="303">
        <v>61918.069999999992</v>
      </c>
      <c r="U232" s="303">
        <v>160381.10999999999</v>
      </c>
      <c r="V232" s="189">
        <f t="shared" si="59"/>
        <v>222299.18</v>
      </c>
      <c r="W232" s="225"/>
      <c r="X232" s="303">
        <f t="shared" si="53"/>
        <v>222299.18</v>
      </c>
      <c r="Y232" s="303"/>
      <c r="AA232" s="67">
        <f t="shared" si="54"/>
        <v>0</v>
      </c>
      <c r="AC232" t="s">
        <v>483</v>
      </c>
      <c r="AD232" t="s">
        <v>1772</v>
      </c>
      <c r="AE232" s="481">
        <f t="shared" si="62"/>
        <v>160381.10999999999</v>
      </c>
      <c r="AF232"/>
      <c r="AG232" s="48">
        <v>18619.580000000002</v>
      </c>
      <c r="AH232" s="48">
        <v>13965.06</v>
      </c>
      <c r="AI232" s="48">
        <v>8393.19</v>
      </c>
      <c r="AJ232" s="48">
        <v>1523.48</v>
      </c>
      <c r="AK232" s="48">
        <v>46399.77</v>
      </c>
      <c r="AL232" s="48">
        <v>71480.03</v>
      </c>
      <c r="AN232"/>
      <c r="AO232"/>
      <c r="AP232" t="str">
        <f t="shared" si="55"/>
        <v>05402</v>
      </c>
      <c r="AQ232" s="481">
        <f t="shared" si="56"/>
        <v>160381.10999999999</v>
      </c>
    </row>
    <row r="233" spans="1:43">
      <c r="A233" s="217">
        <v>226</v>
      </c>
      <c r="B233" s="74" t="s">
        <v>485</v>
      </c>
      <c r="C233" s="222" t="s">
        <v>1773</v>
      </c>
      <c r="D233" s="186">
        <v>0</v>
      </c>
      <c r="E233" s="188">
        <v>17641.41</v>
      </c>
      <c r="F233" s="189">
        <f t="shared" si="63"/>
        <v>17641.41</v>
      </c>
      <c r="G233" s="200">
        <v>17853.939999999999</v>
      </c>
      <c r="H233" s="197">
        <v>0</v>
      </c>
      <c r="I233" s="188">
        <v>25238.93</v>
      </c>
      <c r="J233" s="189">
        <f t="shared" si="64"/>
        <v>25238.93</v>
      </c>
      <c r="K233" s="225">
        <v>25238.93</v>
      </c>
      <c r="L233" s="189">
        <v>0</v>
      </c>
      <c r="M233" s="219">
        <v>25675.96</v>
      </c>
      <c r="N233" s="189">
        <f t="shared" si="57"/>
        <v>25675.96</v>
      </c>
      <c r="O233" s="225">
        <v>25935.91</v>
      </c>
      <c r="P233" s="303">
        <v>0</v>
      </c>
      <c r="Q233" s="219">
        <v>29572.48</v>
      </c>
      <c r="R233" s="189">
        <f t="shared" si="58"/>
        <v>29572.48</v>
      </c>
      <c r="S233" s="225">
        <v>29572.48</v>
      </c>
      <c r="T233" s="303">
        <v>0</v>
      </c>
      <c r="U233" s="303">
        <v>28969.87</v>
      </c>
      <c r="V233" s="189">
        <f t="shared" si="59"/>
        <v>28969.87</v>
      </c>
      <c r="W233" s="225"/>
      <c r="X233" s="303">
        <f t="shared" si="53"/>
        <v>28969.87</v>
      </c>
      <c r="Y233" s="303"/>
      <c r="AA233" s="67">
        <f t="shared" si="54"/>
        <v>0</v>
      </c>
      <c r="AC233" t="s">
        <v>485</v>
      </c>
      <c r="AD233" t="s">
        <v>1774</v>
      </c>
      <c r="AE233" s="481">
        <f t="shared" si="62"/>
        <v>28969.87</v>
      </c>
      <c r="AF233"/>
      <c r="AG233" s="48">
        <v>1878.92</v>
      </c>
      <c r="AH233" s="48">
        <v>867.2</v>
      </c>
      <c r="AI233" s="48">
        <v>1157.73</v>
      </c>
      <c r="AJ233" s="48">
        <v>88.49</v>
      </c>
      <c r="AK233" s="48">
        <v>0</v>
      </c>
      <c r="AL233" s="48">
        <v>24977.53</v>
      </c>
      <c r="AN233"/>
      <c r="AO233"/>
      <c r="AP233" t="str">
        <f t="shared" si="55"/>
        <v>14097</v>
      </c>
      <c r="AQ233" s="481">
        <f t="shared" si="56"/>
        <v>28969.87</v>
      </c>
    </row>
    <row r="234" spans="1:43">
      <c r="A234" s="217">
        <v>227</v>
      </c>
      <c r="B234" s="74" t="s">
        <v>487</v>
      </c>
      <c r="C234" s="74" t="s">
        <v>1775</v>
      </c>
      <c r="D234" s="186">
        <v>14332.380000000005</v>
      </c>
      <c r="E234" s="188">
        <v>209062.31999999998</v>
      </c>
      <c r="F234" s="189">
        <f t="shared" si="63"/>
        <v>223394.69999999998</v>
      </c>
      <c r="G234" s="200">
        <v>200417.46</v>
      </c>
      <c r="H234" s="197">
        <v>22977.239999999991</v>
      </c>
      <c r="I234" s="188">
        <v>311167.95999999996</v>
      </c>
      <c r="J234" s="189">
        <f t="shared" si="64"/>
        <v>334145.19999999995</v>
      </c>
      <c r="K234" s="225">
        <v>317765.91000000003</v>
      </c>
      <c r="L234" s="189">
        <v>16379.289999999921</v>
      </c>
      <c r="M234" s="219">
        <v>330666.53000000003</v>
      </c>
      <c r="N234" s="189">
        <f t="shared" si="57"/>
        <v>347045.81999999995</v>
      </c>
      <c r="O234" s="225">
        <v>338124.85</v>
      </c>
      <c r="P234" s="303">
        <v>8920.9699999999721</v>
      </c>
      <c r="Q234" s="219">
        <v>358400.6</v>
      </c>
      <c r="R234" s="189">
        <f t="shared" si="58"/>
        <v>367321.56999999995</v>
      </c>
      <c r="S234" s="225">
        <v>367656.59</v>
      </c>
      <c r="T234" s="303">
        <v>0</v>
      </c>
      <c r="U234" s="303">
        <v>363643.15</v>
      </c>
      <c r="V234" s="189">
        <f t="shared" si="59"/>
        <v>363643.15</v>
      </c>
      <c r="W234" s="225"/>
      <c r="X234" s="303">
        <f t="shared" si="53"/>
        <v>363643.15</v>
      </c>
      <c r="Y234" s="303"/>
      <c r="AA234" s="67">
        <f t="shared" si="54"/>
        <v>0</v>
      </c>
      <c r="AC234" t="s">
        <v>487</v>
      </c>
      <c r="AD234" t="s">
        <v>1776</v>
      </c>
      <c r="AE234" s="481">
        <f t="shared" si="62"/>
        <v>363643.15</v>
      </c>
      <c r="AF234"/>
      <c r="AG234" s="48">
        <v>24203.24</v>
      </c>
      <c r="AH234" s="48">
        <v>13499.02</v>
      </c>
      <c r="AI234" s="48">
        <v>30561.19</v>
      </c>
      <c r="AJ234" s="48">
        <v>1345.04</v>
      </c>
      <c r="AK234" s="48">
        <v>39995.69</v>
      </c>
      <c r="AL234" s="48">
        <v>254038.97</v>
      </c>
      <c r="AN234"/>
      <c r="AO234"/>
      <c r="AP234" t="str">
        <f t="shared" si="55"/>
        <v>13144</v>
      </c>
      <c r="AQ234" s="481">
        <f t="shared" si="56"/>
        <v>363643.15</v>
      </c>
    </row>
    <row r="235" spans="1:43">
      <c r="A235" s="217">
        <v>228</v>
      </c>
      <c r="B235" s="74" t="s">
        <v>489</v>
      </c>
      <c r="C235" s="74" t="s">
        <v>1777</v>
      </c>
      <c r="D235" s="186">
        <v>1674.9500000000007</v>
      </c>
      <c r="E235" s="188">
        <v>56413.729999999996</v>
      </c>
      <c r="F235" s="189">
        <f t="shared" si="63"/>
        <v>58088.679999999993</v>
      </c>
      <c r="G235" s="200">
        <v>49413.32</v>
      </c>
      <c r="H235" s="197">
        <v>8675.3599999999933</v>
      </c>
      <c r="I235" s="188">
        <v>81492.94</v>
      </c>
      <c r="J235" s="189">
        <f t="shared" si="64"/>
        <v>90168.299999999988</v>
      </c>
      <c r="K235" s="225">
        <v>82966.819999999992</v>
      </c>
      <c r="L235" s="189">
        <v>7201.4799999999959</v>
      </c>
      <c r="M235" s="219">
        <v>82075.28</v>
      </c>
      <c r="N235" s="189">
        <f t="shared" si="57"/>
        <v>89276.76</v>
      </c>
      <c r="O235" s="225">
        <v>90466.61</v>
      </c>
      <c r="P235" s="303">
        <v>0</v>
      </c>
      <c r="Q235" s="219">
        <v>90243.96</v>
      </c>
      <c r="R235" s="189">
        <f t="shared" si="58"/>
        <v>90243.96</v>
      </c>
      <c r="S235" s="225">
        <v>99449.62999999999</v>
      </c>
      <c r="T235" s="303">
        <v>0</v>
      </c>
      <c r="U235" s="303">
        <v>95415.039999999994</v>
      </c>
      <c r="V235" s="189">
        <f t="shared" si="59"/>
        <v>95415.039999999994</v>
      </c>
      <c r="W235" s="225"/>
      <c r="X235" s="303">
        <f t="shared" si="53"/>
        <v>95415.039999999994</v>
      </c>
      <c r="Y235" s="303"/>
      <c r="AA235" s="67">
        <f t="shared" si="54"/>
        <v>0</v>
      </c>
      <c r="AC235" t="s">
        <v>489</v>
      </c>
      <c r="AD235" t="s">
        <v>1778</v>
      </c>
      <c r="AE235" s="481">
        <f t="shared" si="62"/>
        <v>95415.039999999994</v>
      </c>
      <c r="AF235"/>
      <c r="AG235" s="48">
        <v>3654.59</v>
      </c>
      <c r="AH235" s="48">
        <v>0</v>
      </c>
      <c r="AI235" s="48">
        <v>0</v>
      </c>
      <c r="AJ235" s="48">
        <v>395.25</v>
      </c>
      <c r="AK235" s="48">
        <v>13699.8</v>
      </c>
      <c r="AL235" s="48">
        <v>77665.399999999994</v>
      </c>
      <c r="AN235"/>
      <c r="AO235"/>
      <c r="AP235" t="str">
        <f t="shared" si="55"/>
        <v>34307</v>
      </c>
      <c r="AQ235" s="481">
        <f t="shared" si="56"/>
        <v>95415.039999999994</v>
      </c>
    </row>
    <row r="236" spans="1:43">
      <c r="A236" s="217">
        <v>229</v>
      </c>
      <c r="B236" s="74" t="s">
        <v>491</v>
      </c>
      <c r="C236" s="74" t="s">
        <v>1779</v>
      </c>
      <c r="D236" s="186">
        <v>11361.8</v>
      </c>
      <c r="E236" s="188">
        <v>23693.480000000003</v>
      </c>
      <c r="F236" s="189">
        <f t="shared" si="63"/>
        <v>35055.279999999999</v>
      </c>
      <c r="G236" s="200">
        <v>45972.77</v>
      </c>
      <c r="H236" s="198">
        <v>0</v>
      </c>
      <c r="I236" s="188">
        <v>35336.960000000006</v>
      </c>
      <c r="J236" s="189">
        <f t="shared" si="64"/>
        <v>35336.960000000006</v>
      </c>
      <c r="K236" s="225">
        <v>32160.07</v>
      </c>
      <c r="L236" s="189">
        <v>3176.8900000000067</v>
      </c>
      <c r="M236" s="219">
        <v>33836.74</v>
      </c>
      <c r="N236" s="189">
        <f t="shared" si="57"/>
        <v>37013.630000000005</v>
      </c>
      <c r="O236" s="225"/>
      <c r="P236" s="303">
        <v>37013.630000000005</v>
      </c>
      <c r="Q236" s="219">
        <v>35693.909999999996</v>
      </c>
      <c r="R236" s="189">
        <f t="shared" si="58"/>
        <v>72707.540000000008</v>
      </c>
      <c r="S236" s="225">
        <v>0</v>
      </c>
      <c r="T236" s="303">
        <v>72707.540000000008</v>
      </c>
      <c r="U236" s="303">
        <v>38955.869999999995</v>
      </c>
      <c r="V236" s="189">
        <f t="shared" si="59"/>
        <v>111663.41</v>
      </c>
      <c r="W236" s="225"/>
      <c r="X236" s="303">
        <f t="shared" si="53"/>
        <v>111663.41</v>
      </c>
      <c r="Y236" s="303"/>
      <c r="AA236" s="67">
        <f t="shared" si="54"/>
        <v>0</v>
      </c>
      <c r="AC236" t="s">
        <v>491</v>
      </c>
      <c r="AD236" t="s">
        <v>1780</v>
      </c>
      <c r="AE236" s="481">
        <f t="shared" si="62"/>
        <v>38955.869999999995</v>
      </c>
      <c r="AF236"/>
      <c r="AG236" s="48">
        <v>2817.53</v>
      </c>
      <c r="AH236" s="48">
        <v>1696.78</v>
      </c>
      <c r="AI236" s="48">
        <v>3551.92</v>
      </c>
      <c r="AJ236" s="48">
        <v>0</v>
      </c>
      <c r="AK236" s="48">
        <v>2784.02</v>
      </c>
      <c r="AL236" s="48">
        <v>28105.62</v>
      </c>
      <c r="AN236"/>
      <c r="AO236"/>
      <c r="AP236" t="str">
        <f t="shared" si="55"/>
        <v>17908</v>
      </c>
      <c r="AQ236" s="481">
        <f t="shared" si="56"/>
        <v>38955.869999999995</v>
      </c>
    </row>
    <row r="237" spans="1:43">
      <c r="A237" s="217">
        <v>230</v>
      </c>
      <c r="B237" s="74" t="s">
        <v>493</v>
      </c>
      <c r="C237" s="74" t="s">
        <v>1781</v>
      </c>
      <c r="D237" s="186">
        <v>11819.37</v>
      </c>
      <c r="E237" s="188">
        <v>23951.08</v>
      </c>
      <c r="F237" s="189">
        <f t="shared" si="63"/>
        <v>35770.450000000004</v>
      </c>
      <c r="G237" s="200">
        <v>34427.06</v>
      </c>
      <c r="H237" s="198">
        <v>1343.3900000000067</v>
      </c>
      <c r="I237" s="188">
        <v>30327.27</v>
      </c>
      <c r="J237" s="189">
        <f t="shared" si="64"/>
        <v>31670.660000000007</v>
      </c>
      <c r="K237" s="225">
        <v>14153.65</v>
      </c>
      <c r="L237" s="189">
        <v>17517.010000000009</v>
      </c>
      <c r="M237" s="219">
        <v>26763.329999999998</v>
      </c>
      <c r="N237" s="189">
        <f t="shared" si="57"/>
        <v>44280.340000000011</v>
      </c>
      <c r="O237" s="225">
        <v>795</v>
      </c>
      <c r="P237" s="303">
        <v>43485.340000000011</v>
      </c>
      <c r="Q237" s="219">
        <v>29295.59</v>
      </c>
      <c r="R237" s="189">
        <f t="shared" si="58"/>
        <v>72780.930000000008</v>
      </c>
      <c r="S237" s="225">
        <v>3885</v>
      </c>
      <c r="T237" s="303">
        <v>68895.930000000008</v>
      </c>
      <c r="U237" s="303">
        <v>30116.37</v>
      </c>
      <c r="V237" s="189">
        <f t="shared" si="59"/>
        <v>99012.3</v>
      </c>
      <c r="W237" s="225"/>
      <c r="X237" s="303">
        <f t="shared" si="53"/>
        <v>99012.3</v>
      </c>
      <c r="Y237" s="303"/>
      <c r="AA237" s="67">
        <f t="shared" si="54"/>
        <v>0</v>
      </c>
      <c r="AC237" t="s">
        <v>493</v>
      </c>
      <c r="AD237" t="s">
        <v>1782</v>
      </c>
      <c r="AE237" s="481">
        <f t="shared" si="62"/>
        <v>30116.37</v>
      </c>
      <c r="AF237"/>
      <c r="AG237" s="48">
        <v>1259.97</v>
      </c>
      <c r="AH237" s="48">
        <v>739.62</v>
      </c>
      <c r="AI237" s="48">
        <v>440.29</v>
      </c>
      <c r="AJ237" s="48">
        <v>74.83</v>
      </c>
      <c r="AK237" s="48">
        <v>2151.7199999999998</v>
      </c>
      <c r="AL237" s="48">
        <v>25449.94</v>
      </c>
      <c r="AN237"/>
      <c r="AO237"/>
      <c r="AP237" t="str">
        <f t="shared" si="55"/>
        <v>17910</v>
      </c>
      <c r="AQ237" s="481">
        <f t="shared" si="56"/>
        <v>30116.37</v>
      </c>
    </row>
    <row r="238" spans="1:43">
      <c r="A238" s="217">
        <v>231</v>
      </c>
      <c r="B238" s="74" t="s">
        <v>495</v>
      </c>
      <c r="C238" s="74" t="s">
        <v>1783</v>
      </c>
      <c r="D238" s="186">
        <v>0</v>
      </c>
      <c r="E238" s="188">
        <v>38537.83</v>
      </c>
      <c r="F238" s="189">
        <f t="shared" si="63"/>
        <v>38537.83</v>
      </c>
      <c r="G238" s="200">
        <v>47536.13</v>
      </c>
      <c r="H238" s="197">
        <v>0</v>
      </c>
      <c r="I238" s="188">
        <v>50240.2</v>
      </c>
      <c r="J238" s="189">
        <f t="shared" si="64"/>
        <v>50240.2</v>
      </c>
      <c r="K238" s="225">
        <v>43800.22</v>
      </c>
      <c r="L238" s="189">
        <v>6439.9799999999959</v>
      </c>
      <c r="M238" s="219">
        <v>49280.46</v>
      </c>
      <c r="N238" s="189">
        <f t="shared" si="57"/>
        <v>55720.439999999995</v>
      </c>
      <c r="O238" s="225">
        <v>23743.360000000001</v>
      </c>
      <c r="P238" s="303">
        <v>31977.079999999994</v>
      </c>
      <c r="Q238" s="219">
        <v>50024.97</v>
      </c>
      <c r="R238" s="189">
        <f t="shared" si="58"/>
        <v>82002.049999999988</v>
      </c>
      <c r="S238" s="225">
        <v>30128.84</v>
      </c>
      <c r="T238" s="303">
        <v>51873.209999999992</v>
      </c>
      <c r="U238" s="303">
        <v>56743.68</v>
      </c>
      <c r="V238" s="189">
        <f t="shared" si="59"/>
        <v>108616.88999999998</v>
      </c>
      <c r="W238" s="225"/>
      <c r="X238" s="303">
        <f t="shared" si="53"/>
        <v>108616.88999999998</v>
      </c>
      <c r="Y238" s="303"/>
      <c r="AA238" s="67">
        <f t="shared" si="54"/>
        <v>0</v>
      </c>
      <c r="AC238" t="s">
        <v>495</v>
      </c>
      <c r="AD238" t="s">
        <v>1784</v>
      </c>
      <c r="AE238" s="481">
        <f t="shared" si="62"/>
        <v>56743.68</v>
      </c>
      <c r="AF238"/>
      <c r="AG238" s="48">
        <v>3277.05</v>
      </c>
      <c r="AH238" s="48">
        <v>2091.29</v>
      </c>
      <c r="AI238" s="48">
        <v>1209.3599999999999</v>
      </c>
      <c r="AJ238" s="48">
        <v>203.52</v>
      </c>
      <c r="AK238" s="48">
        <v>6871.21</v>
      </c>
      <c r="AL238" s="48">
        <v>43091.25</v>
      </c>
      <c r="AN238"/>
      <c r="AO238"/>
      <c r="AP238" t="str">
        <f t="shared" si="55"/>
        <v>25116</v>
      </c>
      <c r="AQ238" s="481">
        <f t="shared" si="56"/>
        <v>56743.68</v>
      </c>
    </row>
    <row r="239" spans="1:43">
      <c r="A239" s="217">
        <v>232</v>
      </c>
      <c r="B239" s="74" t="s">
        <v>497</v>
      </c>
      <c r="C239" s="74" t="s">
        <v>1785</v>
      </c>
      <c r="D239" s="186">
        <v>4775.4500000000007</v>
      </c>
      <c r="E239" s="188">
        <v>39254.82</v>
      </c>
      <c r="F239" s="189">
        <f t="shared" si="63"/>
        <v>44030.270000000004</v>
      </c>
      <c r="G239" s="200">
        <v>47572.5</v>
      </c>
      <c r="H239" s="197">
        <v>0</v>
      </c>
      <c r="I239" s="188">
        <v>60142.759999999995</v>
      </c>
      <c r="J239" s="189">
        <f t="shared" si="64"/>
        <v>60142.759999999995</v>
      </c>
      <c r="K239" s="225">
        <v>48388.97</v>
      </c>
      <c r="L239" s="189">
        <v>11753.789999999994</v>
      </c>
      <c r="M239" s="219">
        <v>62017.55</v>
      </c>
      <c r="N239" s="189">
        <f t="shared" si="57"/>
        <v>73771.34</v>
      </c>
      <c r="O239" s="225">
        <v>73771.34</v>
      </c>
      <c r="P239" s="303">
        <v>0</v>
      </c>
      <c r="Q239" s="219">
        <v>70788.12000000001</v>
      </c>
      <c r="R239" s="189">
        <f t="shared" si="58"/>
        <v>70788.12000000001</v>
      </c>
      <c r="S239" s="225">
        <v>70788.13</v>
      </c>
      <c r="T239" s="303">
        <v>0</v>
      </c>
      <c r="U239" s="303">
        <v>66277.47</v>
      </c>
      <c r="V239" s="189">
        <f t="shared" si="59"/>
        <v>66277.47</v>
      </c>
      <c r="W239" s="225"/>
      <c r="X239" s="303">
        <f t="shared" si="53"/>
        <v>66277.47</v>
      </c>
      <c r="Y239" s="303"/>
      <c r="AA239" s="67">
        <f t="shared" si="54"/>
        <v>0</v>
      </c>
      <c r="AC239" t="s">
        <v>497</v>
      </c>
      <c r="AD239" t="s">
        <v>1786</v>
      </c>
      <c r="AE239" s="481">
        <f t="shared" si="62"/>
        <v>66277.47</v>
      </c>
      <c r="AF239"/>
      <c r="AG239" s="48">
        <v>3172.33</v>
      </c>
      <c r="AH239" s="48">
        <v>0</v>
      </c>
      <c r="AI239" s="48">
        <v>150.43</v>
      </c>
      <c r="AJ239" s="48">
        <v>302.33999999999997</v>
      </c>
      <c r="AK239" s="48">
        <v>7564.95</v>
      </c>
      <c r="AL239" s="48">
        <v>55087.42</v>
      </c>
      <c r="AN239"/>
      <c r="AO239"/>
      <c r="AP239" t="str">
        <f t="shared" si="55"/>
        <v>22009</v>
      </c>
      <c r="AQ239" s="481">
        <f t="shared" si="56"/>
        <v>66277.47</v>
      </c>
    </row>
    <row r="240" spans="1:43">
      <c r="A240" s="217">
        <v>233</v>
      </c>
      <c r="B240" s="74" t="s">
        <v>499</v>
      </c>
      <c r="C240" s="74" t="s">
        <v>1787</v>
      </c>
      <c r="D240" s="186">
        <v>21655.809999999939</v>
      </c>
      <c r="E240" s="188">
        <v>1194624.03</v>
      </c>
      <c r="F240" s="189">
        <f t="shared" si="63"/>
        <v>1216279.8399999999</v>
      </c>
      <c r="G240" s="200">
        <v>1177144.08</v>
      </c>
      <c r="H240" s="197">
        <v>39135.759999999776</v>
      </c>
      <c r="I240" s="188">
        <v>1707149.4400000002</v>
      </c>
      <c r="J240" s="189">
        <f t="shared" si="64"/>
        <v>1746285.2</v>
      </c>
      <c r="K240" s="225">
        <v>1804046.2899999998</v>
      </c>
      <c r="L240" s="189">
        <v>0</v>
      </c>
      <c r="M240" s="219">
        <v>1663089.19</v>
      </c>
      <c r="N240" s="189">
        <f t="shared" si="57"/>
        <v>1663089.19</v>
      </c>
      <c r="O240" s="225">
        <v>1941635.92</v>
      </c>
      <c r="P240" s="303">
        <v>0</v>
      </c>
      <c r="Q240" s="219">
        <v>1803769.42</v>
      </c>
      <c r="R240" s="189">
        <f t="shared" si="58"/>
        <v>1803769.42</v>
      </c>
      <c r="S240" s="225">
        <v>2034156.0699999998</v>
      </c>
      <c r="T240" s="303">
        <v>0</v>
      </c>
      <c r="U240" s="303">
        <v>1837865.79</v>
      </c>
      <c r="V240" s="189">
        <f t="shared" si="59"/>
        <v>1837865.79</v>
      </c>
      <c r="W240" s="225"/>
      <c r="X240" s="303">
        <f t="shared" si="53"/>
        <v>1837865.79</v>
      </c>
      <c r="Y240" s="303"/>
      <c r="AA240" s="67">
        <f t="shared" si="54"/>
        <v>0</v>
      </c>
      <c r="AC240" t="s">
        <v>499</v>
      </c>
      <c r="AD240" t="s">
        <v>1788</v>
      </c>
      <c r="AE240" s="481">
        <f t="shared" si="62"/>
        <v>1837865.79</v>
      </c>
      <c r="AF240"/>
      <c r="AG240" s="48">
        <v>86549.64</v>
      </c>
      <c r="AH240" s="48">
        <v>37386.559999999998</v>
      </c>
      <c r="AI240" s="48">
        <v>96775.56</v>
      </c>
      <c r="AJ240" s="48">
        <v>7194.35</v>
      </c>
      <c r="AK240" s="48">
        <v>245173.54</v>
      </c>
      <c r="AL240" s="48">
        <v>1364786.14</v>
      </c>
      <c r="AN240"/>
      <c r="AO240"/>
      <c r="AP240" t="str">
        <f t="shared" si="55"/>
        <v>17403</v>
      </c>
      <c r="AQ240" s="481">
        <f t="shared" si="56"/>
        <v>1837865.79</v>
      </c>
    </row>
    <row r="241" spans="1:43">
      <c r="A241" s="217">
        <v>234</v>
      </c>
      <c r="B241" s="74" t="s">
        <v>501</v>
      </c>
      <c r="C241" s="74" t="s">
        <v>1789</v>
      </c>
      <c r="D241" s="186">
        <v>3385.1900000000014</v>
      </c>
      <c r="E241" s="188">
        <v>24168.840000000004</v>
      </c>
      <c r="F241" s="189">
        <f t="shared" si="63"/>
        <v>27554.030000000006</v>
      </c>
      <c r="G241" s="200">
        <v>13665.9</v>
      </c>
      <c r="H241" s="197">
        <v>13888.130000000006</v>
      </c>
      <c r="I241" s="188">
        <v>36300.76</v>
      </c>
      <c r="J241" s="189">
        <f t="shared" si="64"/>
        <v>50188.890000000007</v>
      </c>
      <c r="K241" s="225">
        <v>3740.8</v>
      </c>
      <c r="L241" s="189">
        <v>46448.090000000004</v>
      </c>
      <c r="M241" s="219">
        <v>35892.94</v>
      </c>
      <c r="N241" s="189">
        <f t="shared" si="57"/>
        <v>82341.03</v>
      </c>
      <c r="O241" s="225">
        <v>5982.88</v>
      </c>
      <c r="P241" s="303">
        <v>76358.149999999994</v>
      </c>
      <c r="Q241" s="219">
        <v>41511.72</v>
      </c>
      <c r="R241" s="189">
        <f t="shared" si="58"/>
        <v>117869.87</v>
      </c>
      <c r="S241" s="225">
        <v>26036.460000000003</v>
      </c>
      <c r="T241" s="303">
        <v>91833.409999999989</v>
      </c>
      <c r="U241" s="303">
        <v>44412.439999999995</v>
      </c>
      <c r="V241" s="189">
        <f t="shared" si="59"/>
        <v>136245.84999999998</v>
      </c>
      <c r="W241" s="225"/>
      <c r="X241" s="303">
        <f t="shared" si="53"/>
        <v>136245.84999999998</v>
      </c>
      <c r="Y241" s="303"/>
      <c r="AA241" s="67">
        <f t="shared" si="54"/>
        <v>0</v>
      </c>
      <c r="AC241" t="s">
        <v>501</v>
      </c>
      <c r="AD241" t="s">
        <v>1790</v>
      </c>
      <c r="AE241" s="481">
        <f t="shared" si="62"/>
        <v>44412.439999999995</v>
      </c>
      <c r="AF241"/>
      <c r="AG241" s="48">
        <v>2248.9499999999998</v>
      </c>
      <c r="AH241" s="48">
        <v>1477.23</v>
      </c>
      <c r="AI241" s="48">
        <v>0</v>
      </c>
      <c r="AJ241" s="48">
        <v>185.03</v>
      </c>
      <c r="AK241" s="48">
        <v>6193.82</v>
      </c>
      <c r="AL241" s="48">
        <v>34307.409999999996</v>
      </c>
      <c r="AN241"/>
      <c r="AO241"/>
      <c r="AP241" t="str">
        <f t="shared" si="55"/>
        <v>10309</v>
      </c>
      <c r="AQ241" s="481">
        <f t="shared" si="56"/>
        <v>44412.439999999995</v>
      </c>
    </row>
    <row r="242" spans="1:43">
      <c r="A242" s="217">
        <v>235</v>
      </c>
      <c r="B242" s="74" t="s">
        <v>503</v>
      </c>
      <c r="C242" s="74" t="s">
        <v>1791</v>
      </c>
      <c r="D242" s="186">
        <v>72688.38</v>
      </c>
      <c r="E242" s="188">
        <v>823422.11</v>
      </c>
      <c r="F242" s="189">
        <f t="shared" si="63"/>
        <v>896110.49</v>
      </c>
      <c r="G242" s="200">
        <v>643085.67000000004</v>
      </c>
      <c r="H242" s="197">
        <v>253024.81999999995</v>
      </c>
      <c r="I242" s="188">
        <v>1161529.51</v>
      </c>
      <c r="J242" s="189">
        <f t="shared" si="64"/>
        <v>1414554.33</v>
      </c>
      <c r="K242" s="225">
        <v>1145743.9300000002</v>
      </c>
      <c r="L242" s="189">
        <v>268810.39999999991</v>
      </c>
      <c r="M242" s="219">
        <v>1160441.54</v>
      </c>
      <c r="N242" s="189">
        <f t="shared" si="57"/>
        <v>1429251.94</v>
      </c>
      <c r="O242" s="225">
        <v>1411096.7</v>
      </c>
      <c r="P242" s="303">
        <v>18155.239999999991</v>
      </c>
      <c r="Q242" s="219">
        <v>1299037.71</v>
      </c>
      <c r="R242" s="189">
        <f t="shared" si="58"/>
        <v>1317192.95</v>
      </c>
      <c r="S242" s="225">
        <v>1045495.7000000002</v>
      </c>
      <c r="T242" s="303">
        <v>271697.24999999977</v>
      </c>
      <c r="U242" s="303">
        <v>1323639.52</v>
      </c>
      <c r="V242" s="189">
        <f t="shared" si="59"/>
        <v>1595336.7699999998</v>
      </c>
      <c r="W242" s="225"/>
      <c r="X242" s="303">
        <f t="shared" si="53"/>
        <v>1595336.7699999998</v>
      </c>
      <c r="Y242" s="303"/>
      <c r="AA242" s="67">
        <f t="shared" si="54"/>
        <v>0</v>
      </c>
      <c r="AC242" t="s">
        <v>503</v>
      </c>
      <c r="AD242" t="s">
        <v>1792</v>
      </c>
      <c r="AE242" s="481">
        <f t="shared" si="62"/>
        <v>1323639.52</v>
      </c>
      <c r="AF242"/>
      <c r="AG242" s="48">
        <v>53747.66</v>
      </c>
      <c r="AH242" s="48">
        <v>10930.66</v>
      </c>
      <c r="AI242" s="48">
        <v>22117.3</v>
      </c>
      <c r="AJ242" s="48">
        <v>5945.85</v>
      </c>
      <c r="AK242" s="48">
        <v>202375.46</v>
      </c>
      <c r="AL242" s="48">
        <v>1028522.5900000001</v>
      </c>
      <c r="AN242"/>
      <c r="AO242"/>
      <c r="AP242" t="str">
        <f t="shared" si="55"/>
        <v>03400</v>
      </c>
      <c r="AQ242" s="481">
        <f t="shared" si="56"/>
        <v>1323639.52</v>
      </c>
    </row>
    <row r="243" spans="1:43">
      <c r="A243" s="217">
        <v>236</v>
      </c>
      <c r="B243" s="74" t="s">
        <v>505</v>
      </c>
      <c r="C243" s="74" t="s">
        <v>1793</v>
      </c>
      <c r="D243" s="186">
        <v>4099.410000000018</v>
      </c>
      <c r="E243" s="188">
        <v>206428.79999999999</v>
      </c>
      <c r="F243" s="189">
        <f t="shared" si="63"/>
        <v>210528.21000000002</v>
      </c>
      <c r="G243" s="200">
        <v>196572.95</v>
      </c>
      <c r="H243" s="197">
        <v>13955.260000000009</v>
      </c>
      <c r="I243" s="188">
        <v>302772.87</v>
      </c>
      <c r="J243" s="189">
        <f t="shared" si="64"/>
        <v>316728.13</v>
      </c>
      <c r="K243" s="225">
        <v>322298.9499999999</v>
      </c>
      <c r="L243" s="189">
        <v>0</v>
      </c>
      <c r="M243" s="219">
        <v>332242.14</v>
      </c>
      <c r="N243" s="189">
        <f t="shared" si="57"/>
        <v>332242.14</v>
      </c>
      <c r="O243" s="225">
        <v>320570.21999999997</v>
      </c>
      <c r="P243" s="303">
        <v>11671.920000000042</v>
      </c>
      <c r="Q243" s="219">
        <v>385007.83</v>
      </c>
      <c r="R243" s="189">
        <f t="shared" si="58"/>
        <v>396679.75000000006</v>
      </c>
      <c r="S243" s="225">
        <v>366385.5799999999</v>
      </c>
      <c r="T243" s="303">
        <v>30294.170000000158</v>
      </c>
      <c r="U243" s="303">
        <v>406704.52</v>
      </c>
      <c r="V243" s="189">
        <f t="shared" si="59"/>
        <v>436998.69000000018</v>
      </c>
      <c r="W243" s="225"/>
      <c r="X243" s="303">
        <f t="shared" si="53"/>
        <v>436998.69000000018</v>
      </c>
      <c r="Y243" s="303"/>
      <c r="AA243" s="67">
        <f t="shared" si="54"/>
        <v>0</v>
      </c>
      <c r="AC243" t="s">
        <v>505</v>
      </c>
      <c r="AD243" t="s">
        <v>1794</v>
      </c>
      <c r="AE243" s="481">
        <f t="shared" si="62"/>
        <v>406704.52</v>
      </c>
      <c r="AF243"/>
      <c r="AG243" s="48">
        <v>9573.69</v>
      </c>
      <c r="AH243" s="48">
        <v>0</v>
      </c>
      <c r="AI243" s="48">
        <v>4286.59</v>
      </c>
      <c r="AJ243" s="48">
        <v>1819.69</v>
      </c>
      <c r="AK243" s="48">
        <v>51213.07</v>
      </c>
      <c r="AL243" s="48">
        <v>339811.48000000004</v>
      </c>
      <c r="AN243"/>
      <c r="AO243"/>
      <c r="AP243" t="str">
        <f t="shared" si="55"/>
        <v>06122</v>
      </c>
      <c r="AQ243" s="481">
        <f t="shared" si="56"/>
        <v>406704.52</v>
      </c>
    </row>
    <row r="244" spans="1:43">
      <c r="A244" s="217">
        <v>237</v>
      </c>
      <c r="B244" s="74" t="s">
        <v>507</v>
      </c>
      <c r="C244" s="74" t="s">
        <v>1795</v>
      </c>
      <c r="D244" s="186">
        <v>0</v>
      </c>
      <c r="E244" s="188">
        <v>25733.16</v>
      </c>
      <c r="F244" s="189">
        <f t="shared" si="63"/>
        <v>25733.16</v>
      </c>
      <c r="G244" s="200">
        <v>6700</v>
      </c>
      <c r="H244" s="197">
        <v>19033.16</v>
      </c>
      <c r="I244" s="188">
        <v>37566.839999999997</v>
      </c>
      <c r="J244" s="189">
        <f t="shared" si="64"/>
        <v>56600</v>
      </c>
      <c r="K244" s="225">
        <v>40279.699999999997</v>
      </c>
      <c r="L244" s="189">
        <v>16320.300000000003</v>
      </c>
      <c r="M244" s="219">
        <v>36936.839999999997</v>
      </c>
      <c r="N244" s="189">
        <f t="shared" si="57"/>
        <v>53257.14</v>
      </c>
      <c r="O244" s="225">
        <v>40666.400000000001</v>
      </c>
      <c r="P244" s="303">
        <v>12590.739999999998</v>
      </c>
      <c r="Q244" s="219">
        <v>42631.82</v>
      </c>
      <c r="R244" s="189">
        <f t="shared" si="58"/>
        <v>55222.559999999998</v>
      </c>
      <c r="S244" s="225">
        <v>42963.839999999997</v>
      </c>
      <c r="T244" s="303">
        <v>12258.720000000001</v>
      </c>
      <c r="U244" s="303">
        <v>43568.930000000008</v>
      </c>
      <c r="V244" s="189">
        <f t="shared" si="59"/>
        <v>55827.650000000009</v>
      </c>
      <c r="W244" s="225"/>
      <c r="X244" s="303">
        <f t="shared" si="53"/>
        <v>55827.650000000009</v>
      </c>
      <c r="Y244" s="303"/>
      <c r="AA244" s="67">
        <f t="shared" si="54"/>
        <v>0</v>
      </c>
      <c r="AC244" t="s">
        <v>507</v>
      </c>
      <c r="AD244" t="s">
        <v>1796</v>
      </c>
      <c r="AE244" s="481">
        <f t="shared" si="62"/>
        <v>43568.930000000008</v>
      </c>
      <c r="AF244"/>
      <c r="AG244" s="48">
        <v>1566.03</v>
      </c>
      <c r="AH244" s="48">
        <v>691.75</v>
      </c>
      <c r="AI244" s="48">
        <v>0</v>
      </c>
      <c r="AJ244" s="48">
        <v>170.26</v>
      </c>
      <c r="AK244" s="48">
        <v>4096.28</v>
      </c>
      <c r="AL244" s="48">
        <v>37044.610000000008</v>
      </c>
      <c r="AN244"/>
      <c r="AO244"/>
      <c r="AP244" t="str">
        <f t="shared" si="55"/>
        <v>01160</v>
      </c>
      <c r="AQ244" s="481">
        <f t="shared" si="56"/>
        <v>43568.930000000008</v>
      </c>
    </row>
    <row r="245" spans="1:43">
      <c r="A245" s="217">
        <v>238</v>
      </c>
      <c r="B245" s="74" t="s">
        <v>509</v>
      </c>
      <c r="C245" s="74" t="s">
        <v>1797</v>
      </c>
      <c r="D245" s="186">
        <v>104.08000000000902</v>
      </c>
      <c r="E245" s="188">
        <v>83217.790000000008</v>
      </c>
      <c r="F245" s="189">
        <f t="shared" si="63"/>
        <v>83321.870000000024</v>
      </c>
      <c r="G245" s="200">
        <v>83380.490000000005</v>
      </c>
      <c r="H245" s="197">
        <v>0</v>
      </c>
      <c r="I245" s="188">
        <v>113194.91999999998</v>
      </c>
      <c r="J245" s="189">
        <f t="shared" si="64"/>
        <v>113194.91999999998</v>
      </c>
      <c r="K245" s="225">
        <v>130454.57</v>
      </c>
      <c r="L245" s="189">
        <v>0</v>
      </c>
      <c r="M245" s="219">
        <v>121861.47</v>
      </c>
      <c r="N245" s="189">
        <f t="shared" si="57"/>
        <v>121861.47</v>
      </c>
      <c r="O245" s="225">
        <v>124584.57999999999</v>
      </c>
      <c r="P245" s="303">
        <v>0</v>
      </c>
      <c r="Q245" s="219">
        <v>140431.66999999998</v>
      </c>
      <c r="R245" s="189">
        <f t="shared" si="58"/>
        <v>140431.66999999998</v>
      </c>
      <c r="S245" s="225">
        <v>131566.57999999999</v>
      </c>
      <c r="T245" s="303">
        <v>8865.0899999999965</v>
      </c>
      <c r="U245" s="303">
        <v>145480.27000000002</v>
      </c>
      <c r="V245" s="189">
        <f t="shared" si="59"/>
        <v>154345.36000000002</v>
      </c>
      <c r="W245" s="225"/>
      <c r="X245" s="303">
        <f t="shared" si="53"/>
        <v>154345.36000000002</v>
      </c>
      <c r="Y245" s="303"/>
      <c r="AA245" s="67">
        <f t="shared" si="54"/>
        <v>0</v>
      </c>
      <c r="AC245" t="s">
        <v>509</v>
      </c>
      <c r="AD245" t="s">
        <v>1798</v>
      </c>
      <c r="AE245" s="481">
        <f t="shared" si="62"/>
        <v>145480.27000000002</v>
      </c>
      <c r="AF245"/>
      <c r="AG245" s="48">
        <v>7375.56</v>
      </c>
      <c r="AH245" s="48">
        <v>4085.24</v>
      </c>
      <c r="AI245" s="48">
        <v>284.64</v>
      </c>
      <c r="AJ245" s="48">
        <v>638.59</v>
      </c>
      <c r="AK245" s="48">
        <v>19775.61</v>
      </c>
      <c r="AL245" s="48">
        <v>113320.63</v>
      </c>
      <c r="AN245"/>
      <c r="AO245"/>
      <c r="AP245" t="str">
        <f t="shared" si="55"/>
        <v>32416</v>
      </c>
      <c r="AQ245" s="481">
        <f t="shared" si="56"/>
        <v>145480.27000000002</v>
      </c>
    </row>
    <row r="246" spans="1:43">
      <c r="A246" s="217">
        <v>239</v>
      </c>
      <c r="B246" s="74" t="s">
        <v>511</v>
      </c>
      <c r="C246" s="74" t="s">
        <v>1799</v>
      </c>
      <c r="D246" s="186">
        <v>23926.960000000006</v>
      </c>
      <c r="E246" s="188">
        <v>214822.33</v>
      </c>
      <c r="F246" s="189">
        <f t="shared" si="63"/>
        <v>238749.28999999998</v>
      </c>
      <c r="G246" s="200">
        <v>185987.85</v>
      </c>
      <c r="H246" s="197">
        <v>52761.439999999973</v>
      </c>
      <c r="I246" s="188">
        <v>288044.77</v>
      </c>
      <c r="J246" s="189">
        <f t="shared" si="64"/>
        <v>340806.20999999996</v>
      </c>
      <c r="K246" s="225">
        <v>231282.86000000002</v>
      </c>
      <c r="L246" s="189">
        <v>109523.34999999995</v>
      </c>
      <c r="M246" s="219">
        <v>292542</v>
      </c>
      <c r="N246" s="189">
        <f t="shared" si="57"/>
        <v>402065.35</v>
      </c>
      <c r="O246" s="225">
        <v>378581.08</v>
      </c>
      <c r="P246" s="303">
        <v>23484.26999999996</v>
      </c>
      <c r="Q246" s="219">
        <v>322245.41000000003</v>
      </c>
      <c r="R246" s="189">
        <f t="shared" si="58"/>
        <v>345729.68</v>
      </c>
      <c r="S246" s="225">
        <v>333173.77999999997</v>
      </c>
      <c r="T246" s="303">
        <v>12555.900000000023</v>
      </c>
      <c r="U246" s="303">
        <v>329214.7</v>
      </c>
      <c r="V246" s="189">
        <f t="shared" si="59"/>
        <v>341770.60000000003</v>
      </c>
      <c r="W246" s="225"/>
      <c r="X246" s="303">
        <f t="shared" si="53"/>
        <v>341770.60000000003</v>
      </c>
      <c r="Y246" s="303"/>
      <c r="AA246" s="67">
        <f t="shared" si="54"/>
        <v>0</v>
      </c>
      <c r="AC246" t="s">
        <v>511</v>
      </c>
      <c r="AD246" t="s">
        <v>1800</v>
      </c>
      <c r="AE246" s="481">
        <f t="shared" si="62"/>
        <v>329214.7</v>
      </c>
      <c r="AF246"/>
      <c r="AG246" s="48">
        <v>5189.53</v>
      </c>
      <c r="AH246" s="48">
        <v>0</v>
      </c>
      <c r="AI246" s="48">
        <v>5871.72</v>
      </c>
      <c r="AJ246" s="48">
        <v>1524.49</v>
      </c>
      <c r="AK246" s="48">
        <v>37337.440000000002</v>
      </c>
      <c r="AL246" s="48">
        <v>279291.52000000002</v>
      </c>
      <c r="AN246"/>
      <c r="AO246"/>
      <c r="AP246" t="str">
        <f t="shared" si="55"/>
        <v>17407</v>
      </c>
      <c r="AQ246" s="481">
        <f t="shared" si="56"/>
        <v>329214.7</v>
      </c>
    </row>
    <row r="247" spans="1:43">
      <c r="A247" s="217">
        <v>240</v>
      </c>
      <c r="B247" s="74" t="s">
        <v>513</v>
      </c>
      <c r="C247" s="74" t="s">
        <v>1801</v>
      </c>
      <c r="D247" s="186">
        <v>5328.1700000000055</v>
      </c>
      <c r="E247" s="188">
        <v>138949.5</v>
      </c>
      <c r="F247" s="189">
        <f t="shared" si="63"/>
        <v>144277.67000000001</v>
      </c>
      <c r="G247" s="200">
        <v>134347.84</v>
      </c>
      <c r="H247" s="197">
        <v>9929.8300000000163</v>
      </c>
      <c r="I247" s="188">
        <v>199153.32</v>
      </c>
      <c r="J247" s="189">
        <f t="shared" si="64"/>
        <v>209083.15000000002</v>
      </c>
      <c r="K247" s="225">
        <v>241162.4</v>
      </c>
      <c r="L247" s="189">
        <v>0</v>
      </c>
      <c r="M247" s="219">
        <v>197274.45</v>
      </c>
      <c r="N247" s="189">
        <f t="shared" si="57"/>
        <v>197274.45</v>
      </c>
      <c r="O247" s="225">
        <v>145573.5</v>
      </c>
      <c r="P247" s="303">
        <v>51700.950000000012</v>
      </c>
      <c r="Q247" s="219">
        <v>215097.58000000002</v>
      </c>
      <c r="R247" s="189">
        <f t="shared" si="58"/>
        <v>266798.53000000003</v>
      </c>
      <c r="S247" s="225">
        <v>254578.34</v>
      </c>
      <c r="T247" s="303">
        <v>12220.190000000031</v>
      </c>
      <c r="U247" s="303">
        <v>221926.08000000002</v>
      </c>
      <c r="V247" s="189">
        <f t="shared" si="59"/>
        <v>234146.27000000005</v>
      </c>
      <c r="W247" s="225"/>
      <c r="X247" s="303">
        <f t="shared" si="53"/>
        <v>234146.27000000005</v>
      </c>
      <c r="Y247" s="303"/>
      <c r="AA247" s="67">
        <f t="shared" si="54"/>
        <v>0</v>
      </c>
      <c r="AC247" t="s">
        <v>513</v>
      </c>
      <c r="AD247" t="s">
        <v>1802</v>
      </c>
      <c r="AE247" s="481">
        <f t="shared" si="62"/>
        <v>221926.08000000002</v>
      </c>
      <c r="AF247"/>
      <c r="AG247" s="48">
        <v>11550.77</v>
      </c>
      <c r="AH247" s="48">
        <v>6669.13</v>
      </c>
      <c r="AI247" s="48">
        <v>5194.32</v>
      </c>
      <c r="AJ247" s="48">
        <v>883.41</v>
      </c>
      <c r="AK247" s="48">
        <v>31322.01</v>
      </c>
      <c r="AL247" s="48">
        <v>166306.44</v>
      </c>
      <c r="AN247"/>
      <c r="AO247"/>
      <c r="AP247" t="str">
        <f t="shared" si="55"/>
        <v>34401</v>
      </c>
      <c r="AQ247" s="481">
        <f t="shared" si="56"/>
        <v>221926.08000000002</v>
      </c>
    </row>
    <row r="248" spans="1:43">
      <c r="A248" s="217">
        <v>241</v>
      </c>
      <c r="B248" s="74" t="s">
        <v>517</v>
      </c>
      <c r="C248" s="74" t="s">
        <v>1803</v>
      </c>
      <c r="D248" s="186">
        <v>497.34000000000003</v>
      </c>
      <c r="E248" s="188">
        <v>2728.14</v>
      </c>
      <c r="F248" s="189">
        <f t="shared" si="63"/>
        <v>3225.48</v>
      </c>
      <c r="G248" s="200">
        <v>755.24</v>
      </c>
      <c r="H248" s="197">
        <v>2470.2399999999998</v>
      </c>
      <c r="I248" s="188">
        <v>4082.1</v>
      </c>
      <c r="J248" s="189">
        <f t="shared" si="64"/>
        <v>6552.34</v>
      </c>
      <c r="K248" s="225">
        <v>2111.2600000000002</v>
      </c>
      <c r="L248" s="189">
        <v>4441.08</v>
      </c>
      <c r="M248" s="219">
        <v>4210.38</v>
      </c>
      <c r="N248" s="189">
        <f t="shared" si="57"/>
        <v>8651.4599999999991</v>
      </c>
      <c r="O248" s="225">
        <v>3708.66</v>
      </c>
      <c r="P248" s="303">
        <v>4942.7999999999993</v>
      </c>
      <c r="Q248" s="219">
        <v>4456.18</v>
      </c>
      <c r="R248" s="189">
        <f t="shared" si="58"/>
        <v>9398.98</v>
      </c>
      <c r="S248" s="225">
        <v>3950.56</v>
      </c>
      <c r="T248" s="303">
        <v>5448.42</v>
      </c>
      <c r="U248" s="303">
        <v>4011.5</v>
      </c>
      <c r="V248" s="189">
        <f t="shared" si="59"/>
        <v>9459.92</v>
      </c>
      <c r="W248" s="225"/>
      <c r="X248" s="303">
        <f t="shared" si="53"/>
        <v>9459.92</v>
      </c>
      <c r="Y248" s="303"/>
      <c r="AA248" s="67">
        <f t="shared" si="54"/>
        <v>0</v>
      </c>
      <c r="AC248" t="s">
        <v>517</v>
      </c>
      <c r="AD248" t="s">
        <v>1804</v>
      </c>
      <c r="AE248" s="481">
        <f t="shared" si="62"/>
        <v>4011.5</v>
      </c>
      <c r="AF248"/>
      <c r="AG248" s="48">
        <v>0</v>
      </c>
      <c r="AH248" s="48">
        <v>0</v>
      </c>
      <c r="AI248" s="48">
        <v>0</v>
      </c>
      <c r="AJ248" s="48">
        <v>0</v>
      </c>
      <c r="AK248" s="48">
        <v>0</v>
      </c>
      <c r="AL248" s="48">
        <v>4011.5</v>
      </c>
      <c r="AN248"/>
      <c r="AO248"/>
      <c r="AP248" t="str">
        <f t="shared" si="55"/>
        <v>20403</v>
      </c>
      <c r="AQ248" s="481">
        <f t="shared" si="56"/>
        <v>4011.5</v>
      </c>
    </row>
    <row r="249" spans="1:43">
      <c r="A249" s="217">
        <v>242</v>
      </c>
      <c r="B249" s="375" t="s">
        <v>515</v>
      </c>
      <c r="C249" s="380" t="s">
        <v>1805</v>
      </c>
      <c r="D249" s="186"/>
      <c r="E249" s="188"/>
      <c r="F249" s="189"/>
      <c r="G249" s="200"/>
      <c r="H249" s="197"/>
      <c r="I249" s="188"/>
      <c r="J249" s="189"/>
      <c r="K249" s="225"/>
      <c r="L249" s="189"/>
      <c r="M249" s="219"/>
      <c r="N249" s="189"/>
      <c r="O249" s="225"/>
      <c r="P249" s="303"/>
      <c r="Q249" s="219"/>
      <c r="R249" s="189"/>
      <c r="S249" s="225">
        <v>0</v>
      </c>
      <c r="T249" s="303">
        <v>0</v>
      </c>
      <c r="U249" s="303">
        <v>14612.630000000001</v>
      </c>
      <c r="V249" s="189"/>
      <c r="W249" s="225"/>
      <c r="X249" s="303">
        <f t="shared" si="53"/>
        <v>0</v>
      </c>
      <c r="Y249" s="303"/>
      <c r="AA249" s="67">
        <f t="shared" si="54"/>
        <v>0</v>
      </c>
      <c r="AC249" t="s">
        <v>515</v>
      </c>
      <c r="AD249" t="s">
        <v>1806</v>
      </c>
      <c r="AE249" s="481">
        <f t="shared" si="62"/>
        <v>14612.630000000001</v>
      </c>
      <c r="AF249"/>
      <c r="AG249" s="48">
        <v>128.19</v>
      </c>
      <c r="AH249" s="48">
        <v>0</v>
      </c>
      <c r="AI249" s="48">
        <v>73.47</v>
      </c>
      <c r="AJ249" s="48">
        <v>10.95</v>
      </c>
      <c r="AK249" s="48">
        <v>330.25</v>
      </c>
      <c r="AL249" s="48">
        <v>14069.77</v>
      </c>
      <c r="AN249"/>
      <c r="AO249"/>
      <c r="AP249" t="str">
        <f t="shared" si="55"/>
        <v>06901</v>
      </c>
      <c r="AQ249" s="481">
        <f t="shared" si="56"/>
        <v>14612.630000000001</v>
      </c>
    </row>
    <row r="250" spans="1:43">
      <c r="A250" s="217">
        <v>243</v>
      </c>
      <c r="B250" s="74" t="s">
        <v>519</v>
      </c>
      <c r="C250" s="74" t="s">
        <v>1807</v>
      </c>
      <c r="D250" s="186">
        <v>1493.67</v>
      </c>
      <c r="E250" s="188">
        <v>18691.21</v>
      </c>
      <c r="F250" s="189">
        <f t="shared" ref="F250:F281" si="65">+D250+E250</f>
        <v>20184.879999999997</v>
      </c>
      <c r="G250" s="200">
        <v>20261.78</v>
      </c>
      <c r="H250" s="197">
        <v>0</v>
      </c>
      <c r="I250" s="188">
        <v>27156.05</v>
      </c>
      <c r="J250" s="189">
        <f t="shared" ref="J250:J281" si="66">+H250+I250</f>
        <v>27156.05</v>
      </c>
      <c r="K250" s="225">
        <v>22758.06</v>
      </c>
      <c r="L250" s="189">
        <v>4397.989999999998</v>
      </c>
      <c r="M250" s="219">
        <v>25809.1</v>
      </c>
      <c r="N250" s="189">
        <f t="shared" ref="N250:N281" si="67">+L250+M250</f>
        <v>30207.089999999997</v>
      </c>
      <c r="O250" s="225">
        <v>25939.53</v>
      </c>
      <c r="P250" s="303">
        <v>4267.5599999999977</v>
      </c>
      <c r="Q250" s="219">
        <v>27100.699999999997</v>
      </c>
      <c r="R250" s="189">
        <f t="shared" ref="R250:R281" si="68">+P250+Q250</f>
        <v>31368.259999999995</v>
      </c>
      <c r="S250" s="225">
        <v>28105.42</v>
      </c>
      <c r="T250" s="303">
        <v>3262.8399999999965</v>
      </c>
      <c r="U250" s="303">
        <v>27732.15</v>
      </c>
      <c r="V250" s="189">
        <f t="shared" ref="V250:V281" si="69">+T250+U250</f>
        <v>30994.989999999998</v>
      </c>
      <c r="W250" s="225"/>
      <c r="X250" s="303">
        <f t="shared" si="53"/>
        <v>30994.989999999998</v>
      </c>
      <c r="Y250" s="303"/>
      <c r="AA250" s="67">
        <f t="shared" si="54"/>
        <v>0</v>
      </c>
      <c r="AC250" t="s">
        <v>519</v>
      </c>
      <c r="AD250" t="s">
        <v>1808</v>
      </c>
      <c r="AE250" s="481">
        <f t="shared" si="62"/>
        <v>27732.15</v>
      </c>
      <c r="AF250"/>
      <c r="AG250" s="48">
        <v>926.43</v>
      </c>
      <c r="AH250" s="48">
        <v>667.21</v>
      </c>
      <c r="AI250" s="48">
        <v>0</v>
      </c>
      <c r="AJ250" s="48">
        <v>64.430000000000007</v>
      </c>
      <c r="AK250" s="48">
        <v>2135.89</v>
      </c>
      <c r="AL250" s="48">
        <v>23938.190000000002</v>
      </c>
      <c r="AN250"/>
      <c r="AO250"/>
      <c r="AP250" t="str">
        <f t="shared" si="55"/>
        <v>38320</v>
      </c>
      <c r="AQ250" s="481">
        <f t="shared" si="56"/>
        <v>27732.15</v>
      </c>
    </row>
    <row r="251" spans="1:43">
      <c r="A251" s="217">
        <v>244</v>
      </c>
      <c r="B251" s="74" t="s">
        <v>521</v>
      </c>
      <c r="C251" s="74" t="s">
        <v>1809</v>
      </c>
      <c r="D251" s="186">
        <v>7750.9299999999857</v>
      </c>
      <c r="E251" s="188">
        <v>122833.44000000002</v>
      </c>
      <c r="F251" s="189">
        <f t="shared" si="65"/>
        <v>130584.37</v>
      </c>
      <c r="G251" s="200">
        <v>135755.6</v>
      </c>
      <c r="H251" s="197">
        <v>0</v>
      </c>
      <c r="I251" s="188">
        <v>182292.43</v>
      </c>
      <c r="J251" s="189">
        <f t="shared" si="66"/>
        <v>182292.43</v>
      </c>
      <c r="K251" s="225">
        <v>202137.95999999996</v>
      </c>
      <c r="L251" s="189">
        <v>0</v>
      </c>
      <c r="M251" s="219">
        <v>186093.03000000003</v>
      </c>
      <c r="N251" s="189">
        <f t="shared" si="67"/>
        <v>186093.03000000003</v>
      </c>
      <c r="O251" s="225">
        <v>202307.72000000003</v>
      </c>
      <c r="P251" s="303">
        <v>0</v>
      </c>
      <c r="Q251" s="219">
        <v>199938.52000000002</v>
      </c>
      <c r="R251" s="189">
        <f t="shared" si="68"/>
        <v>199938.52000000002</v>
      </c>
      <c r="S251" s="225">
        <v>185828.08000000002</v>
      </c>
      <c r="T251" s="303">
        <v>14110.440000000002</v>
      </c>
      <c r="U251" s="303">
        <v>196016.11000000002</v>
      </c>
      <c r="V251" s="189">
        <f t="shared" si="69"/>
        <v>210126.55000000002</v>
      </c>
      <c r="W251" s="225"/>
      <c r="X251" s="303">
        <f t="shared" si="53"/>
        <v>210126.55000000002</v>
      </c>
      <c r="Y251" s="303"/>
      <c r="AA251" s="67">
        <f t="shared" si="54"/>
        <v>0</v>
      </c>
      <c r="AC251" t="s">
        <v>521</v>
      </c>
      <c r="AD251" t="s">
        <v>1810</v>
      </c>
      <c r="AE251" s="481">
        <f t="shared" si="62"/>
        <v>196016.11000000002</v>
      </c>
      <c r="AF251"/>
      <c r="AG251" s="48">
        <v>13046.24</v>
      </c>
      <c r="AH251" s="48">
        <v>7502.4</v>
      </c>
      <c r="AI251" s="48">
        <v>17575.41</v>
      </c>
      <c r="AJ251" s="48">
        <v>712.33</v>
      </c>
      <c r="AK251" s="48">
        <v>20110.099999999999</v>
      </c>
      <c r="AL251" s="48">
        <v>137069.63</v>
      </c>
      <c r="AN251"/>
      <c r="AO251"/>
      <c r="AP251" t="str">
        <f t="shared" si="55"/>
        <v>13160</v>
      </c>
      <c r="AQ251" s="481">
        <f t="shared" si="56"/>
        <v>196016.11000000002</v>
      </c>
    </row>
    <row r="252" spans="1:43">
      <c r="A252" s="217">
        <v>245</v>
      </c>
      <c r="B252" s="74" t="s">
        <v>523</v>
      </c>
      <c r="C252" s="74" t="s">
        <v>1811</v>
      </c>
      <c r="D252" s="186">
        <v>2606.3599999999969</v>
      </c>
      <c r="E252" s="188">
        <v>54049.679999999993</v>
      </c>
      <c r="F252" s="189">
        <f t="shared" si="65"/>
        <v>56656.039999999994</v>
      </c>
      <c r="G252" s="200">
        <v>102950.93</v>
      </c>
      <c r="H252" s="197">
        <v>0</v>
      </c>
      <c r="I252" s="188">
        <v>71628.490000000005</v>
      </c>
      <c r="J252" s="189">
        <f t="shared" si="66"/>
        <v>71628.490000000005</v>
      </c>
      <c r="K252" s="225">
        <v>13547.11</v>
      </c>
      <c r="L252" s="189">
        <v>58081.380000000005</v>
      </c>
      <c r="M252" s="219">
        <v>75736.63</v>
      </c>
      <c r="N252" s="189">
        <f t="shared" si="67"/>
        <v>133818.01</v>
      </c>
      <c r="O252" s="225">
        <v>47463.11</v>
      </c>
      <c r="P252" s="303">
        <v>86354.900000000009</v>
      </c>
      <c r="Q252" s="219">
        <v>82690.38</v>
      </c>
      <c r="R252" s="189">
        <f t="shared" si="68"/>
        <v>169045.28000000003</v>
      </c>
      <c r="S252" s="225">
        <v>108782.04</v>
      </c>
      <c r="T252" s="303">
        <v>60263.240000000034</v>
      </c>
      <c r="U252" s="303">
        <v>86583.360000000001</v>
      </c>
      <c r="V252" s="189">
        <f t="shared" si="69"/>
        <v>146846.60000000003</v>
      </c>
      <c r="W252" s="225"/>
      <c r="X252" s="303">
        <f t="shared" si="53"/>
        <v>146846.60000000003</v>
      </c>
      <c r="Y252" s="303"/>
      <c r="AA252" s="67">
        <f t="shared" si="54"/>
        <v>0</v>
      </c>
      <c r="AC252" t="s">
        <v>523</v>
      </c>
      <c r="AD252" t="s">
        <v>1812</v>
      </c>
      <c r="AE252" s="481">
        <f t="shared" si="62"/>
        <v>86583.360000000001</v>
      </c>
      <c r="AF252"/>
      <c r="AG252" s="48">
        <v>3191.27</v>
      </c>
      <c r="AH252" s="48">
        <v>0</v>
      </c>
      <c r="AI252" s="48">
        <v>1726.12</v>
      </c>
      <c r="AJ252" s="48">
        <v>373.31</v>
      </c>
      <c r="AK252" s="48">
        <v>12886.8</v>
      </c>
      <c r="AL252" s="48">
        <v>68405.86</v>
      </c>
      <c r="AN252"/>
      <c r="AO252"/>
      <c r="AP252" t="str">
        <f t="shared" si="55"/>
        <v>28149</v>
      </c>
      <c r="AQ252" s="481">
        <f t="shared" si="56"/>
        <v>86583.360000000001</v>
      </c>
    </row>
    <row r="253" spans="1:43">
      <c r="A253" s="217">
        <v>246</v>
      </c>
      <c r="B253" s="74" t="s">
        <v>525</v>
      </c>
      <c r="C253" s="74" t="s">
        <v>1813</v>
      </c>
      <c r="D253" s="186">
        <v>177.67999999999984</v>
      </c>
      <c r="E253" s="188">
        <v>4348.53</v>
      </c>
      <c r="F253" s="189">
        <f t="shared" si="65"/>
        <v>4526.2099999999991</v>
      </c>
      <c r="G253" s="200">
        <v>637.66</v>
      </c>
      <c r="H253" s="197">
        <v>3888.5499999999993</v>
      </c>
      <c r="I253" s="188">
        <v>6202.24</v>
      </c>
      <c r="J253" s="189">
        <f t="shared" si="66"/>
        <v>10090.789999999999</v>
      </c>
      <c r="K253" s="225">
        <v>3701.81</v>
      </c>
      <c r="L253" s="189">
        <v>6388.98</v>
      </c>
      <c r="M253" s="219">
        <v>6293.8799999999992</v>
      </c>
      <c r="N253" s="189">
        <f t="shared" si="67"/>
        <v>12682.859999999999</v>
      </c>
      <c r="O253" s="225">
        <v>2572.4299999999998</v>
      </c>
      <c r="P253" s="303">
        <v>10110.429999999998</v>
      </c>
      <c r="Q253" s="219">
        <v>6810.9</v>
      </c>
      <c r="R253" s="189">
        <f t="shared" si="68"/>
        <v>16921.329999999998</v>
      </c>
      <c r="S253" s="225">
        <v>87.69</v>
      </c>
      <c r="T253" s="303">
        <v>16833.64</v>
      </c>
      <c r="U253" s="303">
        <v>7508.44</v>
      </c>
      <c r="V253" s="189">
        <f t="shared" si="69"/>
        <v>24342.079999999998</v>
      </c>
      <c r="W253" s="225"/>
      <c r="X253" s="303">
        <f t="shared" si="53"/>
        <v>24342.079999999998</v>
      </c>
      <c r="Y253" s="303"/>
      <c r="AA253" s="67">
        <f t="shared" si="54"/>
        <v>0</v>
      </c>
      <c r="AC253" t="s">
        <v>525</v>
      </c>
      <c r="AD253" t="s">
        <v>1814</v>
      </c>
      <c r="AE253" s="481">
        <f t="shared" si="62"/>
        <v>7508.44</v>
      </c>
      <c r="AF253"/>
      <c r="AG253" s="48">
        <v>268.42</v>
      </c>
      <c r="AH253" s="48">
        <v>228.59</v>
      </c>
      <c r="AI253" s="48">
        <v>0</v>
      </c>
      <c r="AJ253" s="48">
        <v>0</v>
      </c>
      <c r="AK253" s="48">
        <v>1237.52</v>
      </c>
      <c r="AL253" s="48">
        <v>5773.91</v>
      </c>
      <c r="AN253"/>
      <c r="AO253"/>
      <c r="AP253" t="str">
        <f t="shared" si="55"/>
        <v>14104</v>
      </c>
      <c r="AQ253" s="481">
        <f t="shared" si="56"/>
        <v>7508.44</v>
      </c>
    </row>
    <row r="254" spans="1:43">
      <c r="A254" s="217">
        <v>247</v>
      </c>
      <c r="B254" s="74" t="s">
        <v>527</v>
      </c>
      <c r="C254" s="74" t="s">
        <v>1815</v>
      </c>
      <c r="D254" s="186">
        <v>85696.029999999795</v>
      </c>
      <c r="E254" s="188">
        <v>4006125.8599999994</v>
      </c>
      <c r="F254" s="189">
        <f t="shared" si="65"/>
        <v>4091821.8899999992</v>
      </c>
      <c r="G254" s="200">
        <v>3949713.35</v>
      </c>
      <c r="H254" s="197">
        <v>142108.53999999911</v>
      </c>
      <c r="I254" s="188">
        <v>5715357.5499999989</v>
      </c>
      <c r="J254" s="189">
        <f t="shared" si="66"/>
        <v>5857466.089999998</v>
      </c>
      <c r="K254" s="225">
        <v>5978305.4299999997</v>
      </c>
      <c r="L254" s="189">
        <v>0</v>
      </c>
      <c r="M254" s="219">
        <v>5619358.6300000008</v>
      </c>
      <c r="N254" s="189">
        <f t="shared" si="67"/>
        <v>5619358.6300000008</v>
      </c>
      <c r="O254" s="225">
        <v>5920582.790000001</v>
      </c>
      <c r="P254" s="303">
        <v>0</v>
      </c>
      <c r="Q254" s="219">
        <v>6022197.8699999992</v>
      </c>
      <c r="R254" s="189">
        <f t="shared" si="68"/>
        <v>6022197.8699999992</v>
      </c>
      <c r="S254" s="225">
        <v>6476166.1000000006</v>
      </c>
      <c r="T254" s="303">
        <v>0</v>
      </c>
      <c r="U254" s="303">
        <v>6164419.4900000002</v>
      </c>
      <c r="V254" s="189">
        <f t="shared" si="69"/>
        <v>6164419.4900000002</v>
      </c>
      <c r="W254" s="225"/>
      <c r="X254" s="303">
        <f t="shared" si="53"/>
        <v>6164419.4900000002</v>
      </c>
      <c r="Y254" s="303"/>
      <c r="AA254" s="67">
        <f t="shared" si="54"/>
        <v>0</v>
      </c>
      <c r="AC254" t="s">
        <v>527</v>
      </c>
      <c r="AD254" t="s">
        <v>1816</v>
      </c>
      <c r="AE254" s="481">
        <f t="shared" si="62"/>
        <v>6164419.4900000002</v>
      </c>
      <c r="AF254"/>
      <c r="AG254" s="48">
        <v>226541.71</v>
      </c>
      <c r="AH254" s="48">
        <v>70589.47</v>
      </c>
      <c r="AI254" s="48">
        <v>192512.17</v>
      </c>
      <c r="AJ254" s="48">
        <v>24938.29</v>
      </c>
      <c r="AK254" s="48">
        <v>885526.8</v>
      </c>
      <c r="AL254" s="48">
        <v>4764311.05</v>
      </c>
      <c r="AN254"/>
      <c r="AO254"/>
      <c r="AP254" t="str">
        <f t="shared" si="55"/>
        <v>17001</v>
      </c>
      <c r="AQ254" s="481">
        <f t="shared" si="56"/>
        <v>6164419.4900000002</v>
      </c>
    </row>
    <row r="255" spans="1:43">
      <c r="A255" s="217">
        <v>248</v>
      </c>
      <c r="B255" s="74" t="s">
        <v>529</v>
      </c>
      <c r="C255" s="74" t="s">
        <v>1817</v>
      </c>
      <c r="D255" s="186">
        <v>0</v>
      </c>
      <c r="E255" s="188">
        <v>326824.48</v>
      </c>
      <c r="F255" s="189">
        <f t="shared" si="65"/>
        <v>326824.48</v>
      </c>
      <c r="G255" s="200">
        <v>372555.02</v>
      </c>
      <c r="H255" s="197">
        <v>0</v>
      </c>
      <c r="I255" s="188">
        <v>441489.9</v>
      </c>
      <c r="J255" s="189">
        <f t="shared" si="66"/>
        <v>441489.9</v>
      </c>
      <c r="K255" s="225">
        <v>503681.72999999992</v>
      </c>
      <c r="L255" s="189">
        <v>0</v>
      </c>
      <c r="M255" s="219">
        <v>436777.56</v>
      </c>
      <c r="N255" s="189">
        <f t="shared" si="67"/>
        <v>436777.56</v>
      </c>
      <c r="O255" s="225">
        <v>512997.68999999994</v>
      </c>
      <c r="P255" s="303">
        <v>0</v>
      </c>
      <c r="Q255" s="219">
        <v>510111.6</v>
      </c>
      <c r="R255" s="189">
        <f t="shared" si="68"/>
        <v>510111.6</v>
      </c>
      <c r="S255" s="225">
        <v>530937.66</v>
      </c>
      <c r="T255" s="303">
        <v>0</v>
      </c>
      <c r="U255" s="303">
        <v>515993.16000000003</v>
      </c>
      <c r="V255" s="189">
        <f t="shared" si="69"/>
        <v>515993.16000000003</v>
      </c>
      <c r="W255" s="225"/>
      <c r="X255" s="303">
        <f t="shared" si="53"/>
        <v>515993.16000000003</v>
      </c>
      <c r="Y255" s="303"/>
      <c r="AA255" s="67">
        <f t="shared" si="54"/>
        <v>0</v>
      </c>
      <c r="AC255" t="s">
        <v>529</v>
      </c>
      <c r="AD255" t="s">
        <v>1818</v>
      </c>
      <c r="AE255" s="481">
        <f t="shared" si="62"/>
        <v>515993.16000000003</v>
      </c>
      <c r="AF255"/>
      <c r="AG255" s="48">
        <v>23823.87</v>
      </c>
      <c r="AH255" s="48">
        <v>11100.08</v>
      </c>
      <c r="AI255" s="48">
        <v>10328.69</v>
      </c>
      <c r="AJ255" s="48">
        <v>2023.45</v>
      </c>
      <c r="AK255" s="48">
        <v>77107.429999999993</v>
      </c>
      <c r="AL255" s="48">
        <v>391609.64</v>
      </c>
      <c r="AN255"/>
      <c r="AO255"/>
      <c r="AP255" t="str">
        <f t="shared" si="55"/>
        <v>29101</v>
      </c>
      <c r="AQ255" s="481">
        <f t="shared" si="56"/>
        <v>515993.16000000003</v>
      </c>
    </row>
    <row r="256" spans="1:43">
      <c r="A256" s="217">
        <v>249</v>
      </c>
      <c r="B256" s="74" t="s">
        <v>531</v>
      </c>
      <c r="C256" s="74" t="s">
        <v>1819</v>
      </c>
      <c r="D256" s="186">
        <v>0</v>
      </c>
      <c r="E256" s="188">
        <v>234367.50000000003</v>
      </c>
      <c r="F256" s="189">
        <f t="shared" si="65"/>
        <v>234367.50000000003</v>
      </c>
      <c r="G256" s="200">
        <v>202752.59</v>
      </c>
      <c r="H256" s="197">
        <v>31614.910000000033</v>
      </c>
      <c r="I256" s="188">
        <v>316445.63</v>
      </c>
      <c r="J256" s="189">
        <f t="shared" si="66"/>
        <v>348060.54000000004</v>
      </c>
      <c r="K256" s="225">
        <v>348060.54000000004</v>
      </c>
      <c r="L256" s="189">
        <v>0</v>
      </c>
      <c r="M256" s="219">
        <v>342731.2</v>
      </c>
      <c r="N256" s="189">
        <f t="shared" si="67"/>
        <v>342731.2</v>
      </c>
      <c r="O256" s="225">
        <v>342731.21</v>
      </c>
      <c r="P256" s="303">
        <v>0</v>
      </c>
      <c r="Q256" s="219">
        <v>384242.38</v>
      </c>
      <c r="R256" s="189">
        <f t="shared" si="68"/>
        <v>384242.38</v>
      </c>
      <c r="S256" s="225">
        <v>384242.38</v>
      </c>
      <c r="T256" s="303">
        <v>0</v>
      </c>
      <c r="U256" s="303">
        <v>397476.85000000003</v>
      </c>
      <c r="V256" s="189">
        <f t="shared" si="69"/>
        <v>397476.85000000003</v>
      </c>
      <c r="W256" s="225"/>
      <c r="X256" s="303">
        <f t="shared" si="53"/>
        <v>397476.85000000003</v>
      </c>
      <c r="Y256" s="303"/>
      <c r="AA256" s="67">
        <f t="shared" si="54"/>
        <v>0</v>
      </c>
      <c r="AC256" t="s">
        <v>531</v>
      </c>
      <c r="AD256" t="s">
        <v>1820</v>
      </c>
      <c r="AE256" s="481">
        <f t="shared" si="62"/>
        <v>397476.85000000003</v>
      </c>
      <c r="AF256"/>
      <c r="AG256" s="48">
        <v>21996.92</v>
      </c>
      <c r="AH256" s="48">
        <v>15761.38</v>
      </c>
      <c r="AI256" s="48">
        <v>9429.99</v>
      </c>
      <c r="AJ256" s="48">
        <v>1560.36</v>
      </c>
      <c r="AK256" s="48">
        <v>46837.279999999999</v>
      </c>
      <c r="AL256" s="48">
        <v>301890.92000000004</v>
      </c>
      <c r="AN256"/>
      <c r="AO256"/>
      <c r="AP256" t="str">
        <f t="shared" si="55"/>
        <v>39119</v>
      </c>
      <c r="AQ256" s="481">
        <f t="shared" si="56"/>
        <v>397476.85000000003</v>
      </c>
    </row>
    <row r="257" spans="1:43">
      <c r="A257" s="217">
        <v>250</v>
      </c>
      <c r="B257" s="74" t="s">
        <v>533</v>
      </c>
      <c r="C257" s="74" t="s">
        <v>1821</v>
      </c>
      <c r="D257" s="186">
        <v>0</v>
      </c>
      <c r="E257" s="188">
        <v>22162.429999999997</v>
      </c>
      <c r="F257" s="189">
        <f t="shared" si="65"/>
        <v>22162.429999999997</v>
      </c>
      <c r="G257" s="200">
        <v>20641.32</v>
      </c>
      <c r="H257" s="197">
        <v>1521.1099999999969</v>
      </c>
      <c r="I257" s="188">
        <v>30447.85</v>
      </c>
      <c r="J257" s="189">
        <f t="shared" si="66"/>
        <v>31968.959999999995</v>
      </c>
      <c r="K257" s="225">
        <v>11355.039999999999</v>
      </c>
      <c r="L257" s="189">
        <v>20613.919999999998</v>
      </c>
      <c r="M257" s="219">
        <v>31580.34</v>
      </c>
      <c r="N257" s="189">
        <f t="shared" si="67"/>
        <v>52194.259999999995</v>
      </c>
      <c r="O257" s="225">
        <v>8646.5299999999988</v>
      </c>
      <c r="P257" s="303">
        <v>43547.729999999996</v>
      </c>
      <c r="Q257" s="219">
        <v>35744.409999999996</v>
      </c>
      <c r="R257" s="189">
        <f t="shared" si="68"/>
        <v>79292.139999999985</v>
      </c>
      <c r="S257" s="225">
        <v>17470.46</v>
      </c>
      <c r="T257" s="303">
        <v>61821.679999999986</v>
      </c>
      <c r="U257" s="303">
        <v>34679.630000000005</v>
      </c>
      <c r="V257" s="189">
        <f t="shared" si="69"/>
        <v>96501.31</v>
      </c>
      <c r="W257" s="225"/>
      <c r="X257" s="303">
        <f t="shared" si="53"/>
        <v>96501.31</v>
      </c>
      <c r="Y257" s="303"/>
      <c r="AA257" s="67">
        <f t="shared" si="54"/>
        <v>0</v>
      </c>
      <c r="AC257" t="s">
        <v>533</v>
      </c>
      <c r="AD257" t="s">
        <v>1822</v>
      </c>
      <c r="AE257" s="481">
        <f t="shared" si="62"/>
        <v>34679.630000000005</v>
      </c>
      <c r="AF257"/>
      <c r="AG257" s="48">
        <v>1483.67</v>
      </c>
      <c r="AH257" s="48">
        <v>800.82</v>
      </c>
      <c r="AI257" s="48">
        <v>0</v>
      </c>
      <c r="AJ257" s="48">
        <v>0</v>
      </c>
      <c r="AK257" s="48">
        <v>3879.54</v>
      </c>
      <c r="AL257" s="48">
        <v>28515.600000000002</v>
      </c>
      <c r="AN257"/>
      <c r="AO257"/>
      <c r="AP257" t="str">
        <f t="shared" si="55"/>
        <v>26070</v>
      </c>
      <c r="AQ257" s="481">
        <f t="shared" si="56"/>
        <v>34679.630000000005</v>
      </c>
    </row>
    <row r="258" spans="1:43">
      <c r="A258" s="217">
        <v>251</v>
      </c>
      <c r="B258" s="74" t="s">
        <v>535</v>
      </c>
      <c r="C258" s="74" t="s">
        <v>1823</v>
      </c>
      <c r="D258" s="186">
        <v>86400.67</v>
      </c>
      <c r="E258" s="188">
        <v>171485.53000000003</v>
      </c>
      <c r="F258" s="189">
        <f t="shared" si="65"/>
        <v>257886.2</v>
      </c>
      <c r="G258" s="200">
        <v>207289.22</v>
      </c>
      <c r="H258" s="197">
        <v>50596.98000000001</v>
      </c>
      <c r="I258" s="188">
        <v>231308.81</v>
      </c>
      <c r="J258" s="189">
        <f t="shared" si="66"/>
        <v>281905.79000000004</v>
      </c>
      <c r="K258" s="225">
        <v>277159.50999999995</v>
      </c>
      <c r="L258" s="189">
        <v>4746.2800000000861</v>
      </c>
      <c r="M258" s="219">
        <v>226138.65999999997</v>
      </c>
      <c r="N258" s="189">
        <f t="shared" si="67"/>
        <v>230884.94000000006</v>
      </c>
      <c r="O258" s="225">
        <v>262784.74</v>
      </c>
      <c r="P258" s="303">
        <v>0</v>
      </c>
      <c r="Q258" s="219">
        <v>245266.73</v>
      </c>
      <c r="R258" s="189">
        <f t="shared" si="68"/>
        <v>245266.73</v>
      </c>
      <c r="S258" s="225">
        <v>266507.88</v>
      </c>
      <c r="T258" s="303">
        <v>0</v>
      </c>
      <c r="U258" s="303">
        <v>261080.64</v>
      </c>
      <c r="V258" s="189">
        <f t="shared" si="69"/>
        <v>261080.64</v>
      </c>
      <c r="W258" s="225"/>
      <c r="X258" s="303">
        <f t="shared" si="53"/>
        <v>261080.64</v>
      </c>
      <c r="Y258" s="303"/>
      <c r="AA258" s="67">
        <f t="shared" si="54"/>
        <v>0</v>
      </c>
      <c r="AC258" t="s">
        <v>535</v>
      </c>
      <c r="AD258" t="s">
        <v>1824</v>
      </c>
      <c r="AE258" s="481">
        <f t="shared" si="62"/>
        <v>261080.64</v>
      </c>
      <c r="AF258"/>
      <c r="AG258" s="48">
        <v>12870.71</v>
      </c>
      <c r="AH258" s="48">
        <v>2304.31</v>
      </c>
      <c r="AI258" s="48">
        <v>1230.32</v>
      </c>
      <c r="AJ258" s="48">
        <v>1155.29</v>
      </c>
      <c r="AK258" s="48">
        <v>40613.620000000003</v>
      </c>
      <c r="AL258" s="48">
        <v>202906.39</v>
      </c>
      <c r="AN258"/>
      <c r="AO258"/>
      <c r="AP258" t="str">
        <f t="shared" si="55"/>
        <v>05323</v>
      </c>
      <c r="AQ258" s="481">
        <f t="shared" si="56"/>
        <v>261080.64</v>
      </c>
    </row>
    <row r="259" spans="1:43">
      <c r="A259" s="217">
        <v>252</v>
      </c>
      <c r="B259" s="74" t="s">
        <v>537</v>
      </c>
      <c r="C259" s="74" t="s">
        <v>1825</v>
      </c>
      <c r="D259" s="186">
        <v>1004.73</v>
      </c>
      <c r="E259" s="188">
        <v>1795.3899999999999</v>
      </c>
      <c r="F259" s="189">
        <f t="shared" si="65"/>
        <v>2800.12</v>
      </c>
      <c r="G259" s="200"/>
      <c r="H259" s="197">
        <v>2800.12</v>
      </c>
      <c r="I259" s="188">
        <v>3135.13</v>
      </c>
      <c r="J259" s="189">
        <f t="shared" si="66"/>
        <v>5935.25</v>
      </c>
      <c r="K259" s="225">
        <v>53.07</v>
      </c>
      <c r="L259" s="189">
        <v>5882.18</v>
      </c>
      <c r="M259" s="219">
        <v>3328.58</v>
      </c>
      <c r="N259" s="189">
        <f t="shared" si="67"/>
        <v>9210.76</v>
      </c>
      <c r="O259" s="225">
        <v>483.36</v>
      </c>
      <c r="P259" s="303">
        <v>8727.4</v>
      </c>
      <c r="Q259" s="219">
        <v>3408.11</v>
      </c>
      <c r="R259" s="189">
        <f t="shared" si="68"/>
        <v>12135.51</v>
      </c>
      <c r="S259" s="225">
        <v>599.83999999999992</v>
      </c>
      <c r="T259" s="303">
        <v>11535.67</v>
      </c>
      <c r="U259" s="303">
        <v>3667.29</v>
      </c>
      <c r="V259" s="189">
        <f t="shared" si="69"/>
        <v>15202.96</v>
      </c>
      <c r="W259" s="225"/>
      <c r="X259" s="303">
        <f t="shared" si="53"/>
        <v>15202.96</v>
      </c>
      <c r="Y259" s="303"/>
      <c r="AA259" s="67">
        <f t="shared" si="54"/>
        <v>0</v>
      </c>
      <c r="AC259" t="s">
        <v>537</v>
      </c>
      <c r="AD259" t="s">
        <v>1826</v>
      </c>
      <c r="AE259" s="481">
        <f t="shared" si="62"/>
        <v>3667.29</v>
      </c>
      <c r="AF259"/>
      <c r="AG259" s="48">
        <v>0</v>
      </c>
      <c r="AH259" s="48">
        <v>0</v>
      </c>
      <c r="AI259" s="48">
        <v>0</v>
      </c>
      <c r="AJ259" s="48">
        <v>5.22</v>
      </c>
      <c r="AK259" s="48">
        <v>118.84</v>
      </c>
      <c r="AL259" s="48">
        <v>3543.23</v>
      </c>
      <c r="AN259"/>
      <c r="AO259"/>
      <c r="AP259" t="str">
        <f t="shared" si="55"/>
        <v>28010</v>
      </c>
      <c r="AQ259" s="481">
        <f t="shared" si="56"/>
        <v>3667.29</v>
      </c>
    </row>
    <row r="260" spans="1:43">
      <c r="A260" s="217">
        <v>253</v>
      </c>
      <c r="B260" s="74" t="s">
        <v>539</v>
      </c>
      <c r="C260" s="74" t="s">
        <v>1827</v>
      </c>
      <c r="D260" s="186">
        <v>20416.619999999995</v>
      </c>
      <c r="E260" s="188">
        <v>293199.54000000004</v>
      </c>
      <c r="F260" s="189">
        <f t="shared" si="65"/>
        <v>313616.16000000003</v>
      </c>
      <c r="G260" s="200">
        <v>256509.12</v>
      </c>
      <c r="H260" s="197">
        <v>57107.040000000037</v>
      </c>
      <c r="I260" s="188">
        <v>423141.12</v>
      </c>
      <c r="J260" s="189">
        <f t="shared" si="66"/>
        <v>480248.16000000003</v>
      </c>
      <c r="K260" s="225">
        <v>317707.33999999997</v>
      </c>
      <c r="L260" s="189">
        <v>162540.82000000007</v>
      </c>
      <c r="M260" s="219">
        <v>422905.93999999994</v>
      </c>
      <c r="N260" s="189">
        <f t="shared" si="67"/>
        <v>585446.76</v>
      </c>
      <c r="O260" s="225">
        <v>195827.55</v>
      </c>
      <c r="P260" s="303">
        <v>389619.21</v>
      </c>
      <c r="Q260" s="219">
        <v>469512.87999999995</v>
      </c>
      <c r="R260" s="189">
        <f t="shared" si="68"/>
        <v>859132.09</v>
      </c>
      <c r="S260" s="225">
        <v>409727.37000000005</v>
      </c>
      <c r="T260" s="303">
        <v>449404.71999999991</v>
      </c>
      <c r="U260" s="303">
        <v>485417.54999999993</v>
      </c>
      <c r="V260" s="189">
        <f t="shared" si="69"/>
        <v>934822.26999999979</v>
      </c>
      <c r="W260" s="225"/>
      <c r="X260" s="303">
        <f t="shared" si="53"/>
        <v>934822.26999999979</v>
      </c>
      <c r="Y260" s="303"/>
      <c r="AA260" s="67">
        <f t="shared" si="54"/>
        <v>0</v>
      </c>
      <c r="AC260" t="s">
        <v>539</v>
      </c>
      <c r="AD260" t="s">
        <v>1828</v>
      </c>
      <c r="AE260" s="481">
        <f t="shared" si="62"/>
        <v>485417.54999999993</v>
      </c>
      <c r="AF260"/>
      <c r="AG260" s="48">
        <v>27425.72</v>
      </c>
      <c r="AH260" s="48">
        <v>18795.09</v>
      </c>
      <c r="AI260" s="48">
        <v>23866.99</v>
      </c>
      <c r="AJ260" s="48">
        <v>1874.5</v>
      </c>
      <c r="AK260" s="48">
        <v>66979.08</v>
      </c>
      <c r="AL260" s="48">
        <v>346476.16999999993</v>
      </c>
      <c r="AN260"/>
      <c r="AO260"/>
      <c r="AP260" t="str">
        <f t="shared" si="55"/>
        <v>23309</v>
      </c>
      <c r="AQ260" s="481">
        <f t="shared" si="56"/>
        <v>485417.54999999993</v>
      </c>
    </row>
    <row r="261" spans="1:43">
      <c r="A261" s="217">
        <v>254</v>
      </c>
      <c r="B261" s="74" t="s">
        <v>541</v>
      </c>
      <c r="C261" s="74" t="s">
        <v>1829</v>
      </c>
      <c r="D261" s="186">
        <v>75325.960000000079</v>
      </c>
      <c r="E261" s="188">
        <v>711022.36</v>
      </c>
      <c r="F261" s="189">
        <f t="shared" si="65"/>
        <v>786348.32000000007</v>
      </c>
      <c r="G261" s="200">
        <v>482758.55</v>
      </c>
      <c r="H261" s="197">
        <v>303589.77000000008</v>
      </c>
      <c r="I261" s="188">
        <v>985179.79</v>
      </c>
      <c r="J261" s="189">
        <f t="shared" si="66"/>
        <v>1288769.56</v>
      </c>
      <c r="K261" s="225">
        <v>968723.29999999981</v>
      </c>
      <c r="L261" s="189">
        <v>320046.26000000024</v>
      </c>
      <c r="M261" s="219">
        <v>957176.64</v>
      </c>
      <c r="N261" s="189">
        <f t="shared" si="67"/>
        <v>1277222.9000000004</v>
      </c>
      <c r="O261" s="225">
        <v>839126.78</v>
      </c>
      <c r="P261" s="303">
        <v>438096.12000000034</v>
      </c>
      <c r="Q261" s="219">
        <v>1023839.79</v>
      </c>
      <c r="R261" s="189">
        <f t="shared" si="68"/>
        <v>1461935.9100000004</v>
      </c>
      <c r="S261" s="225">
        <v>1135895.6100000001</v>
      </c>
      <c r="T261" s="303">
        <v>326040.30000000028</v>
      </c>
      <c r="U261" s="303">
        <v>1072409.56</v>
      </c>
      <c r="V261" s="189">
        <f t="shared" si="69"/>
        <v>1398449.8600000003</v>
      </c>
      <c r="W261" s="225"/>
      <c r="X261" s="303">
        <f t="shared" si="53"/>
        <v>1398449.8600000003</v>
      </c>
      <c r="Y261" s="303"/>
      <c r="AA261" s="67">
        <f t="shared" si="54"/>
        <v>0</v>
      </c>
      <c r="AC261" t="s">
        <v>541</v>
      </c>
      <c r="AD261" t="s">
        <v>1830</v>
      </c>
      <c r="AE261" s="481">
        <f t="shared" si="62"/>
        <v>1072409.56</v>
      </c>
      <c r="AF261"/>
      <c r="AG261" s="48">
        <v>29264.65</v>
      </c>
      <c r="AH261" s="48">
        <v>0</v>
      </c>
      <c r="AI261" s="48">
        <v>28638.14</v>
      </c>
      <c r="AJ261" s="48">
        <v>4582.17</v>
      </c>
      <c r="AK261" s="48">
        <v>142616.57</v>
      </c>
      <c r="AL261" s="48">
        <v>867308.03</v>
      </c>
      <c r="AN261"/>
      <c r="AO261"/>
      <c r="AP261" t="str">
        <f t="shared" si="55"/>
        <v>17412</v>
      </c>
      <c r="AQ261" s="481">
        <f t="shared" si="56"/>
        <v>1072409.56</v>
      </c>
    </row>
    <row r="262" spans="1:43">
      <c r="A262" s="217">
        <v>255</v>
      </c>
      <c r="B262" s="191" t="s">
        <v>543</v>
      </c>
      <c r="C262" s="74" t="s">
        <v>1831</v>
      </c>
      <c r="D262" s="186">
        <v>39.069999999999709</v>
      </c>
      <c r="E262" s="188">
        <v>4769.91</v>
      </c>
      <c r="F262" s="189">
        <f t="shared" si="65"/>
        <v>4808.9799999999996</v>
      </c>
      <c r="G262" s="200">
        <v>5909.02</v>
      </c>
      <c r="H262" s="197">
        <v>0</v>
      </c>
      <c r="I262" s="188">
        <v>6342.04</v>
      </c>
      <c r="J262" s="189">
        <f t="shared" si="66"/>
        <v>6342.04</v>
      </c>
      <c r="K262" s="225">
        <v>8237.2099999999991</v>
      </c>
      <c r="L262" s="189">
        <v>0</v>
      </c>
      <c r="M262" s="219">
        <v>6674.61</v>
      </c>
      <c r="N262" s="189">
        <f t="shared" si="67"/>
        <v>6674.61</v>
      </c>
      <c r="O262" s="225">
        <v>7482.6100000000006</v>
      </c>
      <c r="P262" s="303">
        <v>0</v>
      </c>
      <c r="Q262" s="219">
        <v>8612.81</v>
      </c>
      <c r="R262" s="189">
        <f t="shared" si="68"/>
        <v>8612.81</v>
      </c>
      <c r="S262" s="225">
        <v>9500.73</v>
      </c>
      <c r="T262" s="303">
        <v>0</v>
      </c>
      <c r="U262" s="303">
        <v>9167.23</v>
      </c>
      <c r="V262" s="189">
        <f t="shared" si="69"/>
        <v>9167.23</v>
      </c>
      <c r="W262" s="225"/>
      <c r="X262" s="303">
        <f t="shared" si="53"/>
        <v>9167.23</v>
      </c>
      <c r="Y262" s="303"/>
      <c r="AA262" s="67">
        <f t="shared" si="54"/>
        <v>0</v>
      </c>
      <c r="AC262" t="s">
        <v>543</v>
      </c>
      <c r="AD262" t="s">
        <v>1832</v>
      </c>
      <c r="AE262" s="481">
        <f t="shared" si="62"/>
        <v>9167.23</v>
      </c>
      <c r="AF262"/>
      <c r="AG262" s="48">
        <v>334.54</v>
      </c>
      <c r="AH262" s="48">
        <v>0</v>
      </c>
      <c r="AI262" s="48">
        <v>0</v>
      </c>
      <c r="AJ262" s="48">
        <v>34.39</v>
      </c>
      <c r="AK262" s="48">
        <v>0</v>
      </c>
      <c r="AL262" s="48">
        <v>8798.2999999999993</v>
      </c>
      <c r="AN262"/>
      <c r="AO262"/>
      <c r="AP262" t="str">
        <f t="shared" si="55"/>
        <v>30002</v>
      </c>
      <c r="AQ262" s="481">
        <f t="shared" si="56"/>
        <v>9167.23</v>
      </c>
    </row>
    <row r="263" spans="1:43">
      <c r="A263" s="217">
        <v>256</v>
      </c>
      <c r="B263" s="74" t="s">
        <v>545</v>
      </c>
      <c r="C263" s="74" t="s">
        <v>1833</v>
      </c>
      <c r="D263" s="186">
        <v>0</v>
      </c>
      <c r="E263" s="188">
        <v>14760.720000000001</v>
      </c>
      <c r="F263" s="189">
        <f t="shared" si="65"/>
        <v>14760.720000000001</v>
      </c>
      <c r="G263" s="200">
        <v>14199.78</v>
      </c>
      <c r="H263" s="197">
        <v>560.94000000000051</v>
      </c>
      <c r="I263" s="188">
        <v>22207.269999999997</v>
      </c>
      <c r="J263" s="189">
        <f t="shared" si="66"/>
        <v>22768.21</v>
      </c>
      <c r="K263" s="225"/>
      <c r="L263" s="189">
        <v>22768.21</v>
      </c>
      <c r="M263" s="219">
        <v>21567.53</v>
      </c>
      <c r="N263" s="189">
        <f t="shared" si="67"/>
        <v>44335.74</v>
      </c>
      <c r="O263" s="225">
        <v>16118.58</v>
      </c>
      <c r="P263" s="303">
        <v>28217.159999999996</v>
      </c>
      <c r="Q263" s="219">
        <v>23220.83</v>
      </c>
      <c r="R263" s="189">
        <f t="shared" si="68"/>
        <v>51437.99</v>
      </c>
      <c r="S263" s="225">
        <v>18024.79</v>
      </c>
      <c r="T263" s="303">
        <v>33413.199999999997</v>
      </c>
      <c r="U263" s="303">
        <v>23382.21</v>
      </c>
      <c r="V263" s="189">
        <f t="shared" si="69"/>
        <v>56795.409999999996</v>
      </c>
      <c r="W263" s="225"/>
      <c r="X263" s="303">
        <f t="shared" si="53"/>
        <v>56795.409999999996</v>
      </c>
      <c r="Y263" s="303"/>
      <c r="AA263" s="67">
        <f t="shared" si="54"/>
        <v>0</v>
      </c>
      <c r="AC263" t="s">
        <v>545</v>
      </c>
      <c r="AD263" t="s">
        <v>1834</v>
      </c>
      <c r="AE263" s="481">
        <f t="shared" si="62"/>
        <v>23382.21</v>
      </c>
      <c r="AF263"/>
      <c r="AG263" s="48">
        <v>295.85000000000002</v>
      </c>
      <c r="AH263" s="48">
        <v>177.51</v>
      </c>
      <c r="AI263" s="48">
        <v>0</v>
      </c>
      <c r="AJ263" s="48">
        <v>0</v>
      </c>
      <c r="AK263" s="48">
        <v>807.22</v>
      </c>
      <c r="AL263" s="48">
        <v>22101.629999999997</v>
      </c>
      <c r="AN263"/>
      <c r="AO263"/>
      <c r="AP263" t="str">
        <f t="shared" si="55"/>
        <v>17404</v>
      </c>
      <c r="AQ263" s="481">
        <f t="shared" si="56"/>
        <v>23382.21</v>
      </c>
    </row>
    <row r="264" spans="1:43">
      <c r="A264" s="217">
        <v>257</v>
      </c>
      <c r="B264" s="74" t="s">
        <v>547</v>
      </c>
      <c r="C264" s="74" t="s">
        <v>1835</v>
      </c>
      <c r="D264" s="186">
        <v>0</v>
      </c>
      <c r="E264" s="188">
        <v>698058.64</v>
      </c>
      <c r="F264" s="189">
        <f t="shared" si="65"/>
        <v>698058.64</v>
      </c>
      <c r="G264" s="200">
        <v>673071.44</v>
      </c>
      <c r="H264" s="197">
        <v>24987.20000000007</v>
      </c>
      <c r="I264" s="188">
        <v>928516.82000000007</v>
      </c>
      <c r="J264" s="189">
        <f t="shared" si="66"/>
        <v>953504.02000000014</v>
      </c>
      <c r="K264" s="225">
        <v>1015219.68</v>
      </c>
      <c r="L264" s="189">
        <v>0</v>
      </c>
      <c r="M264" s="219">
        <v>956466.37999999989</v>
      </c>
      <c r="N264" s="189">
        <f t="shared" si="67"/>
        <v>956466.37999999989</v>
      </c>
      <c r="O264" s="225">
        <v>1024671.46</v>
      </c>
      <c r="P264" s="303">
        <v>0</v>
      </c>
      <c r="Q264" s="219">
        <v>1023746.98</v>
      </c>
      <c r="R264" s="189">
        <f t="shared" si="68"/>
        <v>1023746.98</v>
      </c>
      <c r="S264" s="225">
        <v>1090080.2799999998</v>
      </c>
      <c r="T264" s="303">
        <v>0</v>
      </c>
      <c r="U264" s="303">
        <v>1103363.08</v>
      </c>
      <c r="V264" s="189">
        <f t="shared" si="69"/>
        <v>1103363.08</v>
      </c>
      <c r="W264" s="225"/>
      <c r="X264" s="303">
        <f t="shared" ref="X264:X327" si="70">+V264-W264</f>
        <v>1103363.08</v>
      </c>
      <c r="Y264" s="303"/>
      <c r="AA264" s="67">
        <f t="shared" ref="AA264:AA327" si="71">+AC264-B264</f>
        <v>0</v>
      </c>
      <c r="AC264" t="s">
        <v>547</v>
      </c>
      <c r="AD264" t="s">
        <v>1836</v>
      </c>
      <c r="AE264" s="481">
        <f t="shared" si="62"/>
        <v>1103363.08</v>
      </c>
      <c r="AF264"/>
      <c r="AG264" s="48">
        <v>21893.63</v>
      </c>
      <c r="AH264" s="48">
        <v>0</v>
      </c>
      <c r="AI264" s="48">
        <v>16576.759999999998</v>
      </c>
      <c r="AJ264" s="48">
        <v>4861.6499999999996</v>
      </c>
      <c r="AK264" s="48">
        <v>150695.41</v>
      </c>
      <c r="AL264" s="48">
        <v>909335.63</v>
      </c>
      <c r="AN264"/>
      <c r="AO264"/>
      <c r="AP264" t="str">
        <f t="shared" ref="AP264:AP327" si="72">TEXT(AC264, "00000")</f>
        <v>31201</v>
      </c>
      <c r="AQ264" s="481">
        <f t="shared" ref="AQ264:AQ327" si="73">AE264</f>
        <v>1103363.08</v>
      </c>
    </row>
    <row r="265" spans="1:43">
      <c r="A265" s="217">
        <v>258</v>
      </c>
      <c r="B265" s="74" t="s">
        <v>549</v>
      </c>
      <c r="C265" s="74" t="s">
        <v>1837</v>
      </c>
      <c r="D265" s="186">
        <v>5617.1099999999278</v>
      </c>
      <c r="E265" s="188">
        <v>482396.76999999996</v>
      </c>
      <c r="F265" s="189">
        <f t="shared" si="65"/>
        <v>488013.87999999989</v>
      </c>
      <c r="G265" s="200">
        <v>574907.93000000005</v>
      </c>
      <c r="H265" s="197">
        <v>0</v>
      </c>
      <c r="I265" s="188">
        <v>661678.12999999989</v>
      </c>
      <c r="J265" s="189">
        <f t="shared" si="66"/>
        <v>661678.12999999989</v>
      </c>
      <c r="K265" s="225">
        <v>961690.07999999984</v>
      </c>
      <c r="L265" s="189">
        <v>0</v>
      </c>
      <c r="M265" s="219">
        <v>685908.19000000006</v>
      </c>
      <c r="N265" s="189">
        <f t="shared" si="67"/>
        <v>685908.19000000006</v>
      </c>
      <c r="O265" s="225">
        <v>1160180.8</v>
      </c>
      <c r="P265" s="303">
        <v>0</v>
      </c>
      <c r="Q265" s="219">
        <v>744400.6100000001</v>
      </c>
      <c r="R265" s="189">
        <f t="shared" si="68"/>
        <v>744400.6100000001</v>
      </c>
      <c r="S265" s="225">
        <v>1109823.1599999999</v>
      </c>
      <c r="T265" s="303">
        <v>0</v>
      </c>
      <c r="U265" s="303">
        <v>766613.84000000008</v>
      </c>
      <c r="V265" s="189">
        <f t="shared" si="69"/>
        <v>766613.84000000008</v>
      </c>
      <c r="W265" s="225"/>
      <c r="X265" s="303">
        <f t="shared" si="70"/>
        <v>766613.84000000008</v>
      </c>
      <c r="Y265" s="303"/>
      <c r="AA265" s="67">
        <f t="shared" si="71"/>
        <v>0</v>
      </c>
      <c r="AC265" t="s">
        <v>549</v>
      </c>
      <c r="AD265" t="s">
        <v>1838</v>
      </c>
      <c r="AE265" s="481">
        <f t="shared" si="62"/>
        <v>766613.84000000008</v>
      </c>
      <c r="AF265"/>
      <c r="AG265" s="48">
        <v>9578.5300000000007</v>
      </c>
      <c r="AH265" s="48">
        <v>0</v>
      </c>
      <c r="AI265" s="48">
        <v>8739.7099999999991</v>
      </c>
      <c r="AJ265" s="48">
        <v>3536.26</v>
      </c>
      <c r="AK265" s="48">
        <v>88206.91</v>
      </c>
      <c r="AL265" s="48">
        <v>656552.43000000005</v>
      </c>
      <c r="AN265"/>
      <c r="AO265"/>
      <c r="AP265" t="str">
        <f t="shared" si="72"/>
        <v>17410</v>
      </c>
      <c r="AQ265" s="481">
        <f t="shared" si="73"/>
        <v>766613.84000000008</v>
      </c>
    </row>
    <row r="266" spans="1:43">
      <c r="A266" s="217">
        <v>259</v>
      </c>
      <c r="B266" s="74" t="s">
        <v>551</v>
      </c>
      <c r="C266" s="74" t="s">
        <v>1839</v>
      </c>
      <c r="D266" s="186">
        <v>0</v>
      </c>
      <c r="E266" s="188">
        <v>38339.94</v>
      </c>
      <c r="F266" s="189">
        <f t="shared" si="65"/>
        <v>38339.94</v>
      </c>
      <c r="G266" s="200">
        <v>30276.66</v>
      </c>
      <c r="H266" s="197">
        <v>8063.2800000000025</v>
      </c>
      <c r="I266" s="188">
        <v>55770.030000000006</v>
      </c>
      <c r="J266" s="189">
        <f t="shared" si="66"/>
        <v>63833.310000000012</v>
      </c>
      <c r="K266" s="225">
        <v>37086.780000000013</v>
      </c>
      <c r="L266" s="189">
        <v>26746.53</v>
      </c>
      <c r="M266" s="219">
        <v>57281.38</v>
      </c>
      <c r="N266" s="189">
        <f t="shared" si="67"/>
        <v>84027.91</v>
      </c>
      <c r="O266" s="225">
        <v>58363.54</v>
      </c>
      <c r="P266" s="303">
        <v>25664.370000000003</v>
      </c>
      <c r="Q266" s="219">
        <v>61090.39</v>
      </c>
      <c r="R266" s="189">
        <f t="shared" si="68"/>
        <v>86754.760000000009</v>
      </c>
      <c r="S266" s="225">
        <v>48723.349999999991</v>
      </c>
      <c r="T266" s="303">
        <v>38031.410000000018</v>
      </c>
      <c r="U266" s="303">
        <v>62809.67</v>
      </c>
      <c r="V266" s="189">
        <f t="shared" si="69"/>
        <v>100841.08000000002</v>
      </c>
      <c r="W266" s="225"/>
      <c r="X266" s="303">
        <f t="shared" si="70"/>
        <v>100841.08000000002</v>
      </c>
      <c r="Y266" s="303"/>
      <c r="AA266" s="67">
        <f t="shared" si="71"/>
        <v>0</v>
      </c>
      <c r="AC266" t="s">
        <v>551</v>
      </c>
      <c r="AD266" t="s">
        <v>1840</v>
      </c>
      <c r="AE266" s="481">
        <f t="shared" si="62"/>
        <v>62809.67</v>
      </c>
      <c r="AF266"/>
      <c r="AG266" s="48">
        <v>3914.16</v>
      </c>
      <c r="AH266" s="48">
        <v>2129.63</v>
      </c>
      <c r="AI266" s="48">
        <v>3091.22</v>
      </c>
      <c r="AJ266" s="48">
        <v>212.38</v>
      </c>
      <c r="AK266" s="48">
        <v>7586.58</v>
      </c>
      <c r="AL266" s="48">
        <v>45875.7</v>
      </c>
      <c r="AN266"/>
      <c r="AO266"/>
      <c r="AP266" t="str">
        <f t="shared" si="72"/>
        <v>13156</v>
      </c>
      <c r="AQ266" s="481">
        <f t="shared" si="73"/>
        <v>62809.67</v>
      </c>
    </row>
    <row r="267" spans="1:43">
      <c r="A267" s="217">
        <v>260</v>
      </c>
      <c r="B267" s="74" t="s">
        <v>553</v>
      </c>
      <c r="C267" s="74" t="s">
        <v>1841</v>
      </c>
      <c r="D267" s="186">
        <v>593.52000000000044</v>
      </c>
      <c r="E267" s="188">
        <v>38506.43</v>
      </c>
      <c r="F267" s="189">
        <f t="shared" si="65"/>
        <v>39099.949999999997</v>
      </c>
      <c r="G267" s="200">
        <v>28556.23</v>
      </c>
      <c r="H267" s="197">
        <v>10543.719999999998</v>
      </c>
      <c r="I267" s="188">
        <v>57029.45</v>
      </c>
      <c r="J267" s="189">
        <f t="shared" si="66"/>
        <v>67573.17</v>
      </c>
      <c r="K267" s="225">
        <v>45042.710000000006</v>
      </c>
      <c r="L267" s="189">
        <v>22530.459999999992</v>
      </c>
      <c r="M267" s="219">
        <v>58518.17</v>
      </c>
      <c r="N267" s="189">
        <f t="shared" si="67"/>
        <v>81048.62999999999</v>
      </c>
      <c r="O267" s="225">
        <v>71508.3</v>
      </c>
      <c r="P267" s="303">
        <v>9540.3299999999872</v>
      </c>
      <c r="Q267" s="219">
        <v>62536.529999999992</v>
      </c>
      <c r="R267" s="189">
        <f t="shared" si="68"/>
        <v>72076.859999999986</v>
      </c>
      <c r="S267" s="225">
        <v>54180.15</v>
      </c>
      <c r="T267" s="303">
        <v>17896.709999999985</v>
      </c>
      <c r="U267" s="303">
        <v>63905.34</v>
      </c>
      <c r="V267" s="189">
        <f t="shared" si="69"/>
        <v>81802.049999999988</v>
      </c>
      <c r="W267" s="225"/>
      <c r="X267" s="303">
        <f t="shared" si="70"/>
        <v>81802.049999999988</v>
      </c>
      <c r="Y267" s="303"/>
      <c r="AA267" s="67">
        <f t="shared" si="71"/>
        <v>0</v>
      </c>
      <c r="AC267" t="s">
        <v>553</v>
      </c>
      <c r="AD267" t="s">
        <v>1842</v>
      </c>
      <c r="AE267" s="481">
        <f t="shared" si="62"/>
        <v>63905.34</v>
      </c>
      <c r="AF267"/>
      <c r="AG267" s="48">
        <v>3573.48</v>
      </c>
      <c r="AH267" s="48">
        <v>2384.7800000000002</v>
      </c>
      <c r="AI267" s="48">
        <v>2016.08</v>
      </c>
      <c r="AJ267" s="48">
        <v>227.13</v>
      </c>
      <c r="AK267" s="48">
        <v>7854.86</v>
      </c>
      <c r="AL267" s="48">
        <v>47849.01</v>
      </c>
      <c r="AN267"/>
      <c r="AO267"/>
      <c r="AP267" t="str">
        <f t="shared" si="72"/>
        <v>25118</v>
      </c>
      <c r="AQ267" s="481">
        <f t="shared" si="73"/>
        <v>63905.34</v>
      </c>
    </row>
    <row r="268" spans="1:43">
      <c r="A268" s="217">
        <v>261</v>
      </c>
      <c r="B268" s="74" t="s">
        <v>555</v>
      </c>
      <c r="C268" s="74" t="s">
        <v>1843</v>
      </c>
      <c r="D268" s="186">
        <v>92036.890000000043</v>
      </c>
      <c r="E268" s="188">
        <v>681166.57</v>
      </c>
      <c r="F268" s="189">
        <f t="shared" si="65"/>
        <v>773203.46</v>
      </c>
      <c r="G268" s="200">
        <v>485198.22</v>
      </c>
      <c r="H268" s="197">
        <v>288005.24</v>
      </c>
      <c r="I268" s="188">
        <v>913578.49</v>
      </c>
      <c r="J268" s="189">
        <f t="shared" si="66"/>
        <v>1201583.73</v>
      </c>
      <c r="K268" s="225">
        <v>650689.18999999994</v>
      </c>
      <c r="L268" s="189">
        <v>550894.54</v>
      </c>
      <c r="M268" s="219">
        <v>921973.61</v>
      </c>
      <c r="N268" s="189">
        <f t="shared" si="67"/>
        <v>1472868.15</v>
      </c>
      <c r="O268" s="225"/>
      <c r="P268" s="303">
        <v>1472868.15</v>
      </c>
      <c r="Q268" s="219">
        <v>1014075.41</v>
      </c>
      <c r="R268" s="189">
        <f t="shared" si="68"/>
        <v>2486943.56</v>
      </c>
      <c r="S268" s="225">
        <v>1311224.8999999999</v>
      </c>
      <c r="T268" s="303">
        <v>1175718.6600000001</v>
      </c>
      <c r="U268" s="303">
        <v>1076705.1200000001</v>
      </c>
      <c r="V268" s="189">
        <f t="shared" si="69"/>
        <v>2252423.7800000003</v>
      </c>
      <c r="W268" s="225"/>
      <c r="X268" s="303">
        <f t="shared" si="70"/>
        <v>2252423.7800000003</v>
      </c>
      <c r="Y268" s="303"/>
      <c r="AA268" s="67">
        <f t="shared" si="71"/>
        <v>0</v>
      </c>
      <c r="AC268" t="s">
        <v>555</v>
      </c>
      <c r="AD268" t="s">
        <v>1844</v>
      </c>
      <c r="AE268" s="481">
        <f t="shared" si="62"/>
        <v>1076705.1200000001</v>
      </c>
      <c r="AF268"/>
      <c r="AG268" s="48">
        <v>39521.89</v>
      </c>
      <c r="AH268" s="48">
        <v>6811.48</v>
      </c>
      <c r="AI268" s="48">
        <v>7810.4</v>
      </c>
      <c r="AJ268" s="48">
        <v>4592.6099999999997</v>
      </c>
      <c r="AK268" s="48">
        <v>165707.23000000001</v>
      </c>
      <c r="AL268" s="48">
        <v>852261.51</v>
      </c>
      <c r="AN268"/>
      <c r="AO268"/>
      <c r="AP268" t="str">
        <f t="shared" si="72"/>
        <v>18402</v>
      </c>
      <c r="AQ268" s="481">
        <f t="shared" si="73"/>
        <v>1076705.1200000001</v>
      </c>
    </row>
    <row r="269" spans="1:43">
      <c r="A269" s="217">
        <v>262</v>
      </c>
      <c r="B269" s="74" t="s">
        <v>557</v>
      </c>
      <c r="C269" s="74" t="s">
        <v>1845</v>
      </c>
      <c r="D269" s="186">
        <v>0</v>
      </c>
      <c r="E269" s="188">
        <v>96474.500000000015</v>
      </c>
      <c r="F269" s="189">
        <f t="shared" si="65"/>
        <v>96474.500000000015</v>
      </c>
      <c r="G269" s="200">
        <v>88822.92</v>
      </c>
      <c r="H269" s="197">
        <v>7651.5800000000163</v>
      </c>
      <c r="I269" s="188">
        <v>130950.89</v>
      </c>
      <c r="J269" s="189">
        <f t="shared" si="66"/>
        <v>138602.47000000003</v>
      </c>
      <c r="K269" s="225">
        <v>137178.56999999998</v>
      </c>
      <c r="L269" s="189">
        <v>1423.9000000000524</v>
      </c>
      <c r="M269" s="219">
        <v>122238.06</v>
      </c>
      <c r="N269" s="189">
        <f t="shared" si="67"/>
        <v>123661.96000000005</v>
      </c>
      <c r="O269" s="225">
        <v>195163.91999999998</v>
      </c>
      <c r="P269" s="303">
        <v>0</v>
      </c>
      <c r="Q269" s="219">
        <v>128903.36</v>
      </c>
      <c r="R269" s="189">
        <f t="shared" si="68"/>
        <v>128903.36</v>
      </c>
      <c r="S269" s="225">
        <v>152624.91999999998</v>
      </c>
      <c r="T269" s="303">
        <v>0</v>
      </c>
      <c r="U269" s="303">
        <v>127376.13</v>
      </c>
      <c r="V269" s="189">
        <f t="shared" si="69"/>
        <v>127376.13</v>
      </c>
      <c r="W269" s="225"/>
      <c r="X269" s="303">
        <f t="shared" si="70"/>
        <v>127376.13</v>
      </c>
      <c r="Y269" s="303"/>
      <c r="AA269" s="67">
        <f t="shared" si="71"/>
        <v>0</v>
      </c>
      <c r="AC269" t="s">
        <v>557</v>
      </c>
      <c r="AD269" t="s">
        <v>1846</v>
      </c>
      <c r="AE269" s="481">
        <f t="shared" si="62"/>
        <v>127376.13</v>
      </c>
      <c r="AF269"/>
      <c r="AG269" s="48">
        <v>4281.1000000000004</v>
      </c>
      <c r="AH269" s="48">
        <v>138.04</v>
      </c>
      <c r="AI269" s="48">
        <v>258.38</v>
      </c>
      <c r="AJ269" s="48">
        <v>580.49</v>
      </c>
      <c r="AK269" s="48">
        <v>19929.12</v>
      </c>
      <c r="AL269" s="48">
        <v>102189</v>
      </c>
      <c r="AN269"/>
      <c r="AO269"/>
      <c r="AP269" t="str">
        <f t="shared" si="72"/>
        <v>15206</v>
      </c>
      <c r="AQ269" s="481">
        <f t="shared" si="73"/>
        <v>127376.13</v>
      </c>
    </row>
    <row r="270" spans="1:43">
      <c r="A270" s="217">
        <v>263</v>
      </c>
      <c r="B270" s="74" t="s">
        <v>559</v>
      </c>
      <c r="C270" s="74" t="s">
        <v>1847</v>
      </c>
      <c r="D270" s="186">
        <v>0</v>
      </c>
      <c r="E270" s="188">
        <v>11687.57</v>
      </c>
      <c r="F270" s="189">
        <f t="shared" si="65"/>
        <v>11687.57</v>
      </c>
      <c r="G270" s="200"/>
      <c r="H270" s="197">
        <v>11687.57</v>
      </c>
      <c r="I270" s="188">
        <v>19453</v>
      </c>
      <c r="J270" s="189">
        <f t="shared" si="66"/>
        <v>31140.57</v>
      </c>
      <c r="K270" s="225"/>
      <c r="L270" s="189">
        <v>31140.57</v>
      </c>
      <c r="M270" s="219">
        <v>19572.96</v>
      </c>
      <c r="N270" s="189">
        <f t="shared" si="67"/>
        <v>50713.53</v>
      </c>
      <c r="O270" s="225">
        <v>22292.82</v>
      </c>
      <c r="P270" s="303">
        <v>28420.71</v>
      </c>
      <c r="Q270" s="219">
        <v>20621.170000000002</v>
      </c>
      <c r="R270" s="189">
        <f t="shared" si="68"/>
        <v>49041.880000000005</v>
      </c>
      <c r="S270" s="225">
        <v>16767.849999999999</v>
      </c>
      <c r="T270" s="303">
        <v>32274.030000000006</v>
      </c>
      <c r="U270" s="303">
        <v>23815.27</v>
      </c>
      <c r="V270" s="189">
        <f t="shared" si="69"/>
        <v>56089.3</v>
      </c>
      <c r="W270" s="225"/>
      <c r="X270" s="303">
        <f t="shared" si="70"/>
        <v>56089.3</v>
      </c>
      <c r="Y270" s="303"/>
      <c r="AA270" s="67">
        <f t="shared" si="71"/>
        <v>0</v>
      </c>
      <c r="AC270" t="s">
        <v>559</v>
      </c>
      <c r="AD270" t="s">
        <v>1848</v>
      </c>
      <c r="AE270" s="481">
        <f t="shared" si="62"/>
        <v>23815.27</v>
      </c>
      <c r="AF270"/>
      <c r="AG270" s="48">
        <v>908.49</v>
      </c>
      <c r="AH270" s="48">
        <v>0</v>
      </c>
      <c r="AI270" s="48">
        <v>206.48</v>
      </c>
      <c r="AJ270" s="48">
        <v>89.97</v>
      </c>
      <c r="AK270" s="48">
        <v>4054.17</v>
      </c>
      <c r="AL270" s="48">
        <v>18556.16</v>
      </c>
      <c r="AN270"/>
      <c r="AO270"/>
      <c r="AP270" t="str">
        <f t="shared" si="72"/>
        <v>23042</v>
      </c>
      <c r="AQ270" s="481">
        <f t="shared" si="73"/>
        <v>23815.27</v>
      </c>
    </row>
    <row r="271" spans="1:43">
      <c r="A271" s="217">
        <v>264</v>
      </c>
      <c r="B271" s="74" t="s">
        <v>561</v>
      </c>
      <c r="C271" s="74" t="s">
        <v>1849</v>
      </c>
      <c r="D271" s="186">
        <v>0</v>
      </c>
      <c r="E271" s="188">
        <v>2026171.1</v>
      </c>
      <c r="F271" s="189">
        <f t="shared" si="65"/>
        <v>2026171.1</v>
      </c>
      <c r="G271" s="200">
        <v>2025772.12</v>
      </c>
      <c r="H271" s="197">
        <v>398.97999999998137</v>
      </c>
      <c r="I271" s="188">
        <v>2771932.5</v>
      </c>
      <c r="J271" s="189">
        <f t="shared" si="66"/>
        <v>2772331.48</v>
      </c>
      <c r="K271" s="225">
        <v>2717516.1799999992</v>
      </c>
      <c r="L271" s="189">
        <v>54815.300000000745</v>
      </c>
      <c r="M271" s="219">
        <v>2765232.42</v>
      </c>
      <c r="N271" s="189">
        <f t="shared" si="67"/>
        <v>2820047.7200000007</v>
      </c>
      <c r="O271" s="225">
        <v>2765232.42</v>
      </c>
      <c r="P271" s="303">
        <v>54815.300000000745</v>
      </c>
      <c r="Q271" s="219">
        <v>2986523.9399999995</v>
      </c>
      <c r="R271" s="189">
        <f t="shared" si="68"/>
        <v>3041339.24</v>
      </c>
      <c r="S271" s="225">
        <v>2987037.46</v>
      </c>
      <c r="T271" s="303">
        <v>54301.780000000261</v>
      </c>
      <c r="U271" s="303">
        <v>3018244.88</v>
      </c>
      <c r="V271" s="189">
        <f t="shared" si="69"/>
        <v>3072546.66</v>
      </c>
      <c r="W271" s="225"/>
      <c r="X271" s="303">
        <f t="shared" si="70"/>
        <v>3072546.66</v>
      </c>
      <c r="Y271" s="303"/>
      <c r="AA271" s="67">
        <f t="shared" si="71"/>
        <v>0</v>
      </c>
      <c r="AC271" t="s">
        <v>561</v>
      </c>
      <c r="AD271" t="s">
        <v>1850</v>
      </c>
      <c r="AE271" s="481">
        <f t="shared" si="62"/>
        <v>3018244.88</v>
      </c>
      <c r="AF271"/>
      <c r="AG271" s="48">
        <v>163829.70000000001</v>
      </c>
      <c r="AH271" s="48">
        <v>78556.460000000006</v>
      </c>
      <c r="AI271" s="48">
        <v>54788.03</v>
      </c>
      <c r="AJ271" s="48">
        <v>12322.82</v>
      </c>
      <c r="AK271" s="48">
        <v>433746.61</v>
      </c>
      <c r="AL271" s="48">
        <v>2275001.2599999998</v>
      </c>
      <c r="AN271"/>
      <c r="AO271"/>
      <c r="AP271" t="str">
        <f t="shared" si="72"/>
        <v>32081</v>
      </c>
      <c r="AQ271" s="481">
        <f t="shared" si="73"/>
        <v>3018244.88</v>
      </c>
    </row>
    <row r="272" spans="1:43">
      <c r="A272" s="217">
        <v>265</v>
      </c>
      <c r="B272" s="74" t="s">
        <v>563</v>
      </c>
      <c r="C272" s="74" t="s">
        <v>1851</v>
      </c>
      <c r="D272" s="186">
        <v>3782.8700000000008</v>
      </c>
      <c r="E272" s="188">
        <v>29981.399999999998</v>
      </c>
      <c r="F272" s="189">
        <f t="shared" si="65"/>
        <v>33764.269999999997</v>
      </c>
      <c r="G272" s="200">
        <v>24954.42</v>
      </c>
      <c r="H272" s="198">
        <v>8809.8499999999985</v>
      </c>
      <c r="I272" s="188">
        <v>60079.340000000004</v>
      </c>
      <c r="J272" s="189">
        <f t="shared" si="66"/>
        <v>68889.19</v>
      </c>
      <c r="K272" s="225">
        <v>52371.63</v>
      </c>
      <c r="L272" s="189">
        <v>16517.560000000005</v>
      </c>
      <c r="M272" s="219">
        <v>80523.959999999992</v>
      </c>
      <c r="N272" s="189">
        <f t="shared" si="67"/>
        <v>97041.51999999999</v>
      </c>
      <c r="O272" s="225">
        <v>98642.880000000005</v>
      </c>
      <c r="P272" s="303">
        <v>0</v>
      </c>
      <c r="Q272" s="219">
        <v>91473.76999999999</v>
      </c>
      <c r="R272" s="189">
        <f t="shared" si="68"/>
        <v>91473.76999999999</v>
      </c>
      <c r="S272" s="225">
        <v>111080.93000000001</v>
      </c>
      <c r="T272" s="303">
        <v>0</v>
      </c>
      <c r="U272" s="303">
        <v>92057.98000000001</v>
      </c>
      <c r="V272" s="189">
        <f t="shared" si="69"/>
        <v>92057.98000000001</v>
      </c>
      <c r="W272" s="225"/>
      <c r="X272" s="303">
        <f t="shared" si="70"/>
        <v>92057.98000000001</v>
      </c>
      <c r="Y272" s="303"/>
      <c r="AA272" s="67">
        <f t="shared" si="71"/>
        <v>0</v>
      </c>
      <c r="AC272" t="s">
        <v>563</v>
      </c>
      <c r="AD272" t="s">
        <v>1852</v>
      </c>
      <c r="AE272" s="481">
        <f t="shared" si="62"/>
        <v>92057.98000000001</v>
      </c>
      <c r="AF272"/>
      <c r="AG272" s="48">
        <v>3350.16</v>
      </c>
      <c r="AH272" s="48">
        <v>0</v>
      </c>
      <c r="AI272" s="48">
        <v>1023.9</v>
      </c>
      <c r="AJ272" s="48">
        <v>327.83</v>
      </c>
      <c r="AK272" s="48">
        <v>9634.93</v>
      </c>
      <c r="AL272" s="48">
        <v>77721.16</v>
      </c>
      <c r="AN272"/>
      <c r="AO272"/>
      <c r="AP272" t="str">
        <f t="shared" si="72"/>
        <v>32901</v>
      </c>
      <c r="AQ272" s="481">
        <f t="shared" si="73"/>
        <v>92057.98000000001</v>
      </c>
    </row>
    <row r="273" spans="1:43">
      <c r="A273" s="217">
        <v>266</v>
      </c>
      <c r="B273" s="74" t="s">
        <v>565</v>
      </c>
      <c r="C273" s="74" t="s">
        <v>1853</v>
      </c>
      <c r="D273" s="186">
        <v>0</v>
      </c>
      <c r="E273" s="188">
        <v>11826.68</v>
      </c>
      <c r="F273" s="189">
        <f t="shared" si="65"/>
        <v>11826.68</v>
      </c>
      <c r="G273" s="200">
        <v>5760.83</v>
      </c>
      <c r="H273" s="197">
        <v>6065.85</v>
      </c>
      <c r="I273" s="188">
        <v>17912.149999999998</v>
      </c>
      <c r="J273" s="189">
        <f t="shared" si="66"/>
        <v>23978</v>
      </c>
      <c r="K273" s="225">
        <v>13827.349999999999</v>
      </c>
      <c r="L273" s="189">
        <v>10150.650000000001</v>
      </c>
      <c r="M273" s="219">
        <v>17930.599999999999</v>
      </c>
      <c r="N273" s="189">
        <f t="shared" si="67"/>
        <v>28081.25</v>
      </c>
      <c r="O273" s="225">
        <v>15983.18</v>
      </c>
      <c r="P273" s="303">
        <v>12098.07</v>
      </c>
      <c r="Q273" s="219">
        <v>18956.64</v>
      </c>
      <c r="R273" s="189">
        <f t="shared" si="68"/>
        <v>31054.71</v>
      </c>
      <c r="S273" s="225">
        <v>17877.059999999998</v>
      </c>
      <c r="T273" s="303">
        <v>13177.650000000001</v>
      </c>
      <c r="U273" s="303">
        <v>19031.84</v>
      </c>
      <c r="V273" s="189">
        <f t="shared" si="69"/>
        <v>32209.49</v>
      </c>
      <c r="W273" s="225"/>
      <c r="X273" s="303">
        <f t="shared" si="70"/>
        <v>32209.49</v>
      </c>
      <c r="Y273" s="303"/>
      <c r="AA273" s="67">
        <f t="shared" si="71"/>
        <v>0</v>
      </c>
      <c r="AC273" t="s">
        <v>565</v>
      </c>
      <c r="AD273" t="s">
        <v>1854</v>
      </c>
      <c r="AE273" s="481">
        <f t="shared" si="62"/>
        <v>19031.84</v>
      </c>
      <c r="AF273"/>
      <c r="AG273" s="48">
        <v>412.95</v>
      </c>
      <c r="AH273" s="48">
        <v>153.38999999999999</v>
      </c>
      <c r="AI273" s="48">
        <v>0</v>
      </c>
      <c r="AJ273" s="48">
        <v>26.55</v>
      </c>
      <c r="AK273" s="48">
        <v>1002.16</v>
      </c>
      <c r="AL273" s="48">
        <v>17436.79</v>
      </c>
      <c r="AN273"/>
      <c r="AO273"/>
      <c r="AP273" t="str">
        <f t="shared" si="72"/>
        <v>22008</v>
      </c>
      <c r="AQ273" s="481">
        <f t="shared" si="73"/>
        <v>19031.84</v>
      </c>
    </row>
    <row r="274" spans="1:43">
      <c r="A274" s="217">
        <v>267</v>
      </c>
      <c r="B274" s="74" t="s">
        <v>567</v>
      </c>
      <c r="C274" s="74" t="s">
        <v>1855</v>
      </c>
      <c r="D274" s="186">
        <v>0</v>
      </c>
      <c r="E274" s="188">
        <v>14023.789999999999</v>
      </c>
      <c r="F274" s="189">
        <f t="shared" si="65"/>
        <v>14023.789999999999</v>
      </c>
      <c r="G274" s="200">
        <v>13063.94</v>
      </c>
      <c r="H274" s="197">
        <v>959.84999999999854</v>
      </c>
      <c r="I274" s="188">
        <v>21847.350000000002</v>
      </c>
      <c r="J274" s="189">
        <f t="shared" si="66"/>
        <v>22807.200000000001</v>
      </c>
      <c r="K274" s="225">
        <v>20262.52</v>
      </c>
      <c r="L274" s="189">
        <v>2544.6800000000003</v>
      </c>
      <c r="M274" s="219">
        <v>21300.260000000002</v>
      </c>
      <c r="N274" s="189">
        <f t="shared" si="67"/>
        <v>23844.940000000002</v>
      </c>
      <c r="O274" s="225">
        <v>21485.74</v>
      </c>
      <c r="P274" s="303">
        <v>2359.2000000000007</v>
      </c>
      <c r="Q274" s="219">
        <v>24425.62</v>
      </c>
      <c r="R274" s="189">
        <f t="shared" si="68"/>
        <v>26784.82</v>
      </c>
      <c r="S274" s="225">
        <v>21067.61</v>
      </c>
      <c r="T274" s="303">
        <v>5717.2099999999991</v>
      </c>
      <c r="U274" s="303">
        <v>24284.949999999997</v>
      </c>
      <c r="V274" s="189">
        <f t="shared" si="69"/>
        <v>30002.159999999996</v>
      </c>
      <c r="W274" s="225"/>
      <c r="X274" s="303">
        <f t="shared" si="70"/>
        <v>30002.159999999996</v>
      </c>
      <c r="Y274" s="303"/>
      <c r="AA274" s="67">
        <f t="shared" si="71"/>
        <v>0</v>
      </c>
      <c r="AC274" t="s">
        <v>567</v>
      </c>
      <c r="AD274" t="s">
        <v>1856</v>
      </c>
      <c r="AE274" s="481">
        <f t="shared" si="62"/>
        <v>24284.949999999997</v>
      </c>
      <c r="AF274"/>
      <c r="AG274" s="48">
        <v>657.76</v>
      </c>
      <c r="AH274" s="48">
        <v>305.29000000000002</v>
      </c>
      <c r="AI274" s="48">
        <v>0</v>
      </c>
      <c r="AJ274" s="48">
        <v>56.05</v>
      </c>
      <c r="AK274" s="48">
        <v>1886.88</v>
      </c>
      <c r="AL274" s="48">
        <v>21378.969999999998</v>
      </c>
      <c r="AN274"/>
      <c r="AO274"/>
      <c r="AP274" t="str">
        <f t="shared" si="72"/>
        <v>38322</v>
      </c>
      <c r="AQ274" s="481">
        <f t="shared" si="73"/>
        <v>24284.949999999997</v>
      </c>
    </row>
    <row r="275" spans="1:43">
      <c r="A275" s="217">
        <v>268</v>
      </c>
      <c r="B275" s="74" t="s">
        <v>569</v>
      </c>
      <c r="C275" s="74" t="s">
        <v>1857</v>
      </c>
      <c r="D275" s="186">
        <v>3504.6899999999732</v>
      </c>
      <c r="E275" s="188">
        <v>340178.78</v>
      </c>
      <c r="F275" s="189">
        <f t="shared" si="65"/>
        <v>343683.47</v>
      </c>
      <c r="G275" s="200">
        <v>324945.01</v>
      </c>
      <c r="H275" s="197">
        <v>18738.459999999963</v>
      </c>
      <c r="I275" s="188">
        <v>453492.13</v>
      </c>
      <c r="J275" s="189">
        <f t="shared" si="66"/>
        <v>472230.58999999997</v>
      </c>
      <c r="K275" s="225">
        <v>483278.98999999987</v>
      </c>
      <c r="L275" s="189">
        <v>0</v>
      </c>
      <c r="M275" s="219">
        <v>480010.82</v>
      </c>
      <c r="N275" s="189">
        <f t="shared" si="67"/>
        <v>480010.82</v>
      </c>
      <c r="O275" s="225">
        <v>480010.81000000006</v>
      </c>
      <c r="P275" s="303">
        <v>9.9999999511055648E-3</v>
      </c>
      <c r="Q275" s="219">
        <v>532344.94999999995</v>
      </c>
      <c r="R275" s="189">
        <f t="shared" si="68"/>
        <v>532344.96</v>
      </c>
      <c r="S275" s="225">
        <v>532344.94999999995</v>
      </c>
      <c r="T275" s="303">
        <v>1.0000000009313226E-2</v>
      </c>
      <c r="U275" s="303">
        <v>542546.99</v>
      </c>
      <c r="V275" s="189">
        <f t="shared" si="69"/>
        <v>542547</v>
      </c>
      <c r="W275" s="225"/>
      <c r="X275" s="303">
        <f t="shared" si="70"/>
        <v>542547</v>
      </c>
      <c r="Y275" s="303"/>
      <c r="AA275" s="67">
        <f t="shared" si="71"/>
        <v>0</v>
      </c>
      <c r="AC275" t="s">
        <v>569</v>
      </c>
      <c r="AD275" t="s">
        <v>1858</v>
      </c>
      <c r="AE275" s="481">
        <f t="shared" si="62"/>
        <v>542546.99</v>
      </c>
      <c r="AF275"/>
      <c r="AG275" s="48">
        <v>15656.86</v>
      </c>
      <c r="AH275" s="48">
        <v>0</v>
      </c>
      <c r="AI275" s="48">
        <v>4094.88</v>
      </c>
      <c r="AJ275" s="48">
        <v>2346.37</v>
      </c>
      <c r="AK275" s="48">
        <v>84358.16</v>
      </c>
      <c r="AL275" s="48">
        <v>436090.72</v>
      </c>
      <c r="AN275"/>
      <c r="AO275"/>
      <c r="AP275" t="str">
        <f t="shared" si="72"/>
        <v>31401</v>
      </c>
      <c r="AQ275" s="481">
        <f t="shared" si="73"/>
        <v>542546.99</v>
      </c>
    </row>
    <row r="276" spans="1:43">
      <c r="A276" s="217">
        <v>269</v>
      </c>
      <c r="B276" s="74" t="s">
        <v>571</v>
      </c>
      <c r="C276" s="74" t="s">
        <v>1859</v>
      </c>
      <c r="D276" s="186">
        <v>32.439999999999827</v>
      </c>
      <c r="E276" s="188">
        <v>2068.1799999999998</v>
      </c>
      <c r="F276" s="189">
        <f t="shared" si="65"/>
        <v>2100.62</v>
      </c>
      <c r="G276" s="200"/>
      <c r="H276" s="197">
        <v>2100.62</v>
      </c>
      <c r="I276" s="188">
        <v>3150.87</v>
      </c>
      <c r="J276" s="189">
        <f t="shared" si="66"/>
        <v>5251.49</v>
      </c>
      <c r="K276" s="225"/>
      <c r="L276" s="189">
        <v>5251.49</v>
      </c>
      <c r="M276" s="219">
        <v>2915.85</v>
      </c>
      <c r="N276" s="189">
        <f t="shared" si="67"/>
        <v>8167.34</v>
      </c>
      <c r="O276" s="225">
        <v>2434.67</v>
      </c>
      <c r="P276" s="303">
        <v>5732.67</v>
      </c>
      <c r="Q276" s="219">
        <v>3056.14</v>
      </c>
      <c r="R276" s="189">
        <f t="shared" si="68"/>
        <v>8788.81</v>
      </c>
      <c r="S276" s="225">
        <v>5017.83</v>
      </c>
      <c r="T276" s="303">
        <v>3770.9799999999996</v>
      </c>
      <c r="U276" s="303">
        <v>2933.41</v>
      </c>
      <c r="V276" s="189">
        <f t="shared" si="69"/>
        <v>6704.3899999999994</v>
      </c>
      <c r="W276" s="225"/>
      <c r="X276" s="303">
        <f t="shared" si="70"/>
        <v>6704.3899999999994</v>
      </c>
      <c r="Y276" s="303"/>
      <c r="AA276" s="67">
        <f t="shared" si="71"/>
        <v>0</v>
      </c>
      <c r="AC276" t="s">
        <v>571</v>
      </c>
      <c r="AD276" t="s">
        <v>1860</v>
      </c>
      <c r="AE276" s="481">
        <f t="shared" si="62"/>
        <v>2933.41</v>
      </c>
      <c r="AF276"/>
      <c r="AG276" s="48">
        <v>0</v>
      </c>
      <c r="AH276" s="48">
        <v>0</v>
      </c>
      <c r="AI276" s="48">
        <v>0</v>
      </c>
      <c r="AJ276" s="48">
        <v>0</v>
      </c>
      <c r="AK276" s="48">
        <v>0</v>
      </c>
      <c r="AL276" s="48">
        <v>2933.41</v>
      </c>
      <c r="AN276"/>
      <c r="AO276"/>
      <c r="AP276" t="str">
        <f t="shared" si="72"/>
        <v>11054</v>
      </c>
      <c r="AQ276" s="481">
        <f t="shared" si="73"/>
        <v>2933.41</v>
      </c>
    </row>
    <row r="277" spans="1:43">
      <c r="A277" s="217">
        <v>270</v>
      </c>
      <c r="B277" s="74" t="s">
        <v>573</v>
      </c>
      <c r="C277" s="74" t="s">
        <v>1861</v>
      </c>
      <c r="D277" s="186">
        <v>144.45000000000027</v>
      </c>
      <c r="E277" s="188">
        <v>3646.2400000000002</v>
      </c>
      <c r="F277" s="189">
        <f t="shared" si="65"/>
        <v>3790.6900000000005</v>
      </c>
      <c r="G277" s="200"/>
      <c r="H277" s="197">
        <v>3790.6900000000005</v>
      </c>
      <c r="I277" s="188">
        <v>5362.2</v>
      </c>
      <c r="J277" s="189">
        <f t="shared" si="66"/>
        <v>9152.89</v>
      </c>
      <c r="K277" s="225">
        <v>3527</v>
      </c>
      <c r="L277" s="189">
        <v>5625.8899999999994</v>
      </c>
      <c r="M277" s="219">
        <v>14781.189999999999</v>
      </c>
      <c r="N277" s="189">
        <f t="shared" si="67"/>
        <v>20407.079999999998</v>
      </c>
      <c r="O277" s="225">
        <v>4862.67</v>
      </c>
      <c r="P277" s="303">
        <v>15544.409999999998</v>
      </c>
      <c r="Q277" s="219">
        <v>15594.35</v>
      </c>
      <c r="R277" s="189">
        <f t="shared" si="68"/>
        <v>31138.76</v>
      </c>
      <c r="S277" s="225">
        <v>5395.7300000000005</v>
      </c>
      <c r="T277" s="303">
        <v>25743.03</v>
      </c>
      <c r="U277" s="303">
        <v>13648.61</v>
      </c>
      <c r="V277" s="189">
        <f t="shared" si="69"/>
        <v>39391.64</v>
      </c>
      <c r="W277" s="225"/>
      <c r="X277" s="303">
        <f t="shared" si="70"/>
        <v>39391.64</v>
      </c>
      <c r="Y277" s="303"/>
      <c r="AA277" s="67">
        <f t="shared" si="71"/>
        <v>0</v>
      </c>
      <c r="AC277" t="s">
        <v>573</v>
      </c>
      <c r="AD277" t="s">
        <v>1862</v>
      </c>
      <c r="AE277" s="481">
        <f t="shared" si="62"/>
        <v>13648.61</v>
      </c>
      <c r="AF277"/>
      <c r="AG277" s="48">
        <v>3282.94</v>
      </c>
      <c r="AH277" s="48">
        <v>109.14</v>
      </c>
      <c r="AI277" s="48">
        <v>0</v>
      </c>
      <c r="AJ277" s="48">
        <v>0</v>
      </c>
      <c r="AK277" s="48">
        <v>9033.9</v>
      </c>
      <c r="AL277" s="48">
        <v>1222.6300000000001</v>
      </c>
      <c r="AN277"/>
      <c r="AO277"/>
      <c r="AP277" t="str">
        <f t="shared" si="72"/>
        <v>07035</v>
      </c>
      <c r="AQ277" s="481">
        <f t="shared" si="73"/>
        <v>13648.61</v>
      </c>
    </row>
    <row r="278" spans="1:43">
      <c r="A278" s="217">
        <v>271</v>
      </c>
      <c r="B278" s="74" t="s">
        <v>575</v>
      </c>
      <c r="C278" s="74" t="s">
        <v>1863</v>
      </c>
      <c r="D278" s="186">
        <v>872.78</v>
      </c>
      <c r="E278" s="188">
        <v>2073.58</v>
      </c>
      <c r="F278" s="189">
        <f t="shared" si="65"/>
        <v>2946.3599999999997</v>
      </c>
      <c r="G278" s="200"/>
      <c r="H278" s="197">
        <v>2946.3599999999997</v>
      </c>
      <c r="I278" s="188">
        <v>2889.57</v>
      </c>
      <c r="J278" s="189">
        <f t="shared" si="66"/>
        <v>5835.93</v>
      </c>
      <c r="K278" s="225"/>
      <c r="L278" s="189">
        <v>5835.93</v>
      </c>
      <c r="M278" s="219">
        <v>3327.13</v>
      </c>
      <c r="N278" s="189">
        <f t="shared" si="67"/>
        <v>9163.0600000000013</v>
      </c>
      <c r="O278" s="225"/>
      <c r="P278" s="303">
        <v>9163.0600000000013</v>
      </c>
      <c r="Q278" s="219">
        <v>3250.33</v>
      </c>
      <c r="R278" s="189">
        <f t="shared" si="68"/>
        <v>12413.390000000001</v>
      </c>
      <c r="S278" s="225">
        <v>0</v>
      </c>
      <c r="T278" s="303">
        <v>12413.390000000001</v>
      </c>
      <c r="U278" s="303">
        <v>3249.85</v>
      </c>
      <c r="V278" s="189">
        <f t="shared" si="69"/>
        <v>15663.240000000002</v>
      </c>
      <c r="W278" s="225"/>
      <c r="X278" s="303">
        <f t="shared" si="70"/>
        <v>15663.240000000002</v>
      </c>
      <c r="Y278" s="303"/>
      <c r="AA278" s="67">
        <f t="shared" si="71"/>
        <v>0</v>
      </c>
      <c r="AC278" t="s">
        <v>575</v>
      </c>
      <c r="AD278" t="s">
        <v>1864</v>
      </c>
      <c r="AE278" s="481">
        <f t="shared" si="62"/>
        <v>3249.85</v>
      </c>
      <c r="AF278"/>
      <c r="AG278" s="48">
        <v>0</v>
      </c>
      <c r="AH278" s="48">
        <v>0</v>
      </c>
      <c r="AI278" s="48">
        <v>0</v>
      </c>
      <c r="AJ278" s="48">
        <v>0</v>
      </c>
      <c r="AK278" s="48">
        <v>0</v>
      </c>
      <c r="AL278" s="48">
        <v>3249.85</v>
      </c>
      <c r="AN278"/>
      <c r="AO278"/>
      <c r="AP278" t="str">
        <f t="shared" si="72"/>
        <v>04069</v>
      </c>
      <c r="AQ278" s="481">
        <f t="shared" si="73"/>
        <v>3249.85</v>
      </c>
    </row>
    <row r="279" spans="1:43">
      <c r="A279" s="217">
        <v>272</v>
      </c>
      <c r="B279" s="74" t="s">
        <v>577</v>
      </c>
      <c r="C279" s="74" t="s">
        <v>1865</v>
      </c>
      <c r="D279" s="186">
        <v>22919.229999999996</v>
      </c>
      <c r="E279" s="188">
        <v>207557.63</v>
      </c>
      <c r="F279" s="189">
        <f t="shared" si="65"/>
        <v>230476.86</v>
      </c>
      <c r="G279" s="200">
        <v>180765.44</v>
      </c>
      <c r="H279" s="197">
        <v>49711.419999999984</v>
      </c>
      <c r="I279" s="188">
        <v>281547.06</v>
      </c>
      <c r="J279" s="189">
        <f t="shared" si="66"/>
        <v>331258.48</v>
      </c>
      <c r="K279" s="225">
        <v>331258.2</v>
      </c>
      <c r="L279" s="189">
        <v>0.27999999996973202</v>
      </c>
      <c r="M279" s="219">
        <v>281002.34000000003</v>
      </c>
      <c r="N279" s="189">
        <f t="shared" si="67"/>
        <v>281002.62</v>
      </c>
      <c r="O279" s="225">
        <v>281002.56</v>
      </c>
      <c r="P279" s="303">
        <v>5.9999999997671694E-2</v>
      </c>
      <c r="Q279" s="219">
        <v>301901.27999999997</v>
      </c>
      <c r="R279" s="189">
        <f t="shared" si="68"/>
        <v>301901.33999999997</v>
      </c>
      <c r="S279" s="225">
        <v>265883.84999999998</v>
      </c>
      <c r="T279" s="303">
        <v>36017.489999999991</v>
      </c>
      <c r="U279" s="303">
        <v>306327.90999999997</v>
      </c>
      <c r="V279" s="189">
        <f t="shared" si="69"/>
        <v>342345.39999999997</v>
      </c>
      <c r="W279" s="225"/>
      <c r="X279" s="303">
        <f t="shared" si="70"/>
        <v>342345.39999999997</v>
      </c>
      <c r="Y279" s="303"/>
      <c r="AA279" s="67">
        <f t="shared" si="71"/>
        <v>0</v>
      </c>
      <c r="AC279" t="s">
        <v>577</v>
      </c>
      <c r="AD279" t="s">
        <v>1866</v>
      </c>
      <c r="AE279" s="481">
        <f t="shared" si="62"/>
        <v>306327.90999999997</v>
      </c>
      <c r="AF279"/>
      <c r="AG279" s="48">
        <v>8648.2199999999993</v>
      </c>
      <c r="AH279" s="48">
        <v>62.54</v>
      </c>
      <c r="AI279" s="48">
        <v>3101.61</v>
      </c>
      <c r="AJ279" s="48">
        <v>1350.7</v>
      </c>
      <c r="AK279" s="48">
        <v>43243.54</v>
      </c>
      <c r="AL279" s="48">
        <v>249921.3</v>
      </c>
      <c r="AN279"/>
      <c r="AO279"/>
      <c r="AP279" t="str">
        <f t="shared" si="72"/>
        <v>27001</v>
      </c>
      <c r="AQ279" s="481">
        <f t="shared" si="73"/>
        <v>306327.90999999997</v>
      </c>
    </row>
    <row r="280" spans="1:43">
      <c r="A280" s="217">
        <v>273</v>
      </c>
      <c r="B280" s="74" t="s">
        <v>579</v>
      </c>
      <c r="C280" s="74" t="s">
        <v>1867</v>
      </c>
      <c r="D280" s="186">
        <v>0</v>
      </c>
      <c r="E280" s="188">
        <v>3785.87</v>
      </c>
      <c r="F280" s="189">
        <f t="shared" si="65"/>
        <v>3785.87</v>
      </c>
      <c r="G280" s="200">
        <v>0.01</v>
      </c>
      <c r="H280" s="197">
        <v>3785.8599999999997</v>
      </c>
      <c r="I280" s="188">
        <v>5592.59</v>
      </c>
      <c r="J280" s="189">
        <f t="shared" si="66"/>
        <v>9378.4500000000007</v>
      </c>
      <c r="K280" s="225"/>
      <c r="L280" s="189">
        <v>9378.4500000000007</v>
      </c>
      <c r="M280" s="219">
        <v>5686.3200000000006</v>
      </c>
      <c r="N280" s="189">
        <f t="shared" si="67"/>
        <v>15064.77</v>
      </c>
      <c r="O280" s="225">
        <v>4987.2</v>
      </c>
      <c r="P280" s="303">
        <v>10077.57</v>
      </c>
      <c r="Q280" s="219">
        <v>5856.4000000000005</v>
      </c>
      <c r="R280" s="189">
        <f t="shared" si="68"/>
        <v>15933.970000000001</v>
      </c>
      <c r="S280" s="225">
        <v>4680.9799999999996</v>
      </c>
      <c r="T280" s="303">
        <v>11252.990000000002</v>
      </c>
      <c r="U280" s="303">
        <v>6115.29</v>
      </c>
      <c r="V280" s="189">
        <f t="shared" si="69"/>
        <v>17368.280000000002</v>
      </c>
      <c r="W280" s="225"/>
      <c r="X280" s="303">
        <f t="shared" si="70"/>
        <v>17368.280000000002</v>
      </c>
      <c r="Y280" s="303"/>
      <c r="AA280" s="67">
        <f t="shared" si="71"/>
        <v>0</v>
      </c>
      <c r="AC280" t="s">
        <v>579</v>
      </c>
      <c r="AD280" t="s">
        <v>1868</v>
      </c>
      <c r="AE280" s="481">
        <f t="shared" si="62"/>
        <v>6115.29</v>
      </c>
      <c r="AF280"/>
      <c r="AG280" s="48">
        <v>0</v>
      </c>
      <c r="AH280" s="48">
        <v>0</v>
      </c>
      <c r="AI280" s="48">
        <v>0</v>
      </c>
      <c r="AJ280" s="48">
        <v>0</v>
      </c>
      <c r="AK280" s="48">
        <v>472.4</v>
      </c>
      <c r="AL280" s="48">
        <v>5642.89</v>
      </c>
      <c r="AN280"/>
      <c r="AO280"/>
      <c r="AP280" t="str">
        <f t="shared" si="72"/>
        <v>38304</v>
      </c>
      <c r="AQ280" s="481">
        <f t="shared" si="73"/>
        <v>6115.29</v>
      </c>
    </row>
    <row r="281" spans="1:43">
      <c r="A281" s="217">
        <v>274</v>
      </c>
      <c r="B281" s="74" t="s">
        <v>581</v>
      </c>
      <c r="C281" s="74" t="s">
        <v>1869</v>
      </c>
      <c r="D281" s="186">
        <v>24179.019999999997</v>
      </c>
      <c r="E281" s="188">
        <v>49493.319999999992</v>
      </c>
      <c r="F281" s="189">
        <f t="shared" si="65"/>
        <v>73672.34</v>
      </c>
      <c r="G281" s="200">
        <v>4719.63</v>
      </c>
      <c r="H281" s="197">
        <v>68952.709999999992</v>
      </c>
      <c r="I281" s="188">
        <v>67787.489999999991</v>
      </c>
      <c r="J281" s="189">
        <f t="shared" si="66"/>
        <v>136740.19999999998</v>
      </c>
      <c r="K281" s="225">
        <v>9498.2099999999991</v>
      </c>
      <c r="L281" s="189">
        <v>127241.98999999999</v>
      </c>
      <c r="M281" s="219">
        <v>67283.25</v>
      </c>
      <c r="N281" s="189">
        <f t="shared" si="67"/>
        <v>194525.24</v>
      </c>
      <c r="O281" s="225">
        <v>14694.67</v>
      </c>
      <c r="P281" s="303">
        <v>179830.56999999998</v>
      </c>
      <c r="Q281" s="219">
        <v>75277.670000000013</v>
      </c>
      <c r="R281" s="189">
        <f t="shared" si="68"/>
        <v>255108.24</v>
      </c>
      <c r="S281" s="225">
        <v>74493.179999999993</v>
      </c>
      <c r="T281" s="303">
        <v>180615.06</v>
      </c>
      <c r="U281" s="303">
        <v>69922.62</v>
      </c>
      <c r="V281" s="189">
        <f t="shared" si="69"/>
        <v>250537.68</v>
      </c>
      <c r="W281" s="225"/>
      <c r="X281" s="303">
        <f t="shared" si="70"/>
        <v>250537.68</v>
      </c>
      <c r="Y281" s="303"/>
      <c r="AA281" s="67">
        <f t="shared" si="71"/>
        <v>0</v>
      </c>
      <c r="AC281" t="s">
        <v>581</v>
      </c>
      <c r="AD281" t="s">
        <v>1870</v>
      </c>
      <c r="AE281" s="481">
        <f t="shared" si="62"/>
        <v>69922.62</v>
      </c>
      <c r="AF281"/>
      <c r="AG281" s="48">
        <v>4189.96</v>
      </c>
      <c r="AH281" s="48">
        <v>2427.5500000000002</v>
      </c>
      <c r="AI281" s="48">
        <v>390.83</v>
      </c>
      <c r="AJ281" s="48">
        <v>325.93</v>
      </c>
      <c r="AK281" s="48">
        <v>0</v>
      </c>
      <c r="AL281" s="48">
        <v>62588.35</v>
      </c>
      <c r="AN281"/>
      <c r="AO281"/>
      <c r="AP281" t="str">
        <f t="shared" si="72"/>
        <v>30303</v>
      </c>
      <c r="AQ281" s="481">
        <f t="shared" si="73"/>
        <v>69922.62</v>
      </c>
    </row>
    <row r="282" spans="1:43">
      <c r="A282" s="217">
        <v>275</v>
      </c>
      <c r="B282" s="74" t="s">
        <v>583</v>
      </c>
      <c r="C282" s="74" t="s">
        <v>1871</v>
      </c>
      <c r="D282" s="186">
        <v>7218.1300000000047</v>
      </c>
      <c r="E282" s="188">
        <v>150885.29999999999</v>
      </c>
      <c r="F282" s="189">
        <f t="shared" ref="F282:F313" si="74">+D282+E282</f>
        <v>158103.43</v>
      </c>
      <c r="G282" s="200">
        <v>131180.04</v>
      </c>
      <c r="H282" s="197">
        <v>26923.389999999985</v>
      </c>
      <c r="I282" s="188">
        <v>199013.01</v>
      </c>
      <c r="J282" s="189">
        <f t="shared" ref="J282:J313" si="75">+H282+I282</f>
        <v>225936.4</v>
      </c>
      <c r="K282" s="225">
        <v>197019.03</v>
      </c>
      <c r="L282" s="189">
        <v>28917.369999999995</v>
      </c>
      <c r="M282" s="219">
        <v>216398.22999999998</v>
      </c>
      <c r="N282" s="189">
        <f t="shared" ref="N282:N313" si="76">+L282+M282</f>
        <v>245315.59999999998</v>
      </c>
      <c r="O282" s="225">
        <v>207020.65</v>
      </c>
      <c r="P282" s="303">
        <v>38294.949999999983</v>
      </c>
      <c r="Q282" s="219">
        <v>256532.2</v>
      </c>
      <c r="R282" s="189">
        <f t="shared" ref="R282:R313" si="77">+P282+Q282</f>
        <v>294827.15000000002</v>
      </c>
      <c r="S282" s="225">
        <v>222751.58000000005</v>
      </c>
      <c r="T282" s="303">
        <v>72075.569999999978</v>
      </c>
      <c r="U282" s="303">
        <v>261883.31</v>
      </c>
      <c r="V282" s="189">
        <f t="shared" ref="V282:V313" si="78">+T282+U282</f>
        <v>333958.88</v>
      </c>
      <c r="W282" s="225"/>
      <c r="X282" s="303">
        <f t="shared" si="70"/>
        <v>333958.88</v>
      </c>
      <c r="Y282" s="303"/>
      <c r="AA282" s="67">
        <f t="shared" si="71"/>
        <v>0</v>
      </c>
      <c r="AC282" t="s">
        <v>583</v>
      </c>
      <c r="AD282" t="s">
        <v>1872</v>
      </c>
      <c r="AE282" s="481">
        <f t="shared" si="62"/>
        <v>261883.31</v>
      </c>
      <c r="AF282"/>
      <c r="AG282" s="48">
        <v>11933.14</v>
      </c>
      <c r="AH282" s="48">
        <v>10003.17</v>
      </c>
      <c r="AI282" s="48">
        <v>7577.21</v>
      </c>
      <c r="AJ282" s="48">
        <v>1016.32</v>
      </c>
      <c r="AK282" s="48">
        <v>37443.870000000003</v>
      </c>
      <c r="AL282" s="48">
        <v>193909.6</v>
      </c>
      <c r="AN282"/>
      <c r="AO282"/>
      <c r="AP282" t="str">
        <f t="shared" si="72"/>
        <v>31311</v>
      </c>
      <c r="AQ282" s="481">
        <f t="shared" si="73"/>
        <v>261883.31</v>
      </c>
    </row>
    <row r="283" spans="1:43">
      <c r="A283" s="217">
        <v>276</v>
      </c>
      <c r="B283" s="74" t="s">
        <v>585</v>
      </c>
      <c r="C283" s="74" t="s">
        <v>1873</v>
      </c>
      <c r="D283" s="186">
        <v>101.68000000000029</v>
      </c>
      <c r="E283" s="188">
        <v>4909.88</v>
      </c>
      <c r="F283" s="189">
        <f t="shared" si="74"/>
        <v>5011.5600000000004</v>
      </c>
      <c r="G283" s="200">
        <v>4561.25</v>
      </c>
      <c r="H283" s="197">
        <v>450.3100000000004</v>
      </c>
      <c r="I283" s="188">
        <v>7295.2</v>
      </c>
      <c r="J283" s="189">
        <f t="shared" si="75"/>
        <v>7745.51</v>
      </c>
      <c r="K283" s="225">
        <v>7664.35</v>
      </c>
      <c r="L283" s="189">
        <v>81.159999999999854</v>
      </c>
      <c r="M283" s="219">
        <v>8184.16</v>
      </c>
      <c r="N283" s="189">
        <f t="shared" si="76"/>
        <v>8265.32</v>
      </c>
      <c r="O283" s="225">
        <v>9003.36</v>
      </c>
      <c r="P283" s="303">
        <v>0</v>
      </c>
      <c r="Q283" s="219">
        <v>9771.33</v>
      </c>
      <c r="R283" s="189">
        <f t="shared" si="77"/>
        <v>9771.33</v>
      </c>
      <c r="S283" s="225">
        <v>10655.13</v>
      </c>
      <c r="T283" s="303">
        <v>0</v>
      </c>
      <c r="U283" s="303">
        <v>10900.23</v>
      </c>
      <c r="V283" s="189">
        <f t="shared" si="78"/>
        <v>10900.23</v>
      </c>
      <c r="W283" s="225"/>
      <c r="X283" s="303">
        <f t="shared" si="70"/>
        <v>10900.23</v>
      </c>
      <c r="Y283" s="303"/>
      <c r="AA283" s="67">
        <f t="shared" si="71"/>
        <v>0</v>
      </c>
      <c r="AC283" t="s">
        <v>585</v>
      </c>
      <c r="AD283" t="s">
        <v>1874</v>
      </c>
      <c r="AE283" s="481">
        <f t="shared" si="62"/>
        <v>10900.23</v>
      </c>
      <c r="AF283"/>
      <c r="AG283" s="48">
        <v>607.63</v>
      </c>
      <c r="AH283" s="48">
        <v>327.41000000000003</v>
      </c>
      <c r="AI283" s="48">
        <v>0</v>
      </c>
      <c r="AJ283" s="48">
        <v>35.4</v>
      </c>
      <c r="AK283" s="48">
        <v>1206.23</v>
      </c>
      <c r="AL283" s="48">
        <v>8723.56</v>
      </c>
      <c r="AN283"/>
      <c r="AO283"/>
      <c r="AP283" t="str">
        <f t="shared" si="72"/>
        <v>33202</v>
      </c>
      <c r="AQ283" s="481">
        <f t="shared" si="73"/>
        <v>10900.23</v>
      </c>
    </row>
    <row r="284" spans="1:43">
      <c r="A284" s="217">
        <v>277</v>
      </c>
      <c r="B284" s="74" t="s">
        <v>587</v>
      </c>
      <c r="C284" s="74" t="s">
        <v>1875</v>
      </c>
      <c r="D284" s="186">
        <v>12389.9</v>
      </c>
      <c r="E284" s="188">
        <v>31218.53</v>
      </c>
      <c r="F284" s="189">
        <f t="shared" si="74"/>
        <v>43608.43</v>
      </c>
      <c r="G284" s="200"/>
      <c r="H284" s="198">
        <v>43608.43</v>
      </c>
      <c r="I284" s="188">
        <v>48647.05</v>
      </c>
      <c r="J284" s="189">
        <f t="shared" si="75"/>
        <v>92255.48000000001</v>
      </c>
      <c r="K284" s="225">
        <v>39061.42</v>
      </c>
      <c r="L284" s="189">
        <v>53194.060000000012</v>
      </c>
      <c r="M284" s="219">
        <v>48478.1</v>
      </c>
      <c r="N284" s="189">
        <f t="shared" si="76"/>
        <v>101672.16</v>
      </c>
      <c r="O284" s="225">
        <v>46044.76</v>
      </c>
      <c r="P284" s="303">
        <v>55627.4</v>
      </c>
      <c r="Q284" s="219">
        <v>46259.96</v>
      </c>
      <c r="R284" s="189">
        <f t="shared" si="77"/>
        <v>101887.36</v>
      </c>
      <c r="S284" s="225">
        <v>37246.97</v>
      </c>
      <c r="T284" s="303">
        <v>64640.39</v>
      </c>
      <c r="U284" s="303">
        <v>53621.120000000003</v>
      </c>
      <c r="V284" s="189">
        <f t="shared" si="78"/>
        <v>118261.51000000001</v>
      </c>
      <c r="W284" s="225"/>
      <c r="X284" s="303">
        <f t="shared" si="70"/>
        <v>118261.51000000001</v>
      </c>
      <c r="Y284" s="303"/>
      <c r="AA284" s="67">
        <f t="shared" si="71"/>
        <v>0</v>
      </c>
      <c r="AC284" t="s">
        <v>587</v>
      </c>
      <c r="AD284" t="s">
        <v>1876</v>
      </c>
      <c r="AE284" s="481">
        <f t="shared" ref="AE284:AE338" si="79">SUM(AG284:AL284)</f>
        <v>53621.120000000003</v>
      </c>
      <c r="AF284"/>
      <c r="AG284" s="48">
        <v>2137.0700000000002</v>
      </c>
      <c r="AH284" s="48">
        <v>0</v>
      </c>
      <c r="AI284" s="48">
        <v>3001.99</v>
      </c>
      <c r="AJ284" s="48">
        <v>268.01</v>
      </c>
      <c r="AK284" s="48">
        <v>7670.61</v>
      </c>
      <c r="AL284" s="48">
        <v>40543.440000000002</v>
      </c>
      <c r="AN284"/>
      <c r="AO284"/>
      <c r="AP284" t="str">
        <f t="shared" si="72"/>
        <v>17905</v>
      </c>
      <c r="AQ284" s="481">
        <f t="shared" si="73"/>
        <v>53621.120000000003</v>
      </c>
    </row>
    <row r="285" spans="1:43">
      <c r="A285" s="217">
        <v>278</v>
      </c>
      <c r="B285" s="74" t="s">
        <v>589</v>
      </c>
      <c r="C285" s="74" t="s">
        <v>1877</v>
      </c>
      <c r="D285" s="186">
        <v>7084.1899999999987</v>
      </c>
      <c r="E285" s="188">
        <v>14517.61</v>
      </c>
      <c r="F285" s="189">
        <f t="shared" si="74"/>
        <v>21601.8</v>
      </c>
      <c r="G285" s="200"/>
      <c r="H285" s="198">
        <v>21601.8</v>
      </c>
      <c r="I285" s="188">
        <v>22624.02</v>
      </c>
      <c r="J285" s="189">
        <f t="shared" si="75"/>
        <v>44225.82</v>
      </c>
      <c r="K285" s="225">
        <v>18219.29</v>
      </c>
      <c r="L285" s="189">
        <v>26006.53</v>
      </c>
      <c r="M285" s="219">
        <v>22077.360000000001</v>
      </c>
      <c r="N285" s="189">
        <f t="shared" si="76"/>
        <v>48083.89</v>
      </c>
      <c r="O285" s="225">
        <v>21048.25</v>
      </c>
      <c r="P285" s="303">
        <v>27035.64</v>
      </c>
      <c r="Q285" s="219">
        <v>20866.95</v>
      </c>
      <c r="R285" s="189">
        <f t="shared" si="77"/>
        <v>47902.59</v>
      </c>
      <c r="S285" s="225">
        <v>16868.7</v>
      </c>
      <c r="T285" s="303">
        <v>31033.889999999996</v>
      </c>
      <c r="U285" s="303">
        <v>22273.699999999997</v>
      </c>
      <c r="V285" s="189">
        <f t="shared" si="78"/>
        <v>53307.59</v>
      </c>
      <c r="W285" s="225"/>
      <c r="X285" s="303">
        <f t="shared" si="70"/>
        <v>53307.59</v>
      </c>
      <c r="Y285" s="303"/>
      <c r="AA285" s="67">
        <f t="shared" si="71"/>
        <v>0</v>
      </c>
      <c r="AC285" t="s">
        <v>589</v>
      </c>
      <c r="AD285" t="s">
        <v>1878</v>
      </c>
      <c r="AE285" s="481">
        <f t="shared" si="79"/>
        <v>22273.699999999997</v>
      </c>
      <c r="AF285"/>
      <c r="AG285" s="48">
        <v>944.82</v>
      </c>
      <c r="AH285" s="48">
        <v>733.39</v>
      </c>
      <c r="AI285" s="48">
        <v>371.65</v>
      </c>
      <c r="AJ285" s="48">
        <v>72.67</v>
      </c>
      <c r="AK285" s="48">
        <v>2125.12</v>
      </c>
      <c r="AL285" s="48">
        <v>18026.05</v>
      </c>
      <c r="AN285"/>
      <c r="AO285"/>
      <c r="AP285" t="str">
        <f t="shared" si="72"/>
        <v>27905</v>
      </c>
      <c r="AQ285" s="481">
        <f t="shared" si="73"/>
        <v>22273.699999999997</v>
      </c>
    </row>
    <row r="286" spans="1:43">
      <c r="A286" s="217">
        <v>279</v>
      </c>
      <c r="B286" s="74" t="s">
        <v>591</v>
      </c>
      <c r="C286" s="74" t="s">
        <v>1879</v>
      </c>
      <c r="D286" s="186">
        <v>11229.019999999999</v>
      </c>
      <c r="E286" s="188">
        <v>20889.72</v>
      </c>
      <c r="F286" s="189">
        <f t="shared" si="74"/>
        <v>32118.739999999998</v>
      </c>
      <c r="G286" s="200"/>
      <c r="H286" s="198">
        <v>32118.739999999998</v>
      </c>
      <c r="I286" s="188">
        <v>36273.120000000003</v>
      </c>
      <c r="J286" s="189">
        <f t="shared" si="75"/>
        <v>68391.86</v>
      </c>
      <c r="K286" s="225">
        <v>29163.63</v>
      </c>
      <c r="L286" s="189">
        <v>39228.229999999996</v>
      </c>
      <c r="M286" s="219">
        <v>30143.579999999998</v>
      </c>
      <c r="N286" s="189">
        <f t="shared" si="76"/>
        <v>69371.81</v>
      </c>
      <c r="O286" s="225">
        <v>25236.870000000003</v>
      </c>
      <c r="P286" s="303">
        <v>44134.939999999995</v>
      </c>
      <c r="Q286" s="219">
        <v>24868.440000000002</v>
      </c>
      <c r="R286" s="189">
        <f t="shared" si="77"/>
        <v>69003.38</v>
      </c>
      <c r="S286" s="225">
        <v>21592.309999999998</v>
      </c>
      <c r="T286" s="303">
        <v>47411.070000000007</v>
      </c>
      <c r="U286" s="303">
        <v>24836.61</v>
      </c>
      <c r="V286" s="189">
        <f t="shared" si="78"/>
        <v>72247.680000000008</v>
      </c>
      <c r="W286" s="225"/>
      <c r="X286" s="303">
        <f t="shared" si="70"/>
        <v>72247.680000000008</v>
      </c>
      <c r="Y286" s="303"/>
      <c r="AA286" s="67">
        <f t="shared" si="71"/>
        <v>0</v>
      </c>
      <c r="AC286" t="s">
        <v>591</v>
      </c>
      <c r="AD286" t="s">
        <v>1880</v>
      </c>
      <c r="AE286" s="481">
        <f t="shared" si="79"/>
        <v>24836.61</v>
      </c>
      <c r="AF286"/>
      <c r="AG286" s="48">
        <v>837.08</v>
      </c>
      <c r="AH286" s="48">
        <v>0</v>
      </c>
      <c r="AI286" s="48">
        <v>908.43</v>
      </c>
      <c r="AJ286" s="48">
        <v>111.38</v>
      </c>
      <c r="AK286" s="48">
        <v>3234.44</v>
      </c>
      <c r="AL286" s="48">
        <v>19745.28</v>
      </c>
      <c r="AN286"/>
      <c r="AO286"/>
      <c r="AP286" t="str">
        <f t="shared" si="72"/>
        <v>17902</v>
      </c>
      <c r="AQ286" s="481">
        <f t="shared" si="73"/>
        <v>24836.61</v>
      </c>
    </row>
    <row r="287" spans="1:43">
      <c r="A287" s="217">
        <v>280</v>
      </c>
      <c r="B287" s="74" t="s">
        <v>593</v>
      </c>
      <c r="C287" s="74" t="s">
        <v>1881</v>
      </c>
      <c r="D287" s="186">
        <v>0</v>
      </c>
      <c r="E287" s="188">
        <v>656292.27000000014</v>
      </c>
      <c r="F287" s="189">
        <f t="shared" si="74"/>
        <v>656292.27000000014</v>
      </c>
      <c r="G287" s="200">
        <v>656292.27</v>
      </c>
      <c r="H287" s="197">
        <v>1.1641532182693481E-10</v>
      </c>
      <c r="I287" s="188">
        <v>936195.5199999999</v>
      </c>
      <c r="J287" s="189">
        <f t="shared" si="75"/>
        <v>936195.52</v>
      </c>
      <c r="K287" s="225">
        <v>1278829.6099999999</v>
      </c>
      <c r="L287" s="189">
        <v>0</v>
      </c>
      <c r="M287" s="219">
        <v>975914.63000000012</v>
      </c>
      <c r="N287" s="189">
        <f t="shared" si="76"/>
        <v>975914.63000000012</v>
      </c>
      <c r="O287" s="225">
        <v>1321066.6399999999</v>
      </c>
      <c r="P287" s="303">
        <v>0</v>
      </c>
      <c r="Q287" s="219">
        <v>1086196.46</v>
      </c>
      <c r="R287" s="189">
        <f t="shared" si="77"/>
        <v>1086196.46</v>
      </c>
      <c r="S287" s="225">
        <v>1449386.3199999998</v>
      </c>
      <c r="T287" s="303">
        <v>0</v>
      </c>
      <c r="U287" s="303">
        <v>1126296.78</v>
      </c>
      <c r="V287" s="189">
        <f t="shared" si="78"/>
        <v>1126296.78</v>
      </c>
      <c r="W287" s="225"/>
      <c r="X287" s="303">
        <f t="shared" si="70"/>
        <v>1126296.78</v>
      </c>
      <c r="Y287" s="303"/>
      <c r="AA287" s="67">
        <f t="shared" si="71"/>
        <v>0</v>
      </c>
      <c r="AC287" t="s">
        <v>593</v>
      </c>
      <c r="AD287" t="s">
        <v>1882</v>
      </c>
      <c r="AE287" s="481">
        <f t="shared" si="79"/>
        <v>1126296.78</v>
      </c>
      <c r="AF287"/>
      <c r="AG287" s="48">
        <v>31584</v>
      </c>
      <c r="AH287" s="48">
        <v>1945.81</v>
      </c>
      <c r="AI287" s="48">
        <v>15873.76</v>
      </c>
      <c r="AJ287" s="48">
        <v>4902.53</v>
      </c>
      <c r="AK287" s="48">
        <v>151698.71</v>
      </c>
      <c r="AL287" s="48">
        <v>920291.97</v>
      </c>
      <c r="AN287"/>
      <c r="AO287"/>
      <c r="AP287" t="str">
        <f t="shared" si="72"/>
        <v>27320</v>
      </c>
      <c r="AQ287" s="481">
        <f t="shared" si="73"/>
        <v>1126296.78</v>
      </c>
    </row>
    <row r="288" spans="1:43">
      <c r="A288" s="217">
        <v>281</v>
      </c>
      <c r="B288" s="74" t="s">
        <v>595</v>
      </c>
      <c r="C288" s="74" t="s">
        <v>1883</v>
      </c>
      <c r="D288" s="186">
        <v>15491.98000000004</v>
      </c>
      <c r="E288" s="188">
        <v>459427.4</v>
      </c>
      <c r="F288" s="189">
        <f t="shared" si="74"/>
        <v>474919.38000000006</v>
      </c>
      <c r="G288" s="200">
        <v>416081.97</v>
      </c>
      <c r="H288" s="197">
        <v>58837.410000000091</v>
      </c>
      <c r="I288" s="188">
        <v>673822.48</v>
      </c>
      <c r="J288" s="189">
        <f t="shared" si="75"/>
        <v>732659.89000000013</v>
      </c>
      <c r="K288" s="225">
        <v>642145.70000000019</v>
      </c>
      <c r="L288" s="189">
        <v>90514.189999999944</v>
      </c>
      <c r="M288" s="219">
        <v>681158.07000000007</v>
      </c>
      <c r="N288" s="189">
        <f t="shared" si="76"/>
        <v>771672.26</v>
      </c>
      <c r="O288" s="225">
        <v>654449.36</v>
      </c>
      <c r="P288" s="303">
        <v>117222.90000000002</v>
      </c>
      <c r="Q288" s="219">
        <v>716430.34000000008</v>
      </c>
      <c r="R288" s="189">
        <f t="shared" si="77"/>
        <v>833653.24000000011</v>
      </c>
      <c r="S288" s="225">
        <v>680859.62999999989</v>
      </c>
      <c r="T288" s="303">
        <v>152793.61000000022</v>
      </c>
      <c r="U288" s="303">
        <v>706641</v>
      </c>
      <c r="V288" s="189">
        <f t="shared" si="78"/>
        <v>859434.61000000022</v>
      </c>
      <c r="W288" s="225"/>
      <c r="X288" s="303">
        <f t="shared" si="70"/>
        <v>859434.61000000022</v>
      </c>
      <c r="Y288" s="303"/>
      <c r="AA288" s="67">
        <f t="shared" si="71"/>
        <v>0</v>
      </c>
      <c r="AC288" t="s">
        <v>595</v>
      </c>
      <c r="AD288" t="s">
        <v>1884</v>
      </c>
      <c r="AE288" s="481">
        <f t="shared" si="79"/>
        <v>706641</v>
      </c>
      <c r="AF288"/>
      <c r="AG288" s="48">
        <v>55485.63</v>
      </c>
      <c r="AH288" s="48">
        <v>27098.31</v>
      </c>
      <c r="AI288" s="48">
        <v>46487.75</v>
      </c>
      <c r="AJ288" s="48">
        <v>2586.83</v>
      </c>
      <c r="AK288" s="48">
        <v>82255.92</v>
      </c>
      <c r="AL288" s="48">
        <v>492726.55999999994</v>
      </c>
      <c r="AN288"/>
      <c r="AO288"/>
      <c r="AP288" t="str">
        <f t="shared" si="72"/>
        <v>39201</v>
      </c>
      <c r="AQ288" s="481">
        <f t="shared" si="73"/>
        <v>706641</v>
      </c>
    </row>
    <row r="289" spans="1:43">
      <c r="A289" s="217">
        <v>282</v>
      </c>
      <c r="B289" s="74" t="s">
        <v>597</v>
      </c>
      <c r="C289" s="74" t="s">
        <v>1885</v>
      </c>
      <c r="D289" s="186">
        <v>7231.19</v>
      </c>
      <c r="E289" s="188">
        <v>14907.71</v>
      </c>
      <c r="F289" s="189">
        <f t="shared" si="74"/>
        <v>22138.899999999998</v>
      </c>
      <c r="G289" s="200"/>
      <c r="H289" s="197">
        <v>22138.899999999998</v>
      </c>
      <c r="I289" s="188">
        <v>23019.649999999998</v>
      </c>
      <c r="J289" s="189">
        <f t="shared" si="75"/>
        <v>45158.549999999996</v>
      </c>
      <c r="K289" s="225"/>
      <c r="L289" s="189">
        <v>45158.549999999996</v>
      </c>
      <c r="M289" s="219">
        <v>23534.030000000002</v>
      </c>
      <c r="N289" s="189">
        <f t="shared" si="76"/>
        <v>68692.58</v>
      </c>
      <c r="O289" s="225"/>
      <c r="P289" s="303">
        <v>68692.58</v>
      </c>
      <c r="Q289" s="219">
        <v>24323.24</v>
      </c>
      <c r="R289" s="189">
        <f t="shared" si="77"/>
        <v>93015.82</v>
      </c>
      <c r="S289" s="225">
        <v>0</v>
      </c>
      <c r="T289" s="303">
        <v>93015.82</v>
      </c>
      <c r="U289" s="303">
        <v>24208.429999999997</v>
      </c>
      <c r="V289" s="189">
        <f t="shared" si="78"/>
        <v>117224.25</v>
      </c>
      <c r="W289" s="225"/>
      <c r="X289" s="303">
        <f t="shared" si="70"/>
        <v>117224.25</v>
      </c>
      <c r="Y289" s="303"/>
      <c r="AA289" s="67">
        <f t="shared" si="71"/>
        <v>0</v>
      </c>
      <c r="AC289" t="s">
        <v>597</v>
      </c>
      <c r="AD289" t="s">
        <v>1886</v>
      </c>
      <c r="AE289" s="481">
        <f t="shared" si="79"/>
        <v>24208.429999999997</v>
      </c>
      <c r="AF289"/>
      <c r="AG289" s="48">
        <v>583</v>
      </c>
      <c r="AH289" s="48">
        <v>389.83</v>
      </c>
      <c r="AI289" s="48">
        <v>0</v>
      </c>
      <c r="AJ289" s="48">
        <v>0</v>
      </c>
      <c r="AK289" s="48">
        <v>1074.79</v>
      </c>
      <c r="AL289" s="48">
        <v>22160.809999999998</v>
      </c>
      <c r="AN289"/>
      <c r="AO289"/>
      <c r="AP289" t="str">
        <f t="shared" si="72"/>
        <v>18902</v>
      </c>
      <c r="AQ289" s="481">
        <f t="shared" si="73"/>
        <v>24208.429999999997</v>
      </c>
    </row>
    <row r="290" spans="1:43">
      <c r="A290" s="217">
        <v>283</v>
      </c>
      <c r="B290" s="74" t="s">
        <v>599</v>
      </c>
      <c r="C290" s="74" t="s">
        <v>1887</v>
      </c>
      <c r="D290" s="186">
        <v>0</v>
      </c>
      <c r="E290" s="188">
        <v>2095808.63</v>
      </c>
      <c r="F290" s="189">
        <f t="shared" si="74"/>
        <v>2095808.63</v>
      </c>
      <c r="G290" s="200">
        <v>2451014.5699999998</v>
      </c>
      <c r="H290" s="197">
        <v>0</v>
      </c>
      <c r="I290" s="188">
        <v>2938167.9000000004</v>
      </c>
      <c r="J290" s="189">
        <f t="shared" si="75"/>
        <v>2938167.9000000004</v>
      </c>
      <c r="K290" s="225">
        <v>3786284.9200000009</v>
      </c>
      <c r="L290" s="189">
        <v>0</v>
      </c>
      <c r="M290" s="219">
        <v>2834142.37</v>
      </c>
      <c r="N290" s="189">
        <f t="shared" si="76"/>
        <v>2834142.37</v>
      </c>
      <c r="O290" s="225">
        <v>4419614.3600000003</v>
      </c>
      <c r="P290" s="303">
        <v>0</v>
      </c>
      <c r="Q290" s="219">
        <v>3091582.64</v>
      </c>
      <c r="R290" s="189">
        <f t="shared" si="77"/>
        <v>3091582.64</v>
      </c>
      <c r="S290" s="225">
        <v>3621401.7899999996</v>
      </c>
      <c r="T290" s="303">
        <v>0</v>
      </c>
      <c r="U290" s="303">
        <v>3193139.0300000003</v>
      </c>
      <c r="V290" s="189">
        <f t="shared" si="78"/>
        <v>3193139.0300000003</v>
      </c>
      <c r="W290" s="225"/>
      <c r="X290" s="303">
        <f t="shared" si="70"/>
        <v>3193139.0300000003</v>
      </c>
      <c r="Y290" s="303"/>
      <c r="AA290" s="67">
        <f t="shared" si="71"/>
        <v>0</v>
      </c>
      <c r="AC290" t="s">
        <v>599</v>
      </c>
      <c r="AD290" t="s">
        <v>1888</v>
      </c>
      <c r="AE290" s="481">
        <f t="shared" si="79"/>
        <v>3193139.0300000003</v>
      </c>
      <c r="AF290"/>
      <c r="AG290" s="48">
        <v>162639.21</v>
      </c>
      <c r="AH290" s="48">
        <v>83272.03</v>
      </c>
      <c r="AI290" s="48">
        <v>86303.08</v>
      </c>
      <c r="AJ290" s="48">
        <v>12771.69</v>
      </c>
      <c r="AK290" s="48">
        <v>464995.15</v>
      </c>
      <c r="AL290" s="48">
        <v>2383157.87</v>
      </c>
      <c r="AN290"/>
      <c r="AO290"/>
      <c r="AP290" t="str">
        <f t="shared" si="72"/>
        <v>27010</v>
      </c>
      <c r="AQ290" s="481">
        <f t="shared" si="73"/>
        <v>3193139.0300000003</v>
      </c>
    </row>
    <row r="291" spans="1:43">
      <c r="A291" s="217">
        <v>284</v>
      </c>
      <c r="B291" s="74" t="s">
        <v>601</v>
      </c>
      <c r="C291" s="74" t="s">
        <v>1889</v>
      </c>
      <c r="D291" s="186">
        <v>0</v>
      </c>
      <c r="E291" s="188">
        <v>16425.97</v>
      </c>
      <c r="F291" s="189">
        <f t="shared" si="74"/>
        <v>16425.97</v>
      </c>
      <c r="G291" s="200">
        <v>57345.35</v>
      </c>
      <c r="H291" s="197">
        <v>0</v>
      </c>
      <c r="I291" s="188">
        <v>23967.25</v>
      </c>
      <c r="J291" s="189">
        <f t="shared" si="75"/>
        <v>23967.25</v>
      </c>
      <c r="K291" s="225">
        <v>50087.13</v>
      </c>
      <c r="L291" s="189">
        <v>0</v>
      </c>
      <c r="M291" s="219">
        <v>24003.71</v>
      </c>
      <c r="N291" s="189">
        <f t="shared" si="76"/>
        <v>24003.71</v>
      </c>
      <c r="O291" s="225">
        <v>60853.380000000005</v>
      </c>
      <c r="P291" s="303">
        <v>0</v>
      </c>
      <c r="Q291" s="219">
        <v>26195.059999999998</v>
      </c>
      <c r="R291" s="189">
        <f t="shared" si="77"/>
        <v>26195.059999999998</v>
      </c>
      <c r="S291" s="225">
        <v>31228.079999999998</v>
      </c>
      <c r="T291" s="303">
        <v>0</v>
      </c>
      <c r="U291" s="303">
        <v>27761.14</v>
      </c>
      <c r="V291" s="189">
        <f t="shared" si="78"/>
        <v>27761.14</v>
      </c>
      <c r="W291" s="225"/>
      <c r="X291" s="303">
        <f t="shared" si="70"/>
        <v>27761.14</v>
      </c>
      <c r="Y291" s="303"/>
      <c r="AA291" s="67">
        <f t="shared" si="71"/>
        <v>0</v>
      </c>
      <c r="AC291" t="s">
        <v>601</v>
      </c>
      <c r="AD291" t="s">
        <v>1890</v>
      </c>
      <c r="AE291" s="481">
        <f t="shared" si="79"/>
        <v>27761.14</v>
      </c>
      <c r="AF291"/>
      <c r="AG291" s="48">
        <v>1272.77</v>
      </c>
      <c r="AH291" s="48">
        <v>744.79</v>
      </c>
      <c r="AI291" s="48">
        <v>0</v>
      </c>
      <c r="AJ291" s="48">
        <v>0</v>
      </c>
      <c r="AK291" s="48">
        <v>2698.07</v>
      </c>
      <c r="AL291" s="48">
        <v>23045.51</v>
      </c>
      <c r="AN291"/>
      <c r="AO291"/>
      <c r="AP291" t="str">
        <f t="shared" si="72"/>
        <v>14077</v>
      </c>
      <c r="AQ291" s="481">
        <f t="shared" si="73"/>
        <v>27761.14</v>
      </c>
    </row>
    <row r="292" spans="1:43">
      <c r="A292" s="217">
        <v>285</v>
      </c>
      <c r="B292" s="74" t="s">
        <v>603</v>
      </c>
      <c r="C292" s="74" t="s">
        <v>1891</v>
      </c>
      <c r="D292" s="186">
        <v>18956.100000000035</v>
      </c>
      <c r="E292" s="188">
        <v>625712.98</v>
      </c>
      <c r="F292" s="189">
        <f t="shared" si="74"/>
        <v>644669.08000000007</v>
      </c>
      <c r="G292" s="200">
        <v>612080.63</v>
      </c>
      <c r="H292" s="197">
        <v>32588.45000000007</v>
      </c>
      <c r="I292" s="188">
        <v>890656.95</v>
      </c>
      <c r="J292" s="189">
        <f t="shared" si="75"/>
        <v>923245.4</v>
      </c>
      <c r="K292" s="225">
        <v>756332.74</v>
      </c>
      <c r="L292" s="189">
        <v>166912.66000000003</v>
      </c>
      <c r="M292" s="219">
        <v>930868.19000000006</v>
      </c>
      <c r="N292" s="189">
        <f t="shared" si="76"/>
        <v>1097780.8500000001</v>
      </c>
      <c r="O292" s="225">
        <v>802986.00999999989</v>
      </c>
      <c r="P292" s="303">
        <v>294794.8400000002</v>
      </c>
      <c r="Q292" s="219">
        <v>1023404.6699999999</v>
      </c>
      <c r="R292" s="189">
        <f t="shared" si="77"/>
        <v>1318199.5100000002</v>
      </c>
      <c r="S292" s="225">
        <v>997594.13</v>
      </c>
      <c r="T292" s="303">
        <v>320605.38000000024</v>
      </c>
      <c r="U292" s="303">
        <v>1052831.27</v>
      </c>
      <c r="V292" s="189">
        <f t="shared" si="78"/>
        <v>1373436.6500000004</v>
      </c>
      <c r="W292" s="225"/>
      <c r="X292" s="303">
        <f t="shared" si="70"/>
        <v>1373436.6500000004</v>
      </c>
      <c r="Y292" s="303"/>
      <c r="AA292" s="67">
        <f t="shared" si="71"/>
        <v>0</v>
      </c>
      <c r="AC292" t="s">
        <v>603</v>
      </c>
      <c r="AD292" t="s">
        <v>1892</v>
      </c>
      <c r="AE292" s="481">
        <f t="shared" si="79"/>
        <v>1052831.27</v>
      </c>
      <c r="AF292"/>
      <c r="AG292" s="48">
        <v>17760.68</v>
      </c>
      <c r="AH292" s="48">
        <v>0</v>
      </c>
      <c r="AI292" s="48">
        <v>14550.76</v>
      </c>
      <c r="AJ292" s="48">
        <v>4627.74</v>
      </c>
      <c r="AK292" s="48">
        <v>134583.82</v>
      </c>
      <c r="AL292" s="48">
        <v>881308.27</v>
      </c>
      <c r="AN292"/>
      <c r="AO292"/>
      <c r="AP292" t="str">
        <f t="shared" si="72"/>
        <v>17409</v>
      </c>
      <c r="AQ292" s="481">
        <f t="shared" si="73"/>
        <v>1052831.27</v>
      </c>
    </row>
    <row r="293" spans="1:43">
      <c r="A293" s="217">
        <v>286</v>
      </c>
      <c r="B293" s="74" t="s">
        <v>605</v>
      </c>
      <c r="C293" s="74" t="s">
        <v>1893</v>
      </c>
      <c r="D293" s="186">
        <v>321.4900000000016</v>
      </c>
      <c r="E293" s="188">
        <v>19172.870000000003</v>
      </c>
      <c r="F293" s="189">
        <f t="shared" si="74"/>
        <v>19494.360000000004</v>
      </c>
      <c r="G293" s="200">
        <v>21928.41</v>
      </c>
      <c r="H293" s="197">
        <v>0</v>
      </c>
      <c r="I293" s="188">
        <v>26345</v>
      </c>
      <c r="J293" s="189">
        <f t="shared" si="75"/>
        <v>26345</v>
      </c>
      <c r="K293" s="225">
        <v>26345</v>
      </c>
      <c r="L293" s="189">
        <v>0</v>
      </c>
      <c r="M293" s="219">
        <v>27128.94</v>
      </c>
      <c r="N293" s="189">
        <f t="shared" si="76"/>
        <v>27128.94</v>
      </c>
      <c r="O293" s="225">
        <v>27180.36</v>
      </c>
      <c r="P293" s="303">
        <v>0</v>
      </c>
      <c r="Q293" s="219">
        <v>29907.15</v>
      </c>
      <c r="R293" s="189">
        <f t="shared" si="77"/>
        <v>29907.15</v>
      </c>
      <c r="S293" s="225">
        <v>22672.34</v>
      </c>
      <c r="T293" s="303">
        <v>7234.8100000000013</v>
      </c>
      <c r="U293" s="303">
        <v>30011.799999999996</v>
      </c>
      <c r="V293" s="189">
        <f t="shared" si="78"/>
        <v>37246.61</v>
      </c>
      <c r="W293" s="225"/>
      <c r="X293" s="303">
        <f t="shared" si="70"/>
        <v>37246.61</v>
      </c>
      <c r="Y293" s="303"/>
      <c r="AA293" s="67">
        <f t="shared" si="71"/>
        <v>0</v>
      </c>
      <c r="AC293" t="s">
        <v>605</v>
      </c>
      <c r="AD293" t="s">
        <v>1894</v>
      </c>
      <c r="AE293" s="481">
        <f t="shared" si="79"/>
        <v>30011.799999999996</v>
      </c>
      <c r="AF293"/>
      <c r="AG293" s="48">
        <v>1251.5899999999999</v>
      </c>
      <c r="AH293" s="48">
        <v>875.52</v>
      </c>
      <c r="AI293" s="48">
        <v>0</v>
      </c>
      <c r="AJ293" s="48">
        <v>82.74</v>
      </c>
      <c r="AK293" s="48">
        <v>2825.82</v>
      </c>
      <c r="AL293" s="48">
        <v>24976.129999999997</v>
      </c>
      <c r="AN293"/>
      <c r="AO293"/>
      <c r="AP293" t="str">
        <f t="shared" si="72"/>
        <v>38265</v>
      </c>
      <c r="AQ293" s="481">
        <f t="shared" si="73"/>
        <v>30011.799999999996</v>
      </c>
    </row>
    <row r="294" spans="1:43">
      <c r="A294" s="217">
        <v>287</v>
      </c>
      <c r="B294" s="74" t="s">
        <v>607</v>
      </c>
      <c r="C294" s="74" t="s">
        <v>1895</v>
      </c>
      <c r="D294" s="186">
        <v>4418.8899999999994</v>
      </c>
      <c r="E294" s="188">
        <v>83276.58</v>
      </c>
      <c r="F294" s="189">
        <f t="shared" si="74"/>
        <v>87695.47</v>
      </c>
      <c r="G294" s="200">
        <v>86373.15</v>
      </c>
      <c r="H294" s="197">
        <v>1322.320000000007</v>
      </c>
      <c r="I294" s="188">
        <v>116208.86</v>
      </c>
      <c r="J294" s="189">
        <f t="shared" si="75"/>
        <v>117531.18000000001</v>
      </c>
      <c r="K294" s="225">
        <v>117584.64000000001</v>
      </c>
      <c r="L294" s="189">
        <v>0</v>
      </c>
      <c r="M294" s="219">
        <v>114186.56999999999</v>
      </c>
      <c r="N294" s="189">
        <f t="shared" si="76"/>
        <v>114186.56999999999</v>
      </c>
      <c r="O294" s="225">
        <v>122785.39999999998</v>
      </c>
      <c r="P294" s="303">
        <v>0</v>
      </c>
      <c r="Q294" s="219">
        <v>127686.73999999999</v>
      </c>
      <c r="R294" s="189">
        <f t="shared" si="77"/>
        <v>127686.73999999999</v>
      </c>
      <c r="S294" s="225">
        <v>127687.2</v>
      </c>
      <c r="T294" s="303">
        <v>0</v>
      </c>
      <c r="U294" s="303">
        <v>131706.1</v>
      </c>
      <c r="V294" s="189">
        <f t="shared" si="78"/>
        <v>131706.1</v>
      </c>
      <c r="W294" s="225"/>
      <c r="X294" s="303">
        <f t="shared" si="70"/>
        <v>131706.1</v>
      </c>
      <c r="Y294" s="303"/>
      <c r="AA294" s="67">
        <f t="shared" si="71"/>
        <v>0</v>
      </c>
      <c r="AC294" t="s">
        <v>607</v>
      </c>
      <c r="AD294" t="s">
        <v>1896</v>
      </c>
      <c r="AE294" s="481">
        <f t="shared" si="79"/>
        <v>131706.1</v>
      </c>
      <c r="AF294"/>
      <c r="AG294" s="48">
        <v>5899.27</v>
      </c>
      <c r="AH294" s="48">
        <v>2688.59</v>
      </c>
      <c r="AI294" s="48">
        <v>367.23</v>
      </c>
      <c r="AJ294" s="48">
        <v>530.92999999999995</v>
      </c>
      <c r="AK294" s="48">
        <v>18898.71</v>
      </c>
      <c r="AL294" s="48">
        <v>103321.37</v>
      </c>
      <c r="AN294"/>
      <c r="AO294"/>
      <c r="AP294" t="str">
        <f t="shared" si="72"/>
        <v>34402</v>
      </c>
      <c r="AQ294" s="481">
        <f t="shared" si="73"/>
        <v>131706.1</v>
      </c>
    </row>
    <row r="295" spans="1:43">
      <c r="A295" s="217">
        <v>288</v>
      </c>
      <c r="B295" s="74" t="s">
        <v>609</v>
      </c>
      <c r="C295" s="74" t="s">
        <v>1897</v>
      </c>
      <c r="D295" s="186">
        <v>0</v>
      </c>
      <c r="E295" s="188">
        <v>19929.310000000001</v>
      </c>
      <c r="F295" s="189">
        <f t="shared" si="74"/>
        <v>19929.310000000001</v>
      </c>
      <c r="G295" s="200">
        <v>28528.58</v>
      </c>
      <c r="H295" s="197">
        <v>0</v>
      </c>
      <c r="I295" s="188">
        <v>29833.86</v>
      </c>
      <c r="J295" s="189">
        <f t="shared" si="75"/>
        <v>29833.86</v>
      </c>
      <c r="K295" s="225">
        <v>40724.92</v>
      </c>
      <c r="L295" s="189">
        <v>0</v>
      </c>
      <c r="M295" s="219">
        <v>30584.06</v>
      </c>
      <c r="N295" s="189">
        <f t="shared" si="76"/>
        <v>30584.06</v>
      </c>
      <c r="O295" s="225">
        <v>43130.28</v>
      </c>
      <c r="P295" s="303">
        <v>0</v>
      </c>
      <c r="Q295" s="219">
        <v>36164.959999999999</v>
      </c>
      <c r="R295" s="189">
        <f t="shared" si="77"/>
        <v>36164.959999999999</v>
      </c>
      <c r="S295" s="225">
        <v>42364.13</v>
      </c>
      <c r="T295" s="303">
        <v>0</v>
      </c>
      <c r="U295" s="303">
        <v>37982.83</v>
      </c>
      <c r="V295" s="189">
        <f t="shared" si="78"/>
        <v>37982.83</v>
      </c>
      <c r="W295" s="225"/>
      <c r="X295" s="303">
        <f t="shared" si="70"/>
        <v>37982.83</v>
      </c>
      <c r="Y295" s="303"/>
      <c r="AA295" s="67">
        <f t="shared" si="71"/>
        <v>0</v>
      </c>
      <c r="AC295" t="s">
        <v>609</v>
      </c>
      <c r="AD295" t="s">
        <v>1898</v>
      </c>
      <c r="AE295" s="481">
        <f t="shared" si="79"/>
        <v>37982.83</v>
      </c>
      <c r="AF295"/>
      <c r="AG295" s="48">
        <v>1142.78</v>
      </c>
      <c r="AH295" s="48">
        <v>0</v>
      </c>
      <c r="AI295" s="48">
        <v>87.54</v>
      </c>
      <c r="AJ295" s="48">
        <v>0</v>
      </c>
      <c r="AK295" s="48">
        <v>4168.4799999999996</v>
      </c>
      <c r="AL295" s="48">
        <v>32584.030000000002</v>
      </c>
      <c r="AN295"/>
      <c r="AO295"/>
      <c r="AP295" t="str">
        <f t="shared" si="72"/>
        <v>19400</v>
      </c>
      <c r="AQ295" s="481">
        <f t="shared" si="73"/>
        <v>37982.83</v>
      </c>
    </row>
    <row r="296" spans="1:43">
      <c r="A296" s="217">
        <v>289</v>
      </c>
      <c r="B296" s="74" t="s">
        <v>611</v>
      </c>
      <c r="C296" s="74" t="s">
        <v>1899</v>
      </c>
      <c r="D296" s="186">
        <v>980.66000000000349</v>
      </c>
      <c r="E296" s="188">
        <v>51896.14</v>
      </c>
      <c r="F296" s="189">
        <f t="shared" si="74"/>
        <v>52876.800000000003</v>
      </c>
      <c r="G296" s="200">
        <v>47807.32</v>
      </c>
      <c r="H296" s="197">
        <v>5069.4800000000032</v>
      </c>
      <c r="I296" s="188">
        <v>71877.08</v>
      </c>
      <c r="J296" s="189">
        <f t="shared" si="75"/>
        <v>76946.559999999998</v>
      </c>
      <c r="K296" s="225">
        <v>57506.129999999983</v>
      </c>
      <c r="L296" s="189">
        <v>19440.430000000015</v>
      </c>
      <c r="M296" s="219">
        <v>75588.100000000006</v>
      </c>
      <c r="N296" s="189">
        <f t="shared" si="76"/>
        <v>95028.530000000028</v>
      </c>
      <c r="O296" s="225">
        <v>61878.630000000005</v>
      </c>
      <c r="P296" s="303">
        <v>33149.900000000023</v>
      </c>
      <c r="Q296" s="219">
        <v>81549.939999999988</v>
      </c>
      <c r="R296" s="189">
        <f t="shared" si="77"/>
        <v>114699.84000000001</v>
      </c>
      <c r="S296" s="225">
        <v>50258.57</v>
      </c>
      <c r="T296" s="303">
        <v>64441.270000000011</v>
      </c>
      <c r="U296" s="303">
        <v>86531.13</v>
      </c>
      <c r="V296" s="189">
        <f t="shared" si="78"/>
        <v>150972.40000000002</v>
      </c>
      <c r="W296" s="225"/>
      <c r="X296" s="303">
        <f t="shared" si="70"/>
        <v>150972.40000000002</v>
      </c>
      <c r="Y296" s="303"/>
      <c r="AA296" s="67">
        <f t="shared" si="71"/>
        <v>0</v>
      </c>
      <c r="AC296" t="s">
        <v>611</v>
      </c>
      <c r="AD296" t="s">
        <v>1900</v>
      </c>
      <c r="AE296" s="481">
        <f t="shared" si="79"/>
        <v>86531.13</v>
      </c>
      <c r="AF296"/>
      <c r="AG296" s="48">
        <v>3641.95</v>
      </c>
      <c r="AH296" s="48">
        <v>988.33</v>
      </c>
      <c r="AI296" s="48">
        <v>166.98</v>
      </c>
      <c r="AJ296" s="48">
        <v>368.56</v>
      </c>
      <c r="AK296" s="48">
        <v>12869.35</v>
      </c>
      <c r="AL296" s="48">
        <v>68495.960000000006</v>
      </c>
      <c r="AN296"/>
      <c r="AO296"/>
      <c r="AP296" t="str">
        <f t="shared" si="72"/>
        <v>21237</v>
      </c>
      <c r="AQ296" s="481">
        <f t="shared" si="73"/>
        <v>86531.13</v>
      </c>
    </row>
    <row r="297" spans="1:43">
      <c r="A297" s="217">
        <v>290</v>
      </c>
      <c r="B297" s="74" t="s">
        <v>613</v>
      </c>
      <c r="C297" s="74" t="s">
        <v>1901</v>
      </c>
      <c r="D297" s="186">
        <v>0</v>
      </c>
      <c r="E297" s="188">
        <v>67386.38</v>
      </c>
      <c r="F297" s="189">
        <f t="shared" si="74"/>
        <v>67386.38</v>
      </c>
      <c r="G297" s="200">
        <v>62619.57</v>
      </c>
      <c r="H297" s="197">
        <v>4766.8100000000049</v>
      </c>
      <c r="I297" s="188">
        <v>98085.34</v>
      </c>
      <c r="J297" s="189">
        <f t="shared" si="75"/>
        <v>102852.15</v>
      </c>
      <c r="K297" s="225">
        <v>97038.700000000026</v>
      </c>
      <c r="L297" s="189">
        <v>5813.449999999968</v>
      </c>
      <c r="M297" s="219">
        <v>98995.51999999999</v>
      </c>
      <c r="N297" s="189">
        <f t="shared" si="76"/>
        <v>104808.96999999996</v>
      </c>
      <c r="O297" s="225">
        <v>115176.44</v>
      </c>
      <c r="P297" s="303">
        <v>0</v>
      </c>
      <c r="Q297" s="219">
        <v>110770.1</v>
      </c>
      <c r="R297" s="189">
        <f t="shared" si="77"/>
        <v>110770.1</v>
      </c>
      <c r="S297" s="225">
        <v>88848.55</v>
      </c>
      <c r="T297" s="303">
        <v>21921.550000000003</v>
      </c>
      <c r="U297" s="303">
        <v>110232.49</v>
      </c>
      <c r="V297" s="189">
        <f t="shared" si="78"/>
        <v>132154.04</v>
      </c>
      <c r="W297" s="225"/>
      <c r="X297" s="303">
        <f t="shared" si="70"/>
        <v>132154.04</v>
      </c>
      <c r="Y297" s="303"/>
      <c r="AA297" s="67">
        <f t="shared" si="71"/>
        <v>0</v>
      </c>
      <c r="AC297" t="s">
        <v>613</v>
      </c>
      <c r="AD297" t="s">
        <v>1902</v>
      </c>
      <c r="AE297" s="481">
        <f t="shared" si="79"/>
        <v>110232.49</v>
      </c>
      <c r="AF297"/>
      <c r="AG297" s="48">
        <v>8642.43</v>
      </c>
      <c r="AH297" s="48">
        <v>4862.47</v>
      </c>
      <c r="AI297" s="48">
        <v>3016</v>
      </c>
      <c r="AJ297" s="48">
        <v>466.05</v>
      </c>
      <c r="AK297" s="48">
        <v>12539.05</v>
      </c>
      <c r="AL297" s="48">
        <v>80706.490000000005</v>
      </c>
      <c r="AN297"/>
      <c r="AO297"/>
      <c r="AP297" t="str">
        <f t="shared" si="72"/>
        <v>24404</v>
      </c>
      <c r="AQ297" s="481">
        <f t="shared" si="73"/>
        <v>110232.49</v>
      </c>
    </row>
    <row r="298" spans="1:43">
      <c r="A298" s="217">
        <v>291</v>
      </c>
      <c r="B298" s="74" t="s">
        <v>615</v>
      </c>
      <c r="C298" s="74" t="s">
        <v>1903</v>
      </c>
      <c r="D298" s="186">
        <v>0</v>
      </c>
      <c r="E298" s="188">
        <v>267315.03999999998</v>
      </c>
      <c r="F298" s="189">
        <f t="shared" si="74"/>
        <v>267315.03999999998</v>
      </c>
      <c r="G298" s="200">
        <v>250300.44</v>
      </c>
      <c r="H298" s="197">
        <v>17014.599999999977</v>
      </c>
      <c r="I298" s="188">
        <v>394998.14</v>
      </c>
      <c r="J298" s="189">
        <f t="shared" si="75"/>
        <v>412012.74</v>
      </c>
      <c r="K298" s="225">
        <v>317083.36999999988</v>
      </c>
      <c r="L298" s="189">
        <v>94929.370000000112</v>
      </c>
      <c r="M298" s="219">
        <v>389963.94</v>
      </c>
      <c r="N298" s="189">
        <f t="shared" si="76"/>
        <v>484893.31000000011</v>
      </c>
      <c r="O298" s="225">
        <v>257606.46000000002</v>
      </c>
      <c r="P298" s="303">
        <v>227286.85000000009</v>
      </c>
      <c r="Q298" s="219">
        <v>416003.9</v>
      </c>
      <c r="R298" s="189">
        <f t="shared" si="77"/>
        <v>643290.75000000012</v>
      </c>
      <c r="S298" s="225">
        <v>424446.47000000003</v>
      </c>
      <c r="T298" s="303">
        <v>218844.28000000009</v>
      </c>
      <c r="U298" s="303">
        <v>408016.13</v>
      </c>
      <c r="V298" s="189">
        <f t="shared" si="78"/>
        <v>626860.41000000015</v>
      </c>
      <c r="W298" s="225"/>
      <c r="X298" s="303">
        <f t="shared" si="70"/>
        <v>626860.41000000015</v>
      </c>
      <c r="Y298" s="303"/>
      <c r="AA298" s="67">
        <f t="shared" si="71"/>
        <v>0</v>
      </c>
      <c r="AC298" t="s">
        <v>615</v>
      </c>
      <c r="AD298" t="s">
        <v>1904</v>
      </c>
      <c r="AE298" s="481">
        <f t="shared" si="79"/>
        <v>408016.13</v>
      </c>
      <c r="AF298"/>
      <c r="AG298" s="48">
        <v>38066.550000000003</v>
      </c>
      <c r="AH298" s="48">
        <v>15475.28</v>
      </c>
      <c r="AI298" s="48">
        <v>28232.45</v>
      </c>
      <c r="AJ298" s="48">
        <v>1672.45</v>
      </c>
      <c r="AK298" s="48">
        <v>48300.480000000003</v>
      </c>
      <c r="AL298" s="48">
        <v>276268.92000000004</v>
      </c>
      <c r="AN298"/>
      <c r="AO298"/>
      <c r="AP298" t="str">
        <f t="shared" si="72"/>
        <v>39202</v>
      </c>
      <c r="AQ298" s="481">
        <f t="shared" si="73"/>
        <v>408016.13</v>
      </c>
    </row>
    <row r="299" spans="1:43">
      <c r="A299" s="217">
        <v>292</v>
      </c>
      <c r="B299" s="74" t="s">
        <v>617</v>
      </c>
      <c r="C299" s="74" t="s">
        <v>1905</v>
      </c>
      <c r="D299" s="186">
        <v>2106.1699999999992</v>
      </c>
      <c r="E299" s="188">
        <v>18783.370000000003</v>
      </c>
      <c r="F299" s="189">
        <f t="shared" si="74"/>
        <v>20889.54</v>
      </c>
      <c r="G299" s="200">
        <v>14094.84</v>
      </c>
      <c r="H299" s="197">
        <v>6794.7000000000007</v>
      </c>
      <c r="I299" s="188">
        <v>28180.420000000006</v>
      </c>
      <c r="J299" s="189">
        <f t="shared" si="75"/>
        <v>34975.12000000001</v>
      </c>
      <c r="K299" s="225">
        <v>19118.2</v>
      </c>
      <c r="L299" s="189">
        <v>15856.920000000009</v>
      </c>
      <c r="M299" s="219">
        <v>27617.620000000003</v>
      </c>
      <c r="N299" s="189">
        <f t="shared" si="76"/>
        <v>43474.540000000008</v>
      </c>
      <c r="O299" s="225">
        <v>27683.03</v>
      </c>
      <c r="P299" s="303">
        <v>15791.510000000009</v>
      </c>
      <c r="Q299" s="219">
        <v>30018.560000000001</v>
      </c>
      <c r="R299" s="189">
        <f t="shared" si="77"/>
        <v>45810.070000000007</v>
      </c>
      <c r="S299" s="225">
        <v>19774.09</v>
      </c>
      <c r="T299" s="303">
        <v>26035.980000000007</v>
      </c>
      <c r="U299" s="303">
        <v>27464.22</v>
      </c>
      <c r="V299" s="189">
        <f t="shared" si="78"/>
        <v>53500.200000000012</v>
      </c>
      <c r="W299" s="225"/>
      <c r="X299" s="303">
        <f t="shared" si="70"/>
        <v>53500.200000000012</v>
      </c>
      <c r="Y299" s="303"/>
      <c r="AA299" s="67">
        <f t="shared" si="71"/>
        <v>0</v>
      </c>
      <c r="AC299" t="s">
        <v>617</v>
      </c>
      <c r="AD299" t="s">
        <v>1906</v>
      </c>
      <c r="AE299" s="481">
        <f t="shared" si="79"/>
        <v>27464.22</v>
      </c>
      <c r="AF299"/>
      <c r="AG299" s="48">
        <v>966</v>
      </c>
      <c r="AH299" s="48">
        <v>0</v>
      </c>
      <c r="AI299" s="48">
        <v>815.57</v>
      </c>
      <c r="AJ299" s="48">
        <v>97.34</v>
      </c>
      <c r="AK299" s="48">
        <v>1573.8</v>
      </c>
      <c r="AL299" s="48">
        <v>24011.510000000002</v>
      </c>
      <c r="AN299"/>
      <c r="AO299"/>
      <c r="AP299" t="str">
        <f t="shared" si="72"/>
        <v>36300</v>
      </c>
      <c r="AQ299" s="481">
        <f t="shared" si="73"/>
        <v>27464.22</v>
      </c>
    </row>
    <row r="300" spans="1:43">
      <c r="A300" s="217">
        <v>293</v>
      </c>
      <c r="B300" s="74" t="s">
        <v>619</v>
      </c>
      <c r="C300" s="74" t="s">
        <v>1907</v>
      </c>
      <c r="D300" s="186">
        <v>1648.6399999999994</v>
      </c>
      <c r="E300" s="188">
        <v>38632.020000000004</v>
      </c>
      <c r="F300" s="189">
        <f t="shared" si="74"/>
        <v>40280.660000000003</v>
      </c>
      <c r="G300" s="200">
        <v>40936.94</v>
      </c>
      <c r="H300" s="197">
        <v>0</v>
      </c>
      <c r="I300" s="188">
        <v>56350.64</v>
      </c>
      <c r="J300" s="189">
        <f t="shared" si="75"/>
        <v>56350.64</v>
      </c>
      <c r="K300" s="225">
        <v>54360.82</v>
      </c>
      <c r="L300" s="189">
        <v>1989.8199999999997</v>
      </c>
      <c r="M300" s="219">
        <v>57592.33</v>
      </c>
      <c r="N300" s="189">
        <f t="shared" si="76"/>
        <v>59582.15</v>
      </c>
      <c r="O300" s="225">
        <v>58790.159999999996</v>
      </c>
      <c r="P300" s="303">
        <v>791.99000000000524</v>
      </c>
      <c r="Q300" s="219">
        <v>64575.170000000006</v>
      </c>
      <c r="R300" s="189">
        <f t="shared" si="77"/>
        <v>65367.160000000011</v>
      </c>
      <c r="S300" s="225">
        <v>0</v>
      </c>
      <c r="T300" s="303">
        <v>65367.160000000011</v>
      </c>
      <c r="U300" s="303">
        <v>61898.04</v>
      </c>
      <c r="V300" s="189">
        <f t="shared" si="78"/>
        <v>127265.20000000001</v>
      </c>
      <c r="W300" s="225"/>
      <c r="X300" s="303">
        <f t="shared" si="70"/>
        <v>127265.20000000001</v>
      </c>
      <c r="Y300" s="303"/>
      <c r="AA300" s="67">
        <f t="shared" si="71"/>
        <v>0</v>
      </c>
      <c r="AC300" t="s">
        <v>619</v>
      </c>
      <c r="AD300" t="s">
        <v>1908</v>
      </c>
      <c r="AE300" s="481">
        <f t="shared" si="79"/>
        <v>61898.04</v>
      </c>
      <c r="AF300"/>
      <c r="AG300" s="48">
        <v>2894.3</v>
      </c>
      <c r="AH300" s="48">
        <v>0</v>
      </c>
      <c r="AI300" s="48">
        <v>0</v>
      </c>
      <c r="AJ300" s="48">
        <v>0</v>
      </c>
      <c r="AK300" s="48">
        <v>0</v>
      </c>
      <c r="AL300" s="48">
        <v>59003.74</v>
      </c>
      <c r="AN300"/>
      <c r="AO300"/>
      <c r="AP300" t="str">
        <f t="shared" si="72"/>
        <v>08130</v>
      </c>
      <c r="AQ300" s="481">
        <f t="shared" si="73"/>
        <v>61898.04</v>
      </c>
    </row>
    <row r="301" spans="1:43">
      <c r="A301" s="217">
        <v>294</v>
      </c>
      <c r="B301" s="74" t="s">
        <v>621</v>
      </c>
      <c r="C301" s="74" t="s">
        <v>1909</v>
      </c>
      <c r="D301" s="186">
        <v>1407.5900000000011</v>
      </c>
      <c r="E301" s="188">
        <v>16345.16</v>
      </c>
      <c r="F301" s="189">
        <f t="shared" si="74"/>
        <v>17752.75</v>
      </c>
      <c r="G301" s="200">
        <v>16801.169999999998</v>
      </c>
      <c r="H301" s="197">
        <v>951.58000000000175</v>
      </c>
      <c r="I301" s="188">
        <v>20732.93</v>
      </c>
      <c r="J301" s="189">
        <f t="shared" si="75"/>
        <v>21684.510000000002</v>
      </c>
      <c r="K301" s="225">
        <v>27991.81</v>
      </c>
      <c r="L301" s="189">
        <v>0</v>
      </c>
      <c r="M301" s="219">
        <v>22530.12</v>
      </c>
      <c r="N301" s="189">
        <f t="shared" si="76"/>
        <v>22530.12</v>
      </c>
      <c r="O301" s="225">
        <v>32217.84</v>
      </c>
      <c r="P301" s="303">
        <v>0</v>
      </c>
      <c r="Q301" s="219">
        <v>24577.98</v>
      </c>
      <c r="R301" s="189">
        <f t="shared" si="77"/>
        <v>24577.98</v>
      </c>
      <c r="S301" s="225">
        <v>29542.21</v>
      </c>
      <c r="T301" s="303">
        <v>0</v>
      </c>
      <c r="U301" s="303">
        <v>26309.289999999997</v>
      </c>
      <c r="V301" s="189">
        <f t="shared" si="78"/>
        <v>26309.289999999997</v>
      </c>
      <c r="W301" s="225"/>
      <c r="X301" s="303">
        <f t="shared" si="70"/>
        <v>26309.289999999997</v>
      </c>
      <c r="Y301" s="303"/>
      <c r="AA301" s="67">
        <f t="shared" si="71"/>
        <v>0</v>
      </c>
      <c r="AC301" t="s">
        <v>621</v>
      </c>
      <c r="AD301" t="s">
        <v>1910</v>
      </c>
      <c r="AE301" s="481">
        <f t="shared" si="79"/>
        <v>26309.289999999997</v>
      </c>
      <c r="AF301"/>
      <c r="AG301" s="48">
        <v>613.53</v>
      </c>
      <c r="AH301" s="48">
        <v>0</v>
      </c>
      <c r="AI301" s="48">
        <v>371.65</v>
      </c>
      <c r="AJ301" s="48">
        <v>87.01</v>
      </c>
      <c r="AK301" s="48">
        <v>0</v>
      </c>
      <c r="AL301" s="48">
        <v>25237.1</v>
      </c>
      <c r="AN301"/>
      <c r="AO301"/>
      <c r="AP301" t="str">
        <f t="shared" si="72"/>
        <v>20400</v>
      </c>
      <c r="AQ301" s="481">
        <f t="shared" si="73"/>
        <v>26309.289999999997</v>
      </c>
    </row>
    <row r="302" spans="1:43">
      <c r="A302" s="217">
        <v>295</v>
      </c>
      <c r="B302" s="74" t="s">
        <v>623</v>
      </c>
      <c r="C302" s="74" t="s">
        <v>1911</v>
      </c>
      <c r="D302" s="186">
        <v>0</v>
      </c>
      <c r="E302" s="188">
        <v>224856.79</v>
      </c>
      <c r="F302" s="189">
        <f t="shared" si="74"/>
        <v>224856.79</v>
      </c>
      <c r="G302" s="200">
        <v>63176.17</v>
      </c>
      <c r="H302" s="197">
        <v>161680.62</v>
      </c>
      <c r="I302" s="188">
        <v>326482.44</v>
      </c>
      <c r="J302" s="189">
        <f t="shared" si="75"/>
        <v>488163.06</v>
      </c>
      <c r="K302" s="225">
        <v>8259.7199999999993</v>
      </c>
      <c r="L302" s="189">
        <v>479903.34</v>
      </c>
      <c r="M302" s="219">
        <v>312496.59999999998</v>
      </c>
      <c r="N302" s="189">
        <f t="shared" si="76"/>
        <v>792399.94</v>
      </c>
      <c r="O302" s="225">
        <v>53369.82</v>
      </c>
      <c r="P302" s="303">
        <v>739030.12</v>
      </c>
      <c r="Q302" s="219">
        <v>338246.55000000005</v>
      </c>
      <c r="R302" s="189">
        <f t="shared" si="77"/>
        <v>1077276.67</v>
      </c>
      <c r="S302" s="225">
        <v>414346.97</v>
      </c>
      <c r="T302" s="303">
        <v>662929.69999999995</v>
      </c>
      <c r="U302" s="303">
        <v>376085.78</v>
      </c>
      <c r="V302" s="189">
        <f t="shared" si="78"/>
        <v>1039015.48</v>
      </c>
      <c r="W302" s="225"/>
      <c r="X302" s="303">
        <f t="shared" si="70"/>
        <v>1039015.48</v>
      </c>
      <c r="Y302" s="303"/>
      <c r="AA302" s="67">
        <f t="shared" si="71"/>
        <v>0</v>
      </c>
      <c r="AC302" t="s">
        <v>623</v>
      </c>
      <c r="AD302" t="s">
        <v>1912</v>
      </c>
      <c r="AE302" s="481">
        <f t="shared" si="79"/>
        <v>376085.78</v>
      </c>
      <c r="AF302"/>
      <c r="AG302" s="48">
        <v>20932.150000000001</v>
      </c>
      <c r="AH302" s="48">
        <v>12822.42</v>
      </c>
      <c r="AI302" s="48">
        <v>34382.83</v>
      </c>
      <c r="AJ302" s="48">
        <v>1376.56</v>
      </c>
      <c r="AK302" s="48">
        <v>41240.879999999997</v>
      </c>
      <c r="AL302" s="48">
        <v>265330.94</v>
      </c>
      <c r="AN302"/>
      <c r="AO302"/>
      <c r="AP302" t="str">
        <f t="shared" si="72"/>
        <v>17406</v>
      </c>
      <c r="AQ302" s="481">
        <f t="shared" si="73"/>
        <v>376085.78</v>
      </c>
    </row>
    <row r="303" spans="1:43">
      <c r="A303" s="217">
        <v>296</v>
      </c>
      <c r="B303" s="74" t="s">
        <v>625</v>
      </c>
      <c r="C303" s="74" t="s">
        <v>1913</v>
      </c>
      <c r="D303" s="186">
        <v>25119.209999999992</v>
      </c>
      <c r="E303" s="188">
        <v>392131.47</v>
      </c>
      <c r="F303" s="189">
        <f t="shared" si="74"/>
        <v>417250.67999999993</v>
      </c>
      <c r="G303" s="200">
        <v>284922.83</v>
      </c>
      <c r="H303" s="197">
        <v>132327.84999999992</v>
      </c>
      <c r="I303" s="188">
        <v>549906</v>
      </c>
      <c r="J303" s="189">
        <f t="shared" si="75"/>
        <v>682233.84999999986</v>
      </c>
      <c r="K303" s="225">
        <v>535671.65</v>
      </c>
      <c r="L303" s="189">
        <v>146562.19999999984</v>
      </c>
      <c r="M303" s="219">
        <v>567349.7300000001</v>
      </c>
      <c r="N303" s="189">
        <f t="shared" si="76"/>
        <v>713911.92999999993</v>
      </c>
      <c r="O303" s="225">
        <v>332537.39</v>
      </c>
      <c r="P303" s="303">
        <v>381374.53999999992</v>
      </c>
      <c r="Q303" s="219">
        <v>622898.16</v>
      </c>
      <c r="R303" s="189">
        <f t="shared" si="77"/>
        <v>1004272.7</v>
      </c>
      <c r="S303" s="225">
        <v>742918.81</v>
      </c>
      <c r="T303" s="303">
        <v>261353.8899999999</v>
      </c>
      <c r="U303" s="303">
        <v>639307.03</v>
      </c>
      <c r="V303" s="189">
        <f t="shared" si="78"/>
        <v>900660.91999999993</v>
      </c>
      <c r="W303" s="225"/>
      <c r="X303" s="303">
        <f t="shared" si="70"/>
        <v>900660.91999999993</v>
      </c>
      <c r="Y303" s="303"/>
      <c r="AA303" s="67">
        <f t="shared" si="71"/>
        <v>0</v>
      </c>
      <c r="AC303" t="s">
        <v>625</v>
      </c>
      <c r="AD303" t="s">
        <v>1914</v>
      </c>
      <c r="AE303" s="481">
        <f t="shared" si="79"/>
        <v>639307.03</v>
      </c>
      <c r="AF303"/>
      <c r="AG303" s="48">
        <v>20601.740000000002</v>
      </c>
      <c r="AH303" s="48">
        <v>0</v>
      </c>
      <c r="AI303" s="48">
        <v>3899.42</v>
      </c>
      <c r="AJ303" s="48">
        <v>2800.68</v>
      </c>
      <c r="AK303" s="48">
        <v>85705.86</v>
      </c>
      <c r="AL303" s="48">
        <v>526299.32999999996</v>
      </c>
      <c r="AN303"/>
      <c r="AO303"/>
      <c r="AP303" t="str">
        <f t="shared" si="72"/>
        <v>34033</v>
      </c>
      <c r="AQ303" s="481">
        <f t="shared" si="73"/>
        <v>639307.03</v>
      </c>
    </row>
    <row r="304" spans="1:43">
      <c r="A304" s="217">
        <v>297</v>
      </c>
      <c r="B304" s="74" t="s">
        <v>627</v>
      </c>
      <c r="C304" s="74" t="s">
        <v>1915</v>
      </c>
      <c r="D304" s="186">
        <v>1803.0400000000009</v>
      </c>
      <c r="E304" s="188">
        <v>42687.25</v>
      </c>
      <c r="F304" s="189">
        <f t="shared" si="74"/>
        <v>44490.29</v>
      </c>
      <c r="G304" s="200">
        <v>40928.46</v>
      </c>
      <c r="H304" s="197">
        <v>3561.8300000000017</v>
      </c>
      <c r="I304" s="188">
        <v>62841.07</v>
      </c>
      <c r="J304" s="189">
        <f t="shared" si="75"/>
        <v>66402.899999999994</v>
      </c>
      <c r="K304" s="225">
        <v>53023.44</v>
      </c>
      <c r="L304" s="189">
        <v>13379.459999999992</v>
      </c>
      <c r="M304" s="219">
        <v>63930.51</v>
      </c>
      <c r="N304" s="189">
        <f t="shared" si="76"/>
        <v>77309.97</v>
      </c>
      <c r="O304" s="225">
        <v>53013.619999999995</v>
      </c>
      <c r="P304" s="303">
        <v>24296.350000000006</v>
      </c>
      <c r="Q304" s="219">
        <v>67429.75</v>
      </c>
      <c r="R304" s="189">
        <f t="shared" si="77"/>
        <v>91726.1</v>
      </c>
      <c r="S304" s="225">
        <v>49791.01</v>
      </c>
      <c r="T304" s="303">
        <v>41935.090000000004</v>
      </c>
      <c r="U304" s="303">
        <v>65681.7</v>
      </c>
      <c r="V304" s="189">
        <f t="shared" si="78"/>
        <v>107616.79000000001</v>
      </c>
      <c r="W304" s="225"/>
      <c r="X304" s="303">
        <f t="shared" si="70"/>
        <v>107616.79000000001</v>
      </c>
      <c r="Y304" s="303"/>
      <c r="AA304" s="67">
        <f t="shared" si="71"/>
        <v>0</v>
      </c>
      <c r="AC304" t="s">
        <v>627</v>
      </c>
      <c r="AD304" t="s">
        <v>1916</v>
      </c>
      <c r="AE304" s="481">
        <f t="shared" si="79"/>
        <v>65681.7</v>
      </c>
      <c r="AF304"/>
      <c r="AG304" s="48">
        <v>4657.47</v>
      </c>
      <c r="AH304" s="48">
        <v>2420.1799999999998</v>
      </c>
      <c r="AI304" s="48">
        <v>3350.79</v>
      </c>
      <c r="AJ304" s="48">
        <v>230.07</v>
      </c>
      <c r="AK304" s="48">
        <v>8386.4699999999993</v>
      </c>
      <c r="AL304" s="48">
        <v>46636.72</v>
      </c>
      <c r="AN304"/>
      <c r="AO304"/>
      <c r="AP304" t="str">
        <f t="shared" si="72"/>
        <v>39002</v>
      </c>
      <c r="AQ304" s="481">
        <f t="shared" si="73"/>
        <v>65681.7</v>
      </c>
    </row>
    <row r="305" spans="1:43">
      <c r="A305" s="217">
        <v>298</v>
      </c>
      <c r="B305" s="74" t="s">
        <v>629</v>
      </c>
      <c r="C305" s="74" t="s">
        <v>1917</v>
      </c>
      <c r="D305" s="186">
        <v>0</v>
      </c>
      <c r="E305" s="188">
        <v>355644.65999999992</v>
      </c>
      <c r="F305" s="189">
        <f t="shared" si="74"/>
        <v>355644.65999999992</v>
      </c>
      <c r="G305" s="200">
        <v>355644.66</v>
      </c>
      <c r="H305" s="197">
        <v>0</v>
      </c>
      <c r="I305" s="188">
        <v>524442.17000000004</v>
      </c>
      <c r="J305" s="189">
        <f t="shared" si="75"/>
        <v>524442.17000000004</v>
      </c>
      <c r="K305" s="225">
        <v>544257.03000000014</v>
      </c>
      <c r="L305" s="189">
        <v>0</v>
      </c>
      <c r="M305" s="219">
        <v>522394.88999999996</v>
      </c>
      <c r="N305" s="189">
        <f t="shared" si="76"/>
        <v>522394.88999999996</v>
      </c>
      <c r="O305" s="225">
        <v>536976.64999999991</v>
      </c>
      <c r="P305" s="303">
        <v>0</v>
      </c>
      <c r="Q305" s="219">
        <v>560815.62</v>
      </c>
      <c r="R305" s="189">
        <f t="shared" si="77"/>
        <v>560815.62</v>
      </c>
      <c r="S305" s="225">
        <v>548886.03999999992</v>
      </c>
      <c r="T305" s="303">
        <v>11929.580000000075</v>
      </c>
      <c r="U305" s="303">
        <v>565878.38</v>
      </c>
      <c r="V305" s="189">
        <f t="shared" si="78"/>
        <v>577807.96000000008</v>
      </c>
      <c r="W305" s="225"/>
      <c r="X305" s="303">
        <f t="shared" si="70"/>
        <v>577807.96000000008</v>
      </c>
      <c r="Y305" s="303"/>
      <c r="AA305" s="67">
        <f t="shared" si="71"/>
        <v>0</v>
      </c>
      <c r="AC305" t="s">
        <v>629</v>
      </c>
      <c r="AD305" t="s">
        <v>1918</v>
      </c>
      <c r="AE305" s="481">
        <f t="shared" si="79"/>
        <v>565878.38</v>
      </c>
      <c r="AF305"/>
      <c r="AG305" s="48">
        <v>22781.97</v>
      </c>
      <c r="AH305" s="48">
        <v>0</v>
      </c>
      <c r="AI305" s="48">
        <v>9175.73</v>
      </c>
      <c r="AJ305" s="48">
        <v>2566.48</v>
      </c>
      <c r="AK305" s="48">
        <v>56291.1</v>
      </c>
      <c r="AL305" s="48">
        <v>475063.1</v>
      </c>
      <c r="AN305"/>
      <c r="AO305"/>
      <c r="AP305" t="str">
        <f t="shared" si="72"/>
        <v>27083</v>
      </c>
      <c r="AQ305" s="481">
        <f t="shared" si="73"/>
        <v>565878.38</v>
      </c>
    </row>
    <row r="306" spans="1:43">
      <c r="A306" s="217">
        <v>299</v>
      </c>
      <c r="B306" s="74" t="s">
        <v>631</v>
      </c>
      <c r="C306" s="74" t="s">
        <v>1919</v>
      </c>
      <c r="D306" s="186">
        <v>0</v>
      </c>
      <c r="E306" s="188">
        <v>26602.999999999996</v>
      </c>
      <c r="F306" s="189">
        <f t="shared" si="74"/>
        <v>26602.999999999996</v>
      </c>
      <c r="G306" s="200">
        <v>27694.25</v>
      </c>
      <c r="H306" s="197">
        <v>0</v>
      </c>
      <c r="I306" s="188">
        <v>36955.919999999998</v>
      </c>
      <c r="J306" s="189">
        <f t="shared" si="75"/>
        <v>36955.919999999998</v>
      </c>
      <c r="K306" s="225">
        <v>36757.43</v>
      </c>
      <c r="L306" s="189">
        <v>198.48999999999796</v>
      </c>
      <c r="M306" s="219">
        <v>39785.179999999993</v>
      </c>
      <c r="N306" s="189">
        <f t="shared" si="76"/>
        <v>39983.669999999991</v>
      </c>
      <c r="O306" s="225">
        <v>37876.479999999996</v>
      </c>
      <c r="P306" s="303">
        <v>2107.1899999999951</v>
      </c>
      <c r="Q306" s="219">
        <v>43134.21</v>
      </c>
      <c r="R306" s="189">
        <f t="shared" si="77"/>
        <v>45241.399999999994</v>
      </c>
      <c r="S306" s="225">
        <v>41121.129999999997</v>
      </c>
      <c r="T306" s="303">
        <v>4120.2699999999968</v>
      </c>
      <c r="U306" s="303">
        <v>42134.1</v>
      </c>
      <c r="V306" s="189">
        <f t="shared" si="78"/>
        <v>46254.369999999995</v>
      </c>
      <c r="W306" s="225"/>
      <c r="X306" s="303">
        <f t="shared" si="70"/>
        <v>46254.369999999995</v>
      </c>
      <c r="Y306" s="303"/>
      <c r="AA306" s="67">
        <f t="shared" si="71"/>
        <v>0</v>
      </c>
      <c r="AC306" t="s">
        <v>631</v>
      </c>
      <c r="AD306" t="s">
        <v>1920</v>
      </c>
      <c r="AE306" s="481">
        <f t="shared" si="79"/>
        <v>42134.1</v>
      </c>
      <c r="AF306"/>
      <c r="AG306" s="48">
        <v>2555.86</v>
      </c>
      <c r="AH306" s="48">
        <v>970.44</v>
      </c>
      <c r="AI306" s="48">
        <v>1058.9100000000001</v>
      </c>
      <c r="AJ306" s="48">
        <v>421.8</v>
      </c>
      <c r="AK306" s="48">
        <v>9241.2199999999993</v>
      </c>
      <c r="AL306" s="48">
        <v>27885.87</v>
      </c>
      <c r="AN306"/>
      <c r="AO306"/>
      <c r="AP306" t="str">
        <f t="shared" si="72"/>
        <v>33070</v>
      </c>
      <c r="AQ306" s="481">
        <f t="shared" si="73"/>
        <v>42134.1</v>
      </c>
    </row>
    <row r="307" spans="1:43">
      <c r="A307" s="217">
        <v>300</v>
      </c>
      <c r="B307" s="74" t="s">
        <v>633</v>
      </c>
      <c r="C307" s="74" t="s">
        <v>1921</v>
      </c>
      <c r="D307" s="186">
        <v>8620.8999999999069</v>
      </c>
      <c r="E307" s="188">
        <v>1515108.04</v>
      </c>
      <c r="F307" s="189">
        <f t="shared" si="74"/>
        <v>1523728.94</v>
      </c>
      <c r="G307" s="200">
        <v>1462996.81</v>
      </c>
      <c r="H307" s="197">
        <v>60732.129999999888</v>
      </c>
      <c r="I307" s="188">
        <v>2124159.9900000002</v>
      </c>
      <c r="J307" s="189">
        <f t="shared" si="75"/>
        <v>2184892.12</v>
      </c>
      <c r="K307" s="225">
        <v>2121293.8700000006</v>
      </c>
      <c r="L307" s="189">
        <v>63598.249999999534</v>
      </c>
      <c r="M307" s="219">
        <v>2092244.18</v>
      </c>
      <c r="N307" s="189">
        <f t="shared" si="76"/>
        <v>2155842.4299999997</v>
      </c>
      <c r="O307" s="225">
        <v>2226945.56</v>
      </c>
      <c r="P307" s="303">
        <v>0</v>
      </c>
      <c r="Q307" s="219">
        <v>2320771.23</v>
      </c>
      <c r="R307" s="189">
        <f t="shared" si="77"/>
        <v>2320771.23</v>
      </c>
      <c r="S307" s="225">
        <v>2417684.37</v>
      </c>
      <c r="T307" s="303">
        <v>0</v>
      </c>
      <c r="U307" s="303">
        <v>2404373.1599999997</v>
      </c>
      <c r="V307" s="189">
        <f t="shared" si="78"/>
        <v>2404373.1599999997</v>
      </c>
      <c r="W307" s="225"/>
      <c r="X307" s="303">
        <f t="shared" si="70"/>
        <v>2404373.1599999997</v>
      </c>
      <c r="Y307" s="303"/>
      <c r="AA307" s="67">
        <f t="shared" si="71"/>
        <v>0</v>
      </c>
      <c r="AC307" t="s">
        <v>633</v>
      </c>
      <c r="AD307" t="s">
        <v>1922</v>
      </c>
      <c r="AE307" s="481">
        <f t="shared" si="79"/>
        <v>2404373.1599999997</v>
      </c>
      <c r="AF307"/>
      <c r="AG307" s="48">
        <v>111255.92</v>
      </c>
      <c r="AH307" s="48">
        <v>58561.5</v>
      </c>
      <c r="AI307" s="48">
        <v>86816.73</v>
      </c>
      <c r="AJ307" s="48">
        <v>9573.69</v>
      </c>
      <c r="AK307" s="48">
        <v>341546.5</v>
      </c>
      <c r="AL307" s="48">
        <v>1796618.8199999998</v>
      </c>
      <c r="AN307"/>
      <c r="AO307"/>
      <c r="AP307" t="str">
        <f t="shared" si="72"/>
        <v>06037</v>
      </c>
      <c r="AQ307" s="481">
        <f t="shared" si="73"/>
        <v>2404373.1599999997</v>
      </c>
    </row>
    <row r="308" spans="1:43">
      <c r="A308" s="217">
        <v>301</v>
      </c>
      <c r="B308" s="74" t="s">
        <v>635</v>
      </c>
      <c r="C308" s="74" t="s">
        <v>1923</v>
      </c>
      <c r="D308" s="186">
        <v>9024.6100000000079</v>
      </c>
      <c r="E308" s="188">
        <v>90809.239999999991</v>
      </c>
      <c r="F308" s="189">
        <f t="shared" si="74"/>
        <v>99833.85</v>
      </c>
      <c r="G308" s="200">
        <v>76749.97</v>
      </c>
      <c r="H308" s="197">
        <v>23083.880000000005</v>
      </c>
      <c r="I308" s="188">
        <v>127677.86</v>
      </c>
      <c r="J308" s="189">
        <f t="shared" si="75"/>
        <v>150761.74</v>
      </c>
      <c r="K308" s="225">
        <v>141640.62</v>
      </c>
      <c r="L308" s="189">
        <v>9121.1199999999953</v>
      </c>
      <c r="M308" s="219">
        <v>129954</v>
      </c>
      <c r="N308" s="189">
        <f t="shared" si="76"/>
        <v>139075.12</v>
      </c>
      <c r="O308" s="225">
        <v>139983.87</v>
      </c>
      <c r="P308" s="303">
        <v>0</v>
      </c>
      <c r="Q308" s="219">
        <v>143000.65</v>
      </c>
      <c r="R308" s="189">
        <f t="shared" si="77"/>
        <v>143000.65</v>
      </c>
      <c r="S308" s="225">
        <v>170951.99000000002</v>
      </c>
      <c r="T308" s="303">
        <v>0</v>
      </c>
      <c r="U308" s="303">
        <v>148313.4</v>
      </c>
      <c r="V308" s="189">
        <f t="shared" si="78"/>
        <v>148313.4</v>
      </c>
      <c r="W308" s="225"/>
      <c r="X308" s="303">
        <f t="shared" si="70"/>
        <v>148313.4</v>
      </c>
      <c r="Y308" s="303"/>
      <c r="AA308" s="67">
        <f t="shared" si="71"/>
        <v>0</v>
      </c>
      <c r="AC308" t="s">
        <v>635</v>
      </c>
      <c r="AD308" t="s">
        <v>1924</v>
      </c>
      <c r="AE308" s="481">
        <f t="shared" si="79"/>
        <v>148313.4</v>
      </c>
      <c r="AF308"/>
      <c r="AG308" s="48">
        <v>4095.63</v>
      </c>
      <c r="AH308" s="48">
        <v>278.86</v>
      </c>
      <c r="AI308" s="48">
        <v>2273.64</v>
      </c>
      <c r="AJ308" s="48">
        <v>704.85</v>
      </c>
      <c r="AK308" s="48">
        <v>19449.900000000001</v>
      </c>
      <c r="AL308" s="48">
        <v>121510.52</v>
      </c>
      <c r="AN308"/>
      <c r="AO308"/>
      <c r="AP308" t="str">
        <f t="shared" si="72"/>
        <v>17402</v>
      </c>
      <c r="AQ308" s="481">
        <f t="shared" si="73"/>
        <v>148313.4</v>
      </c>
    </row>
    <row r="309" spans="1:43">
      <c r="A309" s="217">
        <v>302</v>
      </c>
      <c r="B309" s="74" t="s">
        <v>637</v>
      </c>
      <c r="C309" s="74" t="s">
        <v>1925</v>
      </c>
      <c r="D309" s="186">
        <v>4163.24</v>
      </c>
      <c r="E309" s="188">
        <v>9902.23</v>
      </c>
      <c r="F309" s="189">
        <f t="shared" si="74"/>
        <v>14065.47</v>
      </c>
      <c r="G309" s="200">
        <v>13605.6</v>
      </c>
      <c r="H309" s="197">
        <v>459.86999999999898</v>
      </c>
      <c r="I309" s="188">
        <v>14142.380000000001</v>
      </c>
      <c r="J309" s="189">
        <f t="shared" si="75"/>
        <v>14602.25</v>
      </c>
      <c r="K309" s="225">
        <v>22616.44</v>
      </c>
      <c r="L309" s="189">
        <v>0</v>
      </c>
      <c r="M309" s="219">
        <v>14225.240000000002</v>
      </c>
      <c r="N309" s="189">
        <f t="shared" si="76"/>
        <v>14225.240000000002</v>
      </c>
      <c r="O309" s="225">
        <v>25165.45</v>
      </c>
      <c r="P309" s="303">
        <v>0</v>
      </c>
      <c r="Q309" s="219">
        <v>16373.829999999998</v>
      </c>
      <c r="R309" s="189">
        <f t="shared" si="77"/>
        <v>16373.829999999998</v>
      </c>
      <c r="S309" s="225">
        <v>23330.370000000003</v>
      </c>
      <c r="T309" s="303">
        <v>0</v>
      </c>
      <c r="U309" s="303">
        <v>16711.43</v>
      </c>
      <c r="V309" s="189">
        <f t="shared" si="78"/>
        <v>16711.43</v>
      </c>
      <c r="W309" s="225"/>
      <c r="X309" s="303">
        <f t="shared" si="70"/>
        <v>16711.43</v>
      </c>
      <c r="Y309" s="303"/>
      <c r="AA309" s="67">
        <f t="shared" si="71"/>
        <v>0</v>
      </c>
      <c r="AC309" t="s">
        <v>637</v>
      </c>
      <c r="AD309" t="s">
        <v>1926</v>
      </c>
      <c r="AE309" s="481">
        <f t="shared" si="79"/>
        <v>16711.43</v>
      </c>
      <c r="AF309"/>
      <c r="AG309" s="48">
        <v>1285.8699999999999</v>
      </c>
      <c r="AH309" s="48">
        <v>594.29</v>
      </c>
      <c r="AI309" s="48">
        <v>0</v>
      </c>
      <c r="AJ309" s="48">
        <v>0</v>
      </c>
      <c r="AK309" s="48">
        <v>1978.53</v>
      </c>
      <c r="AL309" s="48">
        <v>12852.74</v>
      </c>
      <c r="AN309"/>
      <c r="AO309"/>
      <c r="AP309" t="str">
        <f t="shared" si="72"/>
        <v>34901</v>
      </c>
      <c r="AQ309" s="481">
        <f t="shared" si="73"/>
        <v>16711.43</v>
      </c>
    </row>
    <row r="310" spans="1:43">
      <c r="A310" s="217">
        <v>303</v>
      </c>
      <c r="B310" s="191" t="s">
        <v>639</v>
      </c>
      <c r="C310" s="74" t="s">
        <v>1927</v>
      </c>
      <c r="D310" s="186">
        <v>1782.5200000000004</v>
      </c>
      <c r="E310" s="188">
        <v>29559.77</v>
      </c>
      <c r="F310" s="189">
        <f t="shared" si="74"/>
        <v>31342.29</v>
      </c>
      <c r="G310" s="200">
        <v>26683.99</v>
      </c>
      <c r="H310" s="197">
        <v>4658.2999999999993</v>
      </c>
      <c r="I310" s="188">
        <v>44489</v>
      </c>
      <c r="J310" s="189">
        <f t="shared" si="75"/>
        <v>49147.3</v>
      </c>
      <c r="K310" s="225">
        <v>46701.47</v>
      </c>
      <c r="L310" s="189">
        <v>2445.8300000000017</v>
      </c>
      <c r="M310" s="219">
        <v>42925.84</v>
      </c>
      <c r="N310" s="189">
        <f t="shared" si="76"/>
        <v>45371.67</v>
      </c>
      <c r="O310" s="225">
        <v>47745.429999999993</v>
      </c>
      <c r="P310" s="303">
        <v>0</v>
      </c>
      <c r="Q310" s="219">
        <v>45608.68</v>
      </c>
      <c r="R310" s="189">
        <f t="shared" si="77"/>
        <v>45608.68</v>
      </c>
      <c r="S310" s="225">
        <v>47709.119999999995</v>
      </c>
      <c r="T310" s="303">
        <v>0</v>
      </c>
      <c r="U310" s="303">
        <v>44078.659999999996</v>
      </c>
      <c r="V310" s="189">
        <f t="shared" si="78"/>
        <v>44078.659999999996</v>
      </c>
      <c r="W310" s="225"/>
      <c r="X310" s="303">
        <f t="shared" si="70"/>
        <v>44078.659999999996</v>
      </c>
      <c r="Y310" s="303"/>
      <c r="AA310" s="67">
        <f t="shared" si="71"/>
        <v>0</v>
      </c>
      <c r="AC310" t="s">
        <v>639</v>
      </c>
      <c r="AD310" t="s">
        <v>1928</v>
      </c>
      <c r="AE310" s="481">
        <f t="shared" si="79"/>
        <v>44078.659999999996</v>
      </c>
      <c r="AF310"/>
      <c r="AG310" s="48">
        <v>2447.96</v>
      </c>
      <c r="AH310" s="48">
        <v>1937.2</v>
      </c>
      <c r="AI310" s="48">
        <v>0</v>
      </c>
      <c r="AJ310" s="48">
        <v>180.99</v>
      </c>
      <c r="AK310" s="48">
        <v>0</v>
      </c>
      <c r="AL310" s="48">
        <v>39512.509999999995</v>
      </c>
      <c r="AN310"/>
      <c r="AO310"/>
      <c r="AP310" t="str">
        <f t="shared" si="72"/>
        <v>35200</v>
      </c>
      <c r="AQ310" s="481">
        <f t="shared" si="73"/>
        <v>44078.659999999996</v>
      </c>
    </row>
    <row r="311" spans="1:43">
      <c r="A311" s="217">
        <v>304</v>
      </c>
      <c r="B311" s="74" t="s">
        <v>641</v>
      </c>
      <c r="C311" s="74" t="s">
        <v>1929</v>
      </c>
      <c r="D311" s="186">
        <v>0</v>
      </c>
      <c r="E311" s="188">
        <v>178161.79</v>
      </c>
      <c r="F311" s="189">
        <f t="shared" si="74"/>
        <v>178161.79</v>
      </c>
      <c r="G311" s="200">
        <v>178548.13</v>
      </c>
      <c r="H311" s="197">
        <v>0</v>
      </c>
      <c r="I311" s="188">
        <v>266454.68999999994</v>
      </c>
      <c r="J311" s="189">
        <f t="shared" si="75"/>
        <v>266454.68999999994</v>
      </c>
      <c r="K311" s="225">
        <v>95332.51</v>
      </c>
      <c r="L311" s="189">
        <v>171122.17999999993</v>
      </c>
      <c r="M311" s="219">
        <v>263746.93</v>
      </c>
      <c r="N311" s="189">
        <f t="shared" si="76"/>
        <v>434869.10999999993</v>
      </c>
      <c r="O311" s="225">
        <v>216395.73000000004</v>
      </c>
      <c r="P311" s="303">
        <v>218473.37999999989</v>
      </c>
      <c r="Q311" s="219">
        <v>277857.38</v>
      </c>
      <c r="R311" s="189">
        <f t="shared" si="77"/>
        <v>496330.75999999989</v>
      </c>
      <c r="S311" s="225">
        <v>375972.45</v>
      </c>
      <c r="T311" s="303">
        <v>120358.30999999988</v>
      </c>
      <c r="U311" s="303">
        <v>278787.96000000008</v>
      </c>
      <c r="V311" s="189">
        <f t="shared" si="78"/>
        <v>399146.26999999996</v>
      </c>
      <c r="W311" s="225"/>
      <c r="X311" s="303">
        <f t="shared" si="70"/>
        <v>399146.26999999996</v>
      </c>
      <c r="Y311" s="303"/>
      <c r="AA311" s="67">
        <f t="shared" si="71"/>
        <v>0</v>
      </c>
      <c r="AC311" t="s">
        <v>641</v>
      </c>
      <c r="AD311" t="s">
        <v>1930</v>
      </c>
      <c r="AE311" s="481">
        <f t="shared" si="79"/>
        <v>278787.96000000008</v>
      </c>
      <c r="AF311"/>
      <c r="AG311" s="48">
        <v>20982.240000000002</v>
      </c>
      <c r="AH311" s="48">
        <v>10199.85</v>
      </c>
      <c r="AI311" s="48">
        <v>29997.81</v>
      </c>
      <c r="AJ311" s="48">
        <v>982.23</v>
      </c>
      <c r="AK311" s="48">
        <v>28639.57</v>
      </c>
      <c r="AL311" s="48">
        <v>187986.26000000004</v>
      </c>
      <c r="AN311"/>
      <c r="AO311"/>
      <c r="AP311" t="str">
        <f t="shared" si="72"/>
        <v>13073</v>
      </c>
      <c r="AQ311" s="481">
        <f t="shared" si="73"/>
        <v>278787.96000000008</v>
      </c>
    </row>
    <row r="312" spans="1:43">
      <c r="A312" s="217">
        <v>305</v>
      </c>
      <c r="B312" s="74" t="s">
        <v>643</v>
      </c>
      <c r="C312" s="74" t="s">
        <v>1931</v>
      </c>
      <c r="D312" s="186">
        <v>3602.1100000000015</v>
      </c>
      <c r="E312" s="188">
        <v>20853.46</v>
      </c>
      <c r="F312" s="189">
        <f t="shared" si="74"/>
        <v>24455.57</v>
      </c>
      <c r="G312" s="200">
        <v>16138.81</v>
      </c>
      <c r="H312" s="197">
        <v>8316.76</v>
      </c>
      <c r="I312" s="188">
        <v>30082.74</v>
      </c>
      <c r="J312" s="189">
        <f t="shared" si="75"/>
        <v>38399.5</v>
      </c>
      <c r="K312" s="225">
        <v>21799.08</v>
      </c>
      <c r="L312" s="189">
        <v>16600.419999999998</v>
      </c>
      <c r="M312" s="219">
        <v>31687.370000000003</v>
      </c>
      <c r="N312" s="189">
        <f t="shared" si="76"/>
        <v>48287.79</v>
      </c>
      <c r="O312" s="225">
        <v>22755.059999999998</v>
      </c>
      <c r="P312" s="303">
        <v>25532.730000000003</v>
      </c>
      <c r="Q312" s="219">
        <v>31102.84</v>
      </c>
      <c r="R312" s="189">
        <f t="shared" si="77"/>
        <v>56635.570000000007</v>
      </c>
      <c r="S312" s="225">
        <v>24953.310000000005</v>
      </c>
      <c r="T312" s="303">
        <v>31682.260000000002</v>
      </c>
      <c r="U312" s="303">
        <v>31909.17</v>
      </c>
      <c r="V312" s="189">
        <f t="shared" si="78"/>
        <v>63591.43</v>
      </c>
      <c r="W312" s="225"/>
      <c r="X312" s="303">
        <f t="shared" si="70"/>
        <v>63591.43</v>
      </c>
      <c r="Y312" s="303"/>
      <c r="AA312" s="67">
        <f t="shared" si="71"/>
        <v>0</v>
      </c>
      <c r="AC312" t="s">
        <v>643</v>
      </c>
      <c r="AD312" t="s">
        <v>1932</v>
      </c>
      <c r="AE312" s="481">
        <f t="shared" si="79"/>
        <v>31909.17</v>
      </c>
      <c r="AF312"/>
      <c r="AG312" s="48">
        <v>1482.19</v>
      </c>
      <c r="AH312" s="48">
        <v>815.57</v>
      </c>
      <c r="AI312" s="48">
        <v>0</v>
      </c>
      <c r="AJ312" s="48">
        <v>0</v>
      </c>
      <c r="AK312" s="48">
        <v>0</v>
      </c>
      <c r="AL312" s="48">
        <v>29611.41</v>
      </c>
      <c r="AN312"/>
      <c r="AO312"/>
      <c r="AP312" t="str">
        <f t="shared" si="72"/>
        <v>36401</v>
      </c>
      <c r="AQ312" s="481">
        <f t="shared" si="73"/>
        <v>31909.17</v>
      </c>
    </row>
    <row r="313" spans="1:43">
      <c r="A313" s="217">
        <v>306</v>
      </c>
      <c r="B313" s="74" t="s">
        <v>645</v>
      </c>
      <c r="C313" s="74" t="s">
        <v>1933</v>
      </c>
      <c r="D313" s="186">
        <v>55988.200000000041</v>
      </c>
      <c r="E313" s="188">
        <v>368604.75</v>
      </c>
      <c r="F313" s="189">
        <f t="shared" si="74"/>
        <v>424592.95000000007</v>
      </c>
      <c r="G313" s="200">
        <v>9467.9599999999991</v>
      </c>
      <c r="H313" s="197">
        <v>415124.99000000005</v>
      </c>
      <c r="I313" s="188">
        <v>498110.98</v>
      </c>
      <c r="J313" s="189">
        <f t="shared" si="75"/>
        <v>913235.97</v>
      </c>
      <c r="K313" s="225">
        <v>508772.40000000008</v>
      </c>
      <c r="L313" s="189">
        <v>404463.56999999989</v>
      </c>
      <c r="M313" s="219">
        <v>505428.94999999995</v>
      </c>
      <c r="N313" s="189">
        <f t="shared" si="76"/>
        <v>909892.51999999979</v>
      </c>
      <c r="O313" s="225">
        <v>586209.52</v>
      </c>
      <c r="P313" s="303">
        <v>323682.99999999977</v>
      </c>
      <c r="Q313" s="219">
        <v>557309.52</v>
      </c>
      <c r="R313" s="189">
        <f t="shared" si="77"/>
        <v>880992.51999999979</v>
      </c>
      <c r="S313" s="225">
        <v>543748.03</v>
      </c>
      <c r="T313" s="303">
        <v>337244.48999999976</v>
      </c>
      <c r="U313" s="303">
        <v>564319.28</v>
      </c>
      <c r="V313" s="189">
        <f t="shared" si="78"/>
        <v>901563.76999999979</v>
      </c>
      <c r="W313" s="225"/>
      <c r="X313" s="303">
        <f t="shared" si="70"/>
        <v>901563.76999999979</v>
      </c>
      <c r="Y313" s="303"/>
      <c r="AA313" s="67">
        <f t="shared" si="71"/>
        <v>0</v>
      </c>
      <c r="AC313" t="s">
        <v>645</v>
      </c>
      <c r="AD313" t="s">
        <v>1934</v>
      </c>
      <c r="AE313" s="481">
        <f t="shared" si="79"/>
        <v>564319.28</v>
      </c>
      <c r="AF313"/>
      <c r="AG313" s="48">
        <v>34945.24</v>
      </c>
      <c r="AH313" s="48">
        <v>21021.3</v>
      </c>
      <c r="AI313" s="48">
        <v>19410.169999999998</v>
      </c>
      <c r="AJ313" s="48">
        <v>2301.6</v>
      </c>
      <c r="AK313" s="48">
        <v>79328.149999999994</v>
      </c>
      <c r="AL313" s="48">
        <v>407312.82</v>
      </c>
      <c r="AN313"/>
      <c r="AO313"/>
      <c r="AP313" t="str">
        <f t="shared" si="72"/>
        <v>36140</v>
      </c>
      <c r="AQ313" s="481">
        <f t="shared" si="73"/>
        <v>564319.28</v>
      </c>
    </row>
    <row r="314" spans="1:43">
      <c r="A314" s="217">
        <v>307</v>
      </c>
      <c r="B314" s="74" t="s">
        <v>647</v>
      </c>
      <c r="C314" s="74" t="s">
        <v>1935</v>
      </c>
      <c r="D314" s="186">
        <v>4038.4599999999773</v>
      </c>
      <c r="E314" s="188">
        <v>228195.49</v>
      </c>
      <c r="F314" s="189">
        <f t="shared" ref="F314:F322" si="80">+D314+E314</f>
        <v>232233.94999999995</v>
      </c>
      <c r="G314" s="200">
        <v>194482.91</v>
      </c>
      <c r="H314" s="197">
        <v>37751.03999999995</v>
      </c>
      <c r="I314" s="188">
        <v>331869.17000000004</v>
      </c>
      <c r="J314" s="189">
        <f t="shared" ref="J314:J322" si="81">+H314+I314</f>
        <v>369620.20999999996</v>
      </c>
      <c r="K314" s="225">
        <v>205255.83</v>
      </c>
      <c r="L314" s="189">
        <v>164364.37999999998</v>
      </c>
      <c r="M314" s="219">
        <v>325886.28000000003</v>
      </c>
      <c r="N314" s="189">
        <f t="shared" ref="N314:N338" si="82">+L314+M314</f>
        <v>490250.66000000003</v>
      </c>
      <c r="O314" s="225">
        <v>115511.69999999998</v>
      </c>
      <c r="P314" s="303">
        <v>374738.96000000008</v>
      </c>
      <c r="Q314" s="219">
        <v>360228.74</v>
      </c>
      <c r="R314" s="189">
        <f t="shared" ref="R314:R338" si="83">+P314+Q314</f>
        <v>734967.70000000007</v>
      </c>
      <c r="S314" s="225">
        <v>189084.90000000002</v>
      </c>
      <c r="T314" s="303">
        <v>545882.80000000005</v>
      </c>
      <c r="U314" s="303">
        <v>353542.60000000003</v>
      </c>
      <c r="V314" s="189">
        <f t="shared" ref="V314:V338" si="84">+T314+U314</f>
        <v>899425.40000000014</v>
      </c>
      <c r="W314" s="225"/>
      <c r="X314" s="303">
        <f t="shared" si="70"/>
        <v>899425.40000000014</v>
      </c>
      <c r="Y314" s="303"/>
      <c r="AA314" s="67">
        <f t="shared" si="71"/>
        <v>0</v>
      </c>
      <c r="AC314" t="s">
        <v>647</v>
      </c>
      <c r="AD314" t="s">
        <v>1936</v>
      </c>
      <c r="AE314" s="481">
        <f t="shared" si="79"/>
        <v>353542.60000000003</v>
      </c>
      <c r="AF314"/>
      <c r="AG314" s="48">
        <v>26014.33</v>
      </c>
      <c r="AH314" s="48">
        <v>13569.8</v>
      </c>
      <c r="AI314" s="48">
        <v>25529.11</v>
      </c>
      <c r="AJ314" s="48">
        <v>1297.8499999999999</v>
      </c>
      <c r="AK314" s="48">
        <v>37310.53</v>
      </c>
      <c r="AL314" s="48">
        <v>249820.98</v>
      </c>
      <c r="AN314"/>
      <c r="AO314"/>
      <c r="AP314" t="str">
        <f t="shared" si="72"/>
        <v>39207</v>
      </c>
      <c r="AQ314" s="481">
        <f t="shared" si="73"/>
        <v>353542.60000000003</v>
      </c>
    </row>
    <row r="315" spans="1:43">
      <c r="A315" s="217">
        <v>308</v>
      </c>
      <c r="B315" s="74" t="s">
        <v>649</v>
      </c>
      <c r="C315" s="74" t="s">
        <v>1937</v>
      </c>
      <c r="D315" s="186">
        <v>0</v>
      </c>
      <c r="E315" s="188">
        <v>64436.81</v>
      </c>
      <c r="F315" s="189">
        <f t="shared" si="80"/>
        <v>64436.81</v>
      </c>
      <c r="G315" s="200">
        <v>63276.74</v>
      </c>
      <c r="H315" s="197">
        <v>1160.0699999999997</v>
      </c>
      <c r="I315" s="188">
        <v>90583.959999999992</v>
      </c>
      <c r="J315" s="189">
        <f t="shared" si="81"/>
        <v>91744.03</v>
      </c>
      <c r="K315" s="225">
        <v>89204.48000000001</v>
      </c>
      <c r="L315" s="189">
        <v>2539.5499999999884</v>
      </c>
      <c r="M315" s="219">
        <v>91067.650000000009</v>
      </c>
      <c r="N315" s="189">
        <f t="shared" si="82"/>
        <v>93607.2</v>
      </c>
      <c r="O315" s="225">
        <v>62456.99</v>
      </c>
      <c r="P315" s="303">
        <v>31150.21</v>
      </c>
      <c r="Q315" s="219">
        <v>97975.09</v>
      </c>
      <c r="R315" s="189">
        <f t="shared" si="83"/>
        <v>129125.29999999999</v>
      </c>
      <c r="S315" s="225">
        <v>122394.09</v>
      </c>
      <c r="T315" s="303">
        <v>6731.2099999999919</v>
      </c>
      <c r="U315" s="303">
        <v>101972.20000000001</v>
      </c>
      <c r="V315" s="189">
        <f t="shared" si="84"/>
        <v>108703.41</v>
      </c>
      <c r="W315" s="225"/>
      <c r="X315" s="303">
        <f t="shared" si="70"/>
        <v>108703.41</v>
      </c>
      <c r="Y315" s="303"/>
      <c r="AA315" s="67">
        <f t="shared" si="71"/>
        <v>0</v>
      </c>
      <c r="AC315" t="s">
        <v>649</v>
      </c>
      <c r="AD315" t="s">
        <v>1938</v>
      </c>
      <c r="AE315" s="481">
        <f t="shared" si="79"/>
        <v>101972.20000000001</v>
      </c>
      <c r="AF315"/>
      <c r="AG315" s="48">
        <v>7297.4</v>
      </c>
      <c r="AH315" s="48">
        <v>3723.91</v>
      </c>
      <c r="AI315" s="48">
        <v>6366.8</v>
      </c>
      <c r="AJ315" s="48">
        <v>387.88</v>
      </c>
      <c r="AK315" s="48">
        <v>12149.85</v>
      </c>
      <c r="AL315" s="48">
        <v>72046.36</v>
      </c>
      <c r="AN315"/>
      <c r="AO315"/>
      <c r="AP315" t="str">
        <f t="shared" si="72"/>
        <v>13146</v>
      </c>
      <c r="AQ315" s="481">
        <f t="shared" si="73"/>
        <v>101972.20000000001</v>
      </c>
    </row>
    <row r="316" spans="1:43">
      <c r="A316" s="217">
        <v>309</v>
      </c>
      <c r="B316" s="74" t="s">
        <v>651</v>
      </c>
      <c r="C316" s="74" t="s">
        <v>1939</v>
      </c>
      <c r="D316" s="186">
        <v>21469.97</v>
      </c>
      <c r="E316" s="188">
        <v>203579.56</v>
      </c>
      <c r="F316" s="189">
        <f t="shared" si="80"/>
        <v>225049.53</v>
      </c>
      <c r="G316" s="200">
        <v>217445.61</v>
      </c>
      <c r="H316" s="197">
        <v>7603.9200000000128</v>
      </c>
      <c r="I316" s="188">
        <v>261287.41999999998</v>
      </c>
      <c r="J316" s="189">
        <f t="shared" si="81"/>
        <v>268891.33999999997</v>
      </c>
      <c r="K316" s="225">
        <v>330436.59999999998</v>
      </c>
      <c r="L316" s="189">
        <v>0</v>
      </c>
      <c r="M316" s="219">
        <v>269641.17</v>
      </c>
      <c r="N316" s="189">
        <f t="shared" si="82"/>
        <v>269641.17</v>
      </c>
      <c r="O316" s="225">
        <v>305723.12</v>
      </c>
      <c r="P316" s="303">
        <v>0</v>
      </c>
      <c r="Q316" s="219">
        <v>286124.7</v>
      </c>
      <c r="R316" s="189">
        <f t="shared" si="83"/>
        <v>286124.7</v>
      </c>
      <c r="S316" s="225">
        <v>226097.09999999998</v>
      </c>
      <c r="T316" s="303">
        <v>60027.600000000035</v>
      </c>
      <c r="U316" s="303">
        <v>286357.08999999997</v>
      </c>
      <c r="V316" s="189">
        <f t="shared" si="84"/>
        <v>346384.69</v>
      </c>
      <c r="W316" s="225"/>
      <c r="X316" s="303">
        <f t="shared" si="70"/>
        <v>346384.69</v>
      </c>
      <c r="Y316" s="303"/>
      <c r="AA316" s="67">
        <f t="shared" si="71"/>
        <v>0</v>
      </c>
      <c r="AC316" t="s">
        <v>651</v>
      </c>
      <c r="AD316" t="s">
        <v>1940</v>
      </c>
      <c r="AE316" s="481">
        <f t="shared" si="79"/>
        <v>286357.08999999997</v>
      </c>
      <c r="AF316"/>
      <c r="AG316" s="48">
        <v>10505.42</v>
      </c>
      <c r="AH316" s="48">
        <v>0</v>
      </c>
      <c r="AI316" s="48">
        <v>2939.02</v>
      </c>
      <c r="AJ316" s="48">
        <v>1211.56</v>
      </c>
      <c r="AK316" s="48">
        <v>44202.31</v>
      </c>
      <c r="AL316" s="48">
        <v>227498.78</v>
      </c>
      <c r="AN316"/>
      <c r="AO316"/>
      <c r="AP316" t="str">
        <f t="shared" si="72"/>
        <v>06112</v>
      </c>
      <c r="AQ316" s="481">
        <f t="shared" si="73"/>
        <v>286357.08999999997</v>
      </c>
    </row>
    <row r="317" spans="1:43">
      <c r="A317" s="217">
        <v>310</v>
      </c>
      <c r="B317" s="74" t="s">
        <v>653</v>
      </c>
      <c r="C317" s="74" t="s">
        <v>1941</v>
      </c>
      <c r="D317" s="186">
        <v>1270.1899999999996</v>
      </c>
      <c r="E317" s="188">
        <v>12138.61</v>
      </c>
      <c r="F317" s="189">
        <f t="shared" si="80"/>
        <v>13408.8</v>
      </c>
      <c r="G317" s="200">
        <v>10397.209999999999</v>
      </c>
      <c r="H317" s="197">
        <v>3011.59</v>
      </c>
      <c r="I317" s="188">
        <v>18633.039999999997</v>
      </c>
      <c r="J317" s="189">
        <f t="shared" si="81"/>
        <v>21644.629999999997</v>
      </c>
      <c r="K317" s="225">
        <v>17016.449999999997</v>
      </c>
      <c r="L317" s="189">
        <v>4628.18</v>
      </c>
      <c r="M317" s="219">
        <v>19183.069999999996</v>
      </c>
      <c r="N317" s="189">
        <f t="shared" si="82"/>
        <v>23811.249999999996</v>
      </c>
      <c r="O317" s="225">
        <v>18111.12</v>
      </c>
      <c r="P317" s="303">
        <v>5700.1299999999974</v>
      </c>
      <c r="Q317" s="219">
        <v>20433.45</v>
      </c>
      <c r="R317" s="189">
        <f t="shared" si="83"/>
        <v>26133.579999999998</v>
      </c>
      <c r="S317" s="225">
        <v>17062.48</v>
      </c>
      <c r="T317" s="303">
        <v>9071.0999999999985</v>
      </c>
      <c r="U317" s="303">
        <v>20289.310000000001</v>
      </c>
      <c r="V317" s="189">
        <f t="shared" si="84"/>
        <v>29360.41</v>
      </c>
      <c r="W317" s="225"/>
      <c r="X317" s="303">
        <f t="shared" si="70"/>
        <v>29360.41</v>
      </c>
      <c r="Y317" s="303"/>
      <c r="AA317" s="67">
        <f t="shared" si="71"/>
        <v>0</v>
      </c>
      <c r="AC317" t="s">
        <v>653</v>
      </c>
      <c r="AD317" t="s">
        <v>1942</v>
      </c>
      <c r="AE317" s="481">
        <f t="shared" si="79"/>
        <v>20289.310000000001</v>
      </c>
      <c r="AF317"/>
      <c r="AG317" s="48">
        <v>448.34</v>
      </c>
      <c r="AH317" s="48">
        <v>275.8</v>
      </c>
      <c r="AI317" s="48">
        <v>0</v>
      </c>
      <c r="AJ317" s="48">
        <v>28.02</v>
      </c>
      <c r="AK317" s="48">
        <v>976.56</v>
      </c>
      <c r="AL317" s="48">
        <v>18560.59</v>
      </c>
      <c r="AN317"/>
      <c r="AO317"/>
      <c r="AP317" t="str">
        <f t="shared" si="72"/>
        <v>01109</v>
      </c>
      <c r="AQ317" s="481">
        <f t="shared" si="73"/>
        <v>20289.310000000001</v>
      </c>
    </row>
    <row r="318" spans="1:43">
      <c r="A318" s="217">
        <v>311</v>
      </c>
      <c r="B318" s="74" t="s">
        <v>655</v>
      </c>
      <c r="C318" s="74" t="s">
        <v>1943</v>
      </c>
      <c r="D318" s="186">
        <v>1.8189894035458565E-12</v>
      </c>
      <c r="E318" s="188">
        <v>19044.170000000002</v>
      </c>
      <c r="F318" s="189">
        <f t="shared" si="80"/>
        <v>19044.170000000006</v>
      </c>
      <c r="G318" s="200">
        <v>19044.169999999998</v>
      </c>
      <c r="H318" s="197">
        <v>7.2759576141834259E-12</v>
      </c>
      <c r="I318" s="188">
        <v>29428.059999999998</v>
      </c>
      <c r="J318" s="189">
        <f t="shared" si="81"/>
        <v>29428.060000000005</v>
      </c>
      <c r="K318" s="225">
        <v>29501.989999999998</v>
      </c>
      <c r="L318" s="189">
        <v>0</v>
      </c>
      <c r="M318" s="219">
        <v>29597.45</v>
      </c>
      <c r="N318" s="189">
        <f t="shared" si="82"/>
        <v>29597.45</v>
      </c>
      <c r="O318" s="225">
        <v>29493.670000000002</v>
      </c>
      <c r="P318" s="303">
        <v>103.77999999999884</v>
      </c>
      <c r="Q318" s="219">
        <v>31976.29</v>
      </c>
      <c r="R318" s="189">
        <f t="shared" si="83"/>
        <v>32080.07</v>
      </c>
      <c r="S318" s="225">
        <v>31976.3</v>
      </c>
      <c r="T318" s="303">
        <v>103.77000000000044</v>
      </c>
      <c r="U318" s="303">
        <v>30286.859999999997</v>
      </c>
      <c r="V318" s="189">
        <f t="shared" si="84"/>
        <v>30390.629999999997</v>
      </c>
      <c r="W318" s="225"/>
      <c r="X318" s="303">
        <f t="shared" si="70"/>
        <v>30390.629999999997</v>
      </c>
      <c r="Y318" s="303"/>
      <c r="AA318" s="67">
        <f t="shared" si="71"/>
        <v>0</v>
      </c>
      <c r="AC318" t="s">
        <v>655</v>
      </c>
      <c r="AD318" t="s">
        <v>1944</v>
      </c>
      <c r="AE318" s="481">
        <f t="shared" si="79"/>
        <v>30286.859999999997</v>
      </c>
      <c r="AF318"/>
      <c r="AG318" s="48">
        <v>1148.8800000000001</v>
      </c>
      <c r="AH318" s="48">
        <v>489.64</v>
      </c>
      <c r="AI318" s="48">
        <v>463.09</v>
      </c>
      <c r="AJ318" s="48">
        <v>100.28</v>
      </c>
      <c r="AK318" s="48">
        <v>0</v>
      </c>
      <c r="AL318" s="48">
        <v>28084.969999999998</v>
      </c>
      <c r="AN318"/>
      <c r="AO318"/>
      <c r="AP318" t="str">
        <f t="shared" si="72"/>
        <v>09209</v>
      </c>
      <c r="AQ318" s="481">
        <f t="shared" si="73"/>
        <v>30286.859999999997</v>
      </c>
    </row>
    <row r="319" spans="1:43">
      <c r="A319" s="217">
        <v>312</v>
      </c>
      <c r="B319" s="74" t="s">
        <v>657</v>
      </c>
      <c r="C319" s="74" t="s">
        <v>1945</v>
      </c>
      <c r="D319" s="186">
        <v>0</v>
      </c>
      <c r="E319" s="188">
        <v>30330.28</v>
      </c>
      <c r="F319" s="189">
        <f t="shared" si="80"/>
        <v>30330.28</v>
      </c>
      <c r="G319" s="200">
        <v>31114.31</v>
      </c>
      <c r="H319" s="197">
        <v>0</v>
      </c>
      <c r="I319" s="188">
        <v>46567.09</v>
      </c>
      <c r="J319" s="189">
        <f t="shared" si="81"/>
        <v>46567.09</v>
      </c>
      <c r="K319" s="225">
        <v>35357.93</v>
      </c>
      <c r="L319" s="189">
        <v>11209.159999999996</v>
      </c>
      <c r="M319" s="219">
        <v>43682.71</v>
      </c>
      <c r="N319" s="189">
        <f t="shared" si="82"/>
        <v>54891.869999999995</v>
      </c>
      <c r="O319" s="225">
        <v>41124.26</v>
      </c>
      <c r="P319" s="303">
        <v>13767.609999999993</v>
      </c>
      <c r="Q319" s="219">
        <v>44518.17</v>
      </c>
      <c r="R319" s="189">
        <f t="shared" si="83"/>
        <v>58285.779999999992</v>
      </c>
      <c r="S319" s="225">
        <v>77846.89</v>
      </c>
      <c r="T319" s="303">
        <v>0</v>
      </c>
      <c r="U319" s="303">
        <v>46085.759999999995</v>
      </c>
      <c r="V319" s="189">
        <f t="shared" si="84"/>
        <v>46085.759999999995</v>
      </c>
      <c r="W319" s="225"/>
      <c r="X319" s="303">
        <f t="shared" si="70"/>
        <v>46085.759999999995</v>
      </c>
      <c r="Y319" s="303"/>
      <c r="AA319" s="67">
        <f t="shared" si="71"/>
        <v>0</v>
      </c>
      <c r="AC319" t="s">
        <v>657</v>
      </c>
      <c r="AD319" t="s">
        <v>1946</v>
      </c>
      <c r="AE319" s="481">
        <f t="shared" si="79"/>
        <v>46085.759999999995</v>
      </c>
      <c r="AF319"/>
      <c r="AG319" s="48">
        <v>3153.16</v>
      </c>
      <c r="AH319" s="48">
        <v>1685.72</v>
      </c>
      <c r="AI319" s="48">
        <v>0</v>
      </c>
      <c r="AJ319" s="48">
        <v>175.5</v>
      </c>
      <c r="AK319" s="48">
        <v>6107.86</v>
      </c>
      <c r="AL319" s="48">
        <v>34963.519999999997</v>
      </c>
      <c r="AN319"/>
      <c r="AO319"/>
      <c r="AP319" t="str">
        <f t="shared" si="72"/>
        <v>33049</v>
      </c>
      <c r="AQ319" s="481">
        <f t="shared" si="73"/>
        <v>46085.759999999995</v>
      </c>
    </row>
    <row r="320" spans="1:43">
      <c r="A320" s="217">
        <v>313</v>
      </c>
      <c r="B320" s="74" t="s">
        <v>659</v>
      </c>
      <c r="C320" s="74" t="s">
        <v>1947</v>
      </c>
      <c r="D320" s="186">
        <v>4122.4800000000687</v>
      </c>
      <c r="E320" s="188">
        <v>507726.16999999993</v>
      </c>
      <c r="F320" s="189">
        <f t="shared" si="80"/>
        <v>511848.65</v>
      </c>
      <c r="G320" s="200">
        <v>500337.6</v>
      </c>
      <c r="H320" s="197">
        <v>11511.050000000047</v>
      </c>
      <c r="I320" s="188">
        <v>693349.15999999992</v>
      </c>
      <c r="J320" s="189">
        <f t="shared" si="81"/>
        <v>704860.21</v>
      </c>
      <c r="K320" s="225">
        <v>750704.27</v>
      </c>
      <c r="L320" s="189">
        <v>0</v>
      </c>
      <c r="M320" s="219">
        <v>716568.86</v>
      </c>
      <c r="N320" s="189">
        <f t="shared" si="82"/>
        <v>716568.86</v>
      </c>
      <c r="O320" s="225">
        <v>763289.37999999977</v>
      </c>
      <c r="P320" s="303">
        <v>0</v>
      </c>
      <c r="Q320" s="219">
        <v>763222.52</v>
      </c>
      <c r="R320" s="189">
        <f t="shared" si="83"/>
        <v>763222.52</v>
      </c>
      <c r="S320" s="225">
        <v>604762.6399999999</v>
      </c>
      <c r="T320" s="303">
        <v>158459.88000000012</v>
      </c>
      <c r="U320" s="303">
        <v>757492.92</v>
      </c>
      <c r="V320" s="189">
        <f t="shared" si="84"/>
        <v>915952.80000000016</v>
      </c>
      <c r="W320" s="225"/>
      <c r="X320" s="303">
        <f t="shared" si="70"/>
        <v>915952.80000000016</v>
      </c>
      <c r="Y320" s="303"/>
      <c r="AA320" s="67">
        <f t="shared" si="71"/>
        <v>0</v>
      </c>
      <c r="AC320" t="s">
        <v>659</v>
      </c>
      <c r="AD320" t="s">
        <v>1948</v>
      </c>
      <c r="AE320" s="481">
        <f t="shared" si="79"/>
        <v>757492.92</v>
      </c>
      <c r="AF320"/>
      <c r="AG320" s="48">
        <v>40287.17</v>
      </c>
      <c r="AH320" s="48">
        <v>26581.18</v>
      </c>
      <c r="AI320" s="48">
        <v>37263.35</v>
      </c>
      <c r="AJ320" s="48">
        <v>3043.28</v>
      </c>
      <c r="AK320" s="48">
        <v>103066.31</v>
      </c>
      <c r="AL320" s="48">
        <v>547251.63</v>
      </c>
      <c r="AN320"/>
      <c r="AO320"/>
      <c r="AP320" t="str">
        <f t="shared" si="72"/>
        <v>04246</v>
      </c>
      <c r="AQ320" s="481">
        <f t="shared" si="73"/>
        <v>757492.92</v>
      </c>
    </row>
    <row r="321" spans="1:43">
      <c r="A321" s="217">
        <v>314</v>
      </c>
      <c r="B321" s="74" t="s">
        <v>661</v>
      </c>
      <c r="C321" s="74" t="s">
        <v>1949</v>
      </c>
      <c r="D321" s="186">
        <v>30147.309999999998</v>
      </c>
      <c r="E321" s="188">
        <v>203220.31</v>
      </c>
      <c r="F321" s="189">
        <f t="shared" si="80"/>
        <v>233367.62</v>
      </c>
      <c r="G321" s="200">
        <v>233367.62</v>
      </c>
      <c r="H321" s="197">
        <v>0</v>
      </c>
      <c r="I321" s="188">
        <v>272904.63</v>
      </c>
      <c r="J321" s="189">
        <f t="shared" si="81"/>
        <v>272904.63</v>
      </c>
      <c r="K321" s="225">
        <v>294905.95</v>
      </c>
      <c r="L321" s="189">
        <v>0</v>
      </c>
      <c r="M321" s="219">
        <v>260355.60000000003</v>
      </c>
      <c r="N321" s="189">
        <f t="shared" si="82"/>
        <v>260355.60000000003</v>
      </c>
      <c r="O321" s="225">
        <v>270285.55</v>
      </c>
      <c r="P321" s="303">
        <v>0</v>
      </c>
      <c r="Q321" s="219">
        <v>286034.68999999994</v>
      </c>
      <c r="R321" s="189">
        <f t="shared" si="83"/>
        <v>286034.68999999994</v>
      </c>
      <c r="S321" s="225">
        <v>296212.93</v>
      </c>
      <c r="T321" s="303">
        <v>0</v>
      </c>
      <c r="U321" s="303">
        <v>293748.42</v>
      </c>
      <c r="V321" s="189">
        <f t="shared" si="84"/>
        <v>293748.42</v>
      </c>
      <c r="W321" s="225"/>
      <c r="X321" s="303">
        <f t="shared" si="70"/>
        <v>293748.42</v>
      </c>
      <c r="Y321" s="303"/>
      <c r="AA321" s="67">
        <f t="shared" si="71"/>
        <v>0</v>
      </c>
      <c r="AC321" t="s">
        <v>661</v>
      </c>
      <c r="AD321" t="s">
        <v>1950</v>
      </c>
      <c r="AE321" s="481">
        <f t="shared" si="79"/>
        <v>293748.42</v>
      </c>
      <c r="AF321"/>
      <c r="AG321" s="48">
        <v>18402.79</v>
      </c>
      <c r="AH321" s="48">
        <v>8110.03</v>
      </c>
      <c r="AI321" s="48">
        <v>2954.06</v>
      </c>
      <c r="AJ321" s="48">
        <v>1427.62</v>
      </c>
      <c r="AK321" s="48">
        <v>45734.09</v>
      </c>
      <c r="AL321" s="48">
        <v>217119.83</v>
      </c>
      <c r="AN321"/>
      <c r="AO321"/>
      <c r="AP321" t="str">
        <f t="shared" si="72"/>
        <v>32363</v>
      </c>
      <c r="AQ321" s="481">
        <f t="shared" si="73"/>
        <v>293748.42</v>
      </c>
    </row>
    <row r="322" spans="1:43">
      <c r="A322" s="217">
        <v>315</v>
      </c>
      <c r="B322" s="74" t="s">
        <v>663</v>
      </c>
      <c r="C322" s="74" t="s">
        <v>1951</v>
      </c>
      <c r="D322" s="186">
        <v>33571.53</v>
      </c>
      <c r="E322" s="188">
        <v>348179.93</v>
      </c>
      <c r="F322" s="189">
        <f t="shared" si="80"/>
        <v>381751.45999999996</v>
      </c>
      <c r="G322" s="200">
        <v>290175.25</v>
      </c>
      <c r="H322" s="198">
        <v>91576.209999999963</v>
      </c>
      <c r="I322" s="188">
        <v>482195.12</v>
      </c>
      <c r="J322" s="189">
        <f t="shared" si="81"/>
        <v>573771.32999999996</v>
      </c>
      <c r="K322" s="225">
        <v>573771.33000000007</v>
      </c>
      <c r="L322" s="189">
        <v>0</v>
      </c>
      <c r="M322" s="219">
        <v>499602.16</v>
      </c>
      <c r="N322" s="189">
        <f t="shared" si="82"/>
        <v>499602.16</v>
      </c>
      <c r="O322" s="225">
        <v>499619.15</v>
      </c>
      <c r="P322" s="303">
        <v>0</v>
      </c>
      <c r="Q322" s="219">
        <v>547075.52999999991</v>
      </c>
      <c r="R322" s="189">
        <f t="shared" si="83"/>
        <v>547075.52999999991</v>
      </c>
      <c r="S322" s="225">
        <v>554375.53</v>
      </c>
      <c r="T322" s="303">
        <v>0</v>
      </c>
      <c r="U322" s="303">
        <v>555067.79</v>
      </c>
      <c r="V322" s="189">
        <f t="shared" si="84"/>
        <v>555067.79</v>
      </c>
      <c r="W322" s="225"/>
      <c r="X322" s="303">
        <f t="shared" si="70"/>
        <v>555067.79</v>
      </c>
      <c r="Y322" s="303"/>
      <c r="AA322" s="67">
        <f t="shared" si="71"/>
        <v>0</v>
      </c>
      <c r="AC322" t="s">
        <v>663</v>
      </c>
      <c r="AD322" t="s">
        <v>1952</v>
      </c>
      <c r="AE322" s="481">
        <f t="shared" si="79"/>
        <v>555067.79</v>
      </c>
      <c r="AF322"/>
      <c r="AG322" s="48">
        <v>25310.28</v>
      </c>
      <c r="AH322" s="48">
        <v>7638.89</v>
      </c>
      <c r="AI322" s="48">
        <v>11779.43</v>
      </c>
      <c r="AJ322" s="48">
        <v>2312.77</v>
      </c>
      <c r="AK322" s="48">
        <v>76049.72</v>
      </c>
      <c r="AL322" s="48">
        <v>431976.7</v>
      </c>
      <c r="AN322"/>
      <c r="AO322"/>
      <c r="AP322" t="str">
        <f t="shared" si="72"/>
        <v>39208</v>
      </c>
      <c r="AQ322" s="481">
        <f t="shared" si="73"/>
        <v>555067.79</v>
      </c>
    </row>
    <row r="323" spans="1:43">
      <c r="A323" s="217">
        <v>316</v>
      </c>
      <c r="B323" s="221" t="s">
        <v>665</v>
      </c>
      <c r="C323" s="190" t="s">
        <v>1953</v>
      </c>
      <c r="D323" s="186"/>
      <c r="E323" s="188"/>
      <c r="F323" s="189"/>
      <c r="G323" s="200"/>
      <c r="H323" s="198"/>
      <c r="I323" s="188"/>
      <c r="J323" s="189"/>
      <c r="K323" s="225"/>
      <c r="L323" s="189">
        <v>0</v>
      </c>
      <c r="M323" s="219">
        <v>14594.77</v>
      </c>
      <c r="N323" s="189">
        <f t="shared" si="82"/>
        <v>14594.77</v>
      </c>
      <c r="O323" s="225">
        <v>13884.75</v>
      </c>
      <c r="P323" s="303">
        <v>710.02000000000044</v>
      </c>
      <c r="Q323" s="219">
        <v>16162.54</v>
      </c>
      <c r="R323" s="189">
        <f t="shared" si="83"/>
        <v>16872.560000000001</v>
      </c>
      <c r="S323" s="225">
        <v>0</v>
      </c>
      <c r="T323" s="303">
        <v>16872.560000000001</v>
      </c>
      <c r="U323" s="303">
        <v>15738.35</v>
      </c>
      <c r="V323" s="189">
        <f t="shared" si="84"/>
        <v>32610.910000000003</v>
      </c>
      <c r="W323" s="225"/>
      <c r="X323" s="303">
        <f t="shared" si="70"/>
        <v>32610.910000000003</v>
      </c>
      <c r="Y323" s="303"/>
      <c r="AA323" s="67">
        <f t="shared" si="71"/>
        <v>0</v>
      </c>
      <c r="AC323" t="s">
        <v>665</v>
      </c>
      <c r="AD323" t="s">
        <v>1954</v>
      </c>
      <c r="AE323" s="481">
        <f t="shared" si="79"/>
        <v>15738.35</v>
      </c>
      <c r="AF323"/>
      <c r="AG323" s="48">
        <v>450.27</v>
      </c>
      <c r="AH323" s="48">
        <v>0</v>
      </c>
      <c r="AI323" s="48">
        <v>0</v>
      </c>
      <c r="AJ323" s="48">
        <v>34.880000000000003</v>
      </c>
      <c r="AK323" s="48">
        <v>1000.19</v>
      </c>
      <c r="AL323" s="48">
        <v>14253.01</v>
      </c>
      <c r="AN323"/>
      <c r="AO323"/>
      <c r="AP323" t="str">
        <f t="shared" si="72"/>
        <v>37902</v>
      </c>
      <c r="AQ323" s="481">
        <f t="shared" si="73"/>
        <v>15738.35</v>
      </c>
    </row>
    <row r="324" spans="1:43">
      <c r="A324" s="217">
        <v>317</v>
      </c>
      <c r="B324" s="74" t="s">
        <v>667</v>
      </c>
      <c r="C324" s="74" t="s">
        <v>1955</v>
      </c>
      <c r="D324" s="186">
        <v>1412.7900000000009</v>
      </c>
      <c r="E324" s="188">
        <v>26671.760000000002</v>
      </c>
      <c r="F324" s="189">
        <f>+D324+E324</f>
        <v>28084.550000000003</v>
      </c>
      <c r="G324" s="200"/>
      <c r="H324" s="197">
        <v>28084.550000000003</v>
      </c>
      <c r="I324" s="188">
        <v>35343.94</v>
      </c>
      <c r="J324" s="189">
        <f>+H324+I324</f>
        <v>63428.490000000005</v>
      </c>
      <c r="K324" s="225">
        <v>40602.979999999996</v>
      </c>
      <c r="L324" s="189">
        <v>22825.510000000009</v>
      </c>
      <c r="M324" s="219">
        <v>36947.75</v>
      </c>
      <c r="N324" s="189">
        <f t="shared" si="82"/>
        <v>59773.260000000009</v>
      </c>
      <c r="O324" s="225">
        <v>36627.79</v>
      </c>
      <c r="P324" s="303">
        <v>23145.470000000008</v>
      </c>
      <c r="Q324" s="219">
        <v>40848.85</v>
      </c>
      <c r="R324" s="189">
        <f t="shared" si="83"/>
        <v>63994.320000000007</v>
      </c>
      <c r="S324" s="225">
        <v>3442.48</v>
      </c>
      <c r="T324" s="303">
        <v>60551.840000000004</v>
      </c>
      <c r="U324" s="303">
        <v>43167.42</v>
      </c>
      <c r="V324" s="189">
        <f t="shared" si="84"/>
        <v>103719.26000000001</v>
      </c>
      <c r="W324" s="225"/>
      <c r="X324" s="303">
        <f t="shared" si="70"/>
        <v>103719.26000000001</v>
      </c>
      <c r="Y324" s="303"/>
      <c r="AA324" s="67">
        <f t="shared" si="71"/>
        <v>0</v>
      </c>
      <c r="AC324" t="s">
        <v>667</v>
      </c>
      <c r="AD324" t="s">
        <v>1956</v>
      </c>
      <c r="AE324" s="481">
        <f t="shared" si="79"/>
        <v>43167.42</v>
      </c>
      <c r="AF324"/>
      <c r="AG324" s="48">
        <v>2328.7399999999998</v>
      </c>
      <c r="AH324" s="48">
        <v>1533.81</v>
      </c>
      <c r="AI324" s="48">
        <v>0</v>
      </c>
      <c r="AJ324" s="48">
        <v>143.06</v>
      </c>
      <c r="AK324" s="48">
        <v>4733.6400000000003</v>
      </c>
      <c r="AL324" s="48">
        <v>34428.17</v>
      </c>
      <c r="AN324"/>
      <c r="AO324"/>
      <c r="AP324" t="str">
        <f t="shared" si="72"/>
        <v>21303</v>
      </c>
      <c r="AQ324" s="481">
        <f t="shared" si="73"/>
        <v>43167.42</v>
      </c>
    </row>
    <row r="325" spans="1:43">
      <c r="A325" s="217">
        <v>318</v>
      </c>
      <c r="B325" s="74" t="s">
        <v>669</v>
      </c>
      <c r="C325" s="74" t="s">
        <v>1957</v>
      </c>
      <c r="D325" s="186">
        <v>0</v>
      </c>
      <c r="E325" s="188">
        <v>242561.03999999998</v>
      </c>
      <c r="F325" s="189">
        <f>+D325+E325</f>
        <v>242561.03999999998</v>
      </c>
      <c r="G325" s="200">
        <v>302712.44</v>
      </c>
      <c r="H325" s="197">
        <v>0</v>
      </c>
      <c r="I325" s="188">
        <v>354901.69999999995</v>
      </c>
      <c r="J325" s="189">
        <f>+H325+I325</f>
        <v>354901.69999999995</v>
      </c>
      <c r="K325" s="225">
        <v>358056.24999999994</v>
      </c>
      <c r="L325" s="189">
        <v>0</v>
      </c>
      <c r="M325" s="219">
        <v>382461.42</v>
      </c>
      <c r="N325" s="189">
        <f t="shared" si="82"/>
        <v>382461.42</v>
      </c>
      <c r="O325" s="225">
        <v>624335.43999999994</v>
      </c>
      <c r="P325" s="303">
        <v>0</v>
      </c>
      <c r="Q325" s="219">
        <v>422148.95999999996</v>
      </c>
      <c r="R325" s="189">
        <f t="shared" si="83"/>
        <v>422148.95999999996</v>
      </c>
      <c r="S325" s="225">
        <v>515879.1999999999</v>
      </c>
      <c r="T325" s="303">
        <v>0</v>
      </c>
      <c r="U325" s="303">
        <v>451901.42000000004</v>
      </c>
      <c r="V325" s="189">
        <f t="shared" si="84"/>
        <v>451901.42000000004</v>
      </c>
      <c r="W325" s="225"/>
      <c r="X325" s="303">
        <f t="shared" si="70"/>
        <v>451901.42000000004</v>
      </c>
      <c r="Y325" s="303"/>
      <c r="AA325" s="67">
        <f t="shared" si="71"/>
        <v>0</v>
      </c>
      <c r="AC325" t="s">
        <v>669</v>
      </c>
      <c r="AD325" t="s">
        <v>1958</v>
      </c>
      <c r="AE325" s="481">
        <f t="shared" si="79"/>
        <v>451901.42000000004</v>
      </c>
      <c r="AF325"/>
      <c r="AG325" s="48">
        <v>13311.57</v>
      </c>
      <c r="AH325" s="48">
        <v>0</v>
      </c>
      <c r="AI325" s="48">
        <v>5005.71</v>
      </c>
      <c r="AJ325" s="48">
        <v>1935.37</v>
      </c>
      <c r="AK325" s="48">
        <v>61502.84</v>
      </c>
      <c r="AL325" s="48">
        <v>370145.93000000005</v>
      </c>
      <c r="AN325"/>
      <c r="AO325"/>
      <c r="AP325" t="str">
        <f t="shared" si="72"/>
        <v>27416</v>
      </c>
      <c r="AQ325" s="481">
        <f t="shared" si="73"/>
        <v>451901.42000000004</v>
      </c>
    </row>
    <row r="326" spans="1:43">
      <c r="A326" s="217">
        <v>319</v>
      </c>
      <c r="B326" s="74" t="s">
        <v>671</v>
      </c>
      <c r="C326" s="74" t="s">
        <v>1959</v>
      </c>
      <c r="D326" s="186">
        <v>0</v>
      </c>
      <c r="E326" s="188">
        <v>67137.47</v>
      </c>
      <c r="F326" s="189">
        <f>+D326+E326</f>
        <v>67137.47</v>
      </c>
      <c r="G326" s="200">
        <v>75759.95</v>
      </c>
      <c r="H326" s="197">
        <v>0</v>
      </c>
      <c r="I326" s="188">
        <v>91465.579999999987</v>
      </c>
      <c r="J326" s="189">
        <f>+H326+I326</f>
        <v>91465.579999999987</v>
      </c>
      <c r="K326" s="225">
        <v>102546.45999999999</v>
      </c>
      <c r="L326" s="189">
        <v>0</v>
      </c>
      <c r="M326" s="219">
        <v>89872.310000000012</v>
      </c>
      <c r="N326" s="189">
        <f t="shared" si="82"/>
        <v>89872.310000000012</v>
      </c>
      <c r="O326" s="225">
        <v>73191.429999999993</v>
      </c>
      <c r="P326" s="303">
        <v>16680.880000000019</v>
      </c>
      <c r="Q326" s="219">
        <v>96582.85</v>
      </c>
      <c r="R326" s="189">
        <f t="shared" si="83"/>
        <v>113263.73000000003</v>
      </c>
      <c r="S326" s="225">
        <v>104990.6</v>
      </c>
      <c r="T326" s="303">
        <v>8273.1300000000192</v>
      </c>
      <c r="U326" s="303">
        <v>98829.6</v>
      </c>
      <c r="V326" s="189">
        <f t="shared" si="84"/>
        <v>107102.73000000003</v>
      </c>
      <c r="W326" s="225"/>
      <c r="X326" s="303">
        <f t="shared" si="70"/>
        <v>107102.73000000003</v>
      </c>
      <c r="Y326" s="303"/>
      <c r="AA326" s="67">
        <f t="shared" si="71"/>
        <v>0</v>
      </c>
      <c r="AC326" t="s">
        <v>671</v>
      </c>
      <c r="AD326" t="s">
        <v>1960</v>
      </c>
      <c r="AE326" s="481">
        <f t="shared" si="79"/>
        <v>98829.6</v>
      </c>
      <c r="AF326"/>
      <c r="AG326" s="48">
        <v>4986.42</v>
      </c>
      <c r="AH326" s="48">
        <v>0</v>
      </c>
      <c r="AI326" s="48">
        <v>4150.49</v>
      </c>
      <c r="AJ326" s="48">
        <v>478.55</v>
      </c>
      <c r="AK326" s="48">
        <v>0</v>
      </c>
      <c r="AL326" s="48">
        <v>89214.14</v>
      </c>
      <c r="AN326"/>
      <c r="AO326"/>
      <c r="AP326" t="str">
        <f t="shared" si="72"/>
        <v>20405</v>
      </c>
      <c r="AQ326" s="481">
        <f t="shared" si="73"/>
        <v>98829.6</v>
      </c>
    </row>
    <row r="327" spans="1:43">
      <c r="A327" s="217">
        <v>320</v>
      </c>
      <c r="B327" s="220" t="s">
        <v>673</v>
      </c>
      <c r="C327" s="190" t="s">
        <v>1961</v>
      </c>
      <c r="D327" s="186"/>
      <c r="E327" s="188"/>
      <c r="F327" s="189"/>
      <c r="G327" s="200"/>
      <c r="H327" s="197"/>
      <c r="I327" s="188"/>
      <c r="J327" s="189"/>
      <c r="K327" s="225"/>
      <c r="L327" s="189">
        <v>0</v>
      </c>
      <c r="M327" s="219">
        <v>18195.05</v>
      </c>
      <c r="N327" s="189">
        <f t="shared" si="82"/>
        <v>18195.05</v>
      </c>
      <c r="O327" s="225">
        <v>16302</v>
      </c>
      <c r="P327" s="303">
        <v>1893.0499999999993</v>
      </c>
      <c r="Q327" s="219">
        <v>22459.079999999998</v>
      </c>
      <c r="R327" s="189">
        <f t="shared" si="83"/>
        <v>24352.129999999997</v>
      </c>
      <c r="S327" s="225">
        <v>0</v>
      </c>
      <c r="T327" s="303">
        <v>24352.129999999997</v>
      </c>
      <c r="U327" s="303">
        <v>22354.25</v>
      </c>
      <c r="V327" s="189">
        <f t="shared" si="84"/>
        <v>46706.38</v>
      </c>
      <c r="W327" s="225"/>
      <c r="X327" s="303">
        <f t="shared" si="70"/>
        <v>46706.38</v>
      </c>
      <c r="Y327" s="303"/>
      <c r="AA327" s="67">
        <f t="shared" si="71"/>
        <v>0</v>
      </c>
      <c r="AC327" t="s">
        <v>673</v>
      </c>
      <c r="AD327" t="s">
        <v>1962</v>
      </c>
      <c r="AE327" s="481">
        <f t="shared" si="79"/>
        <v>22354.25</v>
      </c>
      <c r="AF327"/>
      <c r="AG327" s="48">
        <v>1080.71</v>
      </c>
      <c r="AH327" s="48">
        <v>0</v>
      </c>
      <c r="AI327" s="48">
        <v>0</v>
      </c>
      <c r="AJ327" s="48">
        <v>0</v>
      </c>
      <c r="AK327" s="48">
        <v>2403.63</v>
      </c>
      <c r="AL327" s="48">
        <v>18869.91</v>
      </c>
      <c r="AN327"/>
      <c r="AO327"/>
      <c r="AP327" t="str">
        <f t="shared" si="72"/>
        <v>17917</v>
      </c>
      <c r="AQ327" s="481">
        <f t="shared" si="73"/>
        <v>22354.25</v>
      </c>
    </row>
    <row r="328" spans="1:43">
      <c r="A328" s="217">
        <v>321</v>
      </c>
      <c r="B328" s="74" t="s">
        <v>675</v>
      </c>
      <c r="C328" s="74" t="s">
        <v>1963</v>
      </c>
      <c r="D328" s="186">
        <v>0</v>
      </c>
      <c r="E328" s="188">
        <v>18558.52</v>
      </c>
      <c r="F328" s="189">
        <f t="shared" ref="F328:F338" si="85">+D328+E328</f>
        <v>18558.52</v>
      </c>
      <c r="G328" s="200">
        <v>30144.14</v>
      </c>
      <c r="H328" s="197">
        <v>0</v>
      </c>
      <c r="I328" s="188">
        <v>26452.75</v>
      </c>
      <c r="J328" s="189">
        <f t="shared" ref="J328:J338" si="86">+H328+I328</f>
        <v>26452.75</v>
      </c>
      <c r="K328" s="225">
        <v>27087.199999999997</v>
      </c>
      <c r="L328" s="189">
        <v>0</v>
      </c>
      <c r="M328" s="219">
        <v>26874.14</v>
      </c>
      <c r="N328" s="189">
        <f t="shared" si="82"/>
        <v>26874.14</v>
      </c>
      <c r="O328" s="225">
        <v>31010.09</v>
      </c>
      <c r="P328" s="303">
        <v>0</v>
      </c>
      <c r="Q328" s="219">
        <v>28368.95</v>
      </c>
      <c r="R328" s="189">
        <f t="shared" si="83"/>
        <v>28368.95</v>
      </c>
      <c r="S328" s="225">
        <v>28040.34</v>
      </c>
      <c r="T328" s="303">
        <v>328.61000000000058</v>
      </c>
      <c r="U328" s="303">
        <v>27601.68</v>
      </c>
      <c r="V328" s="189">
        <f t="shared" si="84"/>
        <v>27930.29</v>
      </c>
      <c r="W328" s="225"/>
      <c r="X328" s="303">
        <f t="shared" ref="X328:X338" si="87">+V328-W328</f>
        <v>27930.29</v>
      </c>
      <c r="Y328" s="303"/>
      <c r="AA328" s="67">
        <f t="shared" ref="AA328:AA338" si="88">+AC328-B328</f>
        <v>0</v>
      </c>
      <c r="AC328" t="s">
        <v>675</v>
      </c>
      <c r="AD328" t="s">
        <v>1964</v>
      </c>
      <c r="AE328" s="481">
        <f t="shared" si="79"/>
        <v>27601.68</v>
      </c>
      <c r="AF328"/>
      <c r="AG328" s="48">
        <v>902.58</v>
      </c>
      <c r="AH328" s="48">
        <v>0</v>
      </c>
      <c r="AI328" s="48">
        <v>0</v>
      </c>
      <c r="AJ328" s="48">
        <v>0</v>
      </c>
      <c r="AK328" s="48">
        <v>2958.96</v>
      </c>
      <c r="AL328" s="48">
        <v>23740.14</v>
      </c>
      <c r="AN328"/>
      <c r="AO328"/>
      <c r="AP328" t="str">
        <f t="shared" ref="AP328:AP338" si="89">TEXT(AC328, "00000")</f>
        <v>22200</v>
      </c>
      <c r="AQ328" s="481">
        <f t="shared" ref="AQ328:AQ338" si="90">AE328</f>
        <v>27601.68</v>
      </c>
    </row>
    <row r="329" spans="1:43">
      <c r="A329" s="217">
        <v>322</v>
      </c>
      <c r="B329" s="74" t="s">
        <v>677</v>
      </c>
      <c r="C329" s="74" t="s">
        <v>1965</v>
      </c>
      <c r="D329" s="186">
        <v>0</v>
      </c>
      <c r="E329" s="188">
        <v>24822.100000000002</v>
      </c>
      <c r="F329" s="189">
        <f t="shared" si="85"/>
        <v>24822.100000000002</v>
      </c>
      <c r="G329" s="200">
        <v>9887.2800000000007</v>
      </c>
      <c r="H329" s="197">
        <v>14934.820000000002</v>
      </c>
      <c r="I329" s="188">
        <v>36482.770000000004</v>
      </c>
      <c r="J329" s="189">
        <f t="shared" si="86"/>
        <v>51417.590000000004</v>
      </c>
      <c r="K329" s="225"/>
      <c r="L329" s="189">
        <v>51417.590000000004</v>
      </c>
      <c r="M329" s="219">
        <v>38312.789999999994</v>
      </c>
      <c r="N329" s="189">
        <f t="shared" si="82"/>
        <v>89730.38</v>
      </c>
      <c r="O329" s="225">
        <v>20738.53</v>
      </c>
      <c r="P329" s="303">
        <v>68991.850000000006</v>
      </c>
      <c r="Q329" s="219">
        <v>40386.47</v>
      </c>
      <c r="R329" s="189">
        <f t="shared" si="83"/>
        <v>109378.32</v>
      </c>
      <c r="S329" s="225">
        <v>48813.780000000006</v>
      </c>
      <c r="T329" s="303">
        <v>60564.54</v>
      </c>
      <c r="U329" s="303">
        <v>41497.39</v>
      </c>
      <c r="V329" s="189">
        <f t="shared" si="84"/>
        <v>102061.93</v>
      </c>
      <c r="W329" s="225"/>
      <c r="X329" s="303">
        <f t="shared" si="87"/>
        <v>102061.93</v>
      </c>
      <c r="Y329" s="303"/>
      <c r="AA329" s="67">
        <f t="shared" si="88"/>
        <v>0</v>
      </c>
      <c r="AC329" t="s">
        <v>677</v>
      </c>
      <c r="AD329" t="s">
        <v>1966</v>
      </c>
      <c r="AE329" s="481">
        <f t="shared" si="79"/>
        <v>41497.39</v>
      </c>
      <c r="AF329"/>
      <c r="AG329" s="48">
        <v>1345.04</v>
      </c>
      <c r="AH329" s="48">
        <v>0</v>
      </c>
      <c r="AI329" s="48">
        <v>113.56</v>
      </c>
      <c r="AJ329" s="48">
        <v>143.06</v>
      </c>
      <c r="AK329" s="48">
        <v>5181.46</v>
      </c>
      <c r="AL329" s="48">
        <v>34714.269999999997</v>
      </c>
      <c r="AN329"/>
      <c r="AO329"/>
      <c r="AP329" t="str">
        <f t="shared" si="89"/>
        <v>25160</v>
      </c>
      <c r="AQ329" s="481">
        <f t="shared" si="90"/>
        <v>41497.39</v>
      </c>
    </row>
    <row r="330" spans="1:43">
      <c r="A330" s="217">
        <v>323</v>
      </c>
      <c r="B330" s="74" t="s">
        <v>679</v>
      </c>
      <c r="C330" s="74" t="s">
        <v>1967</v>
      </c>
      <c r="D330" s="186">
        <v>7324.8</v>
      </c>
      <c r="E330" s="188">
        <v>15732.810000000001</v>
      </c>
      <c r="F330" s="189">
        <f t="shared" si="85"/>
        <v>23057.61</v>
      </c>
      <c r="G330" s="200"/>
      <c r="H330" s="197">
        <v>23057.61</v>
      </c>
      <c r="I330" s="188">
        <v>23597.29</v>
      </c>
      <c r="J330" s="189">
        <f t="shared" si="86"/>
        <v>46654.9</v>
      </c>
      <c r="K330" s="225">
        <v>7318.880000000001</v>
      </c>
      <c r="L330" s="189">
        <v>39336.020000000004</v>
      </c>
      <c r="M330" s="219">
        <v>22146.560000000001</v>
      </c>
      <c r="N330" s="189">
        <f t="shared" si="82"/>
        <v>61482.58</v>
      </c>
      <c r="O330" s="225">
        <v>7546.2</v>
      </c>
      <c r="P330" s="303">
        <v>53936.380000000005</v>
      </c>
      <c r="Q330" s="219">
        <v>23723.980000000003</v>
      </c>
      <c r="R330" s="189">
        <f t="shared" si="83"/>
        <v>77660.360000000015</v>
      </c>
      <c r="S330" s="225">
        <v>33827.980000000003</v>
      </c>
      <c r="T330" s="303">
        <v>43832.380000000012</v>
      </c>
      <c r="U330" s="303">
        <v>23304.02</v>
      </c>
      <c r="V330" s="189">
        <f t="shared" si="84"/>
        <v>67136.400000000009</v>
      </c>
      <c r="W330" s="225"/>
      <c r="X330" s="303">
        <f t="shared" si="87"/>
        <v>67136.400000000009</v>
      </c>
      <c r="Y330" s="303"/>
      <c r="AA330" s="67">
        <f t="shared" si="88"/>
        <v>0</v>
      </c>
      <c r="AC330" t="s">
        <v>679</v>
      </c>
      <c r="AD330" t="s">
        <v>1968</v>
      </c>
      <c r="AE330" s="481">
        <f t="shared" si="79"/>
        <v>23304.02</v>
      </c>
      <c r="AF330"/>
      <c r="AG330" s="48">
        <v>725.08</v>
      </c>
      <c r="AH330" s="48">
        <v>496.42</v>
      </c>
      <c r="AI330" s="48">
        <v>0</v>
      </c>
      <c r="AJ330" s="48">
        <v>0</v>
      </c>
      <c r="AK330" s="48">
        <v>1638.88</v>
      </c>
      <c r="AL330" s="48">
        <v>20443.64</v>
      </c>
      <c r="AN330"/>
      <c r="AO330"/>
      <c r="AP330" t="str">
        <f t="shared" si="89"/>
        <v>13167</v>
      </c>
      <c r="AQ330" s="481">
        <f t="shared" si="90"/>
        <v>23304.02</v>
      </c>
    </row>
    <row r="331" spans="1:43">
      <c r="A331" s="217">
        <v>324</v>
      </c>
      <c r="B331" s="74" t="s">
        <v>681</v>
      </c>
      <c r="C331" s="74" t="s">
        <v>1969</v>
      </c>
      <c r="D331" s="186">
        <v>4035.6600000000071</v>
      </c>
      <c r="E331" s="188">
        <v>50762.05</v>
      </c>
      <c r="F331" s="189">
        <f t="shared" si="85"/>
        <v>54797.710000000006</v>
      </c>
      <c r="G331" s="200">
        <v>19675.82</v>
      </c>
      <c r="H331" s="197">
        <v>35121.890000000007</v>
      </c>
      <c r="I331" s="188">
        <v>74936.73</v>
      </c>
      <c r="J331" s="189">
        <f t="shared" si="86"/>
        <v>110058.62</v>
      </c>
      <c r="K331" s="225">
        <v>21064.78</v>
      </c>
      <c r="L331" s="189">
        <v>88993.84</v>
      </c>
      <c r="M331" s="219">
        <v>80103.51999999999</v>
      </c>
      <c r="N331" s="189">
        <f t="shared" si="82"/>
        <v>169097.36</v>
      </c>
      <c r="O331" s="225">
        <v>25503.879999999997</v>
      </c>
      <c r="P331" s="303">
        <v>143593.47999999998</v>
      </c>
      <c r="Q331" s="219">
        <v>89421.7</v>
      </c>
      <c r="R331" s="189">
        <f t="shared" si="83"/>
        <v>233015.18</v>
      </c>
      <c r="S331" s="225">
        <v>89101.47</v>
      </c>
      <c r="T331" s="303">
        <v>143913.71</v>
      </c>
      <c r="U331" s="303">
        <v>86948.76</v>
      </c>
      <c r="V331" s="189">
        <f t="shared" si="84"/>
        <v>230862.46999999997</v>
      </c>
      <c r="W331" s="225"/>
      <c r="X331" s="303">
        <f t="shared" si="87"/>
        <v>230862.46999999997</v>
      </c>
      <c r="Y331" s="303"/>
      <c r="AA331" s="67">
        <f t="shared" si="88"/>
        <v>0</v>
      </c>
      <c r="AC331" t="s">
        <v>681</v>
      </c>
      <c r="AD331" t="s">
        <v>1970</v>
      </c>
      <c r="AE331" s="481">
        <f t="shared" si="79"/>
        <v>86948.76</v>
      </c>
      <c r="AF331"/>
      <c r="AG331" s="48">
        <v>5630.65</v>
      </c>
      <c r="AH331" s="48">
        <v>3477.98</v>
      </c>
      <c r="AI331" s="48">
        <v>1012.41</v>
      </c>
      <c r="AJ331" s="48">
        <v>330.95</v>
      </c>
      <c r="AK331" s="48">
        <v>12554.35</v>
      </c>
      <c r="AL331" s="48">
        <v>63942.42</v>
      </c>
      <c r="AN331"/>
      <c r="AO331"/>
      <c r="AP331" t="str">
        <f t="shared" si="89"/>
        <v>21232</v>
      </c>
      <c r="AQ331" s="481">
        <f t="shared" si="90"/>
        <v>86948.76</v>
      </c>
    </row>
    <row r="332" spans="1:43">
      <c r="A332" s="217">
        <v>325</v>
      </c>
      <c r="B332" s="74" t="s">
        <v>683</v>
      </c>
      <c r="C332" s="74" t="s">
        <v>1971</v>
      </c>
      <c r="D332" s="186">
        <v>0</v>
      </c>
      <c r="E332" s="188">
        <v>15405.039999999999</v>
      </c>
      <c r="F332" s="189">
        <f t="shared" si="85"/>
        <v>15405.039999999999</v>
      </c>
      <c r="G332" s="200">
        <v>14086.17</v>
      </c>
      <c r="H332" s="197">
        <v>1318.869999999999</v>
      </c>
      <c r="I332" s="188">
        <v>23310.42</v>
      </c>
      <c r="J332" s="189">
        <f t="shared" si="86"/>
        <v>24629.289999999997</v>
      </c>
      <c r="K332" s="225">
        <v>27392.68</v>
      </c>
      <c r="L332" s="189">
        <v>0</v>
      </c>
      <c r="M332" s="219">
        <v>24638.28</v>
      </c>
      <c r="N332" s="189">
        <f t="shared" si="82"/>
        <v>24638.28</v>
      </c>
      <c r="O332" s="225">
        <v>28714.100000000002</v>
      </c>
      <c r="P332" s="303">
        <v>0</v>
      </c>
      <c r="Q332" s="219">
        <v>26688.449999999997</v>
      </c>
      <c r="R332" s="189">
        <f t="shared" si="83"/>
        <v>26688.449999999997</v>
      </c>
      <c r="S332" s="225">
        <v>33979.42</v>
      </c>
      <c r="T332" s="303">
        <v>0</v>
      </c>
      <c r="U332" s="303">
        <v>27649.56</v>
      </c>
      <c r="V332" s="189">
        <f t="shared" si="84"/>
        <v>27649.56</v>
      </c>
      <c r="W332" s="225"/>
      <c r="X332" s="303">
        <f t="shared" si="87"/>
        <v>27649.56</v>
      </c>
      <c r="Y332" s="303"/>
      <c r="AA332" s="67">
        <f t="shared" si="88"/>
        <v>0</v>
      </c>
      <c r="AC332" t="s">
        <v>683</v>
      </c>
      <c r="AD332" t="s">
        <v>1972</v>
      </c>
      <c r="AE332" s="481">
        <f t="shared" si="79"/>
        <v>27649.56</v>
      </c>
      <c r="AF332"/>
      <c r="AG332" s="48">
        <v>1035.32</v>
      </c>
      <c r="AH332" s="48">
        <v>672.51</v>
      </c>
      <c r="AI332" s="48">
        <v>0</v>
      </c>
      <c r="AJ332" s="48">
        <v>0</v>
      </c>
      <c r="AK332" s="48">
        <v>2095.39</v>
      </c>
      <c r="AL332" s="48">
        <v>23846.34</v>
      </c>
      <c r="AN332"/>
      <c r="AO332"/>
      <c r="AP332" t="str">
        <f t="shared" si="89"/>
        <v>14117</v>
      </c>
      <c r="AQ332" s="481">
        <f t="shared" si="90"/>
        <v>27649.56</v>
      </c>
    </row>
    <row r="333" spans="1:43">
      <c r="A333" s="217">
        <v>326</v>
      </c>
      <c r="B333" s="74" t="s">
        <v>685</v>
      </c>
      <c r="C333" s="74" t="s">
        <v>1973</v>
      </c>
      <c r="D333" s="186">
        <v>0</v>
      </c>
      <c r="E333" s="188">
        <v>12053.12</v>
      </c>
      <c r="F333" s="189">
        <f t="shared" si="85"/>
        <v>12053.12</v>
      </c>
      <c r="G333" s="200">
        <v>8072.63</v>
      </c>
      <c r="H333" s="197">
        <v>3980.4900000000007</v>
      </c>
      <c r="I333" s="188">
        <v>18422.939999999999</v>
      </c>
      <c r="J333" s="189">
        <f t="shared" si="86"/>
        <v>22403.43</v>
      </c>
      <c r="K333" s="225">
        <v>12706.75</v>
      </c>
      <c r="L333" s="189">
        <v>9696.68</v>
      </c>
      <c r="M333" s="219">
        <v>18586.23</v>
      </c>
      <c r="N333" s="189">
        <f t="shared" si="82"/>
        <v>28282.91</v>
      </c>
      <c r="O333" s="225">
        <v>19308.12</v>
      </c>
      <c r="P333" s="303">
        <v>8974.7900000000009</v>
      </c>
      <c r="Q333" s="219">
        <v>19703.62</v>
      </c>
      <c r="R333" s="189">
        <f t="shared" si="83"/>
        <v>28678.41</v>
      </c>
      <c r="S333" s="225">
        <v>21013.940000000002</v>
      </c>
      <c r="T333" s="303">
        <v>7664.4699999999975</v>
      </c>
      <c r="U333" s="303">
        <v>21064.83</v>
      </c>
      <c r="V333" s="189">
        <f t="shared" si="84"/>
        <v>28729.3</v>
      </c>
      <c r="W333" s="225"/>
      <c r="X333" s="303">
        <f t="shared" si="87"/>
        <v>28729.3</v>
      </c>
      <c r="Y333" s="303"/>
      <c r="AA333" s="67">
        <f t="shared" si="88"/>
        <v>0</v>
      </c>
      <c r="AC333" t="s">
        <v>685</v>
      </c>
      <c r="AD333" t="s">
        <v>1974</v>
      </c>
      <c r="AE333" s="481">
        <f t="shared" si="79"/>
        <v>21064.83</v>
      </c>
      <c r="AF333"/>
      <c r="AG333" s="48">
        <v>585.5</v>
      </c>
      <c r="AH333" s="48">
        <v>299.39</v>
      </c>
      <c r="AI333" s="48">
        <v>0</v>
      </c>
      <c r="AJ333" s="48">
        <v>0</v>
      </c>
      <c r="AK333" s="48">
        <v>0</v>
      </c>
      <c r="AL333" s="48">
        <v>20179.940000000002</v>
      </c>
      <c r="AN333"/>
      <c r="AO333"/>
      <c r="AP333" t="str">
        <f t="shared" si="89"/>
        <v>20094</v>
      </c>
      <c r="AQ333" s="481">
        <f t="shared" si="90"/>
        <v>21064.83</v>
      </c>
    </row>
    <row r="334" spans="1:43">
      <c r="A334" s="217">
        <v>327</v>
      </c>
      <c r="B334" s="74" t="s">
        <v>687</v>
      </c>
      <c r="C334" s="74" t="s">
        <v>1975</v>
      </c>
      <c r="D334" s="186">
        <v>0</v>
      </c>
      <c r="E334" s="188">
        <v>148852.97000000003</v>
      </c>
      <c r="F334" s="189">
        <f t="shared" si="85"/>
        <v>148852.97000000003</v>
      </c>
      <c r="G334" s="200">
        <v>146139.03</v>
      </c>
      <c r="H334" s="197">
        <v>2713.9400000000314</v>
      </c>
      <c r="I334" s="188">
        <v>193194.78999999998</v>
      </c>
      <c r="J334" s="189">
        <f t="shared" si="86"/>
        <v>195908.73</v>
      </c>
      <c r="K334" s="225">
        <v>231004.66</v>
      </c>
      <c r="L334" s="189">
        <v>0</v>
      </c>
      <c r="M334" s="219">
        <v>205162.32</v>
      </c>
      <c r="N334" s="189">
        <f t="shared" si="82"/>
        <v>205162.32</v>
      </c>
      <c r="O334" s="225">
        <v>237770.71000000002</v>
      </c>
      <c r="P334" s="303">
        <v>0</v>
      </c>
      <c r="Q334" s="219">
        <v>228743.12</v>
      </c>
      <c r="R334" s="189">
        <f t="shared" si="83"/>
        <v>228743.12</v>
      </c>
      <c r="S334" s="225">
        <v>278726.25</v>
      </c>
      <c r="T334" s="303">
        <v>0</v>
      </c>
      <c r="U334" s="303">
        <v>232695.49</v>
      </c>
      <c r="V334" s="189">
        <f t="shared" si="84"/>
        <v>232695.49</v>
      </c>
      <c r="W334" s="225"/>
      <c r="X334" s="303">
        <f t="shared" si="87"/>
        <v>232695.49</v>
      </c>
      <c r="Y334" s="303"/>
      <c r="AA334" s="67">
        <f t="shared" si="88"/>
        <v>0</v>
      </c>
      <c r="AC334" t="s">
        <v>687</v>
      </c>
      <c r="AD334" t="s">
        <v>1976</v>
      </c>
      <c r="AE334" s="481">
        <f t="shared" si="79"/>
        <v>232695.49</v>
      </c>
      <c r="AF334"/>
      <c r="AG334" s="48">
        <v>9574.5300000000007</v>
      </c>
      <c r="AH334" s="48">
        <v>1746.19</v>
      </c>
      <c r="AI334" s="48">
        <v>4533.6000000000004</v>
      </c>
      <c r="AJ334" s="48">
        <v>998.45</v>
      </c>
      <c r="AK334" s="48">
        <v>36271.760000000002</v>
      </c>
      <c r="AL334" s="48">
        <v>179570.96</v>
      </c>
      <c r="AN334"/>
      <c r="AO334"/>
      <c r="AP334" t="str">
        <f t="shared" si="89"/>
        <v>08404</v>
      </c>
      <c r="AQ334" s="481">
        <f t="shared" si="90"/>
        <v>232695.49</v>
      </c>
    </row>
    <row r="335" spans="1:43">
      <c r="A335" s="217">
        <v>328</v>
      </c>
      <c r="B335" s="74" t="s">
        <v>689</v>
      </c>
      <c r="C335" s="74" t="s">
        <v>1977</v>
      </c>
      <c r="D335" s="186">
        <v>0</v>
      </c>
      <c r="E335" s="188">
        <v>11818.29</v>
      </c>
      <c r="F335" s="189">
        <f t="shared" si="85"/>
        <v>11818.29</v>
      </c>
      <c r="G335" s="200"/>
      <c r="H335" s="197">
        <v>11818.29</v>
      </c>
      <c r="I335" s="188">
        <v>16971.89</v>
      </c>
      <c r="J335" s="189">
        <f t="shared" si="86"/>
        <v>28790.18</v>
      </c>
      <c r="K335" s="225"/>
      <c r="L335" s="189">
        <v>28790.18</v>
      </c>
      <c r="M335" s="219">
        <v>19248.71</v>
      </c>
      <c r="N335" s="189">
        <f t="shared" si="82"/>
        <v>48038.89</v>
      </c>
      <c r="O335" s="87"/>
      <c r="P335" s="303">
        <v>48038.89</v>
      </c>
      <c r="Q335" s="219">
        <v>19580.53</v>
      </c>
      <c r="R335" s="189">
        <f t="shared" si="83"/>
        <v>67619.42</v>
      </c>
      <c r="S335" s="225">
        <v>0</v>
      </c>
      <c r="T335" s="303">
        <v>67619.42</v>
      </c>
      <c r="U335" s="303">
        <v>21062.93</v>
      </c>
      <c r="V335" s="189">
        <f t="shared" si="84"/>
        <v>88682.35</v>
      </c>
      <c r="W335" s="225"/>
      <c r="X335" s="303">
        <f t="shared" si="87"/>
        <v>88682.35</v>
      </c>
      <c r="Y335" s="303"/>
      <c r="AA335" s="67">
        <f t="shared" si="88"/>
        <v>0</v>
      </c>
      <c r="AC335" t="s">
        <v>689</v>
      </c>
      <c r="AD335" t="s">
        <v>1978</v>
      </c>
      <c r="AE335" s="481">
        <f t="shared" si="79"/>
        <v>21062.93</v>
      </c>
      <c r="AF335"/>
      <c r="AG335" s="48">
        <v>0</v>
      </c>
      <c r="AH335" s="48">
        <v>0</v>
      </c>
      <c r="AI335" s="48">
        <v>0</v>
      </c>
      <c r="AJ335" s="48">
        <v>0</v>
      </c>
      <c r="AK335" s="48">
        <v>1729.54</v>
      </c>
      <c r="AL335" s="48">
        <v>19333.39</v>
      </c>
      <c r="AN335"/>
      <c r="AO335"/>
      <c r="AP335" t="str">
        <f t="shared" si="89"/>
        <v>39901</v>
      </c>
      <c r="AQ335" s="481">
        <f t="shared" si="90"/>
        <v>21062.93</v>
      </c>
    </row>
    <row r="336" spans="1:43">
      <c r="A336" s="217">
        <v>329</v>
      </c>
      <c r="B336" s="74" t="s">
        <v>691</v>
      </c>
      <c r="C336" s="74" t="s">
        <v>1979</v>
      </c>
      <c r="D336" s="186">
        <v>550522.31999999995</v>
      </c>
      <c r="E336" s="188">
        <v>1055031.27</v>
      </c>
      <c r="F336" s="189">
        <f t="shared" si="85"/>
        <v>1605553.5899999999</v>
      </c>
      <c r="G336" s="200">
        <v>914261.75</v>
      </c>
      <c r="H336" s="197">
        <v>691291.83999999985</v>
      </c>
      <c r="I336" s="188">
        <v>1558859.4000000001</v>
      </c>
      <c r="J336" s="189">
        <f t="shared" si="86"/>
        <v>2250151.2400000002</v>
      </c>
      <c r="K336" s="225">
        <v>1407944.5999999999</v>
      </c>
      <c r="L336" s="189">
        <v>842206.64000000036</v>
      </c>
      <c r="M336" s="219">
        <v>1601421.48</v>
      </c>
      <c r="N336" s="189">
        <f t="shared" si="82"/>
        <v>2443628.12</v>
      </c>
      <c r="O336" s="225">
        <v>1234307.75</v>
      </c>
      <c r="P336" s="303">
        <v>1209320.3700000001</v>
      </c>
      <c r="Q336" s="219">
        <v>1717221.48</v>
      </c>
      <c r="R336" s="189">
        <f t="shared" si="83"/>
        <v>2926541.85</v>
      </c>
      <c r="S336" s="225">
        <v>1288976.21</v>
      </c>
      <c r="T336" s="303">
        <v>1637565.6400000001</v>
      </c>
      <c r="U336" s="303">
        <v>1746286.7999999998</v>
      </c>
      <c r="V336" s="189">
        <f t="shared" si="84"/>
        <v>3383852.44</v>
      </c>
      <c r="W336" s="225"/>
      <c r="X336" s="303">
        <f t="shared" si="87"/>
        <v>3383852.44</v>
      </c>
      <c r="Y336" s="303"/>
      <c r="AA336" s="67">
        <f t="shared" si="88"/>
        <v>0</v>
      </c>
      <c r="AC336" t="s">
        <v>691</v>
      </c>
      <c r="AD336" t="s">
        <v>1980</v>
      </c>
      <c r="AE336" s="481">
        <f t="shared" si="79"/>
        <v>1746286.7999999998</v>
      </c>
      <c r="AF336"/>
      <c r="AG336" s="48">
        <v>123268.28</v>
      </c>
      <c r="AH336" s="48">
        <v>64013.02</v>
      </c>
      <c r="AI336" s="48">
        <v>110934.38</v>
      </c>
      <c r="AJ336" s="48">
        <v>6512.8</v>
      </c>
      <c r="AK336" s="48">
        <v>213662.75</v>
      </c>
      <c r="AL336" s="48">
        <v>1227895.5699999998</v>
      </c>
      <c r="AN336"/>
      <c r="AO336"/>
      <c r="AP336" t="str">
        <f t="shared" si="89"/>
        <v>39007</v>
      </c>
      <c r="AQ336" s="481">
        <f t="shared" si="90"/>
        <v>1746286.7999999998</v>
      </c>
    </row>
    <row r="337" spans="1:43">
      <c r="A337" s="217">
        <v>330</v>
      </c>
      <c r="B337" s="74" t="s">
        <v>693</v>
      </c>
      <c r="C337" s="74" t="s">
        <v>1981</v>
      </c>
      <c r="D337" s="186">
        <v>20102.809999999998</v>
      </c>
      <c r="E337" s="188">
        <v>346207.02999999997</v>
      </c>
      <c r="F337" s="189">
        <f t="shared" si="85"/>
        <v>366309.83999999997</v>
      </c>
      <c r="G337" s="200">
        <v>327404.82</v>
      </c>
      <c r="H337" s="197">
        <v>38905.01999999996</v>
      </c>
      <c r="I337" s="188">
        <v>485864.21</v>
      </c>
      <c r="J337" s="189">
        <f t="shared" si="86"/>
        <v>524769.23</v>
      </c>
      <c r="K337" s="225">
        <v>362239.1</v>
      </c>
      <c r="L337" s="189">
        <v>162530.13</v>
      </c>
      <c r="M337" s="219">
        <v>488495.55000000005</v>
      </c>
      <c r="N337" s="189">
        <f t="shared" si="82"/>
        <v>651025.68000000005</v>
      </c>
      <c r="O337" s="225">
        <v>553069.51</v>
      </c>
      <c r="P337" s="303">
        <v>97956.170000000042</v>
      </c>
      <c r="Q337" s="219">
        <v>548907.31999999995</v>
      </c>
      <c r="R337" s="189">
        <f t="shared" si="83"/>
        <v>646863.49</v>
      </c>
      <c r="S337" s="225">
        <v>538566.99</v>
      </c>
      <c r="T337" s="303">
        <v>108296.5</v>
      </c>
      <c r="U337" s="303">
        <v>606454.88</v>
      </c>
      <c r="V337" s="189">
        <f t="shared" si="84"/>
        <v>714751.38</v>
      </c>
      <c r="W337" s="225"/>
      <c r="X337" s="303">
        <f t="shared" si="87"/>
        <v>714751.38</v>
      </c>
      <c r="Y337" s="303"/>
      <c r="AA337" s="67">
        <f t="shared" si="88"/>
        <v>0</v>
      </c>
      <c r="AC337" t="s">
        <v>693</v>
      </c>
      <c r="AD337" t="s">
        <v>1982</v>
      </c>
      <c r="AE337" s="481">
        <f t="shared" si="79"/>
        <v>606454.88</v>
      </c>
      <c r="AF337"/>
      <c r="AG337" s="48">
        <v>25872.74</v>
      </c>
      <c r="AH337" s="48">
        <v>2984.36</v>
      </c>
      <c r="AI337" s="48">
        <v>5113.58</v>
      </c>
      <c r="AJ337" s="48">
        <v>2548.1999999999998</v>
      </c>
      <c r="AK337" s="48">
        <v>90713.42</v>
      </c>
      <c r="AL337" s="48">
        <v>479222.58</v>
      </c>
      <c r="AN337"/>
      <c r="AO337"/>
      <c r="AP337" t="str">
        <f t="shared" si="89"/>
        <v>34002</v>
      </c>
      <c r="AQ337" s="481">
        <f t="shared" si="90"/>
        <v>606454.88</v>
      </c>
    </row>
    <row r="338" spans="1:43">
      <c r="A338" s="217">
        <v>331</v>
      </c>
      <c r="B338" s="74" t="s">
        <v>695</v>
      </c>
      <c r="C338" s="74" t="s">
        <v>1983</v>
      </c>
      <c r="D338" s="186">
        <v>2725.0999999999985</v>
      </c>
      <c r="E338" s="188">
        <v>80904.72</v>
      </c>
      <c r="F338" s="189">
        <f t="shared" si="85"/>
        <v>83629.820000000007</v>
      </c>
      <c r="G338" s="200">
        <v>72139.520000000004</v>
      </c>
      <c r="H338" s="197">
        <v>11490.300000000003</v>
      </c>
      <c r="I338" s="188">
        <v>115399.61</v>
      </c>
      <c r="J338" s="189">
        <f t="shared" si="86"/>
        <v>126889.91</v>
      </c>
      <c r="K338" s="225">
        <v>116909.42000000001</v>
      </c>
      <c r="L338" s="189">
        <v>9980.4899999999907</v>
      </c>
      <c r="M338" s="219">
        <v>120630.6</v>
      </c>
      <c r="N338" s="189">
        <f t="shared" si="82"/>
        <v>130611.09</v>
      </c>
      <c r="O338" s="225">
        <v>121802.43000000001</v>
      </c>
      <c r="P338" s="303">
        <v>8808.6599999999889</v>
      </c>
      <c r="Q338" s="219">
        <v>137360.5</v>
      </c>
      <c r="R338" s="189">
        <f t="shared" si="83"/>
        <v>146169.15999999997</v>
      </c>
      <c r="S338" s="225">
        <v>148897.66999999998</v>
      </c>
      <c r="T338" s="303">
        <v>0</v>
      </c>
      <c r="U338" s="303">
        <v>136462.32</v>
      </c>
      <c r="V338" s="189">
        <f t="shared" si="84"/>
        <v>136462.32</v>
      </c>
      <c r="W338" s="225"/>
      <c r="X338" s="303">
        <f t="shared" si="87"/>
        <v>136462.32</v>
      </c>
      <c r="Y338" s="303"/>
      <c r="AA338" s="67">
        <f t="shared" si="88"/>
        <v>0</v>
      </c>
      <c r="AC338" t="s">
        <v>695</v>
      </c>
      <c r="AD338" t="s">
        <v>1984</v>
      </c>
      <c r="AE338" s="481">
        <f t="shared" si="79"/>
        <v>136462.32</v>
      </c>
      <c r="AF338"/>
      <c r="AG338" s="48">
        <v>8291.43</v>
      </c>
      <c r="AH338" s="48">
        <v>5595.46</v>
      </c>
      <c r="AI338" s="48">
        <v>4139.8100000000004</v>
      </c>
      <c r="AJ338" s="48">
        <v>547.16</v>
      </c>
      <c r="AK338" s="48">
        <v>14497.78</v>
      </c>
      <c r="AL338" s="48">
        <v>103390.68000000001</v>
      </c>
      <c r="AN338"/>
      <c r="AO338"/>
      <c r="AP338" t="str">
        <f t="shared" si="89"/>
        <v>39205</v>
      </c>
      <c r="AQ338" s="481">
        <f t="shared" si="90"/>
        <v>136462.32</v>
      </c>
    </row>
    <row r="339" spans="1:43">
      <c r="O339"/>
      <c r="P339"/>
      <c r="R339"/>
      <c r="AC339"/>
      <c r="AD339"/>
      <c r="AE339" s="481"/>
      <c r="AF339"/>
      <c r="AG339" s="48"/>
      <c r="AH339" s="48"/>
      <c r="AI339" s="48"/>
      <c r="AJ339" s="48"/>
      <c r="AK339" s="48"/>
      <c r="AL339" s="48"/>
      <c r="AN339"/>
      <c r="AO339"/>
      <c r="AP339"/>
      <c r="AQ339"/>
    </row>
    <row r="340" spans="1:43">
      <c r="O340"/>
      <c r="P340"/>
      <c r="Q340"/>
      <c r="R340"/>
      <c r="AN340"/>
      <c r="AO340"/>
      <c r="AP340"/>
      <c r="AQ340"/>
    </row>
    <row r="341" spans="1:43">
      <c r="O341"/>
      <c r="P341"/>
      <c r="Q341"/>
      <c r="R341"/>
      <c r="AN341"/>
      <c r="AO341"/>
      <c r="AP341"/>
      <c r="AQ341"/>
    </row>
    <row r="342" spans="1:43">
      <c r="O342"/>
      <c r="P342"/>
      <c r="Q342"/>
      <c r="R342"/>
      <c r="AN342"/>
      <c r="AO342"/>
      <c r="AP342"/>
      <c r="AQ342"/>
    </row>
    <row r="343" spans="1:43">
      <c r="O343"/>
      <c r="P343"/>
      <c r="Q343"/>
      <c r="R343"/>
      <c r="AN343"/>
      <c r="AO343"/>
      <c r="AP343"/>
      <c r="AQ343"/>
    </row>
    <row r="344" spans="1:43">
      <c r="O344"/>
      <c r="P344"/>
      <c r="Q344"/>
      <c r="R344"/>
      <c r="AN344"/>
      <c r="AO344"/>
      <c r="AP344"/>
      <c r="AQ344"/>
    </row>
    <row r="345" spans="1:43">
      <c r="O345"/>
      <c r="P345"/>
      <c r="Q345"/>
      <c r="R345"/>
      <c r="AN345"/>
      <c r="AO345"/>
      <c r="AP345"/>
      <c r="AQ345"/>
    </row>
    <row r="346" spans="1:43">
      <c r="O346"/>
      <c r="P346"/>
      <c r="Q346"/>
      <c r="R346"/>
      <c r="AN346"/>
      <c r="AO346"/>
      <c r="AP346"/>
      <c r="AQ346"/>
    </row>
    <row r="347" spans="1:43">
      <c r="O347"/>
      <c r="P347"/>
      <c r="Q347"/>
      <c r="R347"/>
      <c r="AN347"/>
      <c r="AO347"/>
      <c r="AP347"/>
      <c r="AQ347"/>
    </row>
    <row r="348" spans="1:43">
      <c r="O348"/>
      <c r="P348"/>
      <c r="Q348"/>
      <c r="R348"/>
      <c r="AN348"/>
      <c r="AO348"/>
      <c r="AP348"/>
      <c r="AQ348"/>
    </row>
    <row r="349" spans="1:43">
      <c r="O349"/>
      <c r="P349"/>
      <c r="Q349"/>
      <c r="R349"/>
      <c r="AN349"/>
      <c r="AO349"/>
      <c r="AP349"/>
      <c r="AQ349"/>
    </row>
    <row r="350" spans="1:43">
      <c r="O350"/>
      <c r="P350"/>
      <c r="Q350"/>
      <c r="R350"/>
      <c r="AN350"/>
      <c r="AO350"/>
      <c r="AP350"/>
      <c r="AQ350"/>
    </row>
    <row r="351" spans="1:43">
      <c r="O351"/>
      <c r="P351"/>
      <c r="Q351"/>
      <c r="R351"/>
      <c r="AN351"/>
      <c r="AO351"/>
      <c r="AP351"/>
      <c r="AQ351"/>
    </row>
    <row r="352" spans="1:43">
      <c r="O352"/>
      <c r="P352"/>
      <c r="Q352"/>
      <c r="R352"/>
      <c r="AN352"/>
      <c r="AO352"/>
      <c r="AP352"/>
      <c r="AQ352"/>
    </row>
    <row r="353" spans="15:43">
      <c r="O353"/>
      <c r="P353"/>
      <c r="Q353"/>
      <c r="R353"/>
      <c r="AN353"/>
      <c r="AO353"/>
      <c r="AP353"/>
      <c r="AQ353"/>
    </row>
    <row r="354" spans="15:43">
      <c r="O354"/>
      <c r="P354"/>
      <c r="Q354"/>
      <c r="R354"/>
      <c r="AN354"/>
      <c r="AO354"/>
      <c r="AP354"/>
      <c r="AQ354"/>
    </row>
    <row r="355" spans="15:43">
      <c r="O355"/>
      <c r="P355"/>
      <c r="Q355"/>
      <c r="R355"/>
      <c r="AN355"/>
      <c r="AO355"/>
      <c r="AP355"/>
      <c r="AQ355"/>
    </row>
    <row r="356" spans="15:43">
      <c r="O356"/>
      <c r="P356"/>
      <c r="Q356"/>
      <c r="R356"/>
      <c r="AN356"/>
      <c r="AO356"/>
      <c r="AP356"/>
      <c r="AQ356"/>
    </row>
    <row r="357" spans="15:43">
      <c r="O357"/>
      <c r="P357"/>
      <c r="Q357"/>
      <c r="R357"/>
      <c r="AN357"/>
      <c r="AO357"/>
      <c r="AP357"/>
      <c r="AQ357"/>
    </row>
    <row r="358" spans="15:43">
      <c r="O358"/>
      <c r="P358"/>
      <c r="Q358"/>
      <c r="R358"/>
      <c r="AN358"/>
      <c r="AO358"/>
      <c r="AP358"/>
      <c r="AQ358"/>
    </row>
    <row r="359" spans="15:43">
      <c r="O359"/>
      <c r="P359"/>
      <c r="Q359"/>
      <c r="R359"/>
      <c r="AN359"/>
      <c r="AO359"/>
      <c r="AP359"/>
      <c r="AQ359"/>
    </row>
    <row r="360" spans="15:43">
      <c r="O360"/>
      <c r="P360"/>
      <c r="Q360"/>
      <c r="R360"/>
      <c r="AN360"/>
      <c r="AO360"/>
      <c r="AP360"/>
      <c r="AQ360"/>
    </row>
    <row r="361" spans="15:43">
      <c r="O361"/>
      <c r="P361"/>
      <c r="Q361"/>
      <c r="R361"/>
      <c r="AN361"/>
      <c r="AO361"/>
      <c r="AP361"/>
      <c r="AQ361"/>
    </row>
    <row r="362" spans="15:43">
      <c r="O362"/>
      <c r="P362"/>
      <c r="Q362"/>
      <c r="R362"/>
      <c r="AN362"/>
      <c r="AO362"/>
      <c r="AP362"/>
      <c r="AQ362"/>
    </row>
    <row r="363" spans="15:43">
      <c r="O363"/>
      <c r="P363"/>
      <c r="Q363"/>
      <c r="R363"/>
      <c r="AN363"/>
      <c r="AO363"/>
      <c r="AP363"/>
      <c r="AQ363"/>
    </row>
    <row r="364" spans="15:43">
      <c r="O364"/>
      <c r="P364"/>
      <c r="Q364"/>
      <c r="R364"/>
      <c r="AN364"/>
      <c r="AO364"/>
      <c r="AP364"/>
      <c r="AQ364"/>
    </row>
    <row r="365" spans="15:43">
      <c r="O365"/>
      <c r="P365"/>
      <c r="Q365"/>
      <c r="R365"/>
      <c r="AN365"/>
      <c r="AO365"/>
      <c r="AP365"/>
      <c r="AQ365"/>
    </row>
    <row r="366" spans="15:43">
      <c r="O366"/>
      <c r="P366"/>
      <c r="Q366"/>
      <c r="R366"/>
      <c r="AN366"/>
      <c r="AO366"/>
      <c r="AP366"/>
      <c r="AQ366"/>
    </row>
    <row r="367" spans="15:43">
      <c r="O367"/>
      <c r="P367"/>
      <c r="Q367"/>
      <c r="R367"/>
      <c r="AN367"/>
      <c r="AO367"/>
      <c r="AP367"/>
      <c r="AQ367"/>
    </row>
    <row r="368" spans="15:43">
      <c r="O368"/>
      <c r="P368"/>
      <c r="Q368"/>
      <c r="R368"/>
      <c r="AN368"/>
      <c r="AO368"/>
      <c r="AP368"/>
      <c r="AQ368"/>
    </row>
    <row r="369" spans="15:43">
      <c r="O369"/>
      <c r="P369"/>
      <c r="Q369"/>
      <c r="R369"/>
      <c r="AN369"/>
      <c r="AO369"/>
      <c r="AP369"/>
      <c r="AQ369"/>
    </row>
    <row r="370" spans="15:43">
      <c r="O370"/>
      <c r="P370"/>
      <c r="Q370"/>
      <c r="R370"/>
      <c r="AN370"/>
      <c r="AO370"/>
      <c r="AP370"/>
      <c r="AQ370"/>
    </row>
    <row r="371" spans="15:43">
      <c r="O371"/>
      <c r="P371"/>
      <c r="Q371"/>
      <c r="R371"/>
      <c r="AN371"/>
      <c r="AO371"/>
      <c r="AP371"/>
      <c r="AQ371"/>
    </row>
    <row r="372" spans="15:43">
      <c r="O372"/>
      <c r="P372"/>
      <c r="Q372"/>
      <c r="R372"/>
      <c r="AN372"/>
      <c r="AO372"/>
      <c r="AP372"/>
      <c r="AQ372"/>
    </row>
    <row r="373" spans="15:43">
      <c r="O373"/>
      <c r="P373"/>
      <c r="Q373"/>
      <c r="R373"/>
      <c r="AN373"/>
      <c r="AO373"/>
      <c r="AP373"/>
      <c r="AQ373"/>
    </row>
    <row r="374" spans="15:43">
      <c r="AN374"/>
      <c r="AO374"/>
      <c r="AP374"/>
      <c r="AQ374"/>
    </row>
    <row r="375" spans="15:43">
      <c r="AN375"/>
      <c r="AO375"/>
      <c r="AP375"/>
      <c r="AQ375"/>
    </row>
    <row r="376" spans="15:43">
      <c r="AN376"/>
      <c r="AO376"/>
      <c r="AP376"/>
      <c r="AQ376"/>
    </row>
    <row r="377" spans="15:43">
      <c r="AN377"/>
      <c r="AO377"/>
      <c r="AP377"/>
      <c r="AQ377"/>
    </row>
    <row r="378" spans="15:43">
      <c r="AN378"/>
      <c r="AO378"/>
      <c r="AP378"/>
      <c r="AQ378"/>
    </row>
    <row r="379" spans="15:43">
      <c r="AN379"/>
      <c r="AO379"/>
      <c r="AP379"/>
      <c r="AQ379"/>
    </row>
    <row r="380" spans="15:43">
      <c r="AN380"/>
      <c r="AO380"/>
      <c r="AP380"/>
      <c r="AQ380"/>
    </row>
    <row r="381" spans="15:43">
      <c r="AN381"/>
      <c r="AO381"/>
      <c r="AP381"/>
      <c r="AQ381"/>
    </row>
    <row r="382" spans="15:43">
      <c r="AN382"/>
      <c r="AO382"/>
      <c r="AP382"/>
      <c r="AQ382"/>
    </row>
    <row r="383" spans="15:43">
      <c r="AN383"/>
      <c r="AO383"/>
      <c r="AP383"/>
      <c r="AQ383"/>
    </row>
    <row r="384" spans="15:43">
      <c r="AN384"/>
      <c r="AO384"/>
      <c r="AP384"/>
      <c r="AQ384"/>
    </row>
    <row r="385" spans="40:43">
      <c r="AN385"/>
      <c r="AO385"/>
      <c r="AP385"/>
      <c r="AQ385"/>
    </row>
    <row r="386" spans="40:43">
      <c r="AN386"/>
      <c r="AO386"/>
      <c r="AP386"/>
      <c r="AQ386"/>
    </row>
    <row r="387" spans="40:43">
      <c r="AN387"/>
      <c r="AO387"/>
      <c r="AP387"/>
      <c r="AQ387"/>
    </row>
  </sheetData>
  <sortState xmlns:xlrd2="http://schemas.microsoft.com/office/spreadsheetml/2017/richdata2" ref="A8:AQ338">
    <sortCondition ref="A8:A338"/>
  </sortStat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C9F49-5A9E-41B5-90D2-81B5779FF5BC}">
  <sheetPr>
    <tabColor rgb="FF66FF33"/>
  </sheetPr>
  <dimension ref="A1:O384"/>
  <sheetViews>
    <sheetView topLeftCell="A289" workbookViewId="0">
      <selection activeCell="B289" sqref="B289"/>
    </sheetView>
  </sheetViews>
  <sheetFormatPr defaultRowHeight="14.45"/>
  <cols>
    <col min="2" max="2" width="39" bestFit="1" customWidth="1"/>
    <col min="3" max="3" width="15.28515625" bestFit="1" customWidth="1"/>
    <col min="4" max="4" width="22" customWidth="1"/>
    <col min="5" max="6" width="15.28515625" customWidth="1"/>
    <col min="7" max="8" width="13.28515625" bestFit="1" customWidth="1"/>
    <col min="9" max="9" width="15.28515625" bestFit="1" customWidth="1"/>
    <col min="10" max="10" width="2.140625" customWidth="1"/>
    <col min="11" max="11" width="1.140625" customWidth="1"/>
    <col min="13" max="13" width="13.28515625" bestFit="1" customWidth="1"/>
    <col min="15" max="15" width="17.5703125" customWidth="1"/>
  </cols>
  <sheetData>
    <row r="1" spans="1:15">
      <c r="B1" t="s">
        <v>1985</v>
      </c>
      <c r="C1" s="48"/>
      <c r="D1" s="48"/>
      <c r="E1" s="48"/>
      <c r="F1" s="48"/>
      <c r="G1" s="48"/>
      <c r="H1" s="48"/>
      <c r="M1" s="459" t="s">
        <v>774</v>
      </c>
    </row>
    <row r="2" spans="1:15" ht="28.9">
      <c r="A2" t="s">
        <v>25</v>
      </c>
      <c r="B2" t="s">
        <v>1986</v>
      </c>
      <c r="C2" s="482" t="s">
        <v>1987</v>
      </c>
      <c r="D2" s="482" t="s">
        <v>1988</v>
      </c>
      <c r="E2" s="482" t="s">
        <v>1989</v>
      </c>
      <c r="F2" s="482" t="s">
        <v>1990</v>
      </c>
      <c r="G2" s="482" t="s">
        <v>1991</v>
      </c>
      <c r="H2" s="482" t="s">
        <v>1992</v>
      </c>
      <c r="I2" s="483" t="s">
        <v>1993</v>
      </c>
      <c r="M2" s="484" t="s">
        <v>1994</v>
      </c>
      <c r="O2" s="481">
        <f>SUM(M4:M383)</f>
        <v>120134829.94999994</v>
      </c>
    </row>
    <row r="3" spans="1:15">
      <c r="A3" s="265"/>
      <c r="B3" s="265" t="s">
        <v>1995</v>
      </c>
      <c r="C3" s="485">
        <f>SUM(C4:C383)</f>
        <v>5180312.8699999992</v>
      </c>
      <c r="D3" s="485">
        <f t="shared" ref="D3:H3" si="0">SUM(D4:D383)</f>
        <v>2072290.7799999986</v>
      </c>
      <c r="E3" s="485">
        <f t="shared" si="0"/>
        <v>3842157.7800000003</v>
      </c>
      <c r="F3" s="485">
        <f t="shared" si="0"/>
        <v>492441.88000000018</v>
      </c>
      <c r="G3" s="485">
        <f t="shared" si="0"/>
        <v>15856300.740000004</v>
      </c>
      <c r="H3" s="485">
        <f t="shared" si="0"/>
        <v>92691325.899999946</v>
      </c>
      <c r="I3" s="486">
        <f>SUM(C3:H3)</f>
        <v>120134829.94999996</v>
      </c>
      <c r="J3" s="265"/>
      <c r="K3" s="265"/>
      <c r="L3" s="265"/>
      <c r="M3" s="487"/>
    </row>
    <row r="4" spans="1:15">
      <c r="A4" t="s">
        <v>653</v>
      </c>
      <c r="B4" t="s">
        <v>1942</v>
      </c>
      <c r="C4" s="48">
        <v>448.34</v>
      </c>
      <c r="D4" s="48">
        <v>275.8</v>
      </c>
      <c r="E4" s="48">
        <v>0</v>
      </c>
      <c r="F4" s="48">
        <v>28.02</v>
      </c>
      <c r="G4" s="48">
        <v>976.56</v>
      </c>
      <c r="H4" s="48">
        <v>18560.59</v>
      </c>
      <c r="I4" s="481">
        <f>SUM(C4:H4)</f>
        <v>20289.310000000001</v>
      </c>
      <c r="L4" t="str">
        <f>TEXT(A4, "00000")</f>
        <v>01109</v>
      </c>
      <c r="M4" s="481">
        <f>I4</f>
        <v>20289.310000000001</v>
      </c>
    </row>
    <row r="5" spans="1:15">
      <c r="A5" t="s">
        <v>57</v>
      </c>
      <c r="B5" t="s">
        <v>1354</v>
      </c>
      <c r="C5" s="48">
        <v>0</v>
      </c>
      <c r="D5" s="48">
        <v>0</v>
      </c>
      <c r="E5" s="48">
        <v>0</v>
      </c>
      <c r="F5" s="48">
        <v>0</v>
      </c>
      <c r="G5" s="48">
        <v>0</v>
      </c>
      <c r="H5" s="48">
        <v>3039.6</v>
      </c>
      <c r="I5" s="481">
        <f t="shared" ref="I5:I68" si="1">SUM(C5:H5)</f>
        <v>3039.6</v>
      </c>
      <c r="L5" t="str">
        <f t="shared" ref="L5:L68" si="2">TEXT(A5, "00000")</f>
        <v>01122</v>
      </c>
      <c r="M5" s="481">
        <f t="shared" ref="M5:M68" si="3">I5</f>
        <v>3039.6</v>
      </c>
    </row>
    <row r="6" spans="1:15">
      <c r="A6" t="s">
        <v>437</v>
      </c>
      <c r="B6" t="s">
        <v>1726</v>
      </c>
      <c r="C6" s="48">
        <v>35054.97</v>
      </c>
      <c r="D6" s="48">
        <v>19705.05</v>
      </c>
      <c r="E6" s="48">
        <v>43967.29</v>
      </c>
      <c r="F6" s="48">
        <v>1893.67</v>
      </c>
      <c r="G6" s="48">
        <v>52521.45</v>
      </c>
      <c r="H6" s="48">
        <v>362677.06</v>
      </c>
      <c r="I6" s="481">
        <f t="shared" si="1"/>
        <v>515819.49</v>
      </c>
      <c r="L6" t="str">
        <f t="shared" si="2"/>
        <v>01147</v>
      </c>
      <c r="M6" s="481">
        <f t="shared" si="3"/>
        <v>515819.49</v>
      </c>
    </row>
    <row r="7" spans="1:15">
      <c r="A7" t="s">
        <v>309</v>
      </c>
      <c r="B7" t="s">
        <v>1598</v>
      </c>
      <c r="C7" s="48">
        <v>1409.93</v>
      </c>
      <c r="D7" s="48">
        <v>876.04</v>
      </c>
      <c r="E7" s="48">
        <v>606.15</v>
      </c>
      <c r="F7" s="48">
        <v>73.739999999999995</v>
      </c>
      <c r="G7" s="48">
        <v>1705.96</v>
      </c>
      <c r="H7" s="48">
        <v>24964.25</v>
      </c>
      <c r="I7" s="481">
        <f t="shared" si="1"/>
        <v>29636.07</v>
      </c>
      <c r="L7" t="str">
        <f t="shared" si="2"/>
        <v>01158</v>
      </c>
      <c r="M7" s="481">
        <f t="shared" si="3"/>
        <v>29636.07</v>
      </c>
    </row>
    <row r="8" spans="1:15">
      <c r="A8" t="s">
        <v>507</v>
      </c>
      <c r="B8" t="s">
        <v>1796</v>
      </c>
      <c r="C8" s="48">
        <v>1566.03</v>
      </c>
      <c r="D8" s="48">
        <v>691.75</v>
      </c>
      <c r="E8" s="48">
        <v>0</v>
      </c>
      <c r="F8" s="48">
        <v>170.26</v>
      </c>
      <c r="G8" s="48">
        <v>4096.28</v>
      </c>
      <c r="H8" s="48">
        <v>37044.610000000008</v>
      </c>
      <c r="I8" s="481">
        <f t="shared" si="1"/>
        <v>43568.930000000008</v>
      </c>
      <c r="L8" t="str">
        <f t="shared" si="2"/>
        <v>01160</v>
      </c>
      <c r="M8" s="481">
        <f t="shared" si="3"/>
        <v>43568.930000000008</v>
      </c>
    </row>
    <row r="9" spans="1:15">
      <c r="A9" t="s">
        <v>109</v>
      </c>
      <c r="B9" t="s">
        <v>1406</v>
      </c>
      <c r="C9" s="48">
        <v>12855.99</v>
      </c>
      <c r="D9" s="48">
        <v>5928.77</v>
      </c>
      <c r="E9" s="48">
        <v>837.7</v>
      </c>
      <c r="F9" s="48">
        <v>1023.53</v>
      </c>
      <c r="G9" s="48">
        <v>36914.78</v>
      </c>
      <c r="H9" s="48">
        <v>180243.47</v>
      </c>
      <c r="I9" s="481">
        <f t="shared" si="1"/>
        <v>237804.24</v>
      </c>
      <c r="L9" t="str">
        <f t="shared" si="2"/>
        <v>02250</v>
      </c>
      <c r="M9" s="481">
        <f t="shared" si="3"/>
        <v>237804.24</v>
      </c>
    </row>
    <row r="10" spans="1:15">
      <c r="A10" t="s">
        <v>45</v>
      </c>
      <c r="B10" t="s">
        <v>1342</v>
      </c>
      <c r="C10" s="48">
        <v>2014.6</v>
      </c>
      <c r="D10" s="48">
        <v>0</v>
      </c>
      <c r="E10" s="48">
        <v>0</v>
      </c>
      <c r="F10" s="48">
        <v>249.24</v>
      </c>
      <c r="G10" s="48">
        <v>7983.94</v>
      </c>
      <c r="H10" s="48">
        <v>49379.869999999995</v>
      </c>
      <c r="I10" s="481">
        <f t="shared" si="1"/>
        <v>59627.649999999994</v>
      </c>
      <c r="L10" t="str">
        <f t="shared" si="2"/>
        <v>02420</v>
      </c>
      <c r="M10" s="481">
        <f t="shared" si="3"/>
        <v>59627.649999999994</v>
      </c>
    </row>
    <row r="11" spans="1:15">
      <c r="A11" t="s">
        <v>279</v>
      </c>
      <c r="B11" t="s">
        <v>1568</v>
      </c>
      <c r="C11" s="48">
        <v>103638.45</v>
      </c>
      <c r="D11" s="48">
        <v>55254.080000000002</v>
      </c>
      <c r="E11" s="48">
        <v>76895.56</v>
      </c>
      <c r="F11" s="48">
        <v>7965.5</v>
      </c>
      <c r="G11" s="48">
        <v>247251.13</v>
      </c>
      <c r="H11" s="48">
        <v>1501062.94</v>
      </c>
      <c r="I11" s="481">
        <f t="shared" si="1"/>
        <v>1992067.66</v>
      </c>
      <c r="L11" t="str">
        <f t="shared" si="2"/>
        <v>03017</v>
      </c>
      <c r="M11" s="481">
        <f t="shared" si="3"/>
        <v>1992067.66</v>
      </c>
    </row>
    <row r="12" spans="1:15">
      <c r="A12" t="s">
        <v>449</v>
      </c>
      <c r="B12" t="s">
        <v>1738</v>
      </c>
      <c r="C12" s="48">
        <v>1293.4100000000001</v>
      </c>
      <c r="D12" s="48">
        <v>606.15</v>
      </c>
      <c r="E12" s="48">
        <v>381.98</v>
      </c>
      <c r="F12" s="48">
        <v>60.47</v>
      </c>
      <c r="G12" s="48">
        <v>2362.67</v>
      </c>
      <c r="H12" s="48">
        <v>13117.04</v>
      </c>
      <c r="I12" s="481">
        <f t="shared" si="1"/>
        <v>17821.72</v>
      </c>
      <c r="L12" t="str">
        <f t="shared" si="2"/>
        <v>03050</v>
      </c>
      <c r="M12" s="481">
        <f t="shared" si="3"/>
        <v>17821.72</v>
      </c>
    </row>
    <row r="13" spans="1:15">
      <c r="A13" t="s">
        <v>285</v>
      </c>
      <c r="B13" t="s">
        <v>1574</v>
      </c>
      <c r="C13" s="48">
        <v>11417.69</v>
      </c>
      <c r="D13" s="48">
        <v>6228.8</v>
      </c>
      <c r="E13" s="48">
        <v>8190.55</v>
      </c>
      <c r="F13" s="48">
        <v>593.58000000000004</v>
      </c>
      <c r="G13" s="48">
        <v>18356.12</v>
      </c>
      <c r="H13" s="48">
        <v>114540.42</v>
      </c>
      <c r="I13" s="481">
        <f t="shared" si="1"/>
        <v>159327.16</v>
      </c>
      <c r="L13" t="str">
        <f t="shared" si="2"/>
        <v>03052</v>
      </c>
      <c r="M13" s="481">
        <f t="shared" si="3"/>
        <v>159327.16</v>
      </c>
    </row>
    <row r="14" spans="1:15">
      <c r="A14" t="s">
        <v>217</v>
      </c>
      <c r="B14" t="s">
        <v>1506</v>
      </c>
      <c r="C14" s="48">
        <v>5928.77</v>
      </c>
      <c r="D14" s="48">
        <v>3775.54</v>
      </c>
      <c r="E14" s="48">
        <v>3986.44</v>
      </c>
      <c r="F14" s="48">
        <v>362.81</v>
      </c>
      <c r="G14" s="48">
        <v>10909.32</v>
      </c>
      <c r="H14" s="48">
        <v>69284.02</v>
      </c>
      <c r="I14" s="481">
        <f t="shared" si="1"/>
        <v>94246.900000000009</v>
      </c>
      <c r="L14" t="str">
        <f t="shared" si="2"/>
        <v>03053</v>
      </c>
      <c r="M14" s="481">
        <f t="shared" si="3"/>
        <v>94246.900000000009</v>
      </c>
    </row>
    <row r="15" spans="1:15">
      <c r="A15" t="s">
        <v>469</v>
      </c>
      <c r="B15" t="s">
        <v>1758</v>
      </c>
      <c r="C15" s="48">
        <v>17563.61</v>
      </c>
      <c r="D15" s="48">
        <v>10258.84</v>
      </c>
      <c r="E15" s="48">
        <v>14820.46</v>
      </c>
      <c r="F15" s="48">
        <v>1019.1</v>
      </c>
      <c r="G15" s="48">
        <v>32393.67</v>
      </c>
      <c r="H15" s="48">
        <v>191519.94</v>
      </c>
      <c r="I15" s="481">
        <f t="shared" si="1"/>
        <v>267575.62</v>
      </c>
      <c r="L15" t="str">
        <f t="shared" si="2"/>
        <v>03116</v>
      </c>
      <c r="M15" s="481">
        <f t="shared" si="3"/>
        <v>267575.62</v>
      </c>
    </row>
    <row r="16" spans="1:15">
      <c r="A16" t="s">
        <v>503</v>
      </c>
      <c r="B16" t="s">
        <v>1792</v>
      </c>
      <c r="C16" s="48">
        <v>53747.66</v>
      </c>
      <c r="D16" s="48">
        <v>10930.66</v>
      </c>
      <c r="E16" s="48">
        <v>22117.3</v>
      </c>
      <c r="F16" s="48">
        <v>5945.85</v>
      </c>
      <c r="G16" s="48">
        <v>202375.46</v>
      </c>
      <c r="H16" s="48">
        <v>1028522.5900000001</v>
      </c>
      <c r="I16" s="481">
        <f t="shared" si="1"/>
        <v>1323639.52</v>
      </c>
      <c r="L16" t="str">
        <f t="shared" si="2"/>
        <v>03400</v>
      </c>
      <c r="M16" s="481">
        <f t="shared" si="3"/>
        <v>1323639.52</v>
      </c>
    </row>
    <row r="17" spans="1:13">
      <c r="A17" t="s">
        <v>329</v>
      </c>
      <c r="B17" t="s">
        <v>1618</v>
      </c>
      <c r="C17" s="48">
        <v>3825.67</v>
      </c>
      <c r="D17" s="48">
        <v>2665</v>
      </c>
      <c r="E17" s="48">
        <v>5363.92</v>
      </c>
      <c r="F17" s="48">
        <v>275.8</v>
      </c>
      <c r="G17" s="48">
        <v>8070.62</v>
      </c>
      <c r="H17" s="48">
        <v>55453.18</v>
      </c>
      <c r="I17" s="481">
        <f t="shared" si="1"/>
        <v>75654.19</v>
      </c>
      <c r="L17" t="str">
        <f t="shared" si="2"/>
        <v>04019</v>
      </c>
      <c r="M17" s="481">
        <f t="shared" si="3"/>
        <v>75654.19</v>
      </c>
    </row>
    <row r="18" spans="1:13">
      <c r="A18" t="s">
        <v>575</v>
      </c>
      <c r="B18" t="s">
        <v>1864</v>
      </c>
      <c r="C18" s="48">
        <v>0</v>
      </c>
      <c r="D18" s="48">
        <v>0</v>
      </c>
      <c r="E18" s="48">
        <v>0</v>
      </c>
      <c r="F18" s="48">
        <v>0</v>
      </c>
      <c r="G18" s="48">
        <v>0</v>
      </c>
      <c r="H18" s="48">
        <v>3249.85</v>
      </c>
      <c r="I18" s="481">
        <f t="shared" si="1"/>
        <v>3249.85</v>
      </c>
      <c r="L18" t="str">
        <f t="shared" si="2"/>
        <v>04069</v>
      </c>
      <c r="M18" s="481">
        <f t="shared" si="3"/>
        <v>3249.85</v>
      </c>
    </row>
    <row r="19" spans="1:13">
      <c r="A19" t="s">
        <v>177</v>
      </c>
      <c r="B19" t="s">
        <v>1474</v>
      </c>
      <c r="C19" s="48">
        <v>2346.73</v>
      </c>
      <c r="D19" s="48">
        <v>1495.46</v>
      </c>
      <c r="E19" s="48">
        <v>2570.67</v>
      </c>
      <c r="F19" s="48">
        <v>168.72</v>
      </c>
      <c r="G19" s="48">
        <v>3564.52</v>
      </c>
      <c r="H19" s="48">
        <v>41512.6</v>
      </c>
      <c r="I19" s="481">
        <f t="shared" si="1"/>
        <v>51658.7</v>
      </c>
      <c r="L19" t="str">
        <f t="shared" si="2"/>
        <v>04127</v>
      </c>
      <c r="M19" s="481">
        <f t="shared" si="3"/>
        <v>51658.7</v>
      </c>
    </row>
    <row r="20" spans="1:13">
      <c r="A20" t="s">
        <v>297</v>
      </c>
      <c r="B20" t="s">
        <v>1586</v>
      </c>
      <c r="C20" s="48">
        <v>7236.94</v>
      </c>
      <c r="D20" s="48">
        <v>5462.73</v>
      </c>
      <c r="E20" s="48">
        <v>8503.81</v>
      </c>
      <c r="F20" s="48">
        <v>539.79</v>
      </c>
      <c r="G20" s="48">
        <v>13222.17</v>
      </c>
      <c r="H20" s="48">
        <v>104313.91</v>
      </c>
      <c r="I20" s="481">
        <f t="shared" si="1"/>
        <v>139279.35</v>
      </c>
      <c r="L20" t="str">
        <f t="shared" si="2"/>
        <v>04129</v>
      </c>
      <c r="M20" s="481">
        <f t="shared" si="3"/>
        <v>139279.35</v>
      </c>
    </row>
    <row r="21" spans="1:13">
      <c r="A21" t="s">
        <v>85</v>
      </c>
      <c r="B21" t="s">
        <v>1382</v>
      </c>
      <c r="C21" s="48">
        <v>6961.98</v>
      </c>
      <c r="D21" s="48">
        <v>0</v>
      </c>
      <c r="E21" s="48">
        <v>4395.8999999999996</v>
      </c>
      <c r="F21" s="48">
        <v>707.09</v>
      </c>
      <c r="G21" s="48">
        <v>18343.939999999999</v>
      </c>
      <c r="H21" s="48">
        <v>138194.87</v>
      </c>
      <c r="I21" s="481">
        <f t="shared" si="1"/>
        <v>168603.78</v>
      </c>
      <c r="L21" t="str">
        <f t="shared" si="2"/>
        <v>04222</v>
      </c>
      <c r="M21" s="481">
        <f t="shared" si="3"/>
        <v>168603.78</v>
      </c>
    </row>
    <row r="22" spans="1:13">
      <c r="A22" t="s">
        <v>83</v>
      </c>
      <c r="B22" t="s">
        <v>1380</v>
      </c>
      <c r="C22" s="48">
        <v>4855.1000000000004</v>
      </c>
      <c r="D22" s="48">
        <v>39.82</v>
      </c>
      <c r="E22" s="48">
        <v>3213.63</v>
      </c>
      <c r="F22" s="48">
        <v>511.76</v>
      </c>
      <c r="G22" s="48">
        <v>13062.4</v>
      </c>
      <c r="H22" s="48">
        <v>97044.53</v>
      </c>
      <c r="I22" s="481">
        <f t="shared" si="1"/>
        <v>118727.23999999999</v>
      </c>
      <c r="L22" t="str">
        <f t="shared" si="2"/>
        <v>04228</v>
      </c>
      <c r="M22" s="481">
        <f t="shared" si="3"/>
        <v>118727.23999999999</v>
      </c>
    </row>
    <row r="23" spans="1:13">
      <c r="A23" t="s">
        <v>659</v>
      </c>
      <c r="B23" t="s">
        <v>1948</v>
      </c>
      <c r="C23" s="48">
        <v>40287.17</v>
      </c>
      <c r="D23" s="48">
        <v>26581.18</v>
      </c>
      <c r="E23" s="48">
        <v>37263.35</v>
      </c>
      <c r="F23" s="48">
        <v>3043.28</v>
      </c>
      <c r="G23" s="48">
        <v>103066.31</v>
      </c>
      <c r="H23" s="48">
        <v>547251.63</v>
      </c>
      <c r="I23" s="481">
        <f t="shared" si="1"/>
        <v>757492.92</v>
      </c>
      <c r="L23" t="str">
        <f t="shared" si="2"/>
        <v>04246</v>
      </c>
      <c r="M23" s="481">
        <f t="shared" si="3"/>
        <v>757492.92</v>
      </c>
    </row>
    <row r="24" spans="1:13">
      <c r="A24" t="s">
        <v>199</v>
      </c>
      <c r="B24" t="s">
        <v>1489</v>
      </c>
      <c r="C24" s="48">
        <v>0</v>
      </c>
      <c r="D24" s="48">
        <v>0</v>
      </c>
      <c r="E24" s="48">
        <v>0</v>
      </c>
      <c r="F24" s="48">
        <v>0</v>
      </c>
      <c r="G24" s="48">
        <v>0</v>
      </c>
      <c r="H24" s="48">
        <v>0</v>
      </c>
      <c r="I24" s="481">
        <f t="shared" si="1"/>
        <v>0</v>
      </c>
      <c r="L24" t="str">
        <f t="shared" si="2"/>
        <v>04801</v>
      </c>
      <c r="M24" s="481">
        <f t="shared" si="3"/>
        <v>0</v>
      </c>
    </row>
    <row r="25" spans="1:13">
      <c r="A25" t="s">
        <v>455</v>
      </c>
      <c r="B25" t="s">
        <v>1744</v>
      </c>
      <c r="C25" s="48">
        <v>791.88</v>
      </c>
      <c r="D25" s="48">
        <v>0</v>
      </c>
      <c r="E25" s="48">
        <v>717.04</v>
      </c>
      <c r="F25" s="48">
        <v>94.31</v>
      </c>
      <c r="G25" s="48">
        <v>2663.96</v>
      </c>
      <c r="H25" s="48">
        <v>26094.68</v>
      </c>
      <c r="I25" s="481">
        <f t="shared" si="1"/>
        <v>30361.870000000003</v>
      </c>
      <c r="L25" t="str">
        <f t="shared" si="2"/>
        <v>04901</v>
      </c>
      <c r="M25" s="481">
        <f t="shared" si="3"/>
        <v>30361.870000000003</v>
      </c>
    </row>
    <row r="26" spans="1:13">
      <c r="A26" t="s">
        <v>1996</v>
      </c>
      <c r="B26" t="s">
        <v>1997</v>
      </c>
      <c r="C26" s="48">
        <v>0</v>
      </c>
      <c r="D26" s="48">
        <v>0</v>
      </c>
      <c r="E26" s="48">
        <v>0</v>
      </c>
      <c r="F26" s="48">
        <v>0</v>
      </c>
      <c r="G26" s="48">
        <v>0</v>
      </c>
      <c r="H26" s="48">
        <v>0</v>
      </c>
      <c r="I26" s="481">
        <f t="shared" si="1"/>
        <v>0</v>
      </c>
      <c r="L26" t="str">
        <f t="shared" si="2"/>
        <v>04951</v>
      </c>
      <c r="M26" s="481">
        <f t="shared" si="3"/>
        <v>0</v>
      </c>
    </row>
    <row r="27" spans="1:13">
      <c r="A27" t="s">
        <v>461</v>
      </c>
      <c r="B27" t="s">
        <v>1750</v>
      </c>
      <c r="C27" s="48">
        <v>20810.75</v>
      </c>
      <c r="D27" s="48">
        <v>11419.22</v>
      </c>
      <c r="E27" s="48">
        <v>1265.3900000000001</v>
      </c>
      <c r="F27" s="48">
        <v>1520.01</v>
      </c>
      <c r="G27" s="48">
        <v>52872.23</v>
      </c>
      <c r="H27" s="48">
        <v>271352.7</v>
      </c>
      <c r="I27" s="481">
        <f t="shared" si="1"/>
        <v>359240.30000000005</v>
      </c>
      <c r="L27" t="str">
        <f t="shared" si="2"/>
        <v>05121</v>
      </c>
      <c r="M27" s="481">
        <f t="shared" si="3"/>
        <v>359240.30000000005</v>
      </c>
    </row>
    <row r="28" spans="1:13">
      <c r="A28" t="s">
        <v>137</v>
      </c>
      <c r="B28" t="s">
        <v>1434</v>
      </c>
      <c r="C28" s="48">
        <v>1704.89</v>
      </c>
      <c r="D28" s="48">
        <v>933.56</v>
      </c>
      <c r="E28" s="48">
        <v>0</v>
      </c>
      <c r="F28" s="48">
        <v>151.91</v>
      </c>
      <c r="G28" s="48">
        <v>3173.21</v>
      </c>
      <c r="H28" s="48">
        <v>25290.19</v>
      </c>
      <c r="I28" s="481">
        <f t="shared" si="1"/>
        <v>31253.759999999998</v>
      </c>
      <c r="L28" t="str">
        <f t="shared" si="2"/>
        <v>05313</v>
      </c>
      <c r="M28" s="481">
        <f t="shared" si="3"/>
        <v>31253.759999999998</v>
      </c>
    </row>
    <row r="29" spans="1:13">
      <c r="A29" t="s">
        <v>535</v>
      </c>
      <c r="B29" t="s">
        <v>1824</v>
      </c>
      <c r="C29" s="48">
        <v>12870.71</v>
      </c>
      <c r="D29" s="48">
        <v>2304.31</v>
      </c>
      <c r="E29" s="48">
        <v>1230.32</v>
      </c>
      <c r="F29" s="48">
        <v>1155.29</v>
      </c>
      <c r="G29" s="48">
        <v>40613.620000000003</v>
      </c>
      <c r="H29" s="48">
        <v>202906.39</v>
      </c>
      <c r="I29" s="481">
        <f t="shared" si="1"/>
        <v>261080.64</v>
      </c>
      <c r="L29" t="str">
        <f t="shared" si="2"/>
        <v>05323</v>
      </c>
      <c r="M29" s="481">
        <f t="shared" si="3"/>
        <v>261080.64</v>
      </c>
    </row>
    <row r="30" spans="1:13">
      <c r="A30" t="s">
        <v>79</v>
      </c>
      <c r="B30" t="s">
        <v>1376</v>
      </c>
      <c r="C30" s="48">
        <v>3687.05</v>
      </c>
      <c r="D30" s="48">
        <v>2080.96</v>
      </c>
      <c r="E30" s="48">
        <v>0</v>
      </c>
      <c r="F30" s="48">
        <v>0</v>
      </c>
      <c r="G30" s="48">
        <v>7109.73</v>
      </c>
      <c r="H30" s="48">
        <v>58315.8</v>
      </c>
      <c r="I30" s="481">
        <f t="shared" si="1"/>
        <v>71193.540000000008</v>
      </c>
      <c r="L30" t="str">
        <f t="shared" si="2"/>
        <v>05401</v>
      </c>
      <c r="M30" s="481">
        <f t="shared" si="3"/>
        <v>71193.540000000008</v>
      </c>
    </row>
    <row r="31" spans="1:13">
      <c r="A31" t="s">
        <v>483</v>
      </c>
      <c r="B31" t="s">
        <v>1772</v>
      </c>
      <c r="C31" s="48">
        <v>18619.580000000002</v>
      </c>
      <c r="D31" s="48">
        <v>13965.06</v>
      </c>
      <c r="E31" s="48">
        <v>8393.19</v>
      </c>
      <c r="F31" s="48">
        <v>1523.48</v>
      </c>
      <c r="G31" s="48">
        <v>46399.77</v>
      </c>
      <c r="H31" s="48">
        <v>71480.03</v>
      </c>
      <c r="I31" s="481">
        <f t="shared" si="1"/>
        <v>160381.10999999999</v>
      </c>
      <c r="L31" t="str">
        <f t="shared" si="2"/>
        <v>05402</v>
      </c>
      <c r="M31" s="481">
        <f t="shared" si="3"/>
        <v>160381.10999999999</v>
      </c>
    </row>
    <row r="32" spans="1:13">
      <c r="A32" t="s">
        <v>481</v>
      </c>
      <c r="B32" t="s">
        <v>1770</v>
      </c>
      <c r="C32" s="48">
        <v>1222.6300000000001</v>
      </c>
      <c r="D32" s="48">
        <v>597.29999999999995</v>
      </c>
      <c r="E32" s="48">
        <v>0</v>
      </c>
      <c r="F32" s="48">
        <v>0</v>
      </c>
      <c r="G32" s="48">
        <v>1744.53</v>
      </c>
      <c r="H32" s="48">
        <v>20696.12</v>
      </c>
      <c r="I32" s="481">
        <f t="shared" si="1"/>
        <v>24260.579999999998</v>
      </c>
      <c r="L32" t="str">
        <f t="shared" si="2"/>
        <v>05903</v>
      </c>
      <c r="M32" s="481">
        <f t="shared" si="3"/>
        <v>24260.579999999998</v>
      </c>
    </row>
    <row r="33" spans="1:13">
      <c r="A33" t="s">
        <v>1998</v>
      </c>
      <c r="B33" t="s">
        <v>1999</v>
      </c>
      <c r="C33" s="48">
        <v>0</v>
      </c>
      <c r="D33" s="48">
        <v>0</v>
      </c>
      <c r="E33" s="48">
        <v>0</v>
      </c>
      <c r="F33" s="48">
        <v>0</v>
      </c>
      <c r="G33" s="48">
        <v>0</v>
      </c>
      <c r="H33" s="48">
        <v>0</v>
      </c>
      <c r="I33" s="481">
        <f t="shared" si="1"/>
        <v>0</v>
      </c>
      <c r="L33" t="str">
        <f t="shared" si="2"/>
        <v>05940</v>
      </c>
      <c r="M33" s="481">
        <f t="shared" si="3"/>
        <v>0</v>
      </c>
    </row>
    <row r="34" spans="1:13">
      <c r="A34" t="s">
        <v>633</v>
      </c>
      <c r="B34" t="s">
        <v>1922</v>
      </c>
      <c r="C34" s="48">
        <v>111255.92</v>
      </c>
      <c r="D34" s="48">
        <v>58561.5</v>
      </c>
      <c r="E34" s="48">
        <v>86816.73</v>
      </c>
      <c r="F34" s="48">
        <v>9573.69</v>
      </c>
      <c r="G34" s="48">
        <v>341546.5</v>
      </c>
      <c r="H34" s="48">
        <v>1796618.8199999998</v>
      </c>
      <c r="I34" s="481">
        <f t="shared" si="1"/>
        <v>2404373.1599999997</v>
      </c>
      <c r="L34" t="str">
        <f t="shared" si="2"/>
        <v>06037</v>
      </c>
      <c r="M34" s="481">
        <f t="shared" si="3"/>
        <v>2404373.1599999997</v>
      </c>
    </row>
    <row r="35" spans="1:13">
      <c r="A35" t="s">
        <v>251</v>
      </c>
      <c r="B35" t="s">
        <v>1540</v>
      </c>
      <c r="C35" s="48">
        <v>4572.68</v>
      </c>
      <c r="D35" s="48">
        <v>0</v>
      </c>
      <c r="E35" s="48">
        <v>2162.0500000000002</v>
      </c>
      <c r="F35" s="48">
        <v>889.53</v>
      </c>
      <c r="G35" s="48">
        <v>22172.68</v>
      </c>
      <c r="H35" s="48">
        <v>163445.35999999999</v>
      </c>
      <c r="I35" s="481">
        <f t="shared" si="1"/>
        <v>193242.3</v>
      </c>
      <c r="L35" t="str">
        <f t="shared" si="2"/>
        <v>06098</v>
      </c>
      <c r="M35" s="481">
        <f t="shared" si="3"/>
        <v>193242.3</v>
      </c>
    </row>
    <row r="36" spans="1:13">
      <c r="A36" t="s">
        <v>293</v>
      </c>
      <c r="B36" t="s">
        <v>1582</v>
      </c>
      <c r="C36" s="48">
        <v>4896.1000000000004</v>
      </c>
      <c r="D36" s="48">
        <v>0</v>
      </c>
      <c r="E36" s="48">
        <v>1336.78</v>
      </c>
      <c r="F36" s="48">
        <v>832.25</v>
      </c>
      <c r="G36" s="48">
        <v>28440.59</v>
      </c>
      <c r="H36" s="48">
        <v>157426.41</v>
      </c>
      <c r="I36" s="481">
        <f t="shared" si="1"/>
        <v>192932.13</v>
      </c>
      <c r="L36" t="str">
        <f t="shared" si="2"/>
        <v>06101</v>
      </c>
      <c r="M36" s="481">
        <f t="shared" si="3"/>
        <v>192932.13</v>
      </c>
    </row>
    <row r="37" spans="1:13">
      <c r="A37" t="s">
        <v>241</v>
      </c>
      <c r="B37" t="s">
        <v>1530</v>
      </c>
      <c r="C37" s="48">
        <v>623.76</v>
      </c>
      <c r="D37" s="48">
        <v>0</v>
      </c>
      <c r="E37" s="48">
        <v>0</v>
      </c>
      <c r="F37" s="48">
        <v>75.040000000000006</v>
      </c>
      <c r="G37" s="48">
        <v>0</v>
      </c>
      <c r="H37" s="48">
        <v>16569.5</v>
      </c>
      <c r="I37" s="481">
        <f t="shared" si="1"/>
        <v>17268.3</v>
      </c>
      <c r="L37" t="str">
        <f t="shared" si="2"/>
        <v>06103</v>
      </c>
      <c r="M37" s="481">
        <f t="shared" si="3"/>
        <v>17268.3</v>
      </c>
    </row>
    <row r="38" spans="1:13">
      <c r="A38" t="s">
        <v>651</v>
      </c>
      <c r="B38" t="s">
        <v>1940</v>
      </c>
      <c r="C38" s="48">
        <v>10505.42</v>
      </c>
      <c r="D38" s="48">
        <v>0</v>
      </c>
      <c r="E38" s="48">
        <v>2939.02</v>
      </c>
      <c r="F38" s="48">
        <v>1211.56</v>
      </c>
      <c r="G38" s="48">
        <v>44202.31</v>
      </c>
      <c r="H38" s="48">
        <v>227498.78</v>
      </c>
      <c r="I38" s="481">
        <f t="shared" si="1"/>
        <v>286357.08999999997</v>
      </c>
      <c r="L38" t="str">
        <f t="shared" si="2"/>
        <v>06112</v>
      </c>
      <c r="M38" s="481">
        <f t="shared" si="3"/>
        <v>286357.08999999997</v>
      </c>
    </row>
    <row r="39" spans="1:13">
      <c r="A39" t="s">
        <v>207</v>
      </c>
      <c r="B39" t="s">
        <v>1496</v>
      </c>
      <c r="C39" s="48">
        <v>132183.41</v>
      </c>
      <c r="D39" s="48">
        <v>64621.09</v>
      </c>
      <c r="E39" s="48">
        <v>97767.93</v>
      </c>
      <c r="F39" s="48">
        <v>10457.35</v>
      </c>
      <c r="G39" s="48">
        <v>349656.53</v>
      </c>
      <c r="H39" s="48">
        <v>2001858.6600000001</v>
      </c>
      <c r="I39" s="481">
        <f t="shared" si="1"/>
        <v>2656544.9700000002</v>
      </c>
      <c r="L39" t="str">
        <f t="shared" si="2"/>
        <v>06114</v>
      </c>
      <c r="M39" s="481">
        <f t="shared" si="3"/>
        <v>2656544.9700000002</v>
      </c>
    </row>
    <row r="40" spans="1:13">
      <c r="A40" t="s">
        <v>77</v>
      </c>
      <c r="B40" t="s">
        <v>1374</v>
      </c>
      <c r="C40" s="48">
        <v>11998.53</v>
      </c>
      <c r="D40" s="48">
        <v>0</v>
      </c>
      <c r="E40" s="48">
        <v>7298.72</v>
      </c>
      <c r="F40" s="48">
        <v>3319.23</v>
      </c>
      <c r="G40" s="48">
        <v>93175.72</v>
      </c>
      <c r="H40" s="48">
        <v>607128.09000000008</v>
      </c>
      <c r="I40" s="481">
        <f t="shared" si="1"/>
        <v>722920.29</v>
      </c>
      <c r="L40" t="str">
        <f t="shared" si="2"/>
        <v>06117</v>
      </c>
      <c r="M40" s="481">
        <f t="shared" si="3"/>
        <v>722920.29</v>
      </c>
    </row>
    <row r="41" spans="1:13">
      <c r="A41" t="s">
        <v>51</v>
      </c>
      <c r="B41" t="s">
        <v>1348</v>
      </c>
      <c r="C41" s="48">
        <v>47024</v>
      </c>
      <c r="D41" s="48">
        <v>0</v>
      </c>
      <c r="E41" s="48">
        <v>33532.949999999997</v>
      </c>
      <c r="F41" s="48">
        <v>5744.57</v>
      </c>
      <c r="G41" s="48">
        <v>186432</v>
      </c>
      <c r="H41" s="48">
        <v>938768.46000000008</v>
      </c>
      <c r="I41" s="481">
        <f t="shared" si="1"/>
        <v>1211501.98</v>
      </c>
      <c r="L41" t="str">
        <f t="shared" si="2"/>
        <v>06119</v>
      </c>
      <c r="M41" s="481">
        <f t="shared" si="3"/>
        <v>1211501.98</v>
      </c>
    </row>
    <row r="42" spans="1:13">
      <c r="A42" t="s">
        <v>505</v>
      </c>
      <c r="B42" t="s">
        <v>1794</v>
      </c>
      <c r="C42" s="48">
        <v>9573.69</v>
      </c>
      <c r="D42" s="48">
        <v>0</v>
      </c>
      <c r="E42" s="48">
        <v>4286.59</v>
      </c>
      <c r="F42" s="48">
        <v>1819.69</v>
      </c>
      <c r="G42" s="48">
        <v>51213.07</v>
      </c>
      <c r="H42" s="48">
        <v>339811.48000000004</v>
      </c>
      <c r="I42" s="481">
        <f t="shared" si="1"/>
        <v>406704.52</v>
      </c>
      <c r="L42" t="str">
        <f t="shared" si="2"/>
        <v>06122</v>
      </c>
      <c r="M42" s="481">
        <f t="shared" si="3"/>
        <v>406704.52</v>
      </c>
    </row>
    <row r="43" spans="1:13">
      <c r="A43" t="s">
        <v>183</v>
      </c>
      <c r="B43" t="s">
        <v>184</v>
      </c>
      <c r="C43" s="48">
        <v>0</v>
      </c>
      <c r="D43" s="48">
        <v>0</v>
      </c>
      <c r="E43" s="48">
        <v>0</v>
      </c>
      <c r="F43" s="48">
        <v>0</v>
      </c>
      <c r="G43" s="48">
        <v>0</v>
      </c>
      <c r="H43" s="48">
        <v>0</v>
      </c>
      <c r="I43" s="481">
        <f t="shared" si="1"/>
        <v>0</v>
      </c>
      <c r="L43" t="str">
        <f t="shared" si="2"/>
        <v>06701</v>
      </c>
      <c r="M43" s="481">
        <f t="shared" si="3"/>
        <v>0</v>
      </c>
    </row>
    <row r="44" spans="1:13">
      <c r="A44" t="s">
        <v>189</v>
      </c>
      <c r="B44" t="s">
        <v>1483</v>
      </c>
      <c r="C44" s="48">
        <v>0</v>
      </c>
      <c r="D44" s="48">
        <v>0</v>
      </c>
      <c r="E44" s="48">
        <v>0</v>
      </c>
      <c r="F44" s="48">
        <v>0</v>
      </c>
      <c r="G44" s="48">
        <v>0</v>
      </c>
      <c r="H44" s="48">
        <v>0</v>
      </c>
      <c r="I44" s="481">
        <f t="shared" si="1"/>
        <v>0</v>
      </c>
      <c r="L44" t="str">
        <f t="shared" si="2"/>
        <v>06801</v>
      </c>
      <c r="M44" s="481">
        <f t="shared" si="3"/>
        <v>0</v>
      </c>
    </row>
    <row r="45" spans="1:13">
      <c r="A45" t="s">
        <v>515</v>
      </c>
      <c r="B45" t="s">
        <v>1806</v>
      </c>
      <c r="C45" s="48">
        <v>128.19</v>
      </c>
      <c r="D45" s="48">
        <v>0</v>
      </c>
      <c r="E45" s="48">
        <v>73.47</v>
      </c>
      <c r="F45" s="48">
        <v>10.95</v>
      </c>
      <c r="G45" s="48">
        <v>330.25</v>
      </c>
      <c r="H45" s="48">
        <v>14069.77</v>
      </c>
      <c r="I45" s="481">
        <f t="shared" si="1"/>
        <v>14612.630000000001</v>
      </c>
      <c r="L45" t="str">
        <f t="shared" si="2"/>
        <v>06901</v>
      </c>
      <c r="M45" s="481">
        <f t="shared" si="3"/>
        <v>14612.630000000001</v>
      </c>
    </row>
    <row r="46" spans="1:13">
      <c r="A46" t="s">
        <v>2000</v>
      </c>
      <c r="B46" t="s">
        <v>2001</v>
      </c>
      <c r="C46" s="48">
        <v>0</v>
      </c>
      <c r="D46" s="48">
        <v>0</v>
      </c>
      <c r="E46" s="48">
        <v>0</v>
      </c>
      <c r="F46" s="48">
        <v>0</v>
      </c>
      <c r="G46" s="48">
        <v>0</v>
      </c>
      <c r="H46" s="48">
        <v>0</v>
      </c>
      <c r="I46" s="481">
        <f t="shared" si="1"/>
        <v>0</v>
      </c>
      <c r="L46" t="str">
        <f t="shared" si="2"/>
        <v>06927</v>
      </c>
      <c r="M46" s="481">
        <f t="shared" si="3"/>
        <v>0</v>
      </c>
    </row>
    <row r="47" spans="1:13">
      <c r="A47" t="s">
        <v>151</v>
      </c>
      <c r="B47" t="s">
        <v>1448</v>
      </c>
      <c r="C47" s="48">
        <v>1866.65</v>
      </c>
      <c r="D47" s="48">
        <v>1605.9</v>
      </c>
      <c r="E47" s="48">
        <v>21.47</v>
      </c>
      <c r="F47" s="48">
        <v>151.85</v>
      </c>
      <c r="G47" s="48">
        <v>0</v>
      </c>
      <c r="H47" s="48">
        <v>37316.090000000004</v>
      </c>
      <c r="I47" s="481">
        <f t="shared" si="1"/>
        <v>40961.960000000006</v>
      </c>
      <c r="L47" t="str">
        <f t="shared" si="2"/>
        <v>07002</v>
      </c>
      <c r="M47" s="481">
        <f t="shared" si="3"/>
        <v>40961.960000000006</v>
      </c>
    </row>
    <row r="48" spans="1:13">
      <c r="A48" t="s">
        <v>573</v>
      </c>
      <c r="B48" t="s">
        <v>1862</v>
      </c>
      <c r="C48" s="48">
        <v>3282.94</v>
      </c>
      <c r="D48" s="48">
        <v>109.14</v>
      </c>
      <c r="E48" s="48">
        <v>0</v>
      </c>
      <c r="F48" s="48">
        <v>0</v>
      </c>
      <c r="G48" s="48">
        <v>9033.9</v>
      </c>
      <c r="H48" s="48">
        <v>1222.6300000000001</v>
      </c>
      <c r="I48" s="481">
        <f t="shared" si="1"/>
        <v>13648.61</v>
      </c>
      <c r="L48" t="str">
        <f t="shared" si="2"/>
        <v>07035</v>
      </c>
      <c r="M48" s="481">
        <f t="shared" si="3"/>
        <v>13648.61</v>
      </c>
    </row>
    <row r="49" spans="1:13">
      <c r="A49" t="s">
        <v>311</v>
      </c>
      <c r="B49" t="s">
        <v>1600</v>
      </c>
      <c r="C49" s="48">
        <v>38582.730000000003</v>
      </c>
      <c r="D49" s="48">
        <v>20868.68</v>
      </c>
      <c r="E49" s="48">
        <v>10721.93</v>
      </c>
      <c r="F49" s="48">
        <v>2600.1</v>
      </c>
      <c r="G49" s="48">
        <v>95724.56</v>
      </c>
      <c r="H49" s="48">
        <v>495938.7</v>
      </c>
      <c r="I49" s="481">
        <f t="shared" si="1"/>
        <v>664436.69999999995</v>
      </c>
      <c r="L49" t="str">
        <f t="shared" si="2"/>
        <v>08122</v>
      </c>
      <c r="M49" s="481">
        <f t="shared" si="3"/>
        <v>664436.69999999995</v>
      </c>
    </row>
    <row r="50" spans="1:13">
      <c r="A50" t="s">
        <v>619</v>
      </c>
      <c r="B50" t="s">
        <v>1908</v>
      </c>
      <c r="C50" s="48">
        <v>2894.3</v>
      </c>
      <c r="D50" s="48">
        <v>0</v>
      </c>
      <c r="E50" s="48">
        <v>0</v>
      </c>
      <c r="F50" s="48">
        <v>0</v>
      </c>
      <c r="G50" s="48">
        <v>0</v>
      </c>
      <c r="H50" s="48">
        <v>59003.74</v>
      </c>
      <c r="I50" s="481">
        <f t="shared" si="1"/>
        <v>61898.04</v>
      </c>
      <c r="L50" t="str">
        <f t="shared" si="2"/>
        <v>08130</v>
      </c>
      <c r="M50" s="481">
        <f t="shared" si="3"/>
        <v>61898.04</v>
      </c>
    </row>
    <row r="51" spans="1:13">
      <c r="A51" t="s">
        <v>87</v>
      </c>
      <c r="B51" t="s">
        <v>1384</v>
      </c>
      <c r="C51" s="48">
        <v>7257.58</v>
      </c>
      <c r="D51" s="48">
        <v>2836.08</v>
      </c>
      <c r="E51" s="48">
        <v>710.87</v>
      </c>
      <c r="F51" s="48">
        <v>592.88</v>
      </c>
      <c r="G51" s="48">
        <v>21496.07</v>
      </c>
      <c r="H51" s="48">
        <v>115223.16</v>
      </c>
      <c r="I51" s="481">
        <f t="shared" si="1"/>
        <v>148116.64000000001</v>
      </c>
      <c r="L51" t="str">
        <f t="shared" si="2"/>
        <v>08401</v>
      </c>
      <c r="M51" s="481">
        <f t="shared" si="3"/>
        <v>148116.64000000001</v>
      </c>
    </row>
    <row r="52" spans="1:13">
      <c r="A52" t="s">
        <v>273</v>
      </c>
      <c r="B52" t="s">
        <v>1562</v>
      </c>
      <c r="C52" s="48">
        <v>3959.89</v>
      </c>
      <c r="D52" s="48">
        <v>0</v>
      </c>
      <c r="E52" s="48">
        <v>0</v>
      </c>
      <c r="F52" s="48">
        <v>468.99</v>
      </c>
      <c r="G52" s="48">
        <v>0</v>
      </c>
      <c r="H52" s="48">
        <v>86347.689999999988</v>
      </c>
      <c r="I52" s="481">
        <f t="shared" si="1"/>
        <v>90776.569999999992</v>
      </c>
      <c r="L52" t="str">
        <f t="shared" si="2"/>
        <v>08402</v>
      </c>
      <c r="M52" s="481">
        <f t="shared" si="3"/>
        <v>90776.569999999992</v>
      </c>
    </row>
    <row r="53" spans="1:13">
      <c r="A53" t="s">
        <v>687</v>
      </c>
      <c r="B53" t="s">
        <v>1976</v>
      </c>
      <c r="C53" s="48">
        <v>9574.5300000000007</v>
      </c>
      <c r="D53" s="48">
        <v>1746.19</v>
      </c>
      <c r="E53" s="48">
        <v>4533.6000000000004</v>
      </c>
      <c r="F53" s="48">
        <v>998.45</v>
      </c>
      <c r="G53" s="48">
        <v>36271.760000000002</v>
      </c>
      <c r="H53" s="48">
        <v>179570.96</v>
      </c>
      <c r="I53" s="481">
        <f t="shared" si="1"/>
        <v>232695.49</v>
      </c>
      <c r="L53" t="str">
        <f t="shared" si="2"/>
        <v>08404</v>
      </c>
      <c r="M53" s="481">
        <f t="shared" si="3"/>
        <v>232695.49</v>
      </c>
    </row>
    <row r="54" spans="1:13">
      <c r="A54" t="s">
        <v>277</v>
      </c>
      <c r="B54" t="s">
        <v>1566</v>
      </c>
      <c r="C54" s="48">
        <v>29620.25</v>
      </c>
      <c r="D54" s="48">
        <v>20383.47</v>
      </c>
      <c r="E54" s="48">
        <v>8273.74</v>
      </c>
      <c r="F54" s="48">
        <v>2085.39</v>
      </c>
      <c r="G54" s="48">
        <v>74653.56</v>
      </c>
      <c r="H54" s="48">
        <v>385160.68</v>
      </c>
      <c r="I54" s="481">
        <f t="shared" si="1"/>
        <v>520177.08999999997</v>
      </c>
      <c r="L54" t="str">
        <f t="shared" si="2"/>
        <v>08458</v>
      </c>
      <c r="M54" s="481">
        <f t="shared" si="3"/>
        <v>520177.08999999997</v>
      </c>
    </row>
    <row r="55" spans="1:13">
      <c r="A55" t="s">
        <v>2002</v>
      </c>
      <c r="B55" t="s">
        <v>2003</v>
      </c>
      <c r="C55" s="48">
        <v>0</v>
      </c>
      <c r="D55" s="48">
        <v>0</v>
      </c>
      <c r="E55" s="48">
        <v>0</v>
      </c>
      <c r="F55" s="48">
        <v>0</v>
      </c>
      <c r="G55" s="48">
        <v>0</v>
      </c>
      <c r="H55" s="48">
        <v>0</v>
      </c>
      <c r="I55" s="481">
        <f t="shared" si="1"/>
        <v>0</v>
      </c>
      <c r="L55" t="str">
        <f t="shared" si="2"/>
        <v>08937</v>
      </c>
      <c r="M55" s="481">
        <f t="shared" si="3"/>
        <v>0</v>
      </c>
    </row>
    <row r="56" spans="1:13">
      <c r="A56" t="s">
        <v>431</v>
      </c>
      <c r="B56" t="s">
        <v>1720</v>
      </c>
      <c r="C56" s="48">
        <v>988.13</v>
      </c>
      <c r="D56" s="48">
        <v>507.33</v>
      </c>
      <c r="E56" s="48">
        <v>1219.68</v>
      </c>
      <c r="F56" s="48">
        <v>45.72</v>
      </c>
      <c r="G56" s="48">
        <v>0</v>
      </c>
      <c r="H56" s="48">
        <v>10432.869999999999</v>
      </c>
      <c r="I56" s="481">
        <f t="shared" si="1"/>
        <v>13193.73</v>
      </c>
      <c r="L56" t="str">
        <f t="shared" si="2"/>
        <v>09013</v>
      </c>
      <c r="M56" s="481">
        <f t="shared" si="3"/>
        <v>13193.73</v>
      </c>
    </row>
    <row r="57" spans="1:13">
      <c r="A57" t="s">
        <v>71</v>
      </c>
      <c r="B57" t="s">
        <v>1368</v>
      </c>
      <c r="C57" s="48">
        <v>6624.89</v>
      </c>
      <c r="D57" s="48">
        <v>3244.6</v>
      </c>
      <c r="E57" s="48">
        <v>9267.76</v>
      </c>
      <c r="F57" s="48">
        <v>299.39</v>
      </c>
      <c r="G57" s="48">
        <v>7998.11</v>
      </c>
      <c r="H57" s="48">
        <v>55978.22</v>
      </c>
      <c r="I57" s="481">
        <f t="shared" si="1"/>
        <v>83412.97</v>
      </c>
      <c r="L57" t="str">
        <f t="shared" si="2"/>
        <v>09075</v>
      </c>
      <c r="M57" s="481">
        <f t="shared" si="3"/>
        <v>83412.97</v>
      </c>
    </row>
    <row r="58" spans="1:13">
      <c r="A58" t="s">
        <v>439</v>
      </c>
      <c r="B58" t="s">
        <v>1728</v>
      </c>
      <c r="C58" s="48">
        <v>230.07</v>
      </c>
      <c r="D58" s="48">
        <v>116.51</v>
      </c>
      <c r="E58" s="48">
        <v>172.56</v>
      </c>
      <c r="F58" s="48">
        <v>10.33</v>
      </c>
      <c r="G58" s="48">
        <v>0</v>
      </c>
      <c r="H58" s="48">
        <v>3989.38</v>
      </c>
      <c r="I58" s="481">
        <f t="shared" si="1"/>
        <v>4518.8500000000004</v>
      </c>
      <c r="L58" t="str">
        <f t="shared" si="2"/>
        <v>09102</v>
      </c>
      <c r="M58" s="481">
        <f t="shared" si="3"/>
        <v>4518.8500000000004</v>
      </c>
    </row>
    <row r="59" spans="1:13">
      <c r="A59" t="s">
        <v>163</v>
      </c>
      <c r="B59" t="s">
        <v>1460</v>
      </c>
      <c r="C59" s="48">
        <v>36296.76</v>
      </c>
      <c r="D59" s="48">
        <v>22769.73</v>
      </c>
      <c r="E59" s="48">
        <v>26756.16</v>
      </c>
      <c r="F59" s="48">
        <v>2485.0700000000002</v>
      </c>
      <c r="G59" s="48">
        <v>70406.05</v>
      </c>
      <c r="H59" s="48">
        <v>463820.10000000003</v>
      </c>
      <c r="I59" s="481">
        <f t="shared" si="1"/>
        <v>622533.87000000011</v>
      </c>
      <c r="L59" t="str">
        <f t="shared" si="2"/>
        <v>09206</v>
      </c>
      <c r="M59" s="481">
        <f t="shared" si="3"/>
        <v>622533.87000000011</v>
      </c>
    </row>
    <row r="60" spans="1:13">
      <c r="A60" t="s">
        <v>327</v>
      </c>
      <c r="B60" t="s">
        <v>1616</v>
      </c>
      <c r="C60" s="48">
        <v>638.59</v>
      </c>
      <c r="D60" s="48">
        <v>424.75</v>
      </c>
      <c r="E60" s="48">
        <v>0</v>
      </c>
      <c r="F60" s="48">
        <v>0</v>
      </c>
      <c r="G60" s="48">
        <v>0</v>
      </c>
      <c r="H60" s="48">
        <v>19918.91</v>
      </c>
      <c r="I60" s="481">
        <f t="shared" si="1"/>
        <v>20982.25</v>
      </c>
      <c r="L60" t="str">
        <f t="shared" si="2"/>
        <v>09207</v>
      </c>
      <c r="M60" s="481">
        <f t="shared" si="3"/>
        <v>20982.25</v>
      </c>
    </row>
    <row r="61" spans="1:13">
      <c r="A61" t="s">
        <v>655</v>
      </c>
      <c r="B61" t="s">
        <v>1944</v>
      </c>
      <c r="C61" s="48">
        <v>1148.8800000000001</v>
      </c>
      <c r="D61" s="48">
        <v>489.64</v>
      </c>
      <c r="E61" s="48">
        <v>463.09</v>
      </c>
      <c r="F61" s="48">
        <v>100.28</v>
      </c>
      <c r="G61" s="48">
        <v>0</v>
      </c>
      <c r="H61" s="48">
        <v>28084.969999999998</v>
      </c>
      <c r="I61" s="481">
        <f t="shared" si="1"/>
        <v>30286.859999999997</v>
      </c>
      <c r="L61" t="str">
        <f t="shared" si="2"/>
        <v>09209</v>
      </c>
      <c r="M61" s="481">
        <f t="shared" si="3"/>
        <v>30286.859999999997</v>
      </c>
    </row>
    <row r="62" spans="1:13">
      <c r="A62" t="s">
        <v>275</v>
      </c>
      <c r="B62" t="s">
        <v>1564</v>
      </c>
      <c r="C62" s="48">
        <v>286.11</v>
      </c>
      <c r="D62" s="48">
        <v>146.01</v>
      </c>
      <c r="E62" s="48">
        <v>0</v>
      </c>
      <c r="F62" s="48">
        <v>19.170000000000002</v>
      </c>
      <c r="G62" s="48">
        <v>537.67999999999995</v>
      </c>
      <c r="H62" s="48">
        <v>4130.97</v>
      </c>
      <c r="I62" s="481">
        <f t="shared" si="1"/>
        <v>5119.9400000000005</v>
      </c>
      <c r="L62" t="str">
        <f t="shared" si="2"/>
        <v>10003</v>
      </c>
      <c r="M62" s="481">
        <f t="shared" si="3"/>
        <v>5119.9400000000005</v>
      </c>
    </row>
    <row r="63" spans="1:13">
      <c r="A63" t="s">
        <v>141</v>
      </c>
      <c r="B63" t="s">
        <v>1438</v>
      </c>
      <c r="C63" s="48">
        <v>1364.42</v>
      </c>
      <c r="D63" s="48">
        <v>860.46</v>
      </c>
      <c r="E63" s="48">
        <v>0</v>
      </c>
      <c r="F63" s="48">
        <v>117.34</v>
      </c>
      <c r="G63" s="48">
        <v>3429.68</v>
      </c>
      <c r="H63" s="48">
        <v>22053.25</v>
      </c>
      <c r="I63" s="481">
        <f t="shared" si="1"/>
        <v>27825.15</v>
      </c>
      <c r="L63" t="str">
        <f t="shared" si="2"/>
        <v>10050</v>
      </c>
      <c r="M63" s="481">
        <f t="shared" si="3"/>
        <v>27825.15</v>
      </c>
    </row>
    <row r="64" spans="1:13">
      <c r="A64" t="s">
        <v>429</v>
      </c>
      <c r="B64" t="s">
        <v>1718</v>
      </c>
      <c r="C64" s="48">
        <v>273.79000000000002</v>
      </c>
      <c r="D64" s="48">
        <v>174.5</v>
      </c>
      <c r="E64" s="48">
        <v>0</v>
      </c>
      <c r="F64" s="48">
        <v>15.04</v>
      </c>
      <c r="G64" s="48">
        <v>531.38</v>
      </c>
      <c r="H64" s="48">
        <v>5555.43</v>
      </c>
      <c r="I64" s="481">
        <f t="shared" si="1"/>
        <v>6550.14</v>
      </c>
      <c r="L64" t="str">
        <f t="shared" si="2"/>
        <v>10065</v>
      </c>
      <c r="M64" s="481">
        <f t="shared" si="3"/>
        <v>6550.14</v>
      </c>
    </row>
    <row r="65" spans="1:13">
      <c r="A65" t="s">
        <v>265</v>
      </c>
      <c r="B65" t="s">
        <v>1554</v>
      </c>
      <c r="C65" s="48">
        <v>1544.13</v>
      </c>
      <c r="D65" s="48">
        <v>859.82</v>
      </c>
      <c r="E65" s="48">
        <v>0</v>
      </c>
      <c r="F65" s="48">
        <v>0</v>
      </c>
      <c r="G65" s="48">
        <v>2592.48</v>
      </c>
      <c r="H65" s="48">
        <v>24511.48</v>
      </c>
      <c r="I65" s="481">
        <f t="shared" si="1"/>
        <v>29507.91</v>
      </c>
      <c r="L65" t="str">
        <f t="shared" si="2"/>
        <v>10070</v>
      </c>
      <c r="M65" s="481">
        <f t="shared" si="3"/>
        <v>29507.91</v>
      </c>
    </row>
    <row r="66" spans="1:13">
      <c r="A66" t="s">
        <v>501</v>
      </c>
      <c r="B66" t="s">
        <v>1790</v>
      </c>
      <c r="C66" s="48">
        <v>2248.9499999999998</v>
      </c>
      <c r="D66" s="48">
        <v>1477.23</v>
      </c>
      <c r="E66" s="48">
        <v>0</v>
      </c>
      <c r="F66" s="48">
        <v>185.03</v>
      </c>
      <c r="G66" s="48">
        <v>6193.82</v>
      </c>
      <c r="H66" s="48">
        <v>34307.409999999996</v>
      </c>
      <c r="I66" s="481">
        <f t="shared" si="1"/>
        <v>44412.439999999995</v>
      </c>
      <c r="L66" t="str">
        <f t="shared" si="2"/>
        <v>10309</v>
      </c>
      <c r="M66" s="481">
        <f t="shared" si="3"/>
        <v>44412.439999999995</v>
      </c>
    </row>
    <row r="67" spans="1:13">
      <c r="A67" t="s">
        <v>445</v>
      </c>
      <c r="B67" t="s">
        <v>1734</v>
      </c>
      <c r="C67" s="48">
        <v>126872.74</v>
      </c>
      <c r="D67" s="48">
        <v>73046.289999999994</v>
      </c>
      <c r="E67" s="48">
        <v>154749.76000000001</v>
      </c>
      <c r="F67" s="48">
        <v>7720.68</v>
      </c>
      <c r="G67" s="48">
        <v>239231.44</v>
      </c>
      <c r="H67" s="48">
        <v>1473758.17</v>
      </c>
      <c r="I67" s="481">
        <f t="shared" si="1"/>
        <v>2075379.08</v>
      </c>
      <c r="L67" t="str">
        <f t="shared" si="2"/>
        <v>11001</v>
      </c>
      <c r="M67" s="481">
        <f t="shared" si="3"/>
        <v>2075379.08</v>
      </c>
    </row>
    <row r="68" spans="1:13">
      <c r="A68" t="s">
        <v>389</v>
      </c>
      <c r="B68" t="s">
        <v>1678</v>
      </c>
      <c r="C68" s="48">
        <v>14321.97</v>
      </c>
      <c r="D68" s="48">
        <v>8540.67</v>
      </c>
      <c r="E68" s="48">
        <v>16584.34</v>
      </c>
      <c r="F68" s="48">
        <v>843.59</v>
      </c>
      <c r="G68" s="48">
        <v>28290.35</v>
      </c>
      <c r="H68" s="48">
        <v>153674.60999999999</v>
      </c>
      <c r="I68" s="481">
        <f t="shared" si="1"/>
        <v>222255.52999999997</v>
      </c>
      <c r="L68" t="str">
        <f t="shared" si="2"/>
        <v>11051</v>
      </c>
      <c r="M68" s="481">
        <f t="shared" si="3"/>
        <v>222255.52999999997</v>
      </c>
    </row>
    <row r="69" spans="1:13">
      <c r="A69" t="s">
        <v>571</v>
      </c>
      <c r="B69" t="s">
        <v>1860</v>
      </c>
      <c r="C69" s="48">
        <v>0</v>
      </c>
      <c r="D69" s="48">
        <v>0</v>
      </c>
      <c r="E69" s="48">
        <v>0</v>
      </c>
      <c r="F69" s="48">
        <v>0</v>
      </c>
      <c r="G69" s="48">
        <v>0</v>
      </c>
      <c r="H69" s="48">
        <v>2933.41</v>
      </c>
      <c r="I69" s="481">
        <f t="shared" ref="I69:I132" si="4">SUM(C69:H69)</f>
        <v>2933.41</v>
      </c>
      <c r="L69" t="str">
        <f t="shared" ref="L69:L132" si="5">TEXT(A69, "00000")</f>
        <v>11054</v>
      </c>
      <c r="M69" s="481">
        <f t="shared" ref="M69:M132" si="6">I69</f>
        <v>2933.41</v>
      </c>
    </row>
    <row r="70" spans="1:13">
      <c r="A70" t="s">
        <v>271</v>
      </c>
      <c r="B70" t="s">
        <v>1560</v>
      </c>
      <c r="C70" s="48">
        <v>318.91000000000003</v>
      </c>
      <c r="D70" s="48">
        <v>215.11</v>
      </c>
      <c r="E70" s="48">
        <v>0</v>
      </c>
      <c r="F70" s="48">
        <v>21.06</v>
      </c>
      <c r="G70" s="48">
        <v>0</v>
      </c>
      <c r="H70" s="48">
        <v>18793.420000000002</v>
      </c>
      <c r="I70" s="481">
        <f t="shared" si="4"/>
        <v>19348.5</v>
      </c>
      <c r="L70" t="str">
        <f t="shared" si="5"/>
        <v>11056</v>
      </c>
      <c r="M70" s="481">
        <f t="shared" si="6"/>
        <v>19348.5</v>
      </c>
    </row>
    <row r="71" spans="1:13">
      <c r="A71" t="s">
        <v>197</v>
      </c>
      <c r="B71" t="s">
        <v>2004</v>
      </c>
      <c r="C71" s="48">
        <v>0</v>
      </c>
      <c r="D71" s="48">
        <v>0</v>
      </c>
      <c r="E71" s="48">
        <v>0</v>
      </c>
      <c r="F71" s="48">
        <v>0</v>
      </c>
      <c r="G71" s="48">
        <v>0</v>
      </c>
      <c r="H71" s="48">
        <v>0</v>
      </c>
      <c r="I71" s="481">
        <f t="shared" si="4"/>
        <v>0</v>
      </c>
      <c r="L71" t="str">
        <f t="shared" si="5"/>
        <v>11801</v>
      </c>
      <c r="M71" s="481">
        <f t="shared" si="6"/>
        <v>0</v>
      </c>
    </row>
    <row r="72" spans="1:13">
      <c r="A72" t="s">
        <v>2005</v>
      </c>
      <c r="B72" t="s">
        <v>2006</v>
      </c>
      <c r="C72" s="48">
        <v>0</v>
      </c>
      <c r="D72" s="48">
        <v>0</v>
      </c>
      <c r="E72" s="48">
        <v>0</v>
      </c>
      <c r="F72" s="48">
        <v>0</v>
      </c>
      <c r="G72" s="48">
        <v>0</v>
      </c>
      <c r="H72" s="48">
        <v>0</v>
      </c>
      <c r="I72" s="481">
        <f t="shared" si="4"/>
        <v>0</v>
      </c>
      <c r="L72" t="str">
        <f t="shared" si="5"/>
        <v>11928</v>
      </c>
      <c r="M72" s="481">
        <f t="shared" si="6"/>
        <v>0</v>
      </c>
    </row>
    <row r="73" spans="1:13">
      <c r="A73" t="s">
        <v>459</v>
      </c>
      <c r="B73" t="s">
        <v>1748</v>
      </c>
      <c r="C73" s="48">
        <v>1693.86</v>
      </c>
      <c r="D73" s="48">
        <v>612.25</v>
      </c>
      <c r="E73" s="48">
        <v>84.24</v>
      </c>
      <c r="F73" s="48">
        <v>138.4</v>
      </c>
      <c r="G73" s="48">
        <v>4868.93</v>
      </c>
      <c r="H73" s="48">
        <v>35506.35</v>
      </c>
      <c r="I73" s="481">
        <f t="shared" si="4"/>
        <v>42904.03</v>
      </c>
      <c r="L73" t="str">
        <f t="shared" si="5"/>
        <v>12110</v>
      </c>
      <c r="M73" s="481">
        <f t="shared" si="6"/>
        <v>42904.03</v>
      </c>
    </row>
    <row r="74" spans="1:13">
      <c r="A74" t="s">
        <v>641</v>
      </c>
      <c r="B74" t="s">
        <v>1930</v>
      </c>
      <c r="C74" s="48">
        <v>20982.240000000002</v>
      </c>
      <c r="D74" s="48">
        <v>10199.85</v>
      </c>
      <c r="E74" s="48">
        <v>29997.81</v>
      </c>
      <c r="F74" s="48">
        <v>982.23</v>
      </c>
      <c r="G74" s="48">
        <v>28639.57</v>
      </c>
      <c r="H74" s="48">
        <v>187986.26000000004</v>
      </c>
      <c r="I74" s="481">
        <f t="shared" si="4"/>
        <v>278787.96000000008</v>
      </c>
      <c r="L74" t="str">
        <f t="shared" si="5"/>
        <v>13073</v>
      </c>
      <c r="M74" s="481">
        <f t="shared" si="6"/>
        <v>278787.96000000008</v>
      </c>
    </row>
    <row r="75" spans="1:13">
      <c r="A75" t="s">
        <v>487</v>
      </c>
      <c r="B75" t="s">
        <v>1776</v>
      </c>
      <c r="C75" s="48">
        <v>24203.24</v>
      </c>
      <c r="D75" s="48">
        <v>13499.02</v>
      </c>
      <c r="E75" s="48">
        <v>30561.19</v>
      </c>
      <c r="F75" s="48">
        <v>1345.04</v>
      </c>
      <c r="G75" s="48">
        <v>39995.69</v>
      </c>
      <c r="H75" s="48">
        <v>254038.97</v>
      </c>
      <c r="I75" s="481">
        <f t="shared" si="4"/>
        <v>363643.15</v>
      </c>
      <c r="L75" t="str">
        <f t="shared" si="5"/>
        <v>13144</v>
      </c>
      <c r="M75" s="481">
        <f t="shared" si="6"/>
        <v>363643.15</v>
      </c>
    </row>
    <row r="76" spans="1:13">
      <c r="A76" t="s">
        <v>649</v>
      </c>
      <c r="B76" t="s">
        <v>1938</v>
      </c>
      <c r="C76" s="48">
        <v>7297.4</v>
      </c>
      <c r="D76" s="48">
        <v>3723.91</v>
      </c>
      <c r="E76" s="48">
        <v>6366.8</v>
      </c>
      <c r="F76" s="48">
        <v>387.88</v>
      </c>
      <c r="G76" s="48">
        <v>12149.85</v>
      </c>
      <c r="H76" s="48">
        <v>72046.36</v>
      </c>
      <c r="I76" s="481">
        <f t="shared" si="4"/>
        <v>101972.20000000001</v>
      </c>
      <c r="L76" t="str">
        <f t="shared" si="5"/>
        <v>13146</v>
      </c>
      <c r="M76" s="481">
        <f t="shared" si="6"/>
        <v>101972.20000000001</v>
      </c>
    </row>
    <row r="77" spans="1:13">
      <c r="A77" t="s">
        <v>133</v>
      </c>
      <c r="B77" t="s">
        <v>1430</v>
      </c>
      <c r="C77" s="48">
        <v>855.39</v>
      </c>
      <c r="D77" s="48">
        <v>0</v>
      </c>
      <c r="E77" s="48">
        <v>0</v>
      </c>
      <c r="F77" s="48">
        <v>85.55</v>
      </c>
      <c r="G77" s="48">
        <v>2705.37</v>
      </c>
      <c r="H77" s="48">
        <v>24010.05</v>
      </c>
      <c r="I77" s="481">
        <f t="shared" si="4"/>
        <v>27656.36</v>
      </c>
      <c r="L77" t="str">
        <f t="shared" si="5"/>
        <v>13151</v>
      </c>
      <c r="M77" s="481">
        <f t="shared" si="6"/>
        <v>27656.36</v>
      </c>
    </row>
    <row r="78" spans="1:13">
      <c r="A78" t="s">
        <v>551</v>
      </c>
      <c r="B78" t="s">
        <v>1840</v>
      </c>
      <c r="C78" s="48">
        <v>3914.16</v>
      </c>
      <c r="D78" s="48">
        <v>2129.63</v>
      </c>
      <c r="E78" s="48">
        <v>3091.22</v>
      </c>
      <c r="F78" s="48">
        <v>212.38</v>
      </c>
      <c r="G78" s="48">
        <v>7586.58</v>
      </c>
      <c r="H78" s="48">
        <v>45875.7</v>
      </c>
      <c r="I78" s="481">
        <f t="shared" si="4"/>
        <v>62809.67</v>
      </c>
      <c r="L78" t="str">
        <f t="shared" si="5"/>
        <v>13156</v>
      </c>
      <c r="M78" s="481">
        <f t="shared" si="6"/>
        <v>62809.67</v>
      </c>
    </row>
    <row r="79" spans="1:13">
      <c r="A79" t="s">
        <v>521</v>
      </c>
      <c r="B79" t="s">
        <v>1810</v>
      </c>
      <c r="C79" s="48">
        <v>13046.24</v>
      </c>
      <c r="D79" s="48">
        <v>7502.4</v>
      </c>
      <c r="E79" s="48">
        <v>17575.41</v>
      </c>
      <c r="F79" s="48">
        <v>712.33</v>
      </c>
      <c r="G79" s="48">
        <v>20110.099999999999</v>
      </c>
      <c r="H79" s="48">
        <v>137069.63</v>
      </c>
      <c r="I79" s="481">
        <f t="shared" si="4"/>
        <v>196016.11000000002</v>
      </c>
      <c r="L79" t="str">
        <f t="shared" si="5"/>
        <v>13160</v>
      </c>
      <c r="M79" s="481">
        <f t="shared" si="6"/>
        <v>196016.11000000002</v>
      </c>
    </row>
    <row r="80" spans="1:13">
      <c r="A80" t="s">
        <v>357</v>
      </c>
      <c r="B80" t="s">
        <v>1646</v>
      </c>
      <c r="C80" s="48">
        <v>52891.41</v>
      </c>
      <c r="D80" s="48">
        <v>32941.68</v>
      </c>
      <c r="E80" s="48">
        <v>29837.02</v>
      </c>
      <c r="F80" s="48">
        <v>3703.43</v>
      </c>
      <c r="G80" s="48">
        <v>131769.56</v>
      </c>
      <c r="H80" s="48">
        <v>693170.44000000006</v>
      </c>
      <c r="I80" s="481">
        <f t="shared" si="4"/>
        <v>944313.54</v>
      </c>
      <c r="L80" t="str">
        <f t="shared" si="5"/>
        <v>13161</v>
      </c>
      <c r="M80" s="481">
        <f t="shared" si="6"/>
        <v>944313.54</v>
      </c>
    </row>
    <row r="81" spans="1:13">
      <c r="A81" t="s">
        <v>181</v>
      </c>
      <c r="B81" t="s">
        <v>1478</v>
      </c>
      <c r="C81" s="48">
        <v>15174</v>
      </c>
      <c r="D81" s="48">
        <v>12000.54</v>
      </c>
      <c r="E81" s="48">
        <v>10009.66</v>
      </c>
      <c r="F81" s="48">
        <v>1193.3</v>
      </c>
      <c r="G81" s="48">
        <v>33724.14</v>
      </c>
      <c r="H81" s="48">
        <v>228965.81</v>
      </c>
      <c r="I81" s="481">
        <f t="shared" si="4"/>
        <v>301067.45</v>
      </c>
      <c r="L81" t="str">
        <f t="shared" si="5"/>
        <v>13165</v>
      </c>
      <c r="M81" s="481">
        <f t="shared" si="6"/>
        <v>301067.45</v>
      </c>
    </row>
    <row r="82" spans="1:13">
      <c r="A82" t="s">
        <v>679</v>
      </c>
      <c r="B82" t="s">
        <v>1968</v>
      </c>
      <c r="C82" s="48">
        <v>725.08</v>
      </c>
      <c r="D82" s="48">
        <v>496.42</v>
      </c>
      <c r="E82" s="48">
        <v>0</v>
      </c>
      <c r="F82" s="48">
        <v>0</v>
      </c>
      <c r="G82" s="48">
        <v>1638.88</v>
      </c>
      <c r="H82" s="48">
        <v>20443.64</v>
      </c>
      <c r="I82" s="481">
        <f t="shared" si="4"/>
        <v>23304.02</v>
      </c>
      <c r="L82" t="str">
        <f t="shared" si="5"/>
        <v>13167</v>
      </c>
      <c r="M82" s="481">
        <f t="shared" si="6"/>
        <v>23304.02</v>
      </c>
    </row>
    <row r="83" spans="1:13">
      <c r="A83" t="s">
        <v>229</v>
      </c>
      <c r="B83" t="s">
        <v>1518</v>
      </c>
      <c r="C83" s="48">
        <v>5052.72</v>
      </c>
      <c r="D83" s="48">
        <v>3154.64</v>
      </c>
      <c r="E83" s="48">
        <v>0</v>
      </c>
      <c r="F83" s="48">
        <v>297.91000000000003</v>
      </c>
      <c r="G83" s="48">
        <v>9411.39</v>
      </c>
      <c r="H83" s="48">
        <v>54714.29</v>
      </c>
      <c r="I83" s="481">
        <f t="shared" si="4"/>
        <v>72630.95</v>
      </c>
      <c r="L83" t="str">
        <f t="shared" si="5"/>
        <v>13301</v>
      </c>
      <c r="M83" s="481">
        <f t="shared" si="6"/>
        <v>72630.95</v>
      </c>
    </row>
    <row r="84" spans="1:13">
      <c r="A84" t="s">
        <v>2007</v>
      </c>
      <c r="B84" t="s">
        <v>2008</v>
      </c>
      <c r="C84" s="48">
        <v>0</v>
      </c>
      <c r="D84" s="48">
        <v>0</v>
      </c>
      <c r="E84" s="48">
        <v>0</v>
      </c>
      <c r="F84" s="48">
        <v>0</v>
      </c>
      <c r="G84" s="48">
        <v>0</v>
      </c>
      <c r="H84" s="48">
        <v>0</v>
      </c>
      <c r="I84" s="481">
        <f t="shared" si="4"/>
        <v>0</v>
      </c>
      <c r="L84" t="str">
        <f t="shared" si="5"/>
        <v>13925</v>
      </c>
      <c r="M84" s="481">
        <f t="shared" si="6"/>
        <v>0</v>
      </c>
    </row>
    <row r="85" spans="1:13">
      <c r="A85" t="s">
        <v>31</v>
      </c>
      <c r="B85" t="s">
        <v>1332</v>
      </c>
      <c r="C85" s="48">
        <v>20328.900000000001</v>
      </c>
      <c r="D85" s="48">
        <v>13255.67</v>
      </c>
      <c r="E85" s="48">
        <v>10798.62</v>
      </c>
      <c r="F85" s="48">
        <v>1336.19</v>
      </c>
      <c r="G85" s="48">
        <v>48140.43</v>
      </c>
      <c r="H85" s="48">
        <v>246871.34999999998</v>
      </c>
      <c r="I85" s="481">
        <f t="shared" si="4"/>
        <v>340731.16</v>
      </c>
      <c r="L85" t="str">
        <f t="shared" si="5"/>
        <v>14005</v>
      </c>
      <c r="M85" s="481">
        <f t="shared" si="6"/>
        <v>340731.16</v>
      </c>
    </row>
    <row r="86" spans="1:13">
      <c r="A86" t="s">
        <v>255</v>
      </c>
      <c r="B86" t="s">
        <v>1544</v>
      </c>
      <c r="C86" s="48">
        <v>10449.09</v>
      </c>
      <c r="D86" s="48">
        <v>7003.91</v>
      </c>
      <c r="E86" s="48">
        <v>2878.84</v>
      </c>
      <c r="F86" s="48">
        <v>669.57</v>
      </c>
      <c r="G86" s="48">
        <v>23298.77</v>
      </c>
      <c r="H86" s="48">
        <v>120423.36</v>
      </c>
      <c r="I86" s="481">
        <f t="shared" si="4"/>
        <v>164723.54</v>
      </c>
      <c r="L86" t="str">
        <f t="shared" si="5"/>
        <v>14028</v>
      </c>
      <c r="M86" s="481">
        <f t="shared" si="6"/>
        <v>164723.54</v>
      </c>
    </row>
    <row r="87" spans="1:13">
      <c r="A87" t="s">
        <v>387</v>
      </c>
      <c r="B87" t="s">
        <v>1676</v>
      </c>
      <c r="C87" s="48">
        <v>4474.6000000000004</v>
      </c>
      <c r="D87" s="48">
        <v>2808.06</v>
      </c>
      <c r="E87" s="48">
        <v>227.13</v>
      </c>
      <c r="F87" s="48">
        <v>268.42</v>
      </c>
      <c r="G87" s="48">
        <v>9355.9500000000007</v>
      </c>
      <c r="H87" s="48">
        <v>54653.82</v>
      </c>
      <c r="I87" s="481">
        <f t="shared" si="4"/>
        <v>71787.98</v>
      </c>
      <c r="L87" t="str">
        <f t="shared" si="5"/>
        <v>14064</v>
      </c>
      <c r="M87" s="481">
        <f t="shared" si="6"/>
        <v>71787.98</v>
      </c>
    </row>
    <row r="88" spans="1:13">
      <c r="A88" t="s">
        <v>337</v>
      </c>
      <c r="B88" t="s">
        <v>1626</v>
      </c>
      <c r="C88" s="48">
        <v>1800.76</v>
      </c>
      <c r="D88" s="48">
        <v>1317.02</v>
      </c>
      <c r="E88" s="48">
        <v>98.82</v>
      </c>
      <c r="F88" s="48">
        <v>135.68</v>
      </c>
      <c r="G88" s="48">
        <v>5270.18</v>
      </c>
      <c r="H88" s="48">
        <v>28194.11</v>
      </c>
      <c r="I88" s="481">
        <f t="shared" si="4"/>
        <v>36816.57</v>
      </c>
      <c r="L88" t="str">
        <f t="shared" si="5"/>
        <v>14065</v>
      </c>
      <c r="M88" s="481">
        <f t="shared" si="6"/>
        <v>36816.57</v>
      </c>
    </row>
    <row r="89" spans="1:13">
      <c r="A89" t="s">
        <v>353</v>
      </c>
      <c r="B89" t="s">
        <v>1642</v>
      </c>
      <c r="C89" s="48">
        <v>5106.0600000000004</v>
      </c>
      <c r="D89" s="48">
        <v>0</v>
      </c>
      <c r="E89" s="48">
        <v>923.35</v>
      </c>
      <c r="F89" s="48">
        <v>624.27</v>
      </c>
      <c r="G89" s="48">
        <v>22730.35</v>
      </c>
      <c r="H89" s="48">
        <v>115560.4</v>
      </c>
      <c r="I89" s="481">
        <f t="shared" si="4"/>
        <v>144944.43</v>
      </c>
      <c r="L89" t="str">
        <f t="shared" si="5"/>
        <v>14066</v>
      </c>
      <c r="M89" s="481">
        <f t="shared" si="6"/>
        <v>144944.43</v>
      </c>
    </row>
    <row r="90" spans="1:13">
      <c r="A90" t="s">
        <v>173</v>
      </c>
      <c r="B90" t="s">
        <v>1470</v>
      </c>
      <c r="C90" s="48">
        <v>12183.44</v>
      </c>
      <c r="D90" s="48">
        <v>7461.4</v>
      </c>
      <c r="E90" s="48">
        <v>3136.5</v>
      </c>
      <c r="F90" s="48">
        <v>722.07</v>
      </c>
      <c r="G90" s="48">
        <v>24222.1</v>
      </c>
      <c r="H90" s="48">
        <v>128015.70000000001</v>
      </c>
      <c r="I90" s="481">
        <f t="shared" si="4"/>
        <v>175741.21000000002</v>
      </c>
      <c r="L90" t="str">
        <f t="shared" si="5"/>
        <v>14068</v>
      </c>
      <c r="M90" s="481">
        <f t="shared" si="6"/>
        <v>175741.21000000002</v>
      </c>
    </row>
    <row r="91" spans="1:13">
      <c r="A91" t="s">
        <v>601</v>
      </c>
      <c r="B91" t="s">
        <v>1890</v>
      </c>
      <c r="C91" s="48">
        <v>1272.77</v>
      </c>
      <c r="D91" s="48">
        <v>744.79</v>
      </c>
      <c r="E91" s="48">
        <v>0</v>
      </c>
      <c r="F91" s="48">
        <v>0</v>
      </c>
      <c r="G91" s="48">
        <v>2698.07</v>
      </c>
      <c r="H91" s="48">
        <v>23045.51</v>
      </c>
      <c r="I91" s="481">
        <f t="shared" si="4"/>
        <v>27761.14</v>
      </c>
      <c r="L91" t="str">
        <f t="shared" si="5"/>
        <v>14077</v>
      </c>
      <c r="M91" s="481">
        <f t="shared" si="6"/>
        <v>27761.14</v>
      </c>
    </row>
    <row r="92" spans="1:13">
      <c r="A92" t="s">
        <v>485</v>
      </c>
      <c r="B92" t="s">
        <v>1774</v>
      </c>
      <c r="C92" s="48">
        <v>1878.92</v>
      </c>
      <c r="D92" s="48">
        <v>867.2</v>
      </c>
      <c r="E92" s="48">
        <v>1157.73</v>
      </c>
      <c r="F92" s="48">
        <v>88.49</v>
      </c>
      <c r="G92" s="48">
        <v>0</v>
      </c>
      <c r="H92" s="48">
        <v>24977.53</v>
      </c>
      <c r="I92" s="481">
        <f t="shared" si="4"/>
        <v>28969.87</v>
      </c>
      <c r="L92" t="str">
        <f t="shared" si="5"/>
        <v>14097</v>
      </c>
      <c r="M92" s="481">
        <f t="shared" si="6"/>
        <v>28969.87</v>
      </c>
    </row>
    <row r="93" spans="1:13">
      <c r="A93" t="s">
        <v>131</v>
      </c>
      <c r="B93" t="s">
        <v>1428</v>
      </c>
      <c r="C93" s="48">
        <v>679.89</v>
      </c>
      <c r="D93" s="48">
        <v>0</v>
      </c>
      <c r="E93" s="48">
        <v>16.23</v>
      </c>
      <c r="F93" s="48">
        <v>72.260000000000005</v>
      </c>
      <c r="G93" s="48">
        <v>2227.83</v>
      </c>
      <c r="H93" s="48">
        <v>16694.939999999999</v>
      </c>
      <c r="I93" s="481">
        <f t="shared" si="4"/>
        <v>19691.149999999998</v>
      </c>
      <c r="L93" t="str">
        <f t="shared" si="5"/>
        <v>14099</v>
      </c>
      <c r="M93" s="481">
        <f t="shared" si="6"/>
        <v>19691.149999999998</v>
      </c>
    </row>
    <row r="94" spans="1:13">
      <c r="A94" t="s">
        <v>525</v>
      </c>
      <c r="B94" t="s">
        <v>1814</v>
      </c>
      <c r="C94" s="48">
        <v>268.42</v>
      </c>
      <c r="D94" s="48">
        <v>228.59</v>
      </c>
      <c r="E94" s="48">
        <v>0</v>
      </c>
      <c r="F94" s="48">
        <v>0</v>
      </c>
      <c r="G94" s="48">
        <v>1237.52</v>
      </c>
      <c r="H94" s="48">
        <v>5773.91</v>
      </c>
      <c r="I94" s="481">
        <f t="shared" si="4"/>
        <v>7508.44</v>
      </c>
      <c r="L94" t="str">
        <f t="shared" si="5"/>
        <v>14104</v>
      </c>
      <c r="M94" s="481">
        <f t="shared" si="6"/>
        <v>7508.44</v>
      </c>
    </row>
    <row r="95" spans="1:13">
      <c r="A95" t="s">
        <v>683</v>
      </c>
      <c r="B95" t="s">
        <v>1972</v>
      </c>
      <c r="C95" s="48">
        <v>1035.32</v>
      </c>
      <c r="D95" s="48">
        <v>672.51</v>
      </c>
      <c r="E95" s="48">
        <v>0</v>
      </c>
      <c r="F95" s="48">
        <v>0</v>
      </c>
      <c r="G95" s="48">
        <v>2095.39</v>
      </c>
      <c r="H95" s="48">
        <v>23846.34</v>
      </c>
      <c r="I95" s="481">
        <f t="shared" si="4"/>
        <v>27649.56</v>
      </c>
      <c r="L95" t="str">
        <f t="shared" si="5"/>
        <v>14117</v>
      </c>
      <c r="M95" s="481">
        <f t="shared" si="6"/>
        <v>27649.56</v>
      </c>
    </row>
    <row r="96" spans="1:13">
      <c r="A96" t="s">
        <v>411</v>
      </c>
      <c r="B96" t="s">
        <v>1700</v>
      </c>
      <c r="C96" s="48">
        <v>3734.24</v>
      </c>
      <c r="D96" s="48">
        <v>2445.25</v>
      </c>
      <c r="E96" s="48">
        <v>1693.1</v>
      </c>
      <c r="F96" s="48">
        <v>247.77</v>
      </c>
      <c r="G96" s="48">
        <v>6439.31</v>
      </c>
      <c r="H96" s="48">
        <v>50856.17</v>
      </c>
      <c r="I96" s="481">
        <f t="shared" si="4"/>
        <v>65415.839999999997</v>
      </c>
      <c r="L96" t="str">
        <f t="shared" si="5"/>
        <v>14172</v>
      </c>
      <c r="M96" s="481">
        <f t="shared" si="6"/>
        <v>65415.839999999997</v>
      </c>
    </row>
    <row r="97" spans="1:13">
      <c r="A97" t="s">
        <v>407</v>
      </c>
      <c r="B97" t="s">
        <v>1696</v>
      </c>
      <c r="C97" s="48">
        <v>2343.4899999999998</v>
      </c>
      <c r="D97" s="48">
        <v>1330.29</v>
      </c>
      <c r="E97" s="48">
        <v>0</v>
      </c>
      <c r="F97" s="48">
        <v>128.31</v>
      </c>
      <c r="G97" s="48">
        <v>5126.57</v>
      </c>
      <c r="H97" s="48">
        <v>30999.210000000003</v>
      </c>
      <c r="I97" s="481">
        <f t="shared" si="4"/>
        <v>39927.870000000003</v>
      </c>
      <c r="L97" t="str">
        <f t="shared" si="5"/>
        <v>14400</v>
      </c>
      <c r="M97" s="481">
        <f t="shared" si="6"/>
        <v>39927.870000000003</v>
      </c>
    </row>
    <row r="98" spans="1:13">
      <c r="A98" t="s">
        <v>2009</v>
      </c>
      <c r="B98" t="s">
        <v>2010</v>
      </c>
      <c r="C98" s="48">
        <v>0</v>
      </c>
      <c r="D98" s="48">
        <v>0</v>
      </c>
      <c r="E98" s="48">
        <v>0</v>
      </c>
      <c r="F98" s="48">
        <v>0</v>
      </c>
      <c r="G98" s="48">
        <v>0</v>
      </c>
      <c r="H98" s="48">
        <v>0</v>
      </c>
      <c r="I98" s="481">
        <f t="shared" si="4"/>
        <v>0</v>
      </c>
      <c r="L98" t="str">
        <f t="shared" si="5"/>
        <v>14934</v>
      </c>
      <c r="M98" s="481">
        <f t="shared" si="6"/>
        <v>0</v>
      </c>
    </row>
    <row r="99" spans="1:13">
      <c r="A99" t="s">
        <v>403</v>
      </c>
      <c r="B99" t="s">
        <v>1692</v>
      </c>
      <c r="C99" s="48">
        <v>24025.38</v>
      </c>
      <c r="D99" s="48">
        <v>4383.87</v>
      </c>
      <c r="E99" s="48">
        <v>6921.03</v>
      </c>
      <c r="F99" s="48">
        <v>2649.49</v>
      </c>
      <c r="G99" s="48">
        <v>105254.05</v>
      </c>
      <c r="H99" s="48">
        <v>489012.77</v>
      </c>
      <c r="I99" s="481">
        <f t="shared" si="4"/>
        <v>632246.59000000008</v>
      </c>
      <c r="L99" t="str">
        <f t="shared" si="5"/>
        <v>15201</v>
      </c>
      <c r="M99" s="481">
        <f t="shared" si="6"/>
        <v>632246.59000000008</v>
      </c>
    </row>
    <row r="100" spans="1:13">
      <c r="A100" t="s">
        <v>135</v>
      </c>
      <c r="B100" t="s">
        <v>1432</v>
      </c>
      <c r="C100" s="48">
        <v>4484.01</v>
      </c>
      <c r="D100" s="48">
        <v>272.37</v>
      </c>
      <c r="E100" s="48">
        <v>911.26</v>
      </c>
      <c r="F100" s="48">
        <v>487.58</v>
      </c>
      <c r="G100" s="48">
        <v>17245.509999999998</v>
      </c>
      <c r="H100" s="48">
        <v>91050.430000000008</v>
      </c>
      <c r="I100" s="481">
        <f t="shared" si="4"/>
        <v>114451.16</v>
      </c>
      <c r="L100" t="str">
        <f t="shared" si="5"/>
        <v>15204</v>
      </c>
      <c r="M100" s="481">
        <f t="shared" si="6"/>
        <v>114451.16</v>
      </c>
    </row>
    <row r="101" spans="1:13">
      <c r="A101" t="s">
        <v>557</v>
      </c>
      <c r="B101" t="s">
        <v>1846</v>
      </c>
      <c r="C101" s="48">
        <v>4281.1000000000004</v>
      </c>
      <c r="D101" s="48">
        <v>138.04</v>
      </c>
      <c r="E101" s="48">
        <v>258.38</v>
      </c>
      <c r="F101" s="48">
        <v>580.49</v>
      </c>
      <c r="G101" s="48">
        <v>19929.12</v>
      </c>
      <c r="H101" s="48">
        <v>102189</v>
      </c>
      <c r="I101" s="481">
        <f t="shared" si="4"/>
        <v>127376.13</v>
      </c>
      <c r="L101" t="str">
        <f t="shared" si="5"/>
        <v>15206</v>
      </c>
      <c r="M101" s="481">
        <f t="shared" si="6"/>
        <v>127376.13</v>
      </c>
    </row>
    <row r="102" spans="1:13">
      <c r="A102" t="s">
        <v>477</v>
      </c>
      <c r="B102" t="s">
        <v>1766</v>
      </c>
      <c r="C102" s="48">
        <v>354.31</v>
      </c>
      <c r="D102" s="48">
        <v>162.58000000000001</v>
      </c>
      <c r="E102" s="48">
        <v>0</v>
      </c>
      <c r="F102" s="48">
        <v>0</v>
      </c>
      <c r="G102" s="48">
        <v>703.45</v>
      </c>
      <c r="H102" s="48">
        <v>5592.28</v>
      </c>
      <c r="I102" s="481">
        <f t="shared" si="4"/>
        <v>6812.62</v>
      </c>
      <c r="L102" t="str">
        <f t="shared" si="5"/>
        <v>16020</v>
      </c>
      <c r="M102" s="481">
        <f t="shared" si="6"/>
        <v>6812.62</v>
      </c>
    </row>
    <row r="103" spans="1:13">
      <c r="A103" t="s">
        <v>73</v>
      </c>
      <c r="B103" t="s">
        <v>1370</v>
      </c>
      <c r="C103" s="48">
        <v>586.98</v>
      </c>
      <c r="D103" s="48">
        <v>322.99</v>
      </c>
      <c r="E103" s="48">
        <v>0</v>
      </c>
      <c r="F103" s="48">
        <v>29.5</v>
      </c>
      <c r="G103" s="48">
        <v>1112.48</v>
      </c>
      <c r="H103" s="48">
        <v>6251.75</v>
      </c>
      <c r="I103" s="481">
        <f t="shared" si="4"/>
        <v>8303.7000000000007</v>
      </c>
      <c r="L103" t="str">
        <f t="shared" si="5"/>
        <v>16046</v>
      </c>
      <c r="M103" s="481">
        <f t="shared" si="6"/>
        <v>8303.7000000000007</v>
      </c>
    </row>
    <row r="104" spans="1:13">
      <c r="A104" t="s">
        <v>479</v>
      </c>
      <c r="B104" t="s">
        <v>1768</v>
      </c>
      <c r="C104" s="48">
        <v>3109.42</v>
      </c>
      <c r="D104" s="48">
        <v>923.92</v>
      </c>
      <c r="E104" s="48">
        <v>0</v>
      </c>
      <c r="F104" s="48">
        <v>284.52999999999997</v>
      </c>
      <c r="G104" s="48">
        <v>6717.79</v>
      </c>
      <c r="H104" s="48">
        <v>24120.270000000004</v>
      </c>
      <c r="I104" s="481">
        <f t="shared" si="4"/>
        <v>35155.930000000008</v>
      </c>
      <c r="L104" t="str">
        <f t="shared" si="5"/>
        <v>16048</v>
      </c>
      <c r="M104" s="481">
        <f t="shared" si="6"/>
        <v>35155.930000000008</v>
      </c>
    </row>
    <row r="105" spans="1:13">
      <c r="A105" t="s">
        <v>107</v>
      </c>
      <c r="B105" t="s">
        <v>1404</v>
      </c>
      <c r="C105" s="48">
        <v>4195.57</v>
      </c>
      <c r="D105" s="48">
        <v>1864.88</v>
      </c>
      <c r="E105" s="48">
        <v>518.66999999999996</v>
      </c>
      <c r="F105" s="48">
        <v>315.49</v>
      </c>
      <c r="G105" s="48">
        <v>12257.79</v>
      </c>
      <c r="H105" s="48">
        <v>61608.719999999994</v>
      </c>
      <c r="I105" s="481">
        <f t="shared" si="4"/>
        <v>80761.119999999995</v>
      </c>
      <c r="L105" t="str">
        <f t="shared" si="5"/>
        <v>16049</v>
      </c>
      <c r="M105" s="481">
        <f t="shared" si="6"/>
        <v>80761.119999999995</v>
      </c>
    </row>
    <row r="106" spans="1:13">
      <c r="A106" t="s">
        <v>463</v>
      </c>
      <c r="B106" t="s">
        <v>1752</v>
      </c>
      <c r="C106" s="48">
        <v>5303.91</v>
      </c>
      <c r="D106" s="48">
        <v>644.20000000000005</v>
      </c>
      <c r="E106" s="48">
        <v>1035.67</v>
      </c>
      <c r="F106" s="48">
        <v>548.4</v>
      </c>
      <c r="G106" s="48">
        <v>16316.73</v>
      </c>
      <c r="H106" s="48">
        <v>92599.72</v>
      </c>
      <c r="I106" s="481">
        <f t="shared" si="4"/>
        <v>116448.63</v>
      </c>
      <c r="L106" t="str">
        <f t="shared" si="5"/>
        <v>16050</v>
      </c>
      <c r="M106" s="481">
        <f t="shared" si="6"/>
        <v>116448.63</v>
      </c>
    </row>
    <row r="107" spans="1:13">
      <c r="A107" t="s">
        <v>527</v>
      </c>
      <c r="B107" t="s">
        <v>1816</v>
      </c>
      <c r="C107" s="48">
        <v>226541.71</v>
      </c>
      <c r="D107" s="48">
        <v>70589.47</v>
      </c>
      <c r="E107" s="48">
        <v>192512.17</v>
      </c>
      <c r="F107" s="48">
        <v>24938.29</v>
      </c>
      <c r="G107" s="48">
        <v>885526.8</v>
      </c>
      <c r="H107" s="48">
        <v>4764311.05</v>
      </c>
      <c r="I107" s="481">
        <f t="shared" si="4"/>
        <v>6164419.4900000002</v>
      </c>
      <c r="L107" t="str">
        <f t="shared" si="5"/>
        <v>17001</v>
      </c>
      <c r="M107" s="481">
        <f t="shared" si="6"/>
        <v>6164419.4900000002</v>
      </c>
    </row>
    <row r="108" spans="1:13">
      <c r="A108" t="s">
        <v>211</v>
      </c>
      <c r="B108" t="s">
        <v>1500</v>
      </c>
      <c r="C108" s="48">
        <v>158982.14000000001</v>
      </c>
      <c r="D108" s="48">
        <v>96286.54</v>
      </c>
      <c r="E108" s="48">
        <v>166033.66</v>
      </c>
      <c r="F108" s="48">
        <v>9900.8700000000008</v>
      </c>
      <c r="G108" s="48">
        <v>320112.98</v>
      </c>
      <c r="H108" s="48">
        <v>1863788.3599999999</v>
      </c>
      <c r="I108" s="481">
        <f t="shared" si="4"/>
        <v>2615104.5499999998</v>
      </c>
      <c r="L108" t="str">
        <f t="shared" si="5"/>
        <v>17210</v>
      </c>
      <c r="M108" s="481">
        <f t="shared" si="6"/>
        <v>2615104.5499999998</v>
      </c>
    </row>
    <row r="109" spans="1:13">
      <c r="A109" t="s">
        <v>179</v>
      </c>
      <c r="B109" t="s">
        <v>1476</v>
      </c>
      <c r="C109" s="48">
        <v>13408.31</v>
      </c>
      <c r="D109" s="48">
        <v>0</v>
      </c>
      <c r="E109" s="48">
        <v>8818.3799999999992</v>
      </c>
      <c r="F109" s="48">
        <v>2089.85</v>
      </c>
      <c r="G109" s="48">
        <v>78171.5</v>
      </c>
      <c r="H109" s="48">
        <v>402627.67000000004</v>
      </c>
      <c r="I109" s="481">
        <f t="shared" si="4"/>
        <v>505115.71</v>
      </c>
      <c r="L109" t="str">
        <f t="shared" si="5"/>
        <v>17216</v>
      </c>
      <c r="M109" s="481">
        <f t="shared" si="6"/>
        <v>505115.71</v>
      </c>
    </row>
    <row r="110" spans="1:13">
      <c r="A110" t="s">
        <v>343</v>
      </c>
      <c r="B110" t="s">
        <v>1632</v>
      </c>
      <c r="C110" s="48">
        <v>2264.12</v>
      </c>
      <c r="D110" s="48">
        <v>0</v>
      </c>
      <c r="E110" s="48">
        <v>5125.1400000000003</v>
      </c>
      <c r="F110" s="48">
        <v>1968.26</v>
      </c>
      <c r="G110" s="48">
        <v>47991.21</v>
      </c>
      <c r="H110" s="48">
        <v>376858.89999999997</v>
      </c>
      <c r="I110" s="481">
        <f t="shared" si="4"/>
        <v>434207.62999999995</v>
      </c>
      <c r="L110" t="str">
        <f t="shared" si="5"/>
        <v>17400</v>
      </c>
      <c r="M110" s="481">
        <f t="shared" si="6"/>
        <v>434207.62999999995</v>
      </c>
    </row>
    <row r="111" spans="1:13">
      <c r="A111" t="s">
        <v>249</v>
      </c>
      <c r="B111" t="s">
        <v>1538</v>
      </c>
      <c r="C111" s="48">
        <v>138514.57999999999</v>
      </c>
      <c r="D111" s="48">
        <v>72368.05</v>
      </c>
      <c r="E111" s="48">
        <v>176111.71</v>
      </c>
      <c r="F111" s="48">
        <v>8795.41</v>
      </c>
      <c r="G111" s="48">
        <v>312198.28999999998</v>
      </c>
      <c r="H111" s="48">
        <v>1655709.74</v>
      </c>
      <c r="I111" s="481">
        <f t="shared" si="4"/>
        <v>2363697.7799999998</v>
      </c>
      <c r="L111" t="str">
        <f t="shared" si="5"/>
        <v>17401</v>
      </c>
      <c r="M111" s="481">
        <f t="shared" si="6"/>
        <v>2363697.7799999998</v>
      </c>
    </row>
    <row r="112" spans="1:13">
      <c r="A112" t="s">
        <v>635</v>
      </c>
      <c r="B112" t="s">
        <v>1924</v>
      </c>
      <c r="C112" s="48">
        <v>4095.63</v>
      </c>
      <c r="D112" s="48">
        <v>278.86</v>
      </c>
      <c r="E112" s="48">
        <v>2273.64</v>
      </c>
      <c r="F112" s="48">
        <v>704.85</v>
      </c>
      <c r="G112" s="48">
        <v>19449.900000000001</v>
      </c>
      <c r="H112" s="48">
        <v>121510.52</v>
      </c>
      <c r="I112" s="481">
        <f t="shared" si="4"/>
        <v>148313.4</v>
      </c>
      <c r="L112" t="str">
        <f t="shared" si="5"/>
        <v>17402</v>
      </c>
      <c r="M112" s="481">
        <f t="shared" si="6"/>
        <v>148313.4</v>
      </c>
    </row>
    <row r="113" spans="1:13">
      <c r="A113" t="s">
        <v>499</v>
      </c>
      <c r="B113" t="s">
        <v>1788</v>
      </c>
      <c r="C113" s="48">
        <v>86549.64</v>
      </c>
      <c r="D113" s="48">
        <v>37386.559999999998</v>
      </c>
      <c r="E113" s="48">
        <v>96775.56</v>
      </c>
      <c r="F113" s="48">
        <v>7194.35</v>
      </c>
      <c r="G113" s="48">
        <v>245173.54</v>
      </c>
      <c r="H113" s="48">
        <v>1364786.14</v>
      </c>
      <c r="I113" s="481">
        <f t="shared" si="4"/>
        <v>1837865.79</v>
      </c>
      <c r="L113" t="str">
        <f t="shared" si="5"/>
        <v>17403</v>
      </c>
      <c r="M113" s="481">
        <f t="shared" si="6"/>
        <v>1837865.79</v>
      </c>
    </row>
    <row r="114" spans="1:13">
      <c r="A114" t="s">
        <v>545</v>
      </c>
      <c r="B114" t="s">
        <v>1834</v>
      </c>
      <c r="C114" s="48">
        <v>295.85000000000002</v>
      </c>
      <c r="D114" s="48">
        <v>177.51</v>
      </c>
      <c r="E114" s="48">
        <v>0</v>
      </c>
      <c r="F114" s="48">
        <v>0</v>
      </c>
      <c r="G114" s="48">
        <v>807.22</v>
      </c>
      <c r="H114" s="48">
        <v>22101.629999999997</v>
      </c>
      <c r="I114" s="481">
        <f t="shared" si="4"/>
        <v>23382.21</v>
      </c>
      <c r="L114" t="str">
        <f t="shared" si="5"/>
        <v>17404</v>
      </c>
      <c r="M114" s="481">
        <f t="shared" si="6"/>
        <v>23382.21</v>
      </c>
    </row>
    <row r="115" spans="1:13">
      <c r="A115" t="s">
        <v>53</v>
      </c>
      <c r="B115" t="s">
        <v>1350</v>
      </c>
      <c r="C115" s="48">
        <v>43369.66</v>
      </c>
      <c r="D115" s="48">
        <v>5281.76</v>
      </c>
      <c r="E115" s="48">
        <v>105612.73</v>
      </c>
      <c r="F115" s="48">
        <v>9594.19</v>
      </c>
      <c r="G115" s="48">
        <v>227009.14</v>
      </c>
      <c r="H115" s="48">
        <v>1774485.98</v>
      </c>
      <c r="I115" s="481">
        <f t="shared" si="4"/>
        <v>2165353.46</v>
      </c>
      <c r="L115" t="str">
        <f t="shared" si="5"/>
        <v>17405</v>
      </c>
      <c r="M115" s="481">
        <f t="shared" si="6"/>
        <v>2165353.46</v>
      </c>
    </row>
    <row r="116" spans="1:13">
      <c r="A116" t="s">
        <v>623</v>
      </c>
      <c r="B116" t="s">
        <v>1912</v>
      </c>
      <c r="C116" s="48">
        <v>20932.150000000001</v>
      </c>
      <c r="D116" s="48">
        <v>12822.42</v>
      </c>
      <c r="E116" s="48">
        <v>34382.83</v>
      </c>
      <c r="F116" s="48">
        <v>1376.56</v>
      </c>
      <c r="G116" s="48">
        <v>41240.879999999997</v>
      </c>
      <c r="H116" s="48">
        <v>265330.94</v>
      </c>
      <c r="I116" s="481">
        <f t="shared" si="4"/>
        <v>376085.78</v>
      </c>
      <c r="L116" t="str">
        <f t="shared" si="5"/>
        <v>17406</v>
      </c>
      <c r="M116" s="481">
        <f t="shared" si="6"/>
        <v>376085.78</v>
      </c>
    </row>
    <row r="117" spans="1:13">
      <c r="A117" t="s">
        <v>511</v>
      </c>
      <c r="B117" t="s">
        <v>1800</v>
      </c>
      <c r="C117" s="48">
        <v>5189.53</v>
      </c>
      <c r="D117" s="48">
        <v>0</v>
      </c>
      <c r="E117" s="48">
        <v>5871.72</v>
      </c>
      <c r="F117" s="48">
        <v>1524.49</v>
      </c>
      <c r="G117" s="48">
        <v>37337.440000000002</v>
      </c>
      <c r="H117" s="48">
        <v>279291.52000000002</v>
      </c>
      <c r="I117" s="481">
        <f t="shared" si="4"/>
        <v>329214.7</v>
      </c>
      <c r="L117" t="str">
        <f t="shared" si="5"/>
        <v>17407</v>
      </c>
      <c r="M117" s="481">
        <f t="shared" si="6"/>
        <v>329214.7</v>
      </c>
    </row>
    <row r="118" spans="1:13">
      <c r="A118" t="s">
        <v>47</v>
      </c>
      <c r="B118" t="s">
        <v>1344</v>
      </c>
      <c r="C118" s="48">
        <v>105338.05</v>
      </c>
      <c r="D118" s="48">
        <v>61981.87</v>
      </c>
      <c r="E118" s="48">
        <v>136707.29999999999</v>
      </c>
      <c r="F118" s="48">
        <v>8346.16</v>
      </c>
      <c r="G118" s="48">
        <v>228962.06</v>
      </c>
      <c r="H118" s="48">
        <v>1571686.1099999999</v>
      </c>
      <c r="I118" s="481">
        <f t="shared" si="4"/>
        <v>2113021.5499999998</v>
      </c>
      <c r="L118" t="str">
        <f t="shared" si="5"/>
        <v>17408</v>
      </c>
      <c r="M118" s="481">
        <f t="shared" si="6"/>
        <v>2113021.5499999998</v>
      </c>
    </row>
    <row r="119" spans="1:13">
      <c r="A119" t="s">
        <v>603</v>
      </c>
      <c r="B119" t="s">
        <v>1892</v>
      </c>
      <c r="C119" s="48">
        <v>17760.68</v>
      </c>
      <c r="D119" s="48">
        <v>0</v>
      </c>
      <c r="E119" s="48">
        <v>14550.76</v>
      </c>
      <c r="F119" s="48">
        <v>4627.74</v>
      </c>
      <c r="G119" s="48">
        <v>134583.82</v>
      </c>
      <c r="H119" s="48">
        <v>881308.27</v>
      </c>
      <c r="I119" s="481">
        <f t="shared" si="4"/>
        <v>1052831.27</v>
      </c>
      <c r="L119" t="str">
        <f t="shared" si="5"/>
        <v>17409</v>
      </c>
      <c r="M119" s="481">
        <f t="shared" si="6"/>
        <v>1052831.27</v>
      </c>
    </row>
    <row r="120" spans="1:13">
      <c r="A120" t="s">
        <v>549</v>
      </c>
      <c r="B120" t="s">
        <v>1838</v>
      </c>
      <c r="C120" s="48">
        <v>9578.5300000000007</v>
      </c>
      <c r="D120" s="48">
        <v>0</v>
      </c>
      <c r="E120" s="48">
        <v>8739.7099999999991</v>
      </c>
      <c r="F120" s="48">
        <v>3536.26</v>
      </c>
      <c r="G120" s="48">
        <v>88206.91</v>
      </c>
      <c r="H120" s="48">
        <v>656552.43000000005</v>
      </c>
      <c r="I120" s="481">
        <f t="shared" si="4"/>
        <v>766613.84000000008</v>
      </c>
      <c r="L120" t="str">
        <f t="shared" si="5"/>
        <v>17410</v>
      </c>
      <c r="M120" s="481">
        <f t="shared" si="6"/>
        <v>766613.84000000008</v>
      </c>
    </row>
    <row r="121" spans="1:13">
      <c r="A121" t="s">
        <v>269</v>
      </c>
      <c r="B121" t="s">
        <v>1558</v>
      </c>
      <c r="C121" s="48">
        <v>25688.36</v>
      </c>
      <c r="D121" s="48">
        <v>0</v>
      </c>
      <c r="E121" s="48">
        <v>42927.63</v>
      </c>
      <c r="F121" s="48">
        <v>9548.9500000000007</v>
      </c>
      <c r="G121" s="48">
        <v>215016.64</v>
      </c>
      <c r="H121" s="48">
        <v>1789509.88</v>
      </c>
      <c r="I121" s="481">
        <f t="shared" si="4"/>
        <v>2082691.46</v>
      </c>
      <c r="L121" t="str">
        <f t="shared" si="5"/>
        <v>17411</v>
      </c>
      <c r="M121" s="481">
        <f t="shared" si="6"/>
        <v>2082691.46</v>
      </c>
    </row>
    <row r="122" spans="1:13">
      <c r="A122" t="s">
        <v>541</v>
      </c>
      <c r="B122" t="s">
        <v>1830</v>
      </c>
      <c r="C122" s="48">
        <v>29264.65</v>
      </c>
      <c r="D122" s="48">
        <v>0</v>
      </c>
      <c r="E122" s="48">
        <v>28638.14</v>
      </c>
      <c r="F122" s="48">
        <v>4582.17</v>
      </c>
      <c r="G122" s="48">
        <v>142616.57</v>
      </c>
      <c r="H122" s="48">
        <v>867308.03</v>
      </c>
      <c r="I122" s="481">
        <f t="shared" si="4"/>
        <v>1072409.56</v>
      </c>
      <c r="L122" t="str">
        <f t="shared" si="5"/>
        <v>17412</v>
      </c>
      <c r="M122" s="481">
        <f t="shared" si="6"/>
        <v>1072409.56</v>
      </c>
    </row>
    <row r="123" spans="1:13">
      <c r="A123" t="s">
        <v>301</v>
      </c>
      <c r="B123" t="s">
        <v>1590</v>
      </c>
      <c r="C123" s="48">
        <v>41041.17</v>
      </c>
      <c r="D123" s="48">
        <v>0</v>
      </c>
      <c r="E123" s="48">
        <v>113148.17</v>
      </c>
      <c r="F123" s="48">
        <v>15363.25</v>
      </c>
      <c r="G123" s="48">
        <v>313527.39</v>
      </c>
      <c r="H123" s="48">
        <v>2981047.08</v>
      </c>
      <c r="I123" s="481">
        <f t="shared" si="4"/>
        <v>3464127.06</v>
      </c>
      <c r="L123" t="str">
        <f t="shared" si="5"/>
        <v>17414</v>
      </c>
      <c r="M123" s="481">
        <f t="shared" si="6"/>
        <v>3464127.06</v>
      </c>
    </row>
    <row r="124" spans="1:13">
      <c r="A124" t="s">
        <v>281</v>
      </c>
      <c r="B124" t="s">
        <v>1570</v>
      </c>
      <c r="C124" s="48">
        <v>158120.63</v>
      </c>
      <c r="D124" s="48">
        <v>63492.59</v>
      </c>
      <c r="E124" s="48">
        <v>196525.26</v>
      </c>
      <c r="F124" s="48">
        <v>12702.35</v>
      </c>
      <c r="G124" s="48">
        <v>379641.99</v>
      </c>
      <c r="H124" s="48">
        <v>2377743.91</v>
      </c>
      <c r="I124" s="481">
        <f t="shared" si="4"/>
        <v>3188226.73</v>
      </c>
      <c r="L124" t="str">
        <f t="shared" si="5"/>
        <v>17415</v>
      </c>
      <c r="M124" s="481">
        <f t="shared" si="6"/>
        <v>3188226.73</v>
      </c>
    </row>
    <row r="125" spans="1:13">
      <c r="A125" t="s">
        <v>401</v>
      </c>
      <c r="B125" t="s">
        <v>1690</v>
      </c>
      <c r="C125" s="48">
        <v>40459.9</v>
      </c>
      <c r="D125" s="48">
        <v>0</v>
      </c>
      <c r="E125" s="48">
        <v>69602.740000000005</v>
      </c>
      <c r="F125" s="48">
        <v>11228.33</v>
      </c>
      <c r="G125" s="48">
        <v>333947.96000000002</v>
      </c>
      <c r="H125" s="48">
        <v>2109475.36</v>
      </c>
      <c r="I125" s="481">
        <f t="shared" si="4"/>
        <v>2564714.29</v>
      </c>
      <c r="L125" t="str">
        <f t="shared" si="5"/>
        <v>17417</v>
      </c>
      <c r="M125" s="481">
        <f t="shared" si="6"/>
        <v>2564714.29</v>
      </c>
    </row>
    <row r="126" spans="1:13">
      <c r="A126" t="s">
        <v>195</v>
      </c>
      <c r="B126" t="s">
        <v>2011</v>
      </c>
      <c r="C126" s="48">
        <v>0</v>
      </c>
      <c r="D126" s="48">
        <v>0</v>
      </c>
      <c r="E126" s="48">
        <v>0</v>
      </c>
      <c r="F126" s="48">
        <v>0</v>
      </c>
      <c r="G126" s="48">
        <v>0</v>
      </c>
      <c r="H126" s="48">
        <v>0</v>
      </c>
      <c r="I126" s="481">
        <f t="shared" si="4"/>
        <v>0</v>
      </c>
      <c r="L126" t="str">
        <f t="shared" si="5"/>
        <v>17801</v>
      </c>
      <c r="M126" s="481">
        <f t="shared" si="6"/>
        <v>0</v>
      </c>
    </row>
    <row r="127" spans="1:13">
      <c r="A127" t="s">
        <v>591</v>
      </c>
      <c r="B127" t="s">
        <v>1880</v>
      </c>
      <c r="C127" s="48">
        <v>837.08</v>
      </c>
      <c r="D127" s="48">
        <v>0</v>
      </c>
      <c r="E127" s="48">
        <v>908.43</v>
      </c>
      <c r="F127" s="48">
        <v>111.38</v>
      </c>
      <c r="G127" s="48">
        <v>3234.44</v>
      </c>
      <c r="H127" s="48">
        <v>19745.28</v>
      </c>
      <c r="I127" s="481">
        <f t="shared" si="4"/>
        <v>24836.61</v>
      </c>
      <c r="L127" t="str">
        <f t="shared" si="5"/>
        <v>17902</v>
      </c>
      <c r="M127" s="481">
        <f t="shared" si="6"/>
        <v>24836.61</v>
      </c>
    </row>
    <row r="128" spans="1:13">
      <c r="A128" t="s">
        <v>369</v>
      </c>
      <c r="B128" t="s">
        <v>1658</v>
      </c>
      <c r="C128" s="48">
        <v>4075.59</v>
      </c>
      <c r="D128" s="48">
        <v>2740.81</v>
      </c>
      <c r="E128" s="48">
        <v>0</v>
      </c>
      <c r="F128" s="48">
        <v>0</v>
      </c>
      <c r="G128" s="48">
        <v>8526.17</v>
      </c>
      <c r="H128" s="48">
        <v>57246.48</v>
      </c>
      <c r="I128" s="481">
        <f t="shared" si="4"/>
        <v>72589.05</v>
      </c>
      <c r="L128" t="str">
        <f t="shared" si="5"/>
        <v>17903</v>
      </c>
      <c r="M128" s="481">
        <f t="shared" si="6"/>
        <v>72589.05</v>
      </c>
    </row>
    <row r="129" spans="1:13">
      <c r="A129" t="s">
        <v>2012</v>
      </c>
      <c r="B129" t="s">
        <v>2013</v>
      </c>
      <c r="C129" s="48">
        <v>0</v>
      </c>
      <c r="D129" s="48">
        <v>0</v>
      </c>
      <c r="E129" s="48">
        <v>0</v>
      </c>
      <c r="F129" s="48">
        <v>0</v>
      </c>
      <c r="G129" s="48">
        <v>0</v>
      </c>
      <c r="H129" s="48">
        <v>0</v>
      </c>
      <c r="I129" s="481">
        <f t="shared" si="4"/>
        <v>0</v>
      </c>
      <c r="L129" t="str">
        <f t="shared" si="5"/>
        <v>17904</v>
      </c>
      <c r="M129" s="481">
        <f t="shared" si="6"/>
        <v>0</v>
      </c>
    </row>
    <row r="130" spans="1:13">
      <c r="A130" t="s">
        <v>587</v>
      </c>
      <c r="B130" t="s">
        <v>1876</v>
      </c>
      <c r="C130" s="48">
        <v>2137.0700000000002</v>
      </c>
      <c r="D130" s="48">
        <v>0</v>
      </c>
      <c r="E130" s="48">
        <v>3001.99</v>
      </c>
      <c r="F130" s="48">
        <v>268.01</v>
      </c>
      <c r="G130" s="48">
        <v>7670.61</v>
      </c>
      <c r="H130" s="48">
        <v>40543.440000000002</v>
      </c>
      <c r="I130" s="481">
        <f t="shared" si="4"/>
        <v>53621.120000000003</v>
      </c>
      <c r="L130" t="str">
        <f t="shared" si="5"/>
        <v>17905</v>
      </c>
      <c r="M130" s="481">
        <f t="shared" si="6"/>
        <v>53621.120000000003</v>
      </c>
    </row>
    <row r="131" spans="1:13">
      <c r="A131" t="s">
        <v>491</v>
      </c>
      <c r="B131" t="s">
        <v>1780</v>
      </c>
      <c r="C131" s="48">
        <v>2817.53</v>
      </c>
      <c r="D131" s="48">
        <v>1696.78</v>
      </c>
      <c r="E131" s="48">
        <v>3551.92</v>
      </c>
      <c r="F131" s="48">
        <v>0</v>
      </c>
      <c r="G131" s="48">
        <v>2784.02</v>
      </c>
      <c r="H131" s="48">
        <v>28105.62</v>
      </c>
      <c r="I131" s="481">
        <f t="shared" si="4"/>
        <v>38955.869999999995</v>
      </c>
      <c r="L131" t="str">
        <f t="shared" si="5"/>
        <v>17908</v>
      </c>
      <c r="M131" s="481">
        <f t="shared" si="6"/>
        <v>38955.869999999995</v>
      </c>
    </row>
    <row r="132" spans="1:13">
      <c r="A132" t="s">
        <v>493</v>
      </c>
      <c r="B132" t="s">
        <v>1782</v>
      </c>
      <c r="C132" s="48">
        <v>1259.97</v>
      </c>
      <c r="D132" s="48">
        <v>739.62</v>
      </c>
      <c r="E132" s="48">
        <v>440.29</v>
      </c>
      <c r="F132" s="48">
        <v>74.83</v>
      </c>
      <c r="G132" s="48">
        <v>2151.7199999999998</v>
      </c>
      <c r="H132" s="48">
        <v>25449.94</v>
      </c>
      <c r="I132" s="481">
        <f t="shared" si="4"/>
        <v>30116.37</v>
      </c>
      <c r="L132" t="str">
        <f t="shared" si="5"/>
        <v>17910</v>
      </c>
      <c r="M132" s="481">
        <f t="shared" si="6"/>
        <v>30116.37</v>
      </c>
    </row>
    <row r="133" spans="1:13">
      <c r="A133" t="s">
        <v>261</v>
      </c>
      <c r="B133" t="s">
        <v>1550</v>
      </c>
      <c r="C133" s="48">
        <v>4075.75</v>
      </c>
      <c r="D133" s="48">
        <v>3031.57</v>
      </c>
      <c r="E133" s="48">
        <v>3146.44</v>
      </c>
      <c r="F133" s="48">
        <v>241.9</v>
      </c>
      <c r="G133" s="48">
        <v>6491.32</v>
      </c>
      <c r="H133" s="48">
        <v>55823.15</v>
      </c>
      <c r="I133" s="481">
        <f t="shared" ref="I133:I196" si="7">SUM(C133:H133)</f>
        <v>72810.13</v>
      </c>
      <c r="L133" t="str">
        <f t="shared" ref="L133:L196" si="8">TEXT(A133, "00000")</f>
        <v>17911</v>
      </c>
      <c r="M133" s="481">
        <f t="shared" ref="M133:M196" si="9">I133</f>
        <v>72810.13</v>
      </c>
    </row>
    <row r="134" spans="1:13">
      <c r="A134" t="s">
        <v>263</v>
      </c>
      <c r="B134" t="s">
        <v>1552</v>
      </c>
      <c r="C134" s="48">
        <v>2130.11</v>
      </c>
      <c r="D134" s="48">
        <v>1698.52</v>
      </c>
      <c r="E134" s="48">
        <v>1435.73</v>
      </c>
      <c r="F134" s="48">
        <v>156.62</v>
      </c>
      <c r="G134" s="48">
        <v>2470.08</v>
      </c>
      <c r="H134" s="48">
        <v>38851.879999999997</v>
      </c>
      <c r="I134" s="481">
        <f t="shared" si="7"/>
        <v>46742.939999999995</v>
      </c>
      <c r="L134" t="str">
        <f t="shared" si="8"/>
        <v>17916</v>
      </c>
      <c r="M134" s="481">
        <f t="shared" si="9"/>
        <v>46742.939999999995</v>
      </c>
    </row>
    <row r="135" spans="1:13">
      <c r="A135" t="s">
        <v>673</v>
      </c>
      <c r="B135" t="s">
        <v>1962</v>
      </c>
      <c r="C135" s="48">
        <v>1080.71</v>
      </c>
      <c r="D135" s="48">
        <v>0</v>
      </c>
      <c r="E135" s="48">
        <v>0</v>
      </c>
      <c r="F135" s="48">
        <v>0</v>
      </c>
      <c r="G135" s="48">
        <v>2403.63</v>
      </c>
      <c r="H135" s="48">
        <v>18869.91</v>
      </c>
      <c r="I135" s="481">
        <f t="shared" si="7"/>
        <v>22354.25</v>
      </c>
      <c r="L135" t="str">
        <f t="shared" si="8"/>
        <v>17917</v>
      </c>
      <c r="M135" s="481">
        <f t="shared" si="9"/>
        <v>22354.25</v>
      </c>
    </row>
    <row r="136" spans="1:13">
      <c r="A136" t="s">
        <v>2014</v>
      </c>
      <c r="B136" t="s">
        <v>2015</v>
      </c>
      <c r="C136" s="48">
        <v>0</v>
      </c>
      <c r="D136" s="48">
        <v>0</v>
      </c>
      <c r="E136" s="48">
        <v>0</v>
      </c>
      <c r="F136" s="48">
        <v>0</v>
      </c>
      <c r="G136" s="48">
        <v>0</v>
      </c>
      <c r="H136" s="48">
        <v>0</v>
      </c>
      <c r="I136" s="481">
        <f t="shared" si="7"/>
        <v>0</v>
      </c>
      <c r="L136" t="str">
        <f t="shared" si="8"/>
        <v>17918</v>
      </c>
      <c r="M136" s="481">
        <f t="shared" si="9"/>
        <v>0</v>
      </c>
    </row>
    <row r="137" spans="1:13">
      <c r="A137" t="s">
        <v>257</v>
      </c>
      <c r="B137" t="s">
        <v>1546</v>
      </c>
      <c r="C137" s="48">
        <v>891.03</v>
      </c>
      <c r="D137" s="48">
        <v>0</v>
      </c>
      <c r="E137" s="48">
        <v>562.12</v>
      </c>
      <c r="F137" s="48">
        <v>62.65</v>
      </c>
      <c r="G137" s="48">
        <v>1979.98</v>
      </c>
      <c r="H137" s="48">
        <v>16769.39</v>
      </c>
      <c r="I137" s="481">
        <f t="shared" si="7"/>
        <v>20265.169999999998</v>
      </c>
      <c r="L137" t="str">
        <f t="shared" si="8"/>
        <v>17919</v>
      </c>
      <c r="M137" s="481">
        <f t="shared" si="9"/>
        <v>20265.169999999998</v>
      </c>
    </row>
    <row r="138" spans="1:13">
      <c r="A138" t="s">
        <v>2016</v>
      </c>
      <c r="B138" t="s">
        <v>2017</v>
      </c>
      <c r="C138" s="48">
        <v>0</v>
      </c>
      <c r="D138" s="48">
        <v>0</v>
      </c>
      <c r="E138" s="48">
        <v>0</v>
      </c>
      <c r="F138" s="48">
        <v>0</v>
      </c>
      <c r="G138" s="48">
        <v>0</v>
      </c>
      <c r="H138" s="48">
        <v>0</v>
      </c>
      <c r="I138" s="481">
        <f t="shared" si="7"/>
        <v>0</v>
      </c>
      <c r="L138" t="str">
        <f t="shared" si="8"/>
        <v>17924</v>
      </c>
      <c r="M138" s="481">
        <f t="shared" si="9"/>
        <v>0</v>
      </c>
    </row>
    <row r="139" spans="1:13">
      <c r="A139" t="s">
        <v>2018</v>
      </c>
      <c r="B139" t="s">
        <v>2019</v>
      </c>
      <c r="C139" s="48">
        <v>0</v>
      </c>
      <c r="D139" s="48">
        <v>0</v>
      </c>
      <c r="E139" s="48">
        <v>0</v>
      </c>
      <c r="F139" s="48">
        <v>0</v>
      </c>
      <c r="G139" s="48">
        <v>0</v>
      </c>
      <c r="H139" s="48">
        <v>0</v>
      </c>
      <c r="I139" s="481">
        <f t="shared" si="7"/>
        <v>0</v>
      </c>
      <c r="L139" t="str">
        <f t="shared" si="8"/>
        <v>17935</v>
      </c>
      <c r="M139" s="481">
        <f t="shared" si="9"/>
        <v>0</v>
      </c>
    </row>
    <row r="140" spans="1:13">
      <c r="A140" t="s">
        <v>2020</v>
      </c>
      <c r="B140" t="s">
        <v>2021</v>
      </c>
      <c r="C140" s="48">
        <v>0</v>
      </c>
      <c r="D140" s="48">
        <v>0</v>
      </c>
      <c r="E140" s="48">
        <v>0</v>
      </c>
      <c r="F140" s="48">
        <v>0</v>
      </c>
      <c r="G140" s="48">
        <v>0</v>
      </c>
      <c r="H140" s="48">
        <v>0</v>
      </c>
      <c r="I140" s="481">
        <f t="shared" si="7"/>
        <v>0</v>
      </c>
      <c r="L140" t="str">
        <f t="shared" si="8"/>
        <v>17936</v>
      </c>
      <c r="M140" s="481">
        <f t="shared" si="9"/>
        <v>0</v>
      </c>
    </row>
    <row r="141" spans="1:13">
      <c r="A141" t="s">
        <v>2022</v>
      </c>
      <c r="B141" t="s">
        <v>2023</v>
      </c>
      <c r="C141" s="48">
        <v>0</v>
      </c>
      <c r="D141" s="48">
        <v>0</v>
      </c>
      <c r="E141" s="48">
        <v>0</v>
      </c>
      <c r="F141" s="48">
        <v>0</v>
      </c>
      <c r="G141" s="48">
        <v>0</v>
      </c>
      <c r="H141" s="48">
        <v>0</v>
      </c>
      <c r="I141" s="481">
        <f t="shared" si="7"/>
        <v>0</v>
      </c>
      <c r="L141" t="str">
        <f t="shared" si="8"/>
        <v>17937</v>
      </c>
      <c r="M141" s="481">
        <f t="shared" si="9"/>
        <v>0</v>
      </c>
    </row>
    <row r="142" spans="1:13">
      <c r="A142" t="s">
        <v>2024</v>
      </c>
      <c r="B142" t="s">
        <v>2025</v>
      </c>
      <c r="C142" s="48">
        <v>0</v>
      </c>
      <c r="D142" s="48">
        <v>0</v>
      </c>
      <c r="E142" s="48">
        <v>0</v>
      </c>
      <c r="F142" s="48">
        <v>0</v>
      </c>
      <c r="G142" s="48">
        <v>0</v>
      </c>
      <c r="H142" s="48">
        <v>0</v>
      </c>
      <c r="I142" s="481">
        <f t="shared" si="7"/>
        <v>0</v>
      </c>
      <c r="L142" t="str">
        <f t="shared" si="8"/>
        <v>17938</v>
      </c>
      <c r="M142" s="481">
        <f t="shared" si="9"/>
        <v>0</v>
      </c>
    </row>
    <row r="143" spans="1:13">
      <c r="A143" t="s">
        <v>2026</v>
      </c>
      <c r="B143" t="s">
        <v>2027</v>
      </c>
      <c r="C143" s="48">
        <v>0</v>
      </c>
      <c r="D143" s="48">
        <v>0</v>
      </c>
      <c r="E143" s="48">
        <v>0</v>
      </c>
      <c r="F143" s="48">
        <v>0</v>
      </c>
      <c r="G143" s="48">
        <v>0</v>
      </c>
      <c r="H143" s="48">
        <v>0</v>
      </c>
      <c r="I143" s="481">
        <f t="shared" si="7"/>
        <v>0</v>
      </c>
      <c r="L143" t="str">
        <f t="shared" si="8"/>
        <v>17941</v>
      </c>
      <c r="M143" s="481">
        <f t="shared" si="9"/>
        <v>0</v>
      </c>
    </row>
    <row r="144" spans="1:13">
      <c r="A144" t="s">
        <v>2028</v>
      </c>
      <c r="B144" t="s">
        <v>2029</v>
      </c>
      <c r="C144" s="48">
        <v>0</v>
      </c>
      <c r="D144" s="48">
        <v>0</v>
      </c>
      <c r="E144" s="48">
        <v>0</v>
      </c>
      <c r="F144" s="48">
        <v>0</v>
      </c>
      <c r="G144" s="48">
        <v>0</v>
      </c>
      <c r="H144" s="48">
        <v>0</v>
      </c>
      <c r="I144" s="481">
        <f t="shared" si="7"/>
        <v>0</v>
      </c>
      <c r="L144" t="str">
        <f t="shared" si="8"/>
        <v>17942</v>
      </c>
      <c r="M144" s="481">
        <f t="shared" si="9"/>
        <v>0</v>
      </c>
    </row>
    <row r="145" spans="1:13">
      <c r="A145" t="s">
        <v>2030</v>
      </c>
      <c r="B145" t="s">
        <v>2031</v>
      </c>
      <c r="C145" s="48">
        <v>0</v>
      </c>
      <c r="D145" s="48">
        <v>0</v>
      </c>
      <c r="E145" s="48">
        <v>0</v>
      </c>
      <c r="F145" s="48">
        <v>0</v>
      </c>
      <c r="G145" s="48">
        <v>0</v>
      </c>
      <c r="H145" s="48">
        <v>0</v>
      </c>
      <c r="I145" s="481">
        <f t="shared" si="7"/>
        <v>0</v>
      </c>
      <c r="L145" t="str">
        <f t="shared" si="8"/>
        <v>17943</v>
      </c>
      <c r="M145" s="481">
        <f t="shared" si="9"/>
        <v>0</v>
      </c>
    </row>
    <row r="146" spans="1:13">
      <c r="A146" t="s">
        <v>2032</v>
      </c>
      <c r="B146" t="s">
        <v>2033</v>
      </c>
      <c r="C146" s="48">
        <v>0</v>
      </c>
      <c r="D146" s="48">
        <v>0</v>
      </c>
      <c r="E146" s="48">
        <v>0</v>
      </c>
      <c r="F146" s="48">
        <v>0</v>
      </c>
      <c r="G146" s="48">
        <v>0</v>
      </c>
      <c r="H146" s="48">
        <v>0</v>
      </c>
      <c r="I146" s="481">
        <f t="shared" si="7"/>
        <v>0</v>
      </c>
      <c r="L146" t="str">
        <f t="shared" si="8"/>
        <v>17946</v>
      </c>
      <c r="M146" s="481">
        <f t="shared" si="9"/>
        <v>0</v>
      </c>
    </row>
    <row r="147" spans="1:13">
      <c r="A147" t="s">
        <v>67</v>
      </c>
      <c r="B147" t="s">
        <v>1364</v>
      </c>
      <c r="C147" s="48">
        <v>31603.59</v>
      </c>
      <c r="D147" s="48">
        <v>19423.34</v>
      </c>
      <c r="E147" s="48">
        <v>14914.25</v>
      </c>
      <c r="F147" s="48">
        <v>2227.5700000000002</v>
      </c>
      <c r="G147" s="48">
        <v>79611.320000000007</v>
      </c>
      <c r="H147" s="48">
        <v>412555.65</v>
      </c>
      <c r="I147" s="481">
        <f t="shared" si="7"/>
        <v>560335.72</v>
      </c>
      <c r="L147" t="str">
        <f t="shared" si="8"/>
        <v>18100</v>
      </c>
      <c r="M147" s="481">
        <f t="shared" si="9"/>
        <v>560335.72</v>
      </c>
    </row>
    <row r="148" spans="1:13">
      <c r="A148" t="s">
        <v>49</v>
      </c>
      <c r="B148" t="s">
        <v>1346</v>
      </c>
      <c r="C148" s="48">
        <v>3560.78</v>
      </c>
      <c r="D148" s="48">
        <v>0</v>
      </c>
      <c r="E148" s="48">
        <v>1155.1400000000001</v>
      </c>
      <c r="F148" s="48">
        <v>1795.68</v>
      </c>
      <c r="G148" s="48">
        <v>51580.19</v>
      </c>
      <c r="H148" s="48">
        <v>339052.48</v>
      </c>
      <c r="I148" s="481">
        <f t="shared" si="7"/>
        <v>397144.26999999996</v>
      </c>
      <c r="L148" t="str">
        <f t="shared" si="8"/>
        <v>18303</v>
      </c>
      <c r="M148" s="481">
        <f t="shared" si="9"/>
        <v>397144.26999999996</v>
      </c>
    </row>
    <row r="149" spans="1:13">
      <c r="A149" t="s">
        <v>391</v>
      </c>
      <c r="B149" t="s">
        <v>1680</v>
      </c>
      <c r="C149" s="48">
        <v>21348.44</v>
      </c>
      <c r="D149" s="48">
        <v>1506</v>
      </c>
      <c r="E149" s="48">
        <v>7947.42</v>
      </c>
      <c r="F149" s="48">
        <v>2742.1</v>
      </c>
      <c r="G149" s="48">
        <v>83127.45</v>
      </c>
      <c r="H149" s="48">
        <v>511320.80000000005</v>
      </c>
      <c r="I149" s="481">
        <f t="shared" si="7"/>
        <v>627992.21000000008</v>
      </c>
      <c r="L149" t="str">
        <f t="shared" si="8"/>
        <v>18400</v>
      </c>
      <c r="M149" s="481">
        <f t="shared" si="9"/>
        <v>627992.21000000008</v>
      </c>
    </row>
    <row r="150" spans="1:13">
      <c r="A150" t="s">
        <v>93</v>
      </c>
      <c r="B150" t="s">
        <v>1390</v>
      </c>
      <c r="C150" s="48">
        <v>49282.239999999998</v>
      </c>
      <c r="D150" s="48">
        <v>8859.65</v>
      </c>
      <c r="E150" s="48">
        <v>14615.54</v>
      </c>
      <c r="F150" s="48">
        <v>5608.35</v>
      </c>
      <c r="G150" s="48">
        <v>199553.13</v>
      </c>
      <c r="H150" s="48">
        <v>1026499.26</v>
      </c>
      <c r="I150" s="481">
        <f t="shared" si="7"/>
        <v>1304418.17</v>
      </c>
      <c r="L150" t="str">
        <f t="shared" si="8"/>
        <v>18401</v>
      </c>
      <c r="M150" s="481">
        <f t="shared" si="9"/>
        <v>1304418.17</v>
      </c>
    </row>
    <row r="151" spans="1:13">
      <c r="A151" t="s">
        <v>555</v>
      </c>
      <c r="B151" t="s">
        <v>1844</v>
      </c>
      <c r="C151" s="48">
        <v>39521.89</v>
      </c>
      <c r="D151" s="48">
        <v>6811.48</v>
      </c>
      <c r="E151" s="48">
        <v>7810.4</v>
      </c>
      <c r="F151" s="48">
        <v>4592.6099999999997</v>
      </c>
      <c r="G151" s="48">
        <v>165707.23000000001</v>
      </c>
      <c r="H151" s="48">
        <v>852261.51</v>
      </c>
      <c r="I151" s="481">
        <f t="shared" si="7"/>
        <v>1076705.1200000001</v>
      </c>
      <c r="L151" t="str">
        <f t="shared" si="8"/>
        <v>18402</v>
      </c>
      <c r="M151" s="481">
        <f t="shared" si="9"/>
        <v>1076705.1200000001</v>
      </c>
    </row>
    <row r="152" spans="1:13">
      <c r="A152" t="s">
        <v>193</v>
      </c>
      <c r="B152" t="s">
        <v>2034</v>
      </c>
      <c r="C152" s="48">
        <v>0</v>
      </c>
      <c r="D152" s="48">
        <v>0</v>
      </c>
      <c r="E152" s="48">
        <v>0</v>
      </c>
      <c r="F152" s="48">
        <v>0</v>
      </c>
      <c r="G152" s="48">
        <v>0</v>
      </c>
      <c r="H152" s="48">
        <v>0</v>
      </c>
      <c r="I152" s="481">
        <f t="shared" si="7"/>
        <v>0</v>
      </c>
      <c r="L152" t="str">
        <f t="shared" si="8"/>
        <v>18801</v>
      </c>
      <c r="M152" s="481">
        <f t="shared" si="9"/>
        <v>0</v>
      </c>
    </row>
    <row r="153" spans="1:13">
      <c r="A153" t="s">
        <v>89</v>
      </c>
      <c r="B153" t="s">
        <v>1386</v>
      </c>
      <c r="C153" s="48">
        <v>2358.09</v>
      </c>
      <c r="D153" s="48">
        <v>0</v>
      </c>
      <c r="E153" s="48">
        <v>0</v>
      </c>
      <c r="F153" s="48">
        <v>240.16</v>
      </c>
      <c r="G153" s="48">
        <v>7418.33</v>
      </c>
      <c r="H153" s="48">
        <v>50296</v>
      </c>
      <c r="I153" s="481">
        <f t="shared" si="7"/>
        <v>60312.58</v>
      </c>
      <c r="L153" t="str">
        <f t="shared" si="8"/>
        <v>18901</v>
      </c>
      <c r="M153" s="481">
        <f t="shared" si="9"/>
        <v>60312.58</v>
      </c>
    </row>
    <row r="154" spans="1:13">
      <c r="A154" t="s">
        <v>597</v>
      </c>
      <c r="B154" t="s">
        <v>1886</v>
      </c>
      <c r="C154" s="48">
        <v>583</v>
      </c>
      <c r="D154" s="48">
        <v>389.83</v>
      </c>
      <c r="E154" s="48">
        <v>0</v>
      </c>
      <c r="F154" s="48">
        <v>0</v>
      </c>
      <c r="G154" s="48">
        <v>1074.79</v>
      </c>
      <c r="H154" s="48">
        <v>22160.809999999998</v>
      </c>
      <c r="I154" s="481">
        <f t="shared" si="7"/>
        <v>24208.429999999997</v>
      </c>
      <c r="L154" t="str">
        <f t="shared" si="8"/>
        <v>18902</v>
      </c>
      <c r="M154" s="481">
        <f t="shared" si="9"/>
        <v>24208.429999999997</v>
      </c>
    </row>
    <row r="155" spans="1:13">
      <c r="A155" t="s">
        <v>2035</v>
      </c>
      <c r="B155" t="s">
        <v>2036</v>
      </c>
      <c r="C155" s="48">
        <v>0</v>
      </c>
      <c r="D155" s="48">
        <v>0</v>
      </c>
      <c r="E155" s="48">
        <v>0</v>
      </c>
      <c r="F155" s="48">
        <v>0</v>
      </c>
      <c r="G155" s="48">
        <v>0</v>
      </c>
      <c r="H155" s="48">
        <v>0</v>
      </c>
      <c r="I155" s="481">
        <f t="shared" si="7"/>
        <v>0</v>
      </c>
      <c r="L155" t="str">
        <f t="shared" si="8"/>
        <v>18939</v>
      </c>
      <c r="M155" s="481">
        <f t="shared" si="9"/>
        <v>0</v>
      </c>
    </row>
    <row r="156" spans="1:13">
      <c r="A156" t="s">
        <v>145</v>
      </c>
      <c r="B156" t="s">
        <v>1442</v>
      </c>
      <c r="C156" s="48">
        <v>0</v>
      </c>
      <c r="D156" s="48">
        <v>0</v>
      </c>
      <c r="E156" s="48">
        <v>0</v>
      </c>
      <c r="F156" s="48">
        <v>0</v>
      </c>
      <c r="G156" s="48">
        <v>621.29999999999995</v>
      </c>
      <c r="H156" s="48">
        <v>4038.52</v>
      </c>
      <c r="I156" s="481">
        <f t="shared" si="7"/>
        <v>4659.82</v>
      </c>
      <c r="L156" t="str">
        <f t="shared" si="8"/>
        <v>19007</v>
      </c>
      <c r="M156" s="481">
        <f t="shared" si="9"/>
        <v>4659.82</v>
      </c>
    </row>
    <row r="157" spans="1:13">
      <c r="A157" t="s">
        <v>165</v>
      </c>
      <c r="B157" t="s">
        <v>1462</v>
      </c>
      <c r="C157" s="48">
        <v>644.20000000000005</v>
      </c>
      <c r="D157" s="48">
        <v>185.01</v>
      </c>
      <c r="E157" s="48">
        <v>0</v>
      </c>
      <c r="F157" s="48">
        <v>0</v>
      </c>
      <c r="G157" s="48">
        <v>1353.51</v>
      </c>
      <c r="H157" s="48">
        <v>20991.03</v>
      </c>
      <c r="I157" s="481">
        <f t="shared" si="7"/>
        <v>23173.75</v>
      </c>
      <c r="L157" t="str">
        <f t="shared" si="8"/>
        <v>19028</v>
      </c>
      <c r="M157" s="481">
        <f t="shared" si="9"/>
        <v>23173.75</v>
      </c>
    </row>
    <row r="158" spans="1:13">
      <c r="A158" t="s">
        <v>609</v>
      </c>
      <c r="B158" t="s">
        <v>1898</v>
      </c>
      <c r="C158" s="48">
        <v>1142.78</v>
      </c>
      <c r="D158" s="48">
        <v>0</v>
      </c>
      <c r="E158" s="48">
        <v>87.54</v>
      </c>
      <c r="F158" s="48">
        <v>0</v>
      </c>
      <c r="G158" s="48">
        <v>4168.4799999999996</v>
      </c>
      <c r="H158" s="48">
        <v>32584.030000000002</v>
      </c>
      <c r="I158" s="481">
        <f t="shared" si="7"/>
        <v>37982.83</v>
      </c>
      <c r="L158" t="str">
        <f t="shared" si="8"/>
        <v>19400</v>
      </c>
      <c r="M158" s="481">
        <f t="shared" si="9"/>
        <v>37982.83</v>
      </c>
    </row>
    <row r="159" spans="1:13">
      <c r="A159" t="s">
        <v>171</v>
      </c>
      <c r="B159" t="s">
        <v>1468</v>
      </c>
      <c r="C159" s="48">
        <v>12773.4</v>
      </c>
      <c r="D159" s="48">
        <v>3330.14</v>
      </c>
      <c r="E159" s="48">
        <v>5664.77</v>
      </c>
      <c r="F159" s="48">
        <v>1373.05</v>
      </c>
      <c r="G159" s="48">
        <v>44264.55</v>
      </c>
      <c r="H159" s="48">
        <v>252627.57</v>
      </c>
      <c r="I159" s="481">
        <f t="shared" si="7"/>
        <v>320033.48</v>
      </c>
      <c r="L159" t="str">
        <f t="shared" si="8"/>
        <v>19401</v>
      </c>
      <c r="M159" s="481">
        <f t="shared" si="9"/>
        <v>320033.48</v>
      </c>
    </row>
    <row r="160" spans="1:13">
      <c r="A160" t="s">
        <v>287</v>
      </c>
      <c r="B160" t="s">
        <v>1576</v>
      </c>
      <c r="C160" s="48">
        <v>2870</v>
      </c>
      <c r="D160" s="48">
        <v>1420.24</v>
      </c>
      <c r="E160" s="48">
        <v>945.36</v>
      </c>
      <c r="F160" s="48">
        <v>233.02</v>
      </c>
      <c r="G160" s="48">
        <v>6891.32</v>
      </c>
      <c r="H160" s="48">
        <v>48456.639999999992</v>
      </c>
      <c r="I160" s="481">
        <f t="shared" si="7"/>
        <v>60816.579999999987</v>
      </c>
      <c r="L160" t="str">
        <f t="shared" si="8"/>
        <v>19403</v>
      </c>
      <c r="M160" s="481">
        <f t="shared" si="9"/>
        <v>60816.579999999987</v>
      </c>
    </row>
    <row r="161" spans="1:13">
      <c r="A161" t="s">
        <v>111</v>
      </c>
      <c r="B161" t="s">
        <v>1408</v>
      </c>
      <c r="C161" s="48">
        <v>3187.59</v>
      </c>
      <c r="D161" s="48">
        <v>0</v>
      </c>
      <c r="E161" s="48">
        <v>472.12</v>
      </c>
      <c r="F161" s="48">
        <v>406.45</v>
      </c>
      <c r="G161" s="48">
        <v>14446.11</v>
      </c>
      <c r="H161" s="48">
        <v>74616.67</v>
      </c>
      <c r="I161" s="481">
        <f t="shared" si="7"/>
        <v>93128.94</v>
      </c>
      <c r="L161" t="str">
        <f t="shared" si="8"/>
        <v>19404</v>
      </c>
      <c r="M161" s="481">
        <f t="shared" si="9"/>
        <v>93128.94</v>
      </c>
    </row>
    <row r="162" spans="1:13">
      <c r="A162" t="s">
        <v>2037</v>
      </c>
      <c r="B162" t="s">
        <v>2038</v>
      </c>
      <c r="C162" s="48">
        <v>0</v>
      </c>
      <c r="D162" s="48">
        <v>0</v>
      </c>
      <c r="E162" s="48">
        <v>0</v>
      </c>
      <c r="F162" s="48">
        <v>0</v>
      </c>
      <c r="G162" s="48">
        <v>0</v>
      </c>
      <c r="H162" s="48">
        <v>0</v>
      </c>
      <c r="I162" s="481">
        <f t="shared" si="7"/>
        <v>0</v>
      </c>
      <c r="L162" t="str">
        <f t="shared" si="8"/>
        <v>19901</v>
      </c>
      <c r="M162" s="481">
        <f t="shared" si="9"/>
        <v>0</v>
      </c>
    </row>
    <row r="163" spans="1:13">
      <c r="A163" t="s">
        <v>685</v>
      </c>
      <c r="B163" t="s">
        <v>1974</v>
      </c>
      <c r="C163" s="48">
        <v>585.5</v>
      </c>
      <c r="D163" s="48">
        <v>299.39</v>
      </c>
      <c r="E163" s="48">
        <v>0</v>
      </c>
      <c r="F163" s="48">
        <v>0</v>
      </c>
      <c r="G163" s="48">
        <v>0</v>
      </c>
      <c r="H163" s="48">
        <v>20179.940000000002</v>
      </c>
      <c r="I163" s="481">
        <f t="shared" si="7"/>
        <v>21064.83</v>
      </c>
      <c r="L163" t="str">
        <f t="shared" si="8"/>
        <v>20094</v>
      </c>
      <c r="M163" s="481">
        <f t="shared" si="9"/>
        <v>21064.83</v>
      </c>
    </row>
    <row r="164" spans="1:13">
      <c r="A164" t="s">
        <v>61</v>
      </c>
      <c r="B164" t="s">
        <v>1358</v>
      </c>
      <c r="C164" s="48">
        <v>0</v>
      </c>
      <c r="D164" s="48">
        <v>0</v>
      </c>
      <c r="E164" s="48">
        <v>0</v>
      </c>
      <c r="F164" s="48">
        <v>41.3</v>
      </c>
      <c r="G164" s="48">
        <v>0</v>
      </c>
      <c r="H164" s="48">
        <v>19539.87</v>
      </c>
      <c r="I164" s="481">
        <f t="shared" si="7"/>
        <v>19581.169999999998</v>
      </c>
      <c r="L164" t="str">
        <f t="shared" si="8"/>
        <v>20203</v>
      </c>
      <c r="M164" s="481">
        <f t="shared" si="9"/>
        <v>19581.169999999998</v>
      </c>
    </row>
    <row r="165" spans="1:13">
      <c r="A165" t="s">
        <v>91</v>
      </c>
      <c r="B165" t="s">
        <v>1388</v>
      </c>
      <c r="C165" s="48">
        <v>352.01</v>
      </c>
      <c r="D165" s="48">
        <v>0</v>
      </c>
      <c r="E165" s="48">
        <v>0</v>
      </c>
      <c r="F165" s="48">
        <v>39.119999999999997</v>
      </c>
      <c r="G165" s="48">
        <v>0</v>
      </c>
      <c r="H165" s="48">
        <v>8935.6299999999992</v>
      </c>
      <c r="I165" s="481">
        <f t="shared" si="7"/>
        <v>9326.7599999999984</v>
      </c>
      <c r="L165" t="str">
        <f t="shared" si="8"/>
        <v>20215</v>
      </c>
      <c r="M165" s="481">
        <f t="shared" si="9"/>
        <v>9326.7599999999984</v>
      </c>
    </row>
    <row r="166" spans="1:13">
      <c r="A166" t="s">
        <v>621</v>
      </c>
      <c r="B166" t="s">
        <v>1910</v>
      </c>
      <c r="C166" s="48">
        <v>613.53</v>
      </c>
      <c r="D166" s="48">
        <v>0</v>
      </c>
      <c r="E166" s="48">
        <v>371.65</v>
      </c>
      <c r="F166" s="48">
        <v>87.01</v>
      </c>
      <c r="G166" s="48">
        <v>0</v>
      </c>
      <c r="H166" s="48">
        <v>25237.1</v>
      </c>
      <c r="I166" s="481">
        <f t="shared" si="7"/>
        <v>26309.289999999997</v>
      </c>
      <c r="L166" t="str">
        <f t="shared" si="8"/>
        <v>20400</v>
      </c>
      <c r="M166" s="481">
        <f t="shared" si="9"/>
        <v>26309.289999999997</v>
      </c>
    </row>
    <row r="167" spans="1:13">
      <c r="A167" t="s">
        <v>225</v>
      </c>
      <c r="B167" t="s">
        <v>1514</v>
      </c>
      <c r="C167" s="48">
        <v>325.17</v>
      </c>
      <c r="D167" s="48">
        <v>75.16</v>
      </c>
      <c r="E167" s="48">
        <v>0</v>
      </c>
      <c r="F167" s="48">
        <v>0</v>
      </c>
      <c r="G167" s="48">
        <v>0</v>
      </c>
      <c r="H167" s="48">
        <v>19468.669999999998</v>
      </c>
      <c r="I167" s="481">
        <f t="shared" si="7"/>
        <v>19869</v>
      </c>
      <c r="L167" t="str">
        <f t="shared" si="8"/>
        <v>20401</v>
      </c>
      <c r="M167" s="481">
        <f t="shared" si="9"/>
        <v>19869</v>
      </c>
    </row>
    <row r="168" spans="1:13">
      <c r="A168" t="s">
        <v>289</v>
      </c>
      <c r="B168" t="s">
        <v>1578</v>
      </c>
      <c r="C168" s="48">
        <v>452.47</v>
      </c>
      <c r="D168" s="48">
        <v>0</v>
      </c>
      <c r="E168" s="48">
        <v>0</v>
      </c>
      <c r="F168" s="48">
        <v>0</v>
      </c>
      <c r="G168" s="48">
        <v>0</v>
      </c>
      <c r="H168" s="48">
        <v>19858.259999999998</v>
      </c>
      <c r="I168" s="481">
        <f t="shared" si="7"/>
        <v>20310.73</v>
      </c>
      <c r="L168" t="str">
        <f t="shared" si="8"/>
        <v>20402</v>
      </c>
      <c r="M168" s="481">
        <f t="shared" si="9"/>
        <v>20310.73</v>
      </c>
    </row>
    <row r="169" spans="1:13">
      <c r="A169" t="s">
        <v>517</v>
      </c>
      <c r="B169" t="s">
        <v>1804</v>
      </c>
      <c r="C169" s="48">
        <v>0</v>
      </c>
      <c r="D169" s="48">
        <v>0</v>
      </c>
      <c r="E169" s="48">
        <v>0</v>
      </c>
      <c r="F169" s="48">
        <v>0</v>
      </c>
      <c r="G169" s="48">
        <v>0</v>
      </c>
      <c r="H169" s="48">
        <v>4011.5</v>
      </c>
      <c r="I169" s="481">
        <f t="shared" si="7"/>
        <v>4011.5</v>
      </c>
      <c r="L169" t="str">
        <f t="shared" si="8"/>
        <v>20403</v>
      </c>
      <c r="M169" s="481">
        <f t="shared" si="9"/>
        <v>4011.5</v>
      </c>
    </row>
    <row r="170" spans="1:13">
      <c r="A170" t="s">
        <v>227</v>
      </c>
      <c r="B170" t="s">
        <v>1516</v>
      </c>
      <c r="C170" s="48">
        <v>12814.7</v>
      </c>
      <c r="D170" s="48">
        <v>3663.45</v>
      </c>
      <c r="E170" s="48">
        <v>2867.05</v>
      </c>
      <c r="F170" s="48">
        <v>1246.22</v>
      </c>
      <c r="G170" s="48">
        <v>0</v>
      </c>
      <c r="H170" s="48">
        <v>71182.12000000001</v>
      </c>
      <c r="I170" s="481">
        <f t="shared" si="7"/>
        <v>91773.540000000008</v>
      </c>
      <c r="L170" t="str">
        <f t="shared" si="8"/>
        <v>20404</v>
      </c>
      <c r="M170" s="481">
        <f t="shared" si="9"/>
        <v>91773.540000000008</v>
      </c>
    </row>
    <row r="171" spans="1:13">
      <c r="A171" t="s">
        <v>671</v>
      </c>
      <c r="B171" t="s">
        <v>1960</v>
      </c>
      <c r="C171" s="48">
        <v>4986.42</v>
      </c>
      <c r="D171" s="48">
        <v>0</v>
      </c>
      <c r="E171" s="48">
        <v>4150.49</v>
      </c>
      <c r="F171" s="48">
        <v>478.55</v>
      </c>
      <c r="G171" s="48">
        <v>0</v>
      </c>
      <c r="H171" s="48">
        <v>89214.14</v>
      </c>
      <c r="I171" s="481">
        <f t="shared" si="7"/>
        <v>98829.6</v>
      </c>
      <c r="L171" t="str">
        <f t="shared" si="8"/>
        <v>20405</v>
      </c>
      <c r="M171" s="481">
        <f t="shared" si="9"/>
        <v>98829.6</v>
      </c>
    </row>
    <row r="172" spans="1:13">
      <c r="A172" t="s">
        <v>321</v>
      </c>
      <c r="B172" t="s">
        <v>1610</v>
      </c>
      <c r="C172" s="48">
        <v>1523.48</v>
      </c>
      <c r="D172" s="48">
        <v>881.95</v>
      </c>
      <c r="E172" s="48">
        <v>0</v>
      </c>
      <c r="F172" s="48">
        <v>82.59</v>
      </c>
      <c r="G172" s="48">
        <v>0</v>
      </c>
      <c r="H172" s="48">
        <v>25670.69</v>
      </c>
      <c r="I172" s="481">
        <f t="shared" si="7"/>
        <v>28158.71</v>
      </c>
      <c r="L172" t="str">
        <f t="shared" si="8"/>
        <v>20406</v>
      </c>
      <c r="M172" s="481">
        <f t="shared" si="9"/>
        <v>28158.71</v>
      </c>
    </row>
    <row r="173" spans="1:13">
      <c r="A173" t="s">
        <v>375</v>
      </c>
      <c r="B173" t="s">
        <v>1664</v>
      </c>
      <c r="C173" s="48">
        <v>3455.5</v>
      </c>
      <c r="D173" s="48">
        <v>0</v>
      </c>
      <c r="E173" s="48">
        <v>628.27</v>
      </c>
      <c r="F173" s="48">
        <v>343.64</v>
      </c>
      <c r="G173" s="48">
        <v>9082.1299999999992</v>
      </c>
      <c r="H173" s="48">
        <v>65714.97</v>
      </c>
      <c r="I173" s="481">
        <f t="shared" si="7"/>
        <v>79224.509999999995</v>
      </c>
      <c r="L173" t="str">
        <f t="shared" si="8"/>
        <v>21014</v>
      </c>
      <c r="M173" s="481">
        <f t="shared" si="9"/>
        <v>79224.509999999995</v>
      </c>
    </row>
    <row r="174" spans="1:13">
      <c r="A174" t="s">
        <v>2039</v>
      </c>
      <c r="B174" t="s">
        <v>2040</v>
      </c>
      <c r="C174" s="48">
        <v>0</v>
      </c>
      <c r="D174" s="48">
        <v>0</v>
      </c>
      <c r="E174" s="48">
        <v>0</v>
      </c>
      <c r="F174" s="48">
        <v>0</v>
      </c>
      <c r="G174" s="48">
        <v>0</v>
      </c>
      <c r="H174" s="48">
        <v>0</v>
      </c>
      <c r="I174" s="481">
        <f t="shared" si="7"/>
        <v>0</v>
      </c>
      <c r="L174" t="str">
        <f t="shared" si="8"/>
        <v>21018</v>
      </c>
      <c r="M174" s="481">
        <f t="shared" si="9"/>
        <v>0</v>
      </c>
    </row>
    <row r="175" spans="1:13">
      <c r="A175" t="s">
        <v>203</v>
      </c>
      <c r="B175" t="s">
        <v>1492</v>
      </c>
      <c r="C175" s="48">
        <v>268.42</v>
      </c>
      <c r="D175" s="48">
        <v>241.88</v>
      </c>
      <c r="E175" s="48">
        <v>48.67</v>
      </c>
      <c r="F175" s="48">
        <v>23.6</v>
      </c>
      <c r="G175" s="48">
        <v>549.07000000000005</v>
      </c>
      <c r="H175" s="48">
        <v>5934.67</v>
      </c>
      <c r="I175" s="481">
        <f t="shared" si="7"/>
        <v>7066.31</v>
      </c>
      <c r="L175" t="str">
        <f t="shared" si="8"/>
        <v>21036</v>
      </c>
      <c r="M175" s="481">
        <f t="shared" si="9"/>
        <v>7066.31</v>
      </c>
    </row>
    <row r="176" spans="1:13">
      <c r="A176" t="s">
        <v>359</v>
      </c>
      <c r="B176" t="s">
        <v>1648</v>
      </c>
      <c r="C176" s="48">
        <v>3368.49</v>
      </c>
      <c r="D176" s="48">
        <v>2583.88</v>
      </c>
      <c r="E176" s="48">
        <v>1412.88</v>
      </c>
      <c r="F176" s="48">
        <v>262.51</v>
      </c>
      <c r="G176" s="48">
        <v>8460.67</v>
      </c>
      <c r="H176" s="48">
        <v>52826.53</v>
      </c>
      <c r="I176" s="481">
        <f t="shared" si="7"/>
        <v>68914.959999999992</v>
      </c>
      <c r="L176" t="str">
        <f t="shared" si="8"/>
        <v>21206</v>
      </c>
      <c r="M176" s="481">
        <f t="shared" si="9"/>
        <v>68914.959999999992</v>
      </c>
    </row>
    <row r="177" spans="1:13">
      <c r="A177" t="s">
        <v>355</v>
      </c>
      <c r="B177" t="s">
        <v>1644</v>
      </c>
      <c r="C177" s="48">
        <v>2281.54</v>
      </c>
      <c r="D177" s="48">
        <v>1787.48</v>
      </c>
      <c r="E177" s="48">
        <v>0</v>
      </c>
      <c r="F177" s="48">
        <v>169.6</v>
      </c>
      <c r="G177" s="48">
        <v>5657.4</v>
      </c>
      <c r="H177" s="48">
        <v>39548.74</v>
      </c>
      <c r="I177" s="481">
        <f t="shared" si="7"/>
        <v>49444.759999999995</v>
      </c>
      <c r="L177" t="str">
        <f t="shared" si="8"/>
        <v>21214</v>
      </c>
      <c r="M177" s="481">
        <f t="shared" si="9"/>
        <v>49444.759999999995</v>
      </c>
    </row>
    <row r="178" spans="1:13">
      <c r="A178" t="s">
        <v>35</v>
      </c>
      <c r="B178" t="s">
        <v>1334</v>
      </c>
      <c r="C178" s="48">
        <v>1380.43</v>
      </c>
      <c r="D178" s="48">
        <v>0</v>
      </c>
      <c r="E178" s="48">
        <v>0</v>
      </c>
      <c r="F178" s="48">
        <v>276.08999999999997</v>
      </c>
      <c r="G178" s="48">
        <v>7186.58</v>
      </c>
      <c r="H178" s="48">
        <v>54652.759999999995</v>
      </c>
      <c r="I178" s="481">
        <f t="shared" si="7"/>
        <v>63495.859999999993</v>
      </c>
      <c r="L178" t="str">
        <f t="shared" si="8"/>
        <v>21226</v>
      </c>
      <c r="M178" s="481">
        <f t="shared" si="9"/>
        <v>63495.859999999993</v>
      </c>
    </row>
    <row r="179" spans="1:13">
      <c r="A179" t="s">
        <v>681</v>
      </c>
      <c r="B179" t="s">
        <v>1970</v>
      </c>
      <c r="C179" s="48">
        <v>5630.65</v>
      </c>
      <c r="D179" s="48">
        <v>3477.98</v>
      </c>
      <c r="E179" s="48">
        <v>1012.41</v>
      </c>
      <c r="F179" s="48">
        <v>330.95</v>
      </c>
      <c r="G179" s="48">
        <v>12554.35</v>
      </c>
      <c r="H179" s="48">
        <v>63942.42</v>
      </c>
      <c r="I179" s="481">
        <f t="shared" si="7"/>
        <v>86948.76</v>
      </c>
      <c r="L179" t="str">
        <f t="shared" si="8"/>
        <v>21232</v>
      </c>
      <c r="M179" s="481">
        <f t="shared" si="9"/>
        <v>86948.76</v>
      </c>
    </row>
    <row r="180" spans="1:13">
      <c r="A180" t="s">
        <v>65</v>
      </c>
      <c r="B180" t="s">
        <v>1362</v>
      </c>
      <c r="C180" s="48">
        <v>281.69</v>
      </c>
      <c r="D180" s="48">
        <v>0</v>
      </c>
      <c r="E180" s="48">
        <v>0</v>
      </c>
      <c r="F180" s="48">
        <v>137.16</v>
      </c>
      <c r="G180" s="48">
        <v>3403.74</v>
      </c>
      <c r="H180" s="48">
        <v>10214.599999999999</v>
      </c>
      <c r="I180" s="481">
        <f t="shared" si="7"/>
        <v>14037.189999999999</v>
      </c>
      <c r="L180" t="str">
        <f t="shared" si="8"/>
        <v>21234</v>
      </c>
      <c r="M180" s="481">
        <f t="shared" si="9"/>
        <v>14037.189999999999</v>
      </c>
    </row>
    <row r="181" spans="1:13">
      <c r="A181" t="s">
        <v>611</v>
      </c>
      <c r="B181" t="s">
        <v>1900</v>
      </c>
      <c r="C181" s="48">
        <v>3641.95</v>
      </c>
      <c r="D181" s="48">
        <v>988.33</v>
      </c>
      <c r="E181" s="48">
        <v>166.98</v>
      </c>
      <c r="F181" s="48">
        <v>368.56</v>
      </c>
      <c r="G181" s="48">
        <v>12869.35</v>
      </c>
      <c r="H181" s="48">
        <v>68495.960000000006</v>
      </c>
      <c r="I181" s="481">
        <f t="shared" si="7"/>
        <v>86531.13</v>
      </c>
      <c r="L181" t="str">
        <f t="shared" si="8"/>
        <v>21237</v>
      </c>
      <c r="M181" s="481">
        <f t="shared" si="9"/>
        <v>86531.13</v>
      </c>
    </row>
    <row r="182" spans="1:13">
      <c r="A182" t="s">
        <v>421</v>
      </c>
      <c r="B182" t="s">
        <v>1710</v>
      </c>
      <c r="C182" s="48">
        <v>4626.51</v>
      </c>
      <c r="D182" s="48">
        <v>3614.78</v>
      </c>
      <c r="E182" s="48">
        <v>544.21</v>
      </c>
      <c r="F182" s="48">
        <v>353.96</v>
      </c>
      <c r="G182" s="48">
        <v>12659.84</v>
      </c>
      <c r="H182" s="48">
        <v>68909.440000000002</v>
      </c>
      <c r="I182" s="481">
        <f t="shared" si="7"/>
        <v>90708.74</v>
      </c>
      <c r="L182" t="str">
        <f t="shared" si="8"/>
        <v>21300</v>
      </c>
      <c r="M182" s="481">
        <f t="shared" si="9"/>
        <v>90708.74</v>
      </c>
    </row>
    <row r="183" spans="1:13">
      <c r="A183" t="s">
        <v>451</v>
      </c>
      <c r="B183" t="s">
        <v>1740</v>
      </c>
      <c r="C183" s="48">
        <v>1526.15</v>
      </c>
      <c r="D183" s="48">
        <v>1184.1099999999999</v>
      </c>
      <c r="E183" s="48">
        <v>0</v>
      </c>
      <c r="F183" s="48">
        <v>111.97</v>
      </c>
      <c r="G183" s="48">
        <v>4421.6400000000003</v>
      </c>
      <c r="H183" s="48">
        <v>30774.39</v>
      </c>
      <c r="I183" s="481">
        <f t="shared" si="7"/>
        <v>38018.26</v>
      </c>
      <c r="L183" t="str">
        <f t="shared" si="8"/>
        <v>21301</v>
      </c>
      <c r="M183" s="481">
        <f t="shared" si="9"/>
        <v>38018.26</v>
      </c>
    </row>
    <row r="184" spans="1:13">
      <c r="A184" t="s">
        <v>99</v>
      </c>
      <c r="B184" t="s">
        <v>1396</v>
      </c>
      <c r="C184" s="48">
        <v>13885.59</v>
      </c>
      <c r="D184" s="48">
        <v>3227.14</v>
      </c>
      <c r="E184" s="48">
        <v>3713.35</v>
      </c>
      <c r="F184" s="48">
        <v>1294.54</v>
      </c>
      <c r="G184" s="48">
        <v>40373.46</v>
      </c>
      <c r="H184" s="48">
        <v>243125.96</v>
      </c>
      <c r="I184" s="481">
        <f t="shared" si="7"/>
        <v>305620.03999999998</v>
      </c>
      <c r="L184" t="str">
        <f t="shared" si="8"/>
        <v>21302</v>
      </c>
      <c r="M184" s="481">
        <f t="shared" si="9"/>
        <v>305620.03999999998</v>
      </c>
    </row>
    <row r="185" spans="1:13">
      <c r="A185" t="s">
        <v>667</v>
      </c>
      <c r="B185" t="s">
        <v>1956</v>
      </c>
      <c r="C185" s="48">
        <v>2328.7399999999998</v>
      </c>
      <c r="D185" s="48">
        <v>1533.81</v>
      </c>
      <c r="E185" s="48">
        <v>0</v>
      </c>
      <c r="F185" s="48">
        <v>143.06</v>
      </c>
      <c r="G185" s="48">
        <v>4733.6400000000003</v>
      </c>
      <c r="H185" s="48">
        <v>34428.17</v>
      </c>
      <c r="I185" s="481">
        <f t="shared" si="7"/>
        <v>43167.42</v>
      </c>
      <c r="L185" t="str">
        <f t="shared" si="8"/>
        <v>21303</v>
      </c>
      <c r="M185" s="481">
        <f t="shared" si="9"/>
        <v>43167.42</v>
      </c>
    </row>
    <row r="186" spans="1:13">
      <c r="A186" t="s">
        <v>97</v>
      </c>
      <c r="B186" t="s">
        <v>1394</v>
      </c>
      <c r="C186" s="48">
        <v>24476.09</v>
      </c>
      <c r="D186" s="48">
        <v>14706.89</v>
      </c>
      <c r="E186" s="48">
        <v>11777.9</v>
      </c>
      <c r="F186" s="48">
        <v>1418.78</v>
      </c>
      <c r="G186" s="48">
        <v>50827.89</v>
      </c>
      <c r="H186" s="48">
        <v>271578.99</v>
      </c>
      <c r="I186" s="481">
        <f t="shared" si="7"/>
        <v>374786.54</v>
      </c>
      <c r="L186" t="str">
        <f t="shared" si="8"/>
        <v>21401</v>
      </c>
      <c r="M186" s="481">
        <f t="shared" si="9"/>
        <v>374786.54</v>
      </c>
    </row>
    <row r="187" spans="1:13">
      <c r="A187" t="s">
        <v>2041</v>
      </c>
      <c r="B187" t="s">
        <v>2042</v>
      </c>
      <c r="C187" s="48">
        <v>0</v>
      </c>
      <c r="D187" s="48">
        <v>0</v>
      </c>
      <c r="E187" s="48">
        <v>0</v>
      </c>
      <c r="F187" s="48">
        <v>0</v>
      </c>
      <c r="G187" s="48">
        <v>0</v>
      </c>
      <c r="H187" s="48">
        <v>0</v>
      </c>
      <c r="I187" s="481">
        <f t="shared" si="7"/>
        <v>0</v>
      </c>
      <c r="L187" t="str">
        <f t="shared" si="8"/>
        <v>21926</v>
      </c>
      <c r="M187" s="481">
        <f t="shared" si="9"/>
        <v>0</v>
      </c>
    </row>
    <row r="188" spans="1:13">
      <c r="A188" t="s">
        <v>565</v>
      </c>
      <c r="B188" t="s">
        <v>1854</v>
      </c>
      <c r="C188" s="48">
        <v>412.95</v>
      </c>
      <c r="D188" s="48">
        <v>153.38999999999999</v>
      </c>
      <c r="E188" s="48">
        <v>0</v>
      </c>
      <c r="F188" s="48">
        <v>26.55</v>
      </c>
      <c r="G188" s="48">
        <v>1002.16</v>
      </c>
      <c r="H188" s="48">
        <v>17436.79</v>
      </c>
      <c r="I188" s="481">
        <f t="shared" si="7"/>
        <v>19031.84</v>
      </c>
      <c r="L188" t="str">
        <f t="shared" si="8"/>
        <v>22008</v>
      </c>
      <c r="M188" s="481">
        <f t="shared" si="9"/>
        <v>19031.84</v>
      </c>
    </row>
    <row r="189" spans="1:13">
      <c r="A189" t="s">
        <v>497</v>
      </c>
      <c r="B189" t="s">
        <v>1786</v>
      </c>
      <c r="C189" s="48">
        <v>3172.33</v>
      </c>
      <c r="D189" s="48">
        <v>0</v>
      </c>
      <c r="E189" s="48">
        <v>150.43</v>
      </c>
      <c r="F189" s="48">
        <v>302.33999999999997</v>
      </c>
      <c r="G189" s="48">
        <v>7564.95</v>
      </c>
      <c r="H189" s="48">
        <v>55087.42</v>
      </c>
      <c r="I189" s="481">
        <f t="shared" si="7"/>
        <v>66277.47</v>
      </c>
      <c r="L189" t="str">
        <f t="shared" si="8"/>
        <v>22009</v>
      </c>
      <c r="M189" s="481">
        <f t="shared" si="9"/>
        <v>66277.47</v>
      </c>
    </row>
    <row r="190" spans="1:13">
      <c r="A190" t="s">
        <v>37</v>
      </c>
      <c r="B190" t="s">
        <v>1336</v>
      </c>
      <c r="C190" s="48">
        <v>431.74</v>
      </c>
      <c r="D190" s="48">
        <v>0</v>
      </c>
      <c r="E190" s="48">
        <v>0</v>
      </c>
      <c r="F190" s="48">
        <v>43.62</v>
      </c>
      <c r="G190" s="48">
        <v>1254.0999999999999</v>
      </c>
      <c r="H190" s="48">
        <v>20576.02</v>
      </c>
      <c r="I190" s="481">
        <f t="shared" si="7"/>
        <v>22305.48</v>
      </c>
      <c r="L190" t="str">
        <f t="shared" si="8"/>
        <v>22017</v>
      </c>
      <c r="M190" s="481">
        <f t="shared" si="9"/>
        <v>22305.48</v>
      </c>
    </row>
    <row r="191" spans="1:13">
      <c r="A191" t="s">
        <v>139</v>
      </c>
      <c r="B191" t="s">
        <v>1436</v>
      </c>
      <c r="C191" s="48">
        <v>463.32</v>
      </c>
      <c r="D191" s="48">
        <v>198.57</v>
      </c>
      <c r="E191" s="48">
        <v>0</v>
      </c>
      <c r="F191" s="48">
        <v>37.6</v>
      </c>
      <c r="G191" s="48">
        <v>1241.0999999999999</v>
      </c>
      <c r="H191" s="48">
        <v>18612.900000000001</v>
      </c>
      <c r="I191" s="481">
        <f t="shared" si="7"/>
        <v>20553.490000000002</v>
      </c>
      <c r="L191" t="str">
        <f t="shared" si="8"/>
        <v>22073</v>
      </c>
      <c r="M191" s="481">
        <f t="shared" si="9"/>
        <v>20553.490000000002</v>
      </c>
    </row>
    <row r="192" spans="1:13">
      <c r="A192" t="s">
        <v>413</v>
      </c>
      <c r="B192" t="s">
        <v>1702</v>
      </c>
      <c r="C192" s="48">
        <v>1129.6099999999999</v>
      </c>
      <c r="D192" s="48">
        <v>0</v>
      </c>
      <c r="E192" s="48">
        <v>0</v>
      </c>
      <c r="F192" s="48">
        <v>94.91</v>
      </c>
      <c r="G192" s="48">
        <v>3197.19</v>
      </c>
      <c r="H192" s="48">
        <v>27482.449999999997</v>
      </c>
      <c r="I192" s="481">
        <f t="shared" si="7"/>
        <v>31904.159999999996</v>
      </c>
      <c r="L192" t="str">
        <f t="shared" si="8"/>
        <v>22105</v>
      </c>
      <c r="M192" s="481">
        <f t="shared" si="9"/>
        <v>31904.159999999996</v>
      </c>
    </row>
    <row r="193" spans="1:13">
      <c r="A193" t="s">
        <v>675</v>
      </c>
      <c r="B193" t="s">
        <v>1964</v>
      </c>
      <c r="C193" s="48">
        <v>902.58</v>
      </c>
      <c r="D193" s="48">
        <v>0</v>
      </c>
      <c r="E193" s="48">
        <v>0</v>
      </c>
      <c r="F193" s="48">
        <v>0</v>
      </c>
      <c r="G193" s="48">
        <v>2958.96</v>
      </c>
      <c r="H193" s="48">
        <v>23740.14</v>
      </c>
      <c r="I193" s="481">
        <f t="shared" si="7"/>
        <v>27601.68</v>
      </c>
      <c r="L193" t="str">
        <f t="shared" si="8"/>
        <v>22200</v>
      </c>
      <c r="M193" s="481">
        <f t="shared" si="9"/>
        <v>27601.68</v>
      </c>
    </row>
    <row r="194" spans="1:13">
      <c r="A194" t="s">
        <v>245</v>
      </c>
      <c r="B194" t="s">
        <v>1534</v>
      </c>
      <c r="C194" s="48">
        <v>665.67</v>
      </c>
      <c r="D194" s="48">
        <v>587.45000000000005</v>
      </c>
      <c r="E194" s="48">
        <v>0</v>
      </c>
      <c r="F194" s="48">
        <v>0</v>
      </c>
      <c r="G194" s="48">
        <v>1943.96</v>
      </c>
      <c r="H194" s="48">
        <v>21864.489999999998</v>
      </c>
      <c r="I194" s="481">
        <f t="shared" si="7"/>
        <v>25061.57</v>
      </c>
      <c r="L194" t="str">
        <f t="shared" si="8"/>
        <v>22204</v>
      </c>
      <c r="M194" s="481">
        <f t="shared" si="9"/>
        <v>25061.57</v>
      </c>
    </row>
    <row r="195" spans="1:13">
      <c r="A195" t="s">
        <v>149</v>
      </c>
      <c r="B195" t="s">
        <v>1446</v>
      </c>
      <c r="C195" s="48">
        <v>2921.61</v>
      </c>
      <c r="D195" s="48">
        <v>0</v>
      </c>
      <c r="E195" s="48">
        <v>0</v>
      </c>
      <c r="F195" s="48">
        <v>0</v>
      </c>
      <c r="G195" s="48">
        <v>8042.39</v>
      </c>
      <c r="H195" s="48">
        <v>54765.919999999998</v>
      </c>
      <c r="I195" s="481">
        <f t="shared" si="7"/>
        <v>65729.919999999998</v>
      </c>
      <c r="L195" t="str">
        <f t="shared" si="8"/>
        <v>22207</v>
      </c>
      <c r="M195" s="481">
        <f t="shared" si="9"/>
        <v>65729.919999999998</v>
      </c>
    </row>
    <row r="196" spans="1:13">
      <c r="A196" t="s">
        <v>559</v>
      </c>
      <c r="B196" t="s">
        <v>1848</v>
      </c>
      <c r="C196" s="48">
        <v>908.49</v>
      </c>
      <c r="D196" s="48">
        <v>0</v>
      </c>
      <c r="E196" s="48">
        <v>206.48</v>
      </c>
      <c r="F196" s="48">
        <v>89.97</v>
      </c>
      <c r="G196" s="48">
        <v>4054.17</v>
      </c>
      <c r="H196" s="48">
        <v>18556.16</v>
      </c>
      <c r="I196" s="481">
        <f t="shared" si="7"/>
        <v>23815.27</v>
      </c>
      <c r="L196" t="str">
        <f t="shared" si="8"/>
        <v>23042</v>
      </c>
      <c r="M196" s="481">
        <f t="shared" si="9"/>
        <v>23815.27</v>
      </c>
    </row>
    <row r="197" spans="1:13">
      <c r="A197" t="s">
        <v>237</v>
      </c>
      <c r="B197" t="s">
        <v>1526</v>
      </c>
      <c r="C197" s="48">
        <v>1128.7</v>
      </c>
      <c r="D197" s="48">
        <v>0</v>
      </c>
      <c r="E197" s="48">
        <v>0</v>
      </c>
      <c r="F197" s="48">
        <v>98.49</v>
      </c>
      <c r="G197" s="48">
        <v>3720.83</v>
      </c>
      <c r="H197" s="48">
        <v>18962.919999999998</v>
      </c>
      <c r="I197" s="481">
        <f t="shared" ref="I197:I260" si="10">SUM(C197:H197)</f>
        <v>23910.94</v>
      </c>
      <c r="L197" t="str">
        <f t="shared" ref="L197:L260" si="11">TEXT(A197, "00000")</f>
        <v>23054</v>
      </c>
      <c r="M197" s="481">
        <f t="shared" ref="M197:M260" si="12">I197</f>
        <v>23910.94</v>
      </c>
    </row>
    <row r="198" spans="1:13">
      <c r="A198" t="s">
        <v>539</v>
      </c>
      <c r="B198" t="s">
        <v>1828</v>
      </c>
      <c r="C198" s="48">
        <v>27425.72</v>
      </c>
      <c r="D198" s="48">
        <v>18795.09</v>
      </c>
      <c r="E198" s="48">
        <v>23866.99</v>
      </c>
      <c r="F198" s="48">
        <v>1874.5</v>
      </c>
      <c r="G198" s="48">
        <v>66979.08</v>
      </c>
      <c r="H198" s="48">
        <v>346476.16999999993</v>
      </c>
      <c r="I198" s="481">
        <f t="shared" si="10"/>
        <v>485417.54999999993</v>
      </c>
      <c r="L198" t="str">
        <f t="shared" si="11"/>
        <v>23309</v>
      </c>
      <c r="M198" s="481">
        <f t="shared" si="12"/>
        <v>485417.54999999993</v>
      </c>
    </row>
    <row r="199" spans="1:13">
      <c r="A199" t="s">
        <v>331</v>
      </c>
      <c r="B199" t="s">
        <v>1620</v>
      </c>
      <c r="C199" s="48">
        <v>2598.62</v>
      </c>
      <c r="D199" s="48">
        <v>743.31</v>
      </c>
      <c r="E199" s="48">
        <v>328.89</v>
      </c>
      <c r="F199" s="48">
        <v>371.65</v>
      </c>
      <c r="G199" s="48">
        <v>11171.14</v>
      </c>
      <c r="H199" s="48">
        <v>24902.31</v>
      </c>
      <c r="I199" s="481">
        <f t="shared" si="10"/>
        <v>40115.919999999998</v>
      </c>
      <c r="L199" t="str">
        <f t="shared" si="11"/>
        <v>23311</v>
      </c>
      <c r="M199" s="481">
        <f t="shared" si="12"/>
        <v>40115.919999999998</v>
      </c>
    </row>
    <row r="200" spans="1:13">
      <c r="A200" t="s">
        <v>457</v>
      </c>
      <c r="B200" t="s">
        <v>1746</v>
      </c>
      <c r="C200" s="48">
        <v>3991.12</v>
      </c>
      <c r="D200" s="48">
        <v>3332.97</v>
      </c>
      <c r="E200" s="48">
        <v>1108.3800000000001</v>
      </c>
      <c r="F200" s="48">
        <v>331.42</v>
      </c>
      <c r="G200" s="48">
        <v>13185.37</v>
      </c>
      <c r="H200" s="48">
        <v>68646.399999999994</v>
      </c>
      <c r="I200" s="481">
        <f t="shared" si="10"/>
        <v>90595.66</v>
      </c>
      <c r="L200" t="str">
        <f t="shared" si="11"/>
        <v>23402</v>
      </c>
      <c r="M200" s="481">
        <f t="shared" si="12"/>
        <v>90595.66</v>
      </c>
    </row>
    <row r="201" spans="1:13">
      <c r="A201" t="s">
        <v>393</v>
      </c>
      <c r="B201" t="s">
        <v>1682</v>
      </c>
      <c r="C201" s="48">
        <v>13554.64</v>
      </c>
      <c r="D201" s="48">
        <v>7350.49</v>
      </c>
      <c r="E201" s="48">
        <v>9532.52</v>
      </c>
      <c r="F201" s="48">
        <v>1078.6300000000001</v>
      </c>
      <c r="G201" s="48">
        <v>37799.199999999997</v>
      </c>
      <c r="H201" s="48">
        <v>196197.12000000002</v>
      </c>
      <c r="I201" s="481">
        <f t="shared" si="10"/>
        <v>265512.60000000003</v>
      </c>
      <c r="L201" t="str">
        <f t="shared" si="11"/>
        <v>23403</v>
      </c>
      <c r="M201" s="481">
        <f t="shared" si="12"/>
        <v>265512.60000000003</v>
      </c>
    </row>
    <row r="202" spans="1:13">
      <c r="A202" t="s">
        <v>253</v>
      </c>
      <c r="B202" t="s">
        <v>1542</v>
      </c>
      <c r="C202" s="48">
        <v>2412.8000000000002</v>
      </c>
      <c r="D202" s="48">
        <v>1412.88</v>
      </c>
      <c r="E202" s="48">
        <v>0</v>
      </c>
      <c r="F202" s="48">
        <v>131.26</v>
      </c>
      <c r="G202" s="48">
        <v>5582.77</v>
      </c>
      <c r="H202" s="48">
        <v>27924.21</v>
      </c>
      <c r="I202" s="481">
        <f t="shared" si="10"/>
        <v>37463.919999999998</v>
      </c>
      <c r="L202" t="str">
        <f t="shared" si="11"/>
        <v>23404</v>
      </c>
      <c r="M202" s="481">
        <f t="shared" si="12"/>
        <v>37463.919999999998</v>
      </c>
    </row>
    <row r="203" spans="1:13">
      <c r="A203" t="s">
        <v>379</v>
      </c>
      <c r="B203" t="s">
        <v>1668</v>
      </c>
      <c r="C203" s="48">
        <v>1156.25</v>
      </c>
      <c r="D203" s="48">
        <v>530.92999999999995</v>
      </c>
      <c r="E203" s="48">
        <v>0</v>
      </c>
      <c r="F203" s="48">
        <v>0</v>
      </c>
      <c r="G203" s="48">
        <v>2723.46</v>
      </c>
      <c r="H203" s="48">
        <v>23467.3</v>
      </c>
      <c r="I203" s="481">
        <f t="shared" si="10"/>
        <v>27877.94</v>
      </c>
      <c r="L203" t="str">
        <f t="shared" si="11"/>
        <v>24014</v>
      </c>
      <c r="M203" s="481">
        <f t="shared" si="12"/>
        <v>27877.94</v>
      </c>
    </row>
    <row r="204" spans="1:13">
      <c r="A204" t="s">
        <v>419</v>
      </c>
      <c r="B204" t="s">
        <v>1708</v>
      </c>
      <c r="C204" s="48">
        <v>33015.29</v>
      </c>
      <c r="D204" s="48">
        <v>12605.28</v>
      </c>
      <c r="E204" s="48">
        <v>8130.68</v>
      </c>
      <c r="F204" s="48">
        <v>2471.79</v>
      </c>
      <c r="G204" s="48">
        <v>76559.289999999994</v>
      </c>
      <c r="H204" s="48">
        <v>121935.03999999999</v>
      </c>
      <c r="I204" s="481">
        <f t="shared" si="10"/>
        <v>254717.37</v>
      </c>
      <c r="L204" t="str">
        <f t="shared" si="11"/>
        <v>24019</v>
      </c>
      <c r="M204" s="481">
        <f t="shared" si="12"/>
        <v>254717.37</v>
      </c>
    </row>
    <row r="205" spans="1:13">
      <c r="A205" t="s">
        <v>415</v>
      </c>
      <c r="B205" t="s">
        <v>1704</v>
      </c>
      <c r="C205" s="48">
        <v>7532.1</v>
      </c>
      <c r="D205" s="48">
        <v>4673.91</v>
      </c>
      <c r="E205" s="48">
        <v>1994.73</v>
      </c>
      <c r="F205" s="48">
        <v>455.8</v>
      </c>
      <c r="G205" s="48">
        <v>15510.2</v>
      </c>
      <c r="H205" s="48">
        <v>80461.299999999988</v>
      </c>
      <c r="I205" s="481">
        <f t="shared" si="10"/>
        <v>110628.03999999998</v>
      </c>
      <c r="L205" t="str">
        <f t="shared" si="11"/>
        <v>24105</v>
      </c>
      <c r="M205" s="481">
        <f t="shared" si="12"/>
        <v>110628.03999999998</v>
      </c>
    </row>
    <row r="206" spans="1:13">
      <c r="A206" t="s">
        <v>69</v>
      </c>
      <c r="B206" t="s">
        <v>1366</v>
      </c>
      <c r="C206" s="48">
        <v>8766.32</v>
      </c>
      <c r="D206" s="48">
        <v>4173.7299999999996</v>
      </c>
      <c r="E206" s="48">
        <v>8820.89</v>
      </c>
      <c r="F206" s="48">
        <v>408.52</v>
      </c>
      <c r="G206" s="48">
        <v>11002.53</v>
      </c>
      <c r="H206" s="48">
        <v>76180.27</v>
      </c>
      <c r="I206" s="481">
        <f t="shared" si="10"/>
        <v>109352.26000000001</v>
      </c>
      <c r="L206" t="str">
        <f t="shared" si="11"/>
        <v>24111</v>
      </c>
      <c r="M206" s="481">
        <f t="shared" si="12"/>
        <v>109352.26000000001</v>
      </c>
    </row>
    <row r="207" spans="1:13">
      <c r="A207" t="s">
        <v>447</v>
      </c>
      <c r="B207" t="s">
        <v>1736</v>
      </c>
      <c r="C207" s="48">
        <v>1830.75</v>
      </c>
      <c r="D207" s="48">
        <v>1147.79</v>
      </c>
      <c r="E207" s="48">
        <v>627.29999999999995</v>
      </c>
      <c r="F207" s="48">
        <v>96.28</v>
      </c>
      <c r="G207" s="48">
        <v>3369.54</v>
      </c>
      <c r="H207" s="48">
        <v>26876.080000000002</v>
      </c>
      <c r="I207" s="481">
        <f t="shared" si="10"/>
        <v>33947.740000000005</v>
      </c>
      <c r="L207" t="str">
        <f t="shared" si="11"/>
        <v>24122</v>
      </c>
      <c r="M207" s="481">
        <f t="shared" si="12"/>
        <v>33947.740000000005</v>
      </c>
    </row>
    <row r="208" spans="1:13">
      <c r="A208" t="s">
        <v>347</v>
      </c>
      <c r="B208" t="s">
        <v>1636</v>
      </c>
      <c r="C208" s="48">
        <v>2458.52</v>
      </c>
      <c r="D208" s="48">
        <v>153.38999999999999</v>
      </c>
      <c r="E208" s="48">
        <v>638.59</v>
      </c>
      <c r="F208" s="48">
        <v>318.56</v>
      </c>
      <c r="G208" s="48">
        <v>0</v>
      </c>
      <c r="H208" s="48">
        <v>62836.12</v>
      </c>
      <c r="I208" s="481">
        <f t="shared" si="10"/>
        <v>66405.180000000008</v>
      </c>
      <c r="L208" t="str">
        <f t="shared" si="11"/>
        <v>24350</v>
      </c>
      <c r="M208" s="481">
        <f t="shared" si="12"/>
        <v>66405.180000000008</v>
      </c>
    </row>
    <row r="209" spans="1:13">
      <c r="A209" t="s">
        <v>613</v>
      </c>
      <c r="B209" t="s">
        <v>1902</v>
      </c>
      <c r="C209" s="48">
        <v>8642.43</v>
      </c>
      <c r="D209" s="48">
        <v>4862.47</v>
      </c>
      <c r="E209" s="48">
        <v>3016</v>
      </c>
      <c r="F209" s="48">
        <v>466.05</v>
      </c>
      <c r="G209" s="48">
        <v>12539.05</v>
      </c>
      <c r="H209" s="48">
        <v>80706.490000000005</v>
      </c>
      <c r="I209" s="481">
        <f t="shared" si="10"/>
        <v>110232.49</v>
      </c>
      <c r="L209" t="str">
        <f t="shared" si="11"/>
        <v>24404</v>
      </c>
      <c r="M209" s="481">
        <f t="shared" si="12"/>
        <v>110232.49</v>
      </c>
    </row>
    <row r="210" spans="1:13">
      <c r="A210" t="s">
        <v>433</v>
      </c>
      <c r="B210" t="s">
        <v>1722</v>
      </c>
      <c r="C210" s="48">
        <v>3464.34</v>
      </c>
      <c r="D210" s="48">
        <v>2169.46</v>
      </c>
      <c r="E210" s="48">
        <v>1392.23</v>
      </c>
      <c r="F210" s="48">
        <v>0</v>
      </c>
      <c r="G210" s="48">
        <v>6611.43</v>
      </c>
      <c r="H210" s="48">
        <v>43148.76</v>
      </c>
      <c r="I210" s="481">
        <f t="shared" si="10"/>
        <v>56786.22</v>
      </c>
      <c r="L210" t="str">
        <f t="shared" si="11"/>
        <v>24410</v>
      </c>
      <c r="M210" s="481">
        <f t="shared" si="12"/>
        <v>56786.22</v>
      </c>
    </row>
    <row r="211" spans="1:13">
      <c r="A211" t="s">
        <v>443</v>
      </c>
      <c r="B211" t="s">
        <v>1732</v>
      </c>
      <c r="C211" s="48">
        <v>1370.11</v>
      </c>
      <c r="D211" s="48">
        <v>628.27</v>
      </c>
      <c r="E211" s="48">
        <v>0</v>
      </c>
      <c r="F211" s="48">
        <v>0</v>
      </c>
      <c r="G211" s="48">
        <v>1077.3900000000001</v>
      </c>
      <c r="H211" s="48">
        <v>27138.14</v>
      </c>
      <c r="I211" s="481">
        <f t="shared" si="10"/>
        <v>30213.91</v>
      </c>
      <c r="L211" t="str">
        <f t="shared" si="11"/>
        <v>24915</v>
      </c>
      <c r="M211" s="481">
        <f t="shared" si="12"/>
        <v>30213.91</v>
      </c>
    </row>
    <row r="212" spans="1:13">
      <c r="A212" t="s">
        <v>409</v>
      </c>
      <c r="B212" t="s">
        <v>1698</v>
      </c>
      <c r="C212" s="48">
        <v>6113.13</v>
      </c>
      <c r="D212" s="48">
        <v>4387.59</v>
      </c>
      <c r="E212" s="48">
        <v>1380.43</v>
      </c>
      <c r="F212" s="48">
        <v>415.9</v>
      </c>
      <c r="G212" s="48">
        <v>0</v>
      </c>
      <c r="H212" s="48">
        <v>75221.64</v>
      </c>
      <c r="I212" s="481">
        <f t="shared" si="10"/>
        <v>87518.69</v>
      </c>
      <c r="L212" t="str">
        <f t="shared" si="11"/>
        <v>25101</v>
      </c>
      <c r="M212" s="481">
        <f t="shared" si="12"/>
        <v>87518.69</v>
      </c>
    </row>
    <row r="213" spans="1:13">
      <c r="A213" t="s">
        <v>495</v>
      </c>
      <c r="B213" t="s">
        <v>1784</v>
      </c>
      <c r="C213" s="48">
        <v>3277.05</v>
      </c>
      <c r="D213" s="48">
        <v>2091.29</v>
      </c>
      <c r="E213" s="48">
        <v>1209.3599999999999</v>
      </c>
      <c r="F213" s="48">
        <v>203.52</v>
      </c>
      <c r="G213" s="48">
        <v>6871.21</v>
      </c>
      <c r="H213" s="48">
        <v>43091.25</v>
      </c>
      <c r="I213" s="481">
        <f t="shared" si="10"/>
        <v>56743.68</v>
      </c>
      <c r="L213" t="str">
        <f t="shared" si="11"/>
        <v>25116</v>
      </c>
      <c r="M213" s="481">
        <f t="shared" si="12"/>
        <v>56743.68</v>
      </c>
    </row>
    <row r="214" spans="1:13">
      <c r="A214" t="s">
        <v>553</v>
      </c>
      <c r="B214" t="s">
        <v>1842</v>
      </c>
      <c r="C214" s="48">
        <v>3573.48</v>
      </c>
      <c r="D214" s="48">
        <v>2384.7800000000002</v>
      </c>
      <c r="E214" s="48">
        <v>2016.08</v>
      </c>
      <c r="F214" s="48">
        <v>227.13</v>
      </c>
      <c r="G214" s="48">
        <v>7854.86</v>
      </c>
      <c r="H214" s="48">
        <v>47849.01</v>
      </c>
      <c r="I214" s="481">
        <f t="shared" si="10"/>
        <v>63905.34</v>
      </c>
      <c r="L214" t="str">
        <f t="shared" si="11"/>
        <v>25118</v>
      </c>
      <c r="M214" s="481">
        <f t="shared" si="12"/>
        <v>63905.34</v>
      </c>
    </row>
    <row r="215" spans="1:13">
      <c r="A215" t="s">
        <v>377</v>
      </c>
      <c r="B215" t="s">
        <v>1666</v>
      </c>
      <c r="C215" s="48">
        <v>1578.03</v>
      </c>
      <c r="D215" s="48">
        <v>1365.92</v>
      </c>
      <c r="E215" s="48">
        <v>240.69</v>
      </c>
      <c r="F215" s="48">
        <v>133.88999999999999</v>
      </c>
      <c r="G215" s="48">
        <v>0</v>
      </c>
      <c r="H215" s="48">
        <v>33066.340000000004</v>
      </c>
      <c r="I215" s="481">
        <f t="shared" si="10"/>
        <v>36384.870000000003</v>
      </c>
      <c r="L215" t="str">
        <f t="shared" si="11"/>
        <v>25155</v>
      </c>
      <c r="M215" s="481">
        <f t="shared" si="12"/>
        <v>36384.870000000003</v>
      </c>
    </row>
    <row r="216" spans="1:13">
      <c r="A216" t="s">
        <v>677</v>
      </c>
      <c r="B216" t="s">
        <v>1966</v>
      </c>
      <c r="C216" s="48">
        <v>1345.04</v>
      </c>
      <c r="D216" s="48">
        <v>0</v>
      </c>
      <c r="E216" s="48">
        <v>113.56</v>
      </c>
      <c r="F216" s="48">
        <v>143.06</v>
      </c>
      <c r="G216" s="48">
        <v>5181.46</v>
      </c>
      <c r="H216" s="48">
        <v>34714.269999999997</v>
      </c>
      <c r="I216" s="481">
        <f t="shared" si="10"/>
        <v>41497.39</v>
      </c>
      <c r="L216" t="str">
        <f t="shared" si="11"/>
        <v>25160</v>
      </c>
      <c r="M216" s="481">
        <f t="shared" si="12"/>
        <v>41497.39</v>
      </c>
    </row>
    <row r="217" spans="1:13">
      <c r="A217" t="s">
        <v>395</v>
      </c>
      <c r="B217" t="s">
        <v>1684</v>
      </c>
      <c r="C217" s="48">
        <v>548.64</v>
      </c>
      <c r="D217" s="48">
        <v>311.18</v>
      </c>
      <c r="E217" s="48">
        <v>0</v>
      </c>
      <c r="F217" s="48">
        <v>0</v>
      </c>
      <c r="G217" s="48">
        <v>628.02</v>
      </c>
      <c r="H217" s="48">
        <v>18637.28</v>
      </c>
      <c r="I217" s="481">
        <f t="shared" si="10"/>
        <v>20125.12</v>
      </c>
      <c r="L217" t="str">
        <f t="shared" si="11"/>
        <v>25200</v>
      </c>
      <c r="M217" s="481">
        <f t="shared" si="12"/>
        <v>20125.12</v>
      </c>
    </row>
    <row r="218" spans="1:13">
      <c r="A218" t="s">
        <v>381</v>
      </c>
      <c r="B218" t="s">
        <v>1670</v>
      </c>
      <c r="C218" s="48">
        <v>6127.88</v>
      </c>
      <c r="D218" s="48">
        <v>4703.2</v>
      </c>
      <c r="E218" s="48">
        <v>0</v>
      </c>
      <c r="F218" s="48">
        <v>485.22</v>
      </c>
      <c r="G218" s="48">
        <v>16892.560000000001</v>
      </c>
      <c r="H218" s="48">
        <v>80247.839999999997</v>
      </c>
      <c r="I218" s="481">
        <f t="shared" si="10"/>
        <v>108456.7</v>
      </c>
      <c r="L218" t="str">
        <f t="shared" si="11"/>
        <v>26056</v>
      </c>
      <c r="M218" s="481">
        <f t="shared" si="12"/>
        <v>108456.7</v>
      </c>
    </row>
    <row r="219" spans="1:13">
      <c r="A219" t="s">
        <v>143</v>
      </c>
      <c r="B219" t="s">
        <v>1440</v>
      </c>
      <c r="C219" s="48">
        <v>2386.2600000000002</v>
      </c>
      <c r="D219" s="48">
        <v>1083.99</v>
      </c>
      <c r="E219" s="48">
        <v>0</v>
      </c>
      <c r="F219" s="48">
        <v>153.38999999999999</v>
      </c>
      <c r="G219" s="48">
        <v>4605.01</v>
      </c>
      <c r="H219" s="48">
        <v>27785.579999999998</v>
      </c>
      <c r="I219" s="481">
        <f t="shared" si="10"/>
        <v>36014.229999999996</v>
      </c>
      <c r="L219" t="str">
        <f t="shared" si="11"/>
        <v>26059</v>
      </c>
      <c r="M219" s="481">
        <f t="shared" si="12"/>
        <v>36014.229999999996</v>
      </c>
    </row>
    <row r="220" spans="1:13">
      <c r="A220" t="s">
        <v>533</v>
      </c>
      <c r="B220" t="s">
        <v>1822</v>
      </c>
      <c r="C220" s="48">
        <v>1483.67</v>
      </c>
      <c r="D220" s="48">
        <v>800.82</v>
      </c>
      <c r="E220" s="48">
        <v>0</v>
      </c>
      <c r="F220" s="48">
        <v>0</v>
      </c>
      <c r="G220" s="48">
        <v>3879.54</v>
      </c>
      <c r="H220" s="48">
        <v>28515.600000000002</v>
      </c>
      <c r="I220" s="481">
        <f t="shared" si="10"/>
        <v>34679.630000000005</v>
      </c>
      <c r="L220" t="str">
        <f t="shared" si="11"/>
        <v>26070</v>
      </c>
      <c r="M220" s="481">
        <f t="shared" si="12"/>
        <v>34679.630000000005</v>
      </c>
    </row>
    <row r="221" spans="1:13">
      <c r="A221" t="s">
        <v>577</v>
      </c>
      <c r="B221" t="s">
        <v>1866</v>
      </c>
      <c r="C221" s="48">
        <v>8648.2199999999993</v>
      </c>
      <c r="D221" s="48">
        <v>62.54</v>
      </c>
      <c r="E221" s="48">
        <v>3101.61</v>
      </c>
      <c r="F221" s="48">
        <v>1350.7</v>
      </c>
      <c r="G221" s="48">
        <v>43243.54</v>
      </c>
      <c r="H221" s="48">
        <v>249921.3</v>
      </c>
      <c r="I221" s="481">
        <f t="shared" si="10"/>
        <v>306327.90999999997</v>
      </c>
      <c r="L221" t="str">
        <f t="shared" si="11"/>
        <v>27001</v>
      </c>
      <c r="M221" s="481">
        <f t="shared" si="12"/>
        <v>306327.90999999997</v>
      </c>
    </row>
    <row r="222" spans="1:13">
      <c r="A222" t="s">
        <v>475</v>
      </c>
      <c r="B222" t="s">
        <v>1764</v>
      </c>
      <c r="C222" s="48">
        <v>102231.35</v>
      </c>
      <c r="D222" s="48">
        <v>13567.85</v>
      </c>
      <c r="E222" s="48">
        <v>50153.51</v>
      </c>
      <c r="F222" s="48">
        <v>10764.76</v>
      </c>
      <c r="G222" s="48">
        <v>321524.3</v>
      </c>
      <c r="H222" s="48">
        <v>2024339.7099999997</v>
      </c>
      <c r="I222" s="481">
        <f t="shared" si="10"/>
        <v>2522581.4799999995</v>
      </c>
      <c r="L222" t="str">
        <f t="shared" si="11"/>
        <v>27003</v>
      </c>
      <c r="M222" s="481">
        <f t="shared" si="12"/>
        <v>2522581.4799999995</v>
      </c>
    </row>
    <row r="223" spans="1:13">
      <c r="A223" t="s">
        <v>599</v>
      </c>
      <c r="B223" t="s">
        <v>1888</v>
      </c>
      <c r="C223" s="48">
        <v>162639.21</v>
      </c>
      <c r="D223" s="48">
        <v>83272.03</v>
      </c>
      <c r="E223" s="48">
        <v>86303.08</v>
      </c>
      <c r="F223" s="48">
        <v>12771.69</v>
      </c>
      <c r="G223" s="48">
        <v>464995.15</v>
      </c>
      <c r="H223" s="48">
        <v>2383157.87</v>
      </c>
      <c r="I223" s="481">
        <f t="shared" si="10"/>
        <v>3193139.0300000003</v>
      </c>
      <c r="L223" t="str">
        <f t="shared" si="11"/>
        <v>27010</v>
      </c>
      <c r="M223" s="481">
        <f t="shared" si="12"/>
        <v>3193139.0300000003</v>
      </c>
    </row>
    <row r="224" spans="1:13">
      <c r="A224" t="s">
        <v>81</v>
      </c>
      <c r="B224" t="s">
        <v>1378</v>
      </c>
      <c r="C224" s="48">
        <v>530.4</v>
      </c>
      <c r="D224" s="48">
        <v>0</v>
      </c>
      <c r="E224" s="48">
        <v>0</v>
      </c>
      <c r="F224" s="48">
        <v>79.64</v>
      </c>
      <c r="G224" s="48">
        <v>3101.42</v>
      </c>
      <c r="H224" s="48">
        <v>16455.259999999998</v>
      </c>
      <c r="I224" s="481">
        <f t="shared" si="10"/>
        <v>20166.719999999998</v>
      </c>
      <c r="L224" t="str">
        <f t="shared" si="11"/>
        <v>27019</v>
      </c>
      <c r="M224" s="481">
        <f t="shared" si="12"/>
        <v>20166.719999999998</v>
      </c>
    </row>
    <row r="225" spans="1:13">
      <c r="A225" t="s">
        <v>629</v>
      </c>
      <c r="B225" t="s">
        <v>1918</v>
      </c>
      <c r="C225" s="48">
        <v>22781.97</v>
      </c>
      <c r="D225" s="48">
        <v>0</v>
      </c>
      <c r="E225" s="48">
        <v>9175.73</v>
      </c>
      <c r="F225" s="48">
        <v>2566.48</v>
      </c>
      <c r="G225" s="48">
        <v>56291.1</v>
      </c>
      <c r="H225" s="48">
        <v>475063.1</v>
      </c>
      <c r="I225" s="481">
        <f t="shared" si="10"/>
        <v>565878.38</v>
      </c>
      <c r="L225" t="str">
        <f t="shared" si="11"/>
        <v>27083</v>
      </c>
      <c r="M225" s="481">
        <f t="shared" si="12"/>
        <v>565878.38</v>
      </c>
    </row>
    <row r="226" spans="1:13">
      <c r="A226" t="s">
        <v>593</v>
      </c>
      <c r="B226" t="s">
        <v>1882</v>
      </c>
      <c r="C226" s="48">
        <v>31584</v>
      </c>
      <c r="D226" s="48">
        <v>1945.81</v>
      </c>
      <c r="E226" s="48">
        <v>15873.76</v>
      </c>
      <c r="F226" s="48">
        <v>4902.53</v>
      </c>
      <c r="G226" s="48">
        <v>151698.71</v>
      </c>
      <c r="H226" s="48">
        <v>920291.97</v>
      </c>
      <c r="I226" s="481">
        <f t="shared" si="10"/>
        <v>1126296.78</v>
      </c>
      <c r="L226" t="str">
        <f t="shared" si="11"/>
        <v>27320</v>
      </c>
      <c r="M226" s="481">
        <f t="shared" si="12"/>
        <v>1126296.78</v>
      </c>
    </row>
    <row r="227" spans="1:13">
      <c r="A227" t="s">
        <v>155</v>
      </c>
      <c r="B227" t="s">
        <v>1452</v>
      </c>
      <c r="C227" s="48">
        <v>3149.56</v>
      </c>
      <c r="D227" s="48">
        <v>0</v>
      </c>
      <c r="E227" s="48">
        <v>2595.27</v>
      </c>
      <c r="F227" s="48">
        <v>689.44</v>
      </c>
      <c r="G227" s="48">
        <v>20491.439999999999</v>
      </c>
      <c r="H227" s="48">
        <v>141625.99</v>
      </c>
      <c r="I227" s="481">
        <f t="shared" si="10"/>
        <v>168551.69999999998</v>
      </c>
      <c r="L227" t="str">
        <f t="shared" si="11"/>
        <v>27343</v>
      </c>
      <c r="M227" s="481">
        <f t="shared" si="12"/>
        <v>168551.69999999998</v>
      </c>
    </row>
    <row r="228" spans="1:13">
      <c r="A228" t="s">
        <v>435</v>
      </c>
      <c r="B228" t="s">
        <v>1724</v>
      </c>
      <c r="C228" s="48">
        <v>8340.25</v>
      </c>
      <c r="D228" s="48">
        <v>0</v>
      </c>
      <c r="E228" s="48">
        <v>3404.88</v>
      </c>
      <c r="F228" s="48">
        <v>1247.52</v>
      </c>
      <c r="G228" s="48">
        <v>44917.83</v>
      </c>
      <c r="H228" s="48">
        <v>239290.8</v>
      </c>
      <c r="I228" s="481">
        <f t="shared" si="10"/>
        <v>297201.27999999997</v>
      </c>
      <c r="L228" t="str">
        <f t="shared" si="11"/>
        <v>27344</v>
      </c>
      <c r="M228" s="481">
        <f t="shared" si="12"/>
        <v>297201.27999999997</v>
      </c>
    </row>
    <row r="229" spans="1:13">
      <c r="A229" t="s">
        <v>113</v>
      </c>
      <c r="B229" t="s">
        <v>1410</v>
      </c>
      <c r="C229" s="48">
        <v>80957.45</v>
      </c>
      <c r="D229" s="48">
        <v>35704.39</v>
      </c>
      <c r="E229" s="48">
        <v>45965.94</v>
      </c>
      <c r="F229" s="48">
        <v>5274.61</v>
      </c>
      <c r="G229" s="48">
        <v>199540.56</v>
      </c>
      <c r="H229" s="48">
        <v>1010479.86</v>
      </c>
      <c r="I229" s="481">
        <f t="shared" si="10"/>
        <v>1377922.81</v>
      </c>
      <c r="L229" t="str">
        <f t="shared" si="11"/>
        <v>27400</v>
      </c>
      <c r="M229" s="481">
        <f t="shared" si="12"/>
        <v>1377922.81</v>
      </c>
    </row>
    <row r="230" spans="1:13">
      <c r="A230" t="s">
        <v>453</v>
      </c>
      <c r="B230" t="s">
        <v>1742</v>
      </c>
      <c r="C230" s="48">
        <v>20157.02</v>
      </c>
      <c r="D230" s="48">
        <v>0</v>
      </c>
      <c r="E230" s="48">
        <v>6725.17</v>
      </c>
      <c r="F230" s="48">
        <v>4220.04</v>
      </c>
      <c r="G230" s="48">
        <v>137989.87</v>
      </c>
      <c r="H230" s="48">
        <v>795450.05</v>
      </c>
      <c r="I230" s="481">
        <f t="shared" si="10"/>
        <v>964542.15</v>
      </c>
      <c r="L230" t="str">
        <f t="shared" si="11"/>
        <v>27401</v>
      </c>
      <c r="M230" s="481">
        <f t="shared" si="12"/>
        <v>964542.15</v>
      </c>
    </row>
    <row r="231" spans="1:13">
      <c r="A231" t="s">
        <v>219</v>
      </c>
      <c r="B231" t="s">
        <v>1508</v>
      </c>
      <c r="C231" s="48">
        <v>52094.1</v>
      </c>
      <c r="D231" s="48">
        <v>33090.53</v>
      </c>
      <c r="E231" s="48">
        <v>27462.62</v>
      </c>
      <c r="F231" s="48">
        <v>3173.52</v>
      </c>
      <c r="G231" s="48">
        <v>111177.31</v>
      </c>
      <c r="H231" s="48">
        <v>614146.97</v>
      </c>
      <c r="I231" s="481">
        <f t="shared" si="10"/>
        <v>841145.05</v>
      </c>
      <c r="L231" t="str">
        <f t="shared" si="11"/>
        <v>27402</v>
      </c>
      <c r="M231" s="481">
        <f t="shared" si="12"/>
        <v>841145.05</v>
      </c>
    </row>
    <row r="232" spans="1:13">
      <c r="A232" t="s">
        <v>59</v>
      </c>
      <c r="B232" t="s">
        <v>1356</v>
      </c>
      <c r="C232" s="48">
        <v>102345.06</v>
      </c>
      <c r="D232" s="48">
        <v>44157.19</v>
      </c>
      <c r="E232" s="48">
        <v>41932.6</v>
      </c>
      <c r="F232" s="48">
        <v>9318.8799999999992</v>
      </c>
      <c r="G232" s="48">
        <v>301330.24</v>
      </c>
      <c r="H232" s="48">
        <v>1712991.23</v>
      </c>
      <c r="I232" s="481">
        <f t="shared" si="10"/>
        <v>2212075.2000000002</v>
      </c>
      <c r="L232" t="str">
        <f t="shared" si="11"/>
        <v>27403</v>
      </c>
      <c r="M232" s="481">
        <f t="shared" si="12"/>
        <v>2212075.2000000002</v>
      </c>
    </row>
    <row r="233" spans="1:13">
      <c r="A233" t="s">
        <v>167</v>
      </c>
      <c r="B233" t="s">
        <v>1464</v>
      </c>
      <c r="C233" s="48">
        <v>7795.89</v>
      </c>
      <c r="D233" s="48">
        <v>601.73</v>
      </c>
      <c r="E233" s="48">
        <v>266.94</v>
      </c>
      <c r="F233" s="48">
        <v>824.42</v>
      </c>
      <c r="G233" s="48">
        <v>23291.95</v>
      </c>
      <c r="H233" s="48">
        <v>154705.49999999997</v>
      </c>
      <c r="I233" s="481">
        <f t="shared" si="10"/>
        <v>187486.42999999996</v>
      </c>
      <c r="L233" t="str">
        <f t="shared" si="11"/>
        <v>27404</v>
      </c>
      <c r="M233" s="481">
        <f t="shared" si="12"/>
        <v>187486.42999999996</v>
      </c>
    </row>
    <row r="234" spans="1:13">
      <c r="A234" t="s">
        <v>669</v>
      </c>
      <c r="B234" t="s">
        <v>1958</v>
      </c>
      <c r="C234" s="48">
        <v>13311.57</v>
      </c>
      <c r="D234" s="48">
        <v>0</v>
      </c>
      <c r="E234" s="48">
        <v>5005.71</v>
      </c>
      <c r="F234" s="48">
        <v>1935.37</v>
      </c>
      <c r="G234" s="48">
        <v>61502.84</v>
      </c>
      <c r="H234" s="48">
        <v>370145.93000000005</v>
      </c>
      <c r="I234" s="481">
        <f t="shared" si="10"/>
        <v>451901.42000000004</v>
      </c>
      <c r="L234" t="str">
        <f t="shared" si="11"/>
        <v>27416</v>
      </c>
      <c r="M234" s="481">
        <f t="shared" si="12"/>
        <v>451901.42000000004</v>
      </c>
    </row>
    <row r="235" spans="1:13">
      <c r="A235" t="s">
        <v>215</v>
      </c>
      <c r="B235" t="s">
        <v>1504</v>
      </c>
      <c r="C235" s="48">
        <v>19402.009999999998</v>
      </c>
      <c r="D235" s="48">
        <v>85.9</v>
      </c>
      <c r="E235" s="48">
        <v>18595.93</v>
      </c>
      <c r="F235" s="48">
        <v>1841.75</v>
      </c>
      <c r="G235" s="48">
        <v>47192.22</v>
      </c>
      <c r="H235" s="48">
        <v>348137.64</v>
      </c>
      <c r="I235" s="481">
        <f t="shared" si="10"/>
        <v>435255.45</v>
      </c>
      <c r="L235" t="str">
        <f t="shared" si="11"/>
        <v>27417</v>
      </c>
      <c r="M235" s="481">
        <f t="shared" si="12"/>
        <v>435255.45</v>
      </c>
    </row>
    <row r="236" spans="1:13">
      <c r="A236" t="s">
        <v>105</v>
      </c>
      <c r="B236" t="s">
        <v>1402</v>
      </c>
      <c r="C236" s="48">
        <v>3343.24</v>
      </c>
      <c r="D236" s="48">
        <v>2902.2</v>
      </c>
      <c r="E236" s="48">
        <v>0</v>
      </c>
      <c r="F236" s="48">
        <v>302.27999999999997</v>
      </c>
      <c r="G236" s="48">
        <v>10117.709999999999</v>
      </c>
      <c r="H236" s="48">
        <v>62836</v>
      </c>
      <c r="I236" s="481">
        <f t="shared" si="10"/>
        <v>79501.429999999993</v>
      </c>
      <c r="L236" t="str">
        <f t="shared" si="11"/>
        <v>27901</v>
      </c>
      <c r="M236" s="481">
        <f t="shared" si="12"/>
        <v>79501.429999999993</v>
      </c>
    </row>
    <row r="237" spans="1:13">
      <c r="A237" t="s">
        <v>259</v>
      </c>
      <c r="B237" t="s">
        <v>1548</v>
      </c>
      <c r="C237" s="48">
        <v>2097.7800000000002</v>
      </c>
      <c r="D237" s="48">
        <v>1577.47</v>
      </c>
      <c r="E237" s="48">
        <v>442.69</v>
      </c>
      <c r="F237" s="48">
        <v>118.93</v>
      </c>
      <c r="G237" s="48">
        <v>4985.91</v>
      </c>
      <c r="H237" s="48">
        <v>30574.75</v>
      </c>
      <c r="I237" s="481">
        <f t="shared" si="10"/>
        <v>39797.53</v>
      </c>
      <c r="L237" t="str">
        <f t="shared" si="11"/>
        <v>27902</v>
      </c>
      <c r="M237" s="481">
        <f t="shared" si="12"/>
        <v>39797.53</v>
      </c>
    </row>
    <row r="238" spans="1:13">
      <c r="A238" t="s">
        <v>589</v>
      </c>
      <c r="B238" t="s">
        <v>1878</v>
      </c>
      <c r="C238" s="48">
        <v>944.82</v>
      </c>
      <c r="D238" s="48">
        <v>733.39</v>
      </c>
      <c r="E238" s="48">
        <v>371.65</v>
      </c>
      <c r="F238" s="48">
        <v>72.67</v>
      </c>
      <c r="G238" s="48">
        <v>2125.12</v>
      </c>
      <c r="H238" s="48">
        <v>18026.05</v>
      </c>
      <c r="I238" s="481">
        <f t="shared" si="10"/>
        <v>22273.699999999997</v>
      </c>
      <c r="L238" t="str">
        <f t="shared" si="11"/>
        <v>27905</v>
      </c>
      <c r="M238" s="481">
        <f t="shared" si="12"/>
        <v>22273.699999999997</v>
      </c>
    </row>
    <row r="239" spans="1:13">
      <c r="A239" t="s">
        <v>2043</v>
      </c>
      <c r="B239" t="s">
        <v>2044</v>
      </c>
      <c r="C239" s="48">
        <v>0</v>
      </c>
      <c r="D239" s="48">
        <v>0</v>
      </c>
      <c r="E239" s="48">
        <v>0</v>
      </c>
      <c r="F239" s="48">
        <v>0</v>
      </c>
      <c r="G239" s="48">
        <v>0</v>
      </c>
      <c r="H239" s="48">
        <v>0</v>
      </c>
      <c r="I239" s="481">
        <f t="shared" si="10"/>
        <v>0</v>
      </c>
      <c r="L239" t="str">
        <f t="shared" si="11"/>
        <v>27931</v>
      </c>
      <c r="M239" s="481">
        <f t="shared" si="12"/>
        <v>0</v>
      </c>
    </row>
    <row r="240" spans="1:13">
      <c r="A240" t="s">
        <v>2045</v>
      </c>
      <c r="B240" t="s">
        <v>2046</v>
      </c>
      <c r="C240" s="48">
        <v>0</v>
      </c>
      <c r="D240" s="48">
        <v>0</v>
      </c>
      <c r="E240" s="48">
        <v>0</v>
      </c>
      <c r="F240" s="48">
        <v>0</v>
      </c>
      <c r="G240" s="48">
        <v>0</v>
      </c>
      <c r="H240" s="48">
        <v>0</v>
      </c>
      <c r="I240" s="481">
        <f t="shared" si="10"/>
        <v>0</v>
      </c>
      <c r="L240" t="str">
        <f t="shared" si="11"/>
        <v>27932</v>
      </c>
      <c r="M240" s="481">
        <f t="shared" si="12"/>
        <v>0</v>
      </c>
    </row>
    <row r="241" spans="1:13">
      <c r="A241" t="s">
        <v>2047</v>
      </c>
      <c r="B241" t="s">
        <v>2048</v>
      </c>
      <c r="C241" s="48">
        <v>0</v>
      </c>
      <c r="D241" s="48">
        <v>0</v>
      </c>
      <c r="E241" s="48">
        <v>0</v>
      </c>
      <c r="F241" s="48">
        <v>0</v>
      </c>
      <c r="G241" s="48">
        <v>0</v>
      </c>
      <c r="H241" s="48">
        <v>0</v>
      </c>
      <c r="I241" s="481">
        <f t="shared" si="10"/>
        <v>0</v>
      </c>
      <c r="L241" t="str">
        <f t="shared" si="11"/>
        <v>27941</v>
      </c>
      <c r="M241" s="481">
        <f t="shared" si="12"/>
        <v>0</v>
      </c>
    </row>
    <row r="242" spans="1:13">
      <c r="A242" t="s">
        <v>2049</v>
      </c>
      <c r="B242" t="s">
        <v>2050</v>
      </c>
      <c r="C242" s="48">
        <v>0</v>
      </c>
      <c r="D242" s="48">
        <v>0</v>
      </c>
      <c r="E242" s="48">
        <v>0</v>
      </c>
      <c r="F242" s="48">
        <v>0</v>
      </c>
      <c r="G242" s="48">
        <v>0</v>
      </c>
      <c r="H242" s="48">
        <v>0</v>
      </c>
      <c r="I242" s="481">
        <f t="shared" si="10"/>
        <v>0</v>
      </c>
      <c r="L242" t="str">
        <f t="shared" si="11"/>
        <v>27949</v>
      </c>
      <c r="M242" s="481">
        <f t="shared" si="12"/>
        <v>0</v>
      </c>
    </row>
    <row r="243" spans="1:13">
      <c r="A243" t="s">
        <v>537</v>
      </c>
      <c r="B243" t="s">
        <v>1826</v>
      </c>
      <c r="C243" s="48">
        <v>0</v>
      </c>
      <c r="D243" s="48">
        <v>0</v>
      </c>
      <c r="E243" s="48">
        <v>0</v>
      </c>
      <c r="F243" s="48">
        <v>5.22</v>
      </c>
      <c r="G243" s="48">
        <v>118.84</v>
      </c>
      <c r="H243" s="48">
        <v>3543.23</v>
      </c>
      <c r="I243" s="481">
        <f t="shared" si="10"/>
        <v>3667.29</v>
      </c>
      <c r="L243" t="str">
        <f t="shared" si="11"/>
        <v>28010</v>
      </c>
      <c r="M243" s="481">
        <f t="shared" si="12"/>
        <v>3667.29</v>
      </c>
    </row>
    <row r="244" spans="1:13">
      <c r="A244" t="s">
        <v>425</v>
      </c>
      <c r="B244" t="s">
        <v>1714</v>
      </c>
      <c r="C244" s="48">
        <v>2172.12</v>
      </c>
      <c r="D244" s="48">
        <v>0</v>
      </c>
      <c r="E244" s="48">
        <v>1252.06</v>
      </c>
      <c r="F244" s="48">
        <v>358.44</v>
      </c>
      <c r="G244" s="48">
        <v>11967.53</v>
      </c>
      <c r="H244" s="48">
        <v>43506.67</v>
      </c>
      <c r="I244" s="481">
        <f t="shared" si="10"/>
        <v>59256.82</v>
      </c>
      <c r="L244" t="str">
        <f t="shared" si="11"/>
        <v>28137</v>
      </c>
      <c r="M244" s="481">
        <f t="shared" si="12"/>
        <v>59256.82</v>
      </c>
    </row>
    <row r="245" spans="1:13">
      <c r="A245" t="s">
        <v>315</v>
      </c>
      <c r="B245" t="s">
        <v>1604</v>
      </c>
      <c r="C245" s="48">
        <v>1425.5</v>
      </c>
      <c r="D245" s="48">
        <v>632.64</v>
      </c>
      <c r="E245" s="48">
        <v>513.71</v>
      </c>
      <c r="F245" s="48">
        <v>104.06</v>
      </c>
      <c r="G245" s="48">
        <v>3500.54</v>
      </c>
      <c r="H245" s="48">
        <v>30305.51</v>
      </c>
      <c r="I245" s="481">
        <f t="shared" si="10"/>
        <v>36481.96</v>
      </c>
      <c r="L245" t="str">
        <f t="shared" si="11"/>
        <v>28144</v>
      </c>
      <c r="M245" s="481">
        <f t="shared" si="12"/>
        <v>36481.96</v>
      </c>
    </row>
    <row r="246" spans="1:13">
      <c r="A246" t="s">
        <v>523</v>
      </c>
      <c r="B246" t="s">
        <v>1812</v>
      </c>
      <c r="C246" s="48">
        <v>3191.27</v>
      </c>
      <c r="D246" s="48">
        <v>0</v>
      </c>
      <c r="E246" s="48">
        <v>1726.12</v>
      </c>
      <c r="F246" s="48">
        <v>373.31</v>
      </c>
      <c r="G246" s="48">
        <v>12886.8</v>
      </c>
      <c r="H246" s="48">
        <v>68405.86</v>
      </c>
      <c r="I246" s="481">
        <f t="shared" si="10"/>
        <v>86583.360000000001</v>
      </c>
      <c r="L246" t="str">
        <f t="shared" si="11"/>
        <v>28149</v>
      </c>
      <c r="M246" s="481">
        <f t="shared" si="12"/>
        <v>86583.360000000001</v>
      </c>
    </row>
    <row r="247" spans="1:13">
      <c r="A247" t="s">
        <v>127</v>
      </c>
      <c r="B247" t="s">
        <v>1424</v>
      </c>
      <c r="C247" s="48">
        <v>3377.46</v>
      </c>
      <c r="D247" s="48">
        <v>2308.44</v>
      </c>
      <c r="E247" s="48">
        <v>360.1</v>
      </c>
      <c r="F247" s="48">
        <v>233.1</v>
      </c>
      <c r="G247" s="48">
        <v>8458.7099999999991</v>
      </c>
      <c r="H247" s="48">
        <v>51840.34</v>
      </c>
      <c r="I247" s="481">
        <f t="shared" si="10"/>
        <v>66578.149999999994</v>
      </c>
      <c r="L247" t="str">
        <f t="shared" si="11"/>
        <v>29011</v>
      </c>
      <c r="M247" s="481">
        <f t="shared" si="12"/>
        <v>66578.149999999994</v>
      </c>
    </row>
    <row r="248" spans="1:13">
      <c r="A248" t="s">
        <v>75</v>
      </c>
      <c r="B248" t="s">
        <v>1372</v>
      </c>
      <c r="C248" s="48">
        <v>20378.29</v>
      </c>
      <c r="D248" s="48">
        <v>11988.6</v>
      </c>
      <c r="E248" s="48">
        <v>20482.080000000002</v>
      </c>
      <c r="F248" s="48">
        <v>1571.81</v>
      </c>
      <c r="G248" s="48">
        <v>55628.81</v>
      </c>
      <c r="H248" s="48">
        <v>298620.45</v>
      </c>
      <c r="I248" s="481">
        <f t="shared" si="10"/>
        <v>408670.04000000004</v>
      </c>
      <c r="L248" t="str">
        <f t="shared" si="11"/>
        <v>29100</v>
      </c>
      <c r="M248" s="481">
        <f t="shared" si="12"/>
        <v>408670.04000000004</v>
      </c>
    </row>
    <row r="249" spans="1:13">
      <c r="A249" t="s">
        <v>529</v>
      </c>
      <c r="B249" t="s">
        <v>1818</v>
      </c>
      <c r="C249" s="48">
        <v>23823.87</v>
      </c>
      <c r="D249" s="48">
        <v>11100.08</v>
      </c>
      <c r="E249" s="48">
        <v>10328.69</v>
      </c>
      <c r="F249" s="48">
        <v>2023.45</v>
      </c>
      <c r="G249" s="48">
        <v>77107.429999999993</v>
      </c>
      <c r="H249" s="48">
        <v>391609.64</v>
      </c>
      <c r="I249" s="481">
        <f t="shared" si="10"/>
        <v>515993.16000000003</v>
      </c>
      <c r="L249" t="str">
        <f t="shared" si="11"/>
        <v>29101</v>
      </c>
      <c r="M249" s="481">
        <f t="shared" si="12"/>
        <v>515993.16000000003</v>
      </c>
    </row>
    <row r="250" spans="1:13">
      <c r="A250" t="s">
        <v>41</v>
      </c>
      <c r="B250" t="s">
        <v>1338</v>
      </c>
      <c r="C250" s="48">
        <v>8798.59</v>
      </c>
      <c r="D250" s="48">
        <v>340.44</v>
      </c>
      <c r="E250" s="48">
        <v>1717.63</v>
      </c>
      <c r="F250" s="48">
        <v>1252.3</v>
      </c>
      <c r="G250" s="48">
        <v>43428.13</v>
      </c>
      <c r="H250" s="48">
        <v>238087.16</v>
      </c>
      <c r="I250" s="481">
        <f t="shared" si="10"/>
        <v>293624.25</v>
      </c>
      <c r="L250" t="str">
        <f t="shared" si="11"/>
        <v>29103</v>
      </c>
      <c r="M250" s="481">
        <f t="shared" si="12"/>
        <v>293624.25</v>
      </c>
    </row>
    <row r="251" spans="1:13">
      <c r="A251" t="s">
        <v>291</v>
      </c>
      <c r="B251" t="s">
        <v>1580</v>
      </c>
      <c r="C251" s="48">
        <v>3194.46</v>
      </c>
      <c r="D251" s="48">
        <v>2621.14</v>
      </c>
      <c r="E251" s="48">
        <v>237.07</v>
      </c>
      <c r="F251" s="48">
        <v>243.79</v>
      </c>
      <c r="G251" s="48">
        <v>8406.82</v>
      </c>
      <c r="H251" s="48">
        <v>51339.97</v>
      </c>
      <c r="I251" s="481">
        <f t="shared" si="10"/>
        <v>66043.25</v>
      </c>
      <c r="L251" t="str">
        <f t="shared" si="11"/>
        <v>29311</v>
      </c>
      <c r="M251" s="481">
        <f t="shared" si="12"/>
        <v>66043.25</v>
      </c>
    </row>
    <row r="252" spans="1:13">
      <c r="A252" t="s">
        <v>129</v>
      </c>
      <c r="B252" t="s">
        <v>1426</v>
      </c>
      <c r="C252" s="48">
        <v>1295.07</v>
      </c>
      <c r="D252" s="48">
        <v>0</v>
      </c>
      <c r="E252" s="48">
        <v>790.38</v>
      </c>
      <c r="F252" s="48">
        <v>207.01</v>
      </c>
      <c r="G252" s="48">
        <v>5161.8900000000003</v>
      </c>
      <c r="H252" s="48">
        <v>42549.04</v>
      </c>
      <c r="I252" s="481">
        <f t="shared" si="10"/>
        <v>50003.39</v>
      </c>
      <c r="L252" t="str">
        <f t="shared" si="11"/>
        <v>29317</v>
      </c>
      <c r="M252" s="481">
        <f t="shared" si="12"/>
        <v>50003.39</v>
      </c>
    </row>
    <row r="253" spans="1:13">
      <c r="A253" t="s">
        <v>367</v>
      </c>
      <c r="B253" t="s">
        <v>1656</v>
      </c>
      <c r="C253" s="48">
        <v>45781.2</v>
      </c>
      <c r="D253" s="48">
        <v>29410.240000000002</v>
      </c>
      <c r="E253" s="48">
        <v>46189.2</v>
      </c>
      <c r="F253" s="48">
        <v>3097.12</v>
      </c>
      <c r="G253" s="48">
        <v>109869.28</v>
      </c>
      <c r="H253" s="48">
        <v>570289.45000000007</v>
      </c>
      <c r="I253" s="481">
        <f t="shared" si="10"/>
        <v>804636.49</v>
      </c>
      <c r="L253" t="str">
        <f t="shared" si="11"/>
        <v>29320</v>
      </c>
      <c r="M253" s="481">
        <f t="shared" si="12"/>
        <v>804636.49</v>
      </c>
    </row>
    <row r="254" spans="1:13">
      <c r="A254" t="s">
        <v>201</v>
      </c>
      <c r="B254" t="s">
        <v>2051</v>
      </c>
      <c r="C254" s="48">
        <v>0</v>
      </c>
      <c r="D254" s="48">
        <v>0</v>
      </c>
      <c r="E254" s="48">
        <v>0</v>
      </c>
      <c r="F254" s="48">
        <v>0</v>
      </c>
      <c r="G254" s="48">
        <v>0</v>
      </c>
      <c r="H254" s="48">
        <v>0</v>
      </c>
      <c r="I254" s="481">
        <f t="shared" si="10"/>
        <v>0</v>
      </c>
      <c r="L254" t="str">
        <f t="shared" si="11"/>
        <v>29801</v>
      </c>
      <c r="M254" s="481">
        <f t="shared" si="12"/>
        <v>0</v>
      </c>
    </row>
    <row r="255" spans="1:13">
      <c r="A255" t="s">
        <v>2052</v>
      </c>
      <c r="B255" t="s">
        <v>2053</v>
      </c>
      <c r="C255" s="48">
        <v>0</v>
      </c>
      <c r="D255" s="48">
        <v>0</v>
      </c>
      <c r="E255" s="48">
        <v>0</v>
      </c>
      <c r="F255" s="48">
        <v>0</v>
      </c>
      <c r="G255" s="48">
        <v>0</v>
      </c>
      <c r="H255" s="48">
        <v>0</v>
      </c>
      <c r="I255" s="481">
        <f t="shared" si="10"/>
        <v>0</v>
      </c>
      <c r="L255" t="str">
        <f t="shared" si="11"/>
        <v>29944</v>
      </c>
      <c r="M255" s="481">
        <f t="shared" si="12"/>
        <v>0</v>
      </c>
    </row>
    <row r="256" spans="1:13">
      <c r="A256" t="s">
        <v>543</v>
      </c>
      <c r="B256" t="s">
        <v>1832</v>
      </c>
      <c r="C256" s="48">
        <v>334.54</v>
      </c>
      <c r="D256" s="48">
        <v>0</v>
      </c>
      <c r="E256" s="48">
        <v>0</v>
      </c>
      <c r="F256" s="48">
        <v>34.39</v>
      </c>
      <c r="G256" s="48">
        <v>0</v>
      </c>
      <c r="H256" s="48">
        <v>8798.2999999999993</v>
      </c>
      <c r="I256" s="481">
        <f t="shared" si="10"/>
        <v>9167.23</v>
      </c>
      <c r="L256" t="str">
        <f t="shared" si="11"/>
        <v>30002</v>
      </c>
      <c r="M256" s="481">
        <f t="shared" si="12"/>
        <v>9167.23</v>
      </c>
    </row>
    <row r="257" spans="1:13">
      <c r="A257" t="s">
        <v>365</v>
      </c>
      <c r="B257" t="s">
        <v>1654</v>
      </c>
      <c r="C257" s="48">
        <v>221.99</v>
      </c>
      <c r="D257" s="48">
        <v>0</v>
      </c>
      <c r="E257" s="48">
        <v>0</v>
      </c>
      <c r="F257" s="48">
        <v>29.71</v>
      </c>
      <c r="G257" s="48">
        <v>0</v>
      </c>
      <c r="H257" s="48">
        <v>6848.85</v>
      </c>
      <c r="I257" s="481">
        <f t="shared" si="10"/>
        <v>7100.55</v>
      </c>
      <c r="L257" t="str">
        <f t="shared" si="11"/>
        <v>30029</v>
      </c>
      <c r="M257" s="481">
        <f t="shared" si="12"/>
        <v>7100.55</v>
      </c>
    </row>
    <row r="258" spans="1:13">
      <c r="A258" t="s">
        <v>349</v>
      </c>
      <c r="B258" t="s">
        <v>1638</v>
      </c>
      <c r="C258" s="48">
        <v>328.89</v>
      </c>
      <c r="D258" s="48">
        <v>169.6</v>
      </c>
      <c r="E258" s="48">
        <v>0</v>
      </c>
      <c r="F258" s="48">
        <v>0</v>
      </c>
      <c r="G258" s="48">
        <v>0</v>
      </c>
      <c r="H258" s="48">
        <v>18700.7</v>
      </c>
      <c r="I258" s="481">
        <f t="shared" si="10"/>
        <v>19199.190000000002</v>
      </c>
      <c r="L258" t="str">
        <f t="shared" si="11"/>
        <v>30031</v>
      </c>
      <c r="M258" s="481">
        <f t="shared" si="12"/>
        <v>19199.190000000002</v>
      </c>
    </row>
    <row r="259" spans="1:13">
      <c r="A259" t="s">
        <v>581</v>
      </c>
      <c r="B259" t="s">
        <v>1870</v>
      </c>
      <c r="C259" s="48">
        <v>4189.96</v>
      </c>
      <c r="D259" s="48">
        <v>2427.5500000000002</v>
      </c>
      <c r="E259" s="48">
        <v>390.83</v>
      </c>
      <c r="F259" s="48">
        <v>325.93</v>
      </c>
      <c r="G259" s="48">
        <v>0</v>
      </c>
      <c r="H259" s="48">
        <v>62588.35</v>
      </c>
      <c r="I259" s="481">
        <f t="shared" si="10"/>
        <v>69922.62</v>
      </c>
      <c r="L259" t="str">
        <f t="shared" si="11"/>
        <v>30303</v>
      </c>
      <c r="M259" s="481">
        <f t="shared" si="12"/>
        <v>69922.62</v>
      </c>
    </row>
    <row r="260" spans="1:13">
      <c r="A260" t="s">
        <v>205</v>
      </c>
      <c r="B260" t="s">
        <v>1494</v>
      </c>
      <c r="C260" s="48">
        <v>85768.25</v>
      </c>
      <c r="D260" s="48">
        <v>41864.32</v>
      </c>
      <c r="E260" s="48">
        <v>105995.59</v>
      </c>
      <c r="F260" s="48">
        <v>9893.52</v>
      </c>
      <c r="G260" s="48">
        <v>306508.63</v>
      </c>
      <c r="H260" s="48">
        <v>1901822.7</v>
      </c>
      <c r="I260" s="481">
        <f t="shared" si="10"/>
        <v>2451853.0099999998</v>
      </c>
      <c r="L260" t="str">
        <f t="shared" si="11"/>
        <v>31002</v>
      </c>
      <c r="M260" s="481">
        <f t="shared" si="12"/>
        <v>2451853.0099999998</v>
      </c>
    </row>
    <row r="261" spans="1:13">
      <c r="A261" t="s">
        <v>299</v>
      </c>
      <c r="B261" t="s">
        <v>1588</v>
      </c>
      <c r="C261" s="48">
        <v>29835.46</v>
      </c>
      <c r="D261" s="48">
        <v>0</v>
      </c>
      <c r="E261" s="48">
        <v>19928.02</v>
      </c>
      <c r="F261" s="48">
        <v>4723.13</v>
      </c>
      <c r="G261" s="48">
        <v>177210.27</v>
      </c>
      <c r="H261" s="48">
        <v>908725.08000000007</v>
      </c>
      <c r="I261" s="481">
        <f t="shared" ref="I261:I324" si="13">SUM(C261:H261)</f>
        <v>1140421.96</v>
      </c>
      <c r="L261" t="str">
        <f t="shared" ref="L261:L324" si="14">TEXT(A261, "00000")</f>
        <v>31004</v>
      </c>
      <c r="M261" s="481">
        <f t="shared" ref="M261:M324" si="15">I261</f>
        <v>1140421.96</v>
      </c>
    </row>
    <row r="262" spans="1:13">
      <c r="A262" t="s">
        <v>371</v>
      </c>
      <c r="B262" t="s">
        <v>1660</v>
      </c>
      <c r="C262" s="48">
        <v>84048.85</v>
      </c>
      <c r="D262" s="48">
        <v>42400.33</v>
      </c>
      <c r="E262" s="48">
        <v>108750.47</v>
      </c>
      <c r="F262" s="48">
        <v>7646.82</v>
      </c>
      <c r="G262" s="48">
        <v>251542.5</v>
      </c>
      <c r="H262" s="48">
        <v>1475075.02</v>
      </c>
      <c r="I262" s="481">
        <f t="shared" si="13"/>
        <v>1969463.99</v>
      </c>
      <c r="L262" t="str">
        <f t="shared" si="14"/>
        <v>31006</v>
      </c>
      <c r="M262" s="481">
        <f t="shared" si="15"/>
        <v>1969463.99</v>
      </c>
    </row>
    <row r="263" spans="1:13">
      <c r="A263" t="s">
        <v>169</v>
      </c>
      <c r="B263" t="s">
        <v>1466</v>
      </c>
      <c r="C263" s="48">
        <v>84591.82</v>
      </c>
      <c r="D263" s="48">
        <v>9112.14</v>
      </c>
      <c r="E263" s="48">
        <v>106886.62</v>
      </c>
      <c r="F263" s="48">
        <v>10069.299999999999</v>
      </c>
      <c r="G263" s="48">
        <v>360086.28</v>
      </c>
      <c r="H263" s="48">
        <v>1842177.88</v>
      </c>
      <c r="I263" s="481">
        <f t="shared" si="13"/>
        <v>2412924.04</v>
      </c>
      <c r="L263" t="str">
        <f t="shared" si="14"/>
        <v>31015</v>
      </c>
      <c r="M263" s="481">
        <f t="shared" si="15"/>
        <v>2412924.04</v>
      </c>
    </row>
    <row r="264" spans="1:13">
      <c r="A264" t="s">
        <v>43</v>
      </c>
      <c r="B264" t="s">
        <v>1340</v>
      </c>
      <c r="C264" s="48">
        <v>22520.84</v>
      </c>
      <c r="D264" s="48">
        <v>244.64</v>
      </c>
      <c r="E264" s="48">
        <v>9380.26</v>
      </c>
      <c r="F264" s="48">
        <v>2694.5</v>
      </c>
      <c r="G264" s="48">
        <v>95223.54</v>
      </c>
      <c r="H264" s="48">
        <v>497957.79</v>
      </c>
      <c r="I264" s="481">
        <f t="shared" si="13"/>
        <v>628021.56999999995</v>
      </c>
      <c r="L264" t="str">
        <f t="shared" si="14"/>
        <v>31016</v>
      </c>
      <c r="M264" s="481">
        <f t="shared" si="15"/>
        <v>628021.56999999995</v>
      </c>
    </row>
    <row r="265" spans="1:13">
      <c r="A265" t="s">
        <v>335</v>
      </c>
      <c r="B265" t="s">
        <v>1624</v>
      </c>
      <c r="C265" s="48">
        <v>59777.08</v>
      </c>
      <c r="D265" s="48">
        <v>31586.19</v>
      </c>
      <c r="E265" s="48">
        <v>28192.63</v>
      </c>
      <c r="F265" s="48">
        <v>4733.57</v>
      </c>
      <c r="G265" s="48">
        <v>169708.13</v>
      </c>
      <c r="H265" s="48">
        <v>897815.23</v>
      </c>
      <c r="I265" s="481">
        <f t="shared" si="13"/>
        <v>1191812.83</v>
      </c>
      <c r="L265" t="str">
        <f t="shared" si="14"/>
        <v>31025</v>
      </c>
      <c r="M265" s="481">
        <f t="shared" si="15"/>
        <v>1191812.83</v>
      </c>
    </row>
    <row r="266" spans="1:13">
      <c r="A266" t="s">
        <v>267</v>
      </c>
      <c r="B266" t="s">
        <v>1556</v>
      </c>
      <c r="C266" s="48">
        <v>111.38</v>
      </c>
      <c r="D266" s="48">
        <v>0</v>
      </c>
      <c r="E266" s="48">
        <v>0</v>
      </c>
      <c r="F266" s="48">
        <v>0</v>
      </c>
      <c r="G266" s="48">
        <v>418.36</v>
      </c>
      <c r="H266" s="48">
        <v>6247.62</v>
      </c>
      <c r="I266" s="481">
        <f t="shared" si="13"/>
        <v>6777.36</v>
      </c>
      <c r="L266" t="str">
        <f t="shared" si="14"/>
        <v>31063</v>
      </c>
      <c r="M266" s="481">
        <f t="shared" si="15"/>
        <v>6777.36</v>
      </c>
    </row>
    <row r="267" spans="1:13">
      <c r="A267" t="s">
        <v>351</v>
      </c>
      <c r="B267" t="s">
        <v>1640</v>
      </c>
      <c r="C267" s="48">
        <v>20441.400000000001</v>
      </c>
      <c r="D267" s="48">
        <v>3233.45</v>
      </c>
      <c r="E267" s="48">
        <v>21774.45</v>
      </c>
      <c r="F267" s="48">
        <v>2730.5</v>
      </c>
      <c r="G267" s="48">
        <v>89191.52</v>
      </c>
      <c r="H267" s="48">
        <v>447042.89</v>
      </c>
      <c r="I267" s="481">
        <f t="shared" si="13"/>
        <v>584414.21</v>
      </c>
      <c r="L267" t="str">
        <f t="shared" si="14"/>
        <v>31103</v>
      </c>
      <c r="M267" s="481">
        <f t="shared" si="15"/>
        <v>584414.21</v>
      </c>
    </row>
    <row r="268" spans="1:13">
      <c r="A268" t="s">
        <v>547</v>
      </c>
      <c r="B268" t="s">
        <v>1836</v>
      </c>
      <c r="C268" s="48">
        <v>21893.63</v>
      </c>
      <c r="D268" s="48">
        <v>0</v>
      </c>
      <c r="E268" s="48">
        <v>16576.759999999998</v>
      </c>
      <c r="F268" s="48">
        <v>4861.6499999999996</v>
      </c>
      <c r="G268" s="48">
        <v>150695.41</v>
      </c>
      <c r="H268" s="48">
        <v>909335.63</v>
      </c>
      <c r="I268" s="481">
        <f t="shared" si="13"/>
        <v>1103363.08</v>
      </c>
      <c r="L268" t="str">
        <f t="shared" si="14"/>
        <v>31201</v>
      </c>
      <c r="M268" s="481">
        <f t="shared" si="15"/>
        <v>1103363.08</v>
      </c>
    </row>
    <row r="269" spans="1:13">
      <c r="A269" t="s">
        <v>303</v>
      </c>
      <c r="B269" t="s">
        <v>1592</v>
      </c>
      <c r="C269" s="48">
        <v>11938.39</v>
      </c>
      <c r="D269" s="48">
        <v>0</v>
      </c>
      <c r="E269" s="48">
        <v>7310</v>
      </c>
      <c r="F269" s="48">
        <v>1238.7</v>
      </c>
      <c r="G269" s="48">
        <v>44342.07</v>
      </c>
      <c r="H269" s="48">
        <v>236996.8</v>
      </c>
      <c r="I269" s="481">
        <f t="shared" si="13"/>
        <v>301825.95999999996</v>
      </c>
      <c r="L269" t="str">
        <f t="shared" si="14"/>
        <v>31306</v>
      </c>
      <c r="M269" s="481">
        <f t="shared" si="15"/>
        <v>301825.95999999996</v>
      </c>
    </row>
    <row r="270" spans="1:13">
      <c r="A270" t="s">
        <v>583</v>
      </c>
      <c r="B270" t="s">
        <v>1872</v>
      </c>
      <c r="C270" s="48">
        <v>11933.14</v>
      </c>
      <c r="D270" s="48">
        <v>10003.17</v>
      </c>
      <c r="E270" s="48">
        <v>7577.21</v>
      </c>
      <c r="F270" s="48">
        <v>1016.32</v>
      </c>
      <c r="G270" s="48">
        <v>37443.870000000003</v>
      </c>
      <c r="H270" s="48">
        <v>193909.6</v>
      </c>
      <c r="I270" s="481">
        <f t="shared" si="13"/>
        <v>261883.31</v>
      </c>
      <c r="L270" t="str">
        <f t="shared" si="14"/>
        <v>31311</v>
      </c>
      <c r="M270" s="481">
        <f t="shared" si="15"/>
        <v>261883.31</v>
      </c>
    </row>
    <row r="271" spans="1:13">
      <c r="A271" t="s">
        <v>147</v>
      </c>
      <c r="B271" t="s">
        <v>1444</v>
      </c>
      <c r="C271" s="48">
        <v>2365.37</v>
      </c>
      <c r="D271" s="48">
        <v>1475.05</v>
      </c>
      <c r="E271" s="48">
        <v>0</v>
      </c>
      <c r="F271" s="48">
        <v>201.51</v>
      </c>
      <c r="G271" s="48">
        <v>7426.04</v>
      </c>
      <c r="H271" s="48">
        <v>48318.36</v>
      </c>
      <c r="I271" s="481">
        <f t="shared" si="13"/>
        <v>59786.33</v>
      </c>
      <c r="L271" t="str">
        <f t="shared" si="14"/>
        <v>31330</v>
      </c>
      <c r="M271" s="481">
        <f t="shared" si="15"/>
        <v>59786.33</v>
      </c>
    </row>
    <row r="272" spans="1:13">
      <c r="A272" t="s">
        <v>235</v>
      </c>
      <c r="B272" t="s">
        <v>1524</v>
      </c>
      <c r="C272" s="48">
        <v>10018.15</v>
      </c>
      <c r="D272" s="48">
        <v>1232.23</v>
      </c>
      <c r="E272" s="48">
        <v>2471.09</v>
      </c>
      <c r="F272" s="48">
        <v>1070.3699999999999</v>
      </c>
      <c r="G272" s="48">
        <v>40372.78</v>
      </c>
      <c r="H272" s="48">
        <v>187492.16</v>
      </c>
      <c r="I272" s="481">
        <f t="shared" si="13"/>
        <v>242656.78</v>
      </c>
      <c r="L272" t="str">
        <f t="shared" si="14"/>
        <v>31332</v>
      </c>
      <c r="M272" s="481">
        <f t="shared" si="15"/>
        <v>242656.78</v>
      </c>
    </row>
    <row r="273" spans="1:13">
      <c r="A273" t="s">
        <v>569</v>
      </c>
      <c r="B273" t="s">
        <v>1858</v>
      </c>
      <c r="C273" s="48">
        <v>15656.86</v>
      </c>
      <c r="D273" s="48">
        <v>0</v>
      </c>
      <c r="E273" s="48">
        <v>4094.88</v>
      </c>
      <c r="F273" s="48">
        <v>2346.37</v>
      </c>
      <c r="G273" s="48">
        <v>84358.16</v>
      </c>
      <c r="H273" s="48">
        <v>436090.72</v>
      </c>
      <c r="I273" s="481">
        <f t="shared" si="13"/>
        <v>542546.99</v>
      </c>
      <c r="L273" t="str">
        <f t="shared" si="14"/>
        <v>31401</v>
      </c>
      <c r="M273" s="481">
        <f t="shared" si="15"/>
        <v>542546.99</v>
      </c>
    </row>
    <row r="274" spans="1:13">
      <c r="A274" t="s">
        <v>2054</v>
      </c>
      <c r="B274" t="s">
        <v>2055</v>
      </c>
      <c r="C274" s="48">
        <v>0</v>
      </c>
      <c r="D274" s="48">
        <v>0</v>
      </c>
      <c r="E274" s="48">
        <v>0</v>
      </c>
      <c r="F274" s="48">
        <v>0</v>
      </c>
      <c r="G274" s="48">
        <v>0</v>
      </c>
      <c r="H274" s="48">
        <v>0</v>
      </c>
      <c r="I274" s="481">
        <f t="shared" si="13"/>
        <v>0</v>
      </c>
      <c r="L274" t="str">
        <f t="shared" si="14"/>
        <v>31932</v>
      </c>
      <c r="M274" s="481">
        <f t="shared" si="15"/>
        <v>0</v>
      </c>
    </row>
    <row r="275" spans="1:13">
      <c r="A275" t="s">
        <v>2056</v>
      </c>
      <c r="B275" t="s">
        <v>2057</v>
      </c>
      <c r="C275" s="48">
        <v>0</v>
      </c>
      <c r="D275" s="48">
        <v>0</v>
      </c>
      <c r="E275" s="48">
        <v>0</v>
      </c>
      <c r="F275" s="48">
        <v>0</v>
      </c>
      <c r="G275" s="48">
        <v>0</v>
      </c>
      <c r="H275" s="48">
        <v>0</v>
      </c>
      <c r="I275" s="481">
        <f t="shared" si="13"/>
        <v>0</v>
      </c>
      <c r="L275" t="str">
        <f t="shared" si="14"/>
        <v>31933</v>
      </c>
      <c r="M275" s="481">
        <f t="shared" si="15"/>
        <v>0</v>
      </c>
    </row>
    <row r="276" spans="1:13">
      <c r="A276" t="s">
        <v>561</v>
      </c>
      <c r="B276" t="s">
        <v>1850</v>
      </c>
      <c r="C276" s="48">
        <v>163829.70000000001</v>
      </c>
      <c r="D276" s="48">
        <v>78556.460000000006</v>
      </c>
      <c r="E276" s="48">
        <v>54788.03</v>
      </c>
      <c r="F276" s="48">
        <v>12322.82</v>
      </c>
      <c r="G276" s="48">
        <v>433746.61</v>
      </c>
      <c r="H276" s="48">
        <v>2275001.2599999998</v>
      </c>
      <c r="I276" s="481">
        <f t="shared" si="13"/>
        <v>3018244.88</v>
      </c>
      <c r="L276" t="str">
        <f t="shared" si="14"/>
        <v>32081</v>
      </c>
      <c r="M276" s="481">
        <f t="shared" si="15"/>
        <v>3018244.88</v>
      </c>
    </row>
    <row r="277" spans="1:13">
      <c r="A277" t="s">
        <v>427</v>
      </c>
      <c r="B277" t="s">
        <v>1716</v>
      </c>
      <c r="C277" s="48">
        <v>75.22</v>
      </c>
      <c r="D277" s="48">
        <v>0</v>
      </c>
      <c r="E277" s="48">
        <v>0</v>
      </c>
      <c r="F277" s="48">
        <v>0</v>
      </c>
      <c r="G277" s="48">
        <v>578.01</v>
      </c>
      <c r="H277" s="48">
        <v>8732.4</v>
      </c>
      <c r="I277" s="481">
        <f t="shared" si="13"/>
        <v>9385.6299999999992</v>
      </c>
      <c r="L277" t="str">
        <f t="shared" si="14"/>
        <v>32123</v>
      </c>
      <c r="M277" s="481">
        <f t="shared" si="15"/>
        <v>9385.6299999999992</v>
      </c>
    </row>
    <row r="278" spans="1:13">
      <c r="A278" t="s">
        <v>239</v>
      </c>
      <c r="B278" t="s">
        <v>1528</v>
      </c>
      <c r="C278" s="48">
        <v>143.06</v>
      </c>
      <c r="D278" s="48">
        <v>0</v>
      </c>
      <c r="E278" s="48">
        <v>0</v>
      </c>
      <c r="F278" s="48">
        <v>0</v>
      </c>
      <c r="G278" s="48">
        <v>603.26</v>
      </c>
      <c r="H278" s="48">
        <v>3874.35</v>
      </c>
      <c r="I278" s="481">
        <f t="shared" si="13"/>
        <v>4620.67</v>
      </c>
      <c r="L278" t="str">
        <f t="shared" si="14"/>
        <v>32312</v>
      </c>
      <c r="M278" s="481">
        <f t="shared" si="15"/>
        <v>4620.67</v>
      </c>
    </row>
    <row r="279" spans="1:13">
      <c r="A279" t="s">
        <v>383</v>
      </c>
      <c r="B279" t="s">
        <v>1672</v>
      </c>
      <c r="C279" s="48">
        <v>4264</v>
      </c>
      <c r="D279" s="48">
        <v>0</v>
      </c>
      <c r="E279" s="48">
        <v>280.69</v>
      </c>
      <c r="F279" s="48">
        <v>622.73</v>
      </c>
      <c r="G279" s="48">
        <v>19259.54</v>
      </c>
      <c r="H279" s="48">
        <v>113890.1</v>
      </c>
      <c r="I279" s="481">
        <f t="shared" si="13"/>
        <v>138317.06</v>
      </c>
      <c r="L279" t="str">
        <f t="shared" si="14"/>
        <v>32325</v>
      </c>
      <c r="M279" s="481">
        <f t="shared" si="15"/>
        <v>138317.06</v>
      </c>
    </row>
    <row r="280" spans="1:13">
      <c r="A280" t="s">
        <v>341</v>
      </c>
      <c r="B280" t="s">
        <v>1630</v>
      </c>
      <c r="C280" s="48">
        <v>6431.68</v>
      </c>
      <c r="D280" s="48">
        <v>0</v>
      </c>
      <c r="E280" s="48">
        <v>352.48</v>
      </c>
      <c r="F280" s="48">
        <v>725.62</v>
      </c>
      <c r="G280" s="48">
        <v>22864.47</v>
      </c>
      <c r="H280" s="48">
        <v>139473.60000000001</v>
      </c>
      <c r="I280" s="481">
        <f t="shared" si="13"/>
        <v>169847.85</v>
      </c>
      <c r="L280" t="str">
        <f t="shared" si="14"/>
        <v>32326</v>
      </c>
      <c r="M280" s="481">
        <f t="shared" si="15"/>
        <v>169847.85</v>
      </c>
    </row>
    <row r="281" spans="1:13">
      <c r="A281" t="s">
        <v>339</v>
      </c>
      <c r="B281" t="s">
        <v>1628</v>
      </c>
      <c r="C281" s="48">
        <v>31553.57</v>
      </c>
      <c r="D281" s="48">
        <v>1863.58</v>
      </c>
      <c r="E281" s="48">
        <v>9652.27</v>
      </c>
      <c r="F281" s="48">
        <v>4474.13</v>
      </c>
      <c r="G281" s="48">
        <v>156960.16</v>
      </c>
      <c r="H281" s="48">
        <v>786871.26</v>
      </c>
      <c r="I281" s="481">
        <f t="shared" si="13"/>
        <v>991374.97</v>
      </c>
      <c r="L281" t="str">
        <f t="shared" si="14"/>
        <v>32354</v>
      </c>
      <c r="M281" s="481">
        <f t="shared" si="15"/>
        <v>991374.97</v>
      </c>
    </row>
    <row r="282" spans="1:13">
      <c r="A282" t="s">
        <v>95</v>
      </c>
      <c r="B282" t="s">
        <v>1392</v>
      </c>
      <c r="C282" s="48">
        <v>57694.32</v>
      </c>
      <c r="D282" s="48">
        <v>13488.34</v>
      </c>
      <c r="E282" s="48">
        <v>18792.25</v>
      </c>
      <c r="F282" s="48">
        <v>6264.08</v>
      </c>
      <c r="G282" s="48">
        <v>225100.81</v>
      </c>
      <c r="H282" s="48">
        <v>1183109.9299999997</v>
      </c>
      <c r="I282" s="481">
        <f t="shared" si="13"/>
        <v>1504449.7299999997</v>
      </c>
      <c r="L282" t="str">
        <f t="shared" si="14"/>
        <v>32356</v>
      </c>
      <c r="M282" s="481">
        <f t="shared" si="15"/>
        <v>1504449.7299999997</v>
      </c>
    </row>
    <row r="283" spans="1:13">
      <c r="A283" t="s">
        <v>221</v>
      </c>
      <c r="B283" t="s">
        <v>1510</v>
      </c>
      <c r="C283" s="48">
        <v>1831.37</v>
      </c>
      <c r="D283" s="48">
        <v>0</v>
      </c>
      <c r="E283" s="48">
        <v>151.85</v>
      </c>
      <c r="F283" s="48">
        <v>371.19</v>
      </c>
      <c r="G283" s="48">
        <v>10698.82</v>
      </c>
      <c r="H283" s="48">
        <v>71285.42</v>
      </c>
      <c r="I283" s="481">
        <f t="shared" si="13"/>
        <v>84338.65</v>
      </c>
      <c r="L283" t="str">
        <f t="shared" si="14"/>
        <v>32358</v>
      </c>
      <c r="M283" s="481">
        <f t="shared" si="15"/>
        <v>84338.65</v>
      </c>
    </row>
    <row r="284" spans="1:13">
      <c r="A284" t="s">
        <v>101</v>
      </c>
      <c r="B284" t="s">
        <v>1398</v>
      </c>
      <c r="C284" s="48">
        <v>26021.69</v>
      </c>
      <c r="D284" s="48">
        <v>9471.2900000000009</v>
      </c>
      <c r="E284" s="48">
        <v>10372.39</v>
      </c>
      <c r="F284" s="48">
        <v>2290.4</v>
      </c>
      <c r="G284" s="48">
        <v>85029.71</v>
      </c>
      <c r="H284" s="48">
        <v>420339.51</v>
      </c>
      <c r="I284" s="481">
        <f t="shared" si="13"/>
        <v>553524.99</v>
      </c>
      <c r="L284" t="str">
        <f t="shared" si="14"/>
        <v>32360</v>
      </c>
      <c r="M284" s="481">
        <f t="shared" si="15"/>
        <v>553524.99</v>
      </c>
    </row>
    <row r="285" spans="1:13">
      <c r="A285" t="s">
        <v>159</v>
      </c>
      <c r="B285" t="s">
        <v>1456</v>
      </c>
      <c r="C285" s="48">
        <v>20964.14</v>
      </c>
      <c r="D285" s="48">
        <v>13040.47</v>
      </c>
      <c r="E285" s="48">
        <v>3967.97</v>
      </c>
      <c r="F285" s="48">
        <v>1513.87</v>
      </c>
      <c r="G285" s="48">
        <v>56149.39</v>
      </c>
      <c r="H285" s="48">
        <v>276243.99999999994</v>
      </c>
      <c r="I285" s="481">
        <f t="shared" si="13"/>
        <v>371879.83999999997</v>
      </c>
      <c r="L285" t="str">
        <f t="shared" si="14"/>
        <v>32361</v>
      </c>
      <c r="M285" s="481">
        <f t="shared" si="15"/>
        <v>371879.83999999997</v>
      </c>
    </row>
    <row r="286" spans="1:13">
      <c r="A286" t="s">
        <v>307</v>
      </c>
      <c r="B286" t="s">
        <v>1596</v>
      </c>
      <c r="C286" s="48">
        <v>2210.7600000000002</v>
      </c>
      <c r="D286" s="48">
        <v>0</v>
      </c>
      <c r="E286" s="48">
        <v>0</v>
      </c>
      <c r="F286" s="48">
        <v>252.19</v>
      </c>
      <c r="G286" s="48">
        <v>5939.58</v>
      </c>
      <c r="H286" s="48">
        <v>52400.299999999996</v>
      </c>
      <c r="I286" s="481">
        <f t="shared" si="13"/>
        <v>60802.829999999994</v>
      </c>
      <c r="L286" t="str">
        <f t="shared" si="14"/>
        <v>32362</v>
      </c>
      <c r="M286" s="481">
        <f t="shared" si="15"/>
        <v>60802.829999999994</v>
      </c>
    </row>
    <row r="287" spans="1:13">
      <c r="A287" t="s">
        <v>661</v>
      </c>
      <c r="B287" t="s">
        <v>1950</v>
      </c>
      <c r="C287" s="48">
        <v>18402.79</v>
      </c>
      <c r="D287" s="48">
        <v>8110.03</v>
      </c>
      <c r="E287" s="48">
        <v>2954.06</v>
      </c>
      <c r="F287" s="48">
        <v>1427.62</v>
      </c>
      <c r="G287" s="48">
        <v>45734.09</v>
      </c>
      <c r="H287" s="48">
        <v>217119.83</v>
      </c>
      <c r="I287" s="481">
        <f t="shared" si="13"/>
        <v>293748.42</v>
      </c>
      <c r="L287" t="str">
        <f t="shared" si="14"/>
        <v>32363</v>
      </c>
      <c r="M287" s="481">
        <f t="shared" si="15"/>
        <v>293748.42</v>
      </c>
    </row>
    <row r="288" spans="1:13">
      <c r="A288" t="s">
        <v>153</v>
      </c>
      <c r="B288" t="s">
        <v>1450</v>
      </c>
      <c r="C288" s="48">
        <v>12839.77</v>
      </c>
      <c r="D288" s="48">
        <v>5883.06</v>
      </c>
      <c r="E288" s="48">
        <v>802.3</v>
      </c>
      <c r="F288" s="48">
        <v>1120.8699999999999</v>
      </c>
      <c r="G288" s="48">
        <v>32649.41</v>
      </c>
      <c r="H288" s="48">
        <v>161505.88999999998</v>
      </c>
      <c r="I288" s="481">
        <f t="shared" si="13"/>
        <v>214801.3</v>
      </c>
      <c r="L288" t="str">
        <f t="shared" si="14"/>
        <v>32414</v>
      </c>
      <c r="M288" s="481">
        <f t="shared" si="15"/>
        <v>214801.3</v>
      </c>
    </row>
    <row r="289" spans="1:13">
      <c r="A289" t="s">
        <v>509</v>
      </c>
      <c r="B289" t="s">
        <v>1798</v>
      </c>
      <c r="C289" s="48">
        <v>7375.56</v>
      </c>
      <c r="D289" s="48">
        <v>4085.24</v>
      </c>
      <c r="E289" s="48">
        <v>284.64</v>
      </c>
      <c r="F289" s="48">
        <v>638.59</v>
      </c>
      <c r="G289" s="48">
        <v>19775.61</v>
      </c>
      <c r="H289" s="48">
        <v>113320.63</v>
      </c>
      <c r="I289" s="481">
        <f t="shared" si="13"/>
        <v>145480.27000000002</v>
      </c>
      <c r="L289" t="str">
        <f t="shared" si="14"/>
        <v>32416</v>
      </c>
      <c r="M289" s="481">
        <f t="shared" si="15"/>
        <v>145480.27000000002</v>
      </c>
    </row>
    <row r="290" spans="1:13">
      <c r="A290" t="s">
        <v>185</v>
      </c>
      <c r="B290" t="s">
        <v>2058</v>
      </c>
      <c r="C290" s="48">
        <v>0</v>
      </c>
      <c r="D290" s="48">
        <v>0</v>
      </c>
      <c r="E290" s="48">
        <v>0</v>
      </c>
      <c r="F290" s="48">
        <v>0</v>
      </c>
      <c r="G290" s="48">
        <v>0</v>
      </c>
      <c r="H290" s="48">
        <v>0</v>
      </c>
      <c r="I290" s="481">
        <f t="shared" si="13"/>
        <v>0</v>
      </c>
      <c r="L290" t="str">
        <f t="shared" si="14"/>
        <v>32801</v>
      </c>
      <c r="M290" s="481">
        <f t="shared" si="15"/>
        <v>0</v>
      </c>
    </row>
    <row r="291" spans="1:13">
      <c r="A291" t="s">
        <v>563</v>
      </c>
      <c r="B291" t="s">
        <v>1852</v>
      </c>
      <c r="C291" s="48">
        <v>3350.16</v>
      </c>
      <c r="D291" s="48">
        <v>0</v>
      </c>
      <c r="E291" s="48">
        <v>1023.9</v>
      </c>
      <c r="F291" s="48">
        <v>327.83</v>
      </c>
      <c r="G291" s="48">
        <v>9634.93</v>
      </c>
      <c r="H291" s="48">
        <v>77721.16</v>
      </c>
      <c r="I291" s="481">
        <f t="shared" si="13"/>
        <v>92057.98000000001</v>
      </c>
      <c r="L291" t="str">
        <f t="shared" si="14"/>
        <v>32901</v>
      </c>
      <c r="M291" s="481">
        <f t="shared" si="15"/>
        <v>92057.98000000001</v>
      </c>
    </row>
    <row r="292" spans="1:13">
      <c r="A292" t="s">
        <v>2059</v>
      </c>
      <c r="B292" t="s">
        <v>2060</v>
      </c>
      <c r="C292" s="48">
        <v>0</v>
      </c>
      <c r="D292" s="48">
        <v>0</v>
      </c>
      <c r="E292" s="48">
        <v>0</v>
      </c>
      <c r="F292" s="48">
        <v>0</v>
      </c>
      <c r="G292" s="48">
        <v>0</v>
      </c>
      <c r="H292" s="48">
        <v>0</v>
      </c>
      <c r="I292" s="481">
        <f t="shared" si="13"/>
        <v>0</v>
      </c>
      <c r="L292" t="str">
        <f t="shared" si="14"/>
        <v>32902</v>
      </c>
      <c r="M292" s="481">
        <f t="shared" si="15"/>
        <v>0</v>
      </c>
    </row>
    <row r="293" spans="1:13">
      <c r="A293" t="s">
        <v>317</v>
      </c>
      <c r="B293" t="s">
        <v>1606</v>
      </c>
      <c r="C293" s="48">
        <v>308.37</v>
      </c>
      <c r="D293" s="48">
        <v>151.19</v>
      </c>
      <c r="E293" s="48">
        <v>0</v>
      </c>
      <c r="F293" s="48">
        <v>0</v>
      </c>
      <c r="G293" s="48">
        <v>148.46</v>
      </c>
      <c r="H293" s="48">
        <v>13482.94</v>
      </c>
      <c r="I293" s="481">
        <f t="shared" si="13"/>
        <v>14090.960000000001</v>
      </c>
      <c r="L293" t="str">
        <f t="shared" si="14"/>
        <v>32903</v>
      </c>
      <c r="M293" s="481">
        <f t="shared" si="15"/>
        <v>14090.960000000001</v>
      </c>
    </row>
    <row r="294" spans="1:13">
      <c r="A294" t="s">
        <v>467</v>
      </c>
      <c r="B294" t="s">
        <v>1756</v>
      </c>
      <c r="C294" s="48">
        <v>2678.02</v>
      </c>
      <c r="D294" s="48">
        <v>2215.4699999999998</v>
      </c>
      <c r="E294" s="48">
        <v>0</v>
      </c>
      <c r="F294" s="48">
        <v>184.13</v>
      </c>
      <c r="G294" s="48">
        <v>5331.39</v>
      </c>
      <c r="H294" s="48">
        <v>31631.87</v>
      </c>
      <c r="I294" s="481">
        <f t="shared" si="13"/>
        <v>42040.88</v>
      </c>
      <c r="L294" t="str">
        <f t="shared" si="14"/>
        <v>32907</v>
      </c>
      <c r="M294" s="481">
        <f t="shared" si="15"/>
        <v>42040.88</v>
      </c>
    </row>
    <row r="295" spans="1:13">
      <c r="A295" t="s">
        <v>2061</v>
      </c>
      <c r="B295" t="s">
        <v>2062</v>
      </c>
      <c r="C295" s="48">
        <v>0</v>
      </c>
      <c r="D295" s="48">
        <v>0</v>
      </c>
      <c r="E295" s="48">
        <v>0</v>
      </c>
      <c r="F295" s="48">
        <v>0</v>
      </c>
      <c r="G295" s="48">
        <v>0</v>
      </c>
      <c r="H295" s="48">
        <v>0</v>
      </c>
      <c r="I295" s="481">
        <f t="shared" si="13"/>
        <v>0</v>
      </c>
      <c r="L295" t="str">
        <f t="shared" si="14"/>
        <v>32911</v>
      </c>
      <c r="M295" s="481">
        <f t="shared" si="15"/>
        <v>0</v>
      </c>
    </row>
    <row r="296" spans="1:13">
      <c r="A296" t="s">
        <v>2063</v>
      </c>
      <c r="B296" t="s">
        <v>2064</v>
      </c>
      <c r="C296" s="48">
        <v>0</v>
      </c>
      <c r="D296" s="48">
        <v>0</v>
      </c>
      <c r="E296" s="48">
        <v>0</v>
      </c>
      <c r="F296" s="48">
        <v>0</v>
      </c>
      <c r="G296" s="48">
        <v>0</v>
      </c>
      <c r="H296" s="48">
        <v>0</v>
      </c>
      <c r="I296" s="481">
        <f t="shared" si="13"/>
        <v>0</v>
      </c>
      <c r="L296" t="str">
        <f t="shared" si="14"/>
        <v>32931</v>
      </c>
      <c r="M296" s="481">
        <f t="shared" si="15"/>
        <v>0</v>
      </c>
    </row>
    <row r="297" spans="1:13">
      <c r="A297" t="s">
        <v>2065</v>
      </c>
      <c r="B297" t="s">
        <v>2066</v>
      </c>
      <c r="C297" s="48">
        <v>0</v>
      </c>
      <c r="D297" s="48">
        <v>0</v>
      </c>
      <c r="E297" s="48">
        <v>0</v>
      </c>
      <c r="F297" s="48">
        <v>0</v>
      </c>
      <c r="G297" s="48">
        <v>0</v>
      </c>
      <c r="H297" s="48">
        <v>0</v>
      </c>
      <c r="I297" s="481">
        <f t="shared" si="13"/>
        <v>0</v>
      </c>
      <c r="L297" t="str">
        <f t="shared" si="14"/>
        <v>32948</v>
      </c>
      <c r="M297" s="481">
        <f t="shared" si="15"/>
        <v>0</v>
      </c>
    </row>
    <row r="298" spans="1:13">
      <c r="A298" t="s">
        <v>423</v>
      </c>
      <c r="B298" t="s">
        <v>1712</v>
      </c>
      <c r="C298" s="48">
        <v>297.85000000000002</v>
      </c>
      <c r="D298" s="48">
        <v>169.99</v>
      </c>
      <c r="E298" s="48">
        <v>0</v>
      </c>
      <c r="F298" s="48">
        <v>16.54</v>
      </c>
      <c r="G298" s="48">
        <v>576.65</v>
      </c>
      <c r="H298" s="48">
        <v>5561.45</v>
      </c>
      <c r="I298" s="481">
        <f t="shared" si="13"/>
        <v>6622.48</v>
      </c>
      <c r="L298" t="str">
        <f t="shared" si="14"/>
        <v>33030</v>
      </c>
      <c r="M298" s="481">
        <f t="shared" si="15"/>
        <v>6622.48</v>
      </c>
    </row>
    <row r="299" spans="1:13">
      <c r="A299" t="s">
        <v>103</v>
      </c>
      <c r="B299" t="s">
        <v>1400</v>
      </c>
      <c r="C299" s="48">
        <v>4431.82</v>
      </c>
      <c r="D299" s="48">
        <v>3362.58</v>
      </c>
      <c r="E299" s="48">
        <v>36.869999999999997</v>
      </c>
      <c r="F299" s="48">
        <v>346.58</v>
      </c>
      <c r="G299" s="48">
        <v>11161.63</v>
      </c>
      <c r="H299" s="48">
        <v>54737.89</v>
      </c>
      <c r="I299" s="481">
        <f t="shared" si="13"/>
        <v>74077.37</v>
      </c>
      <c r="L299" t="str">
        <f t="shared" si="14"/>
        <v>33036</v>
      </c>
      <c r="M299" s="481">
        <f t="shared" si="15"/>
        <v>74077.37</v>
      </c>
    </row>
    <row r="300" spans="1:13">
      <c r="A300" t="s">
        <v>657</v>
      </c>
      <c r="B300" t="s">
        <v>1946</v>
      </c>
      <c r="C300" s="48">
        <v>3153.16</v>
      </c>
      <c r="D300" s="48">
        <v>1685.72</v>
      </c>
      <c r="E300" s="48">
        <v>0</v>
      </c>
      <c r="F300" s="48">
        <v>175.5</v>
      </c>
      <c r="G300" s="48">
        <v>6107.86</v>
      </c>
      <c r="H300" s="48">
        <v>34963.519999999997</v>
      </c>
      <c r="I300" s="481">
        <f t="shared" si="13"/>
        <v>46085.759999999995</v>
      </c>
      <c r="L300" t="str">
        <f t="shared" si="14"/>
        <v>33049</v>
      </c>
      <c r="M300" s="481">
        <f t="shared" si="15"/>
        <v>46085.759999999995</v>
      </c>
    </row>
    <row r="301" spans="1:13">
      <c r="A301" t="s">
        <v>631</v>
      </c>
      <c r="B301" t="s">
        <v>1920</v>
      </c>
      <c r="C301" s="48">
        <v>2555.86</v>
      </c>
      <c r="D301" s="48">
        <v>970.44</v>
      </c>
      <c r="E301" s="48">
        <v>1058.9100000000001</v>
      </c>
      <c r="F301" s="48">
        <v>421.8</v>
      </c>
      <c r="G301" s="48">
        <v>9241.2199999999993</v>
      </c>
      <c r="H301" s="48">
        <v>27885.87</v>
      </c>
      <c r="I301" s="481">
        <f t="shared" si="13"/>
        <v>42134.1</v>
      </c>
      <c r="L301" t="str">
        <f t="shared" si="14"/>
        <v>33070</v>
      </c>
      <c r="M301" s="481">
        <f t="shared" si="15"/>
        <v>42134.1</v>
      </c>
    </row>
    <row r="302" spans="1:13">
      <c r="A302" t="s">
        <v>125</v>
      </c>
      <c r="B302" t="s">
        <v>1422</v>
      </c>
      <c r="C302" s="48">
        <v>9978.98</v>
      </c>
      <c r="D302" s="48">
        <v>5287.04</v>
      </c>
      <c r="E302" s="48">
        <v>296.02</v>
      </c>
      <c r="F302" s="48">
        <v>722.42</v>
      </c>
      <c r="G302" s="48">
        <v>27316.28</v>
      </c>
      <c r="H302" s="48">
        <v>136119.63</v>
      </c>
      <c r="I302" s="481">
        <f t="shared" si="13"/>
        <v>179720.37</v>
      </c>
      <c r="L302" t="str">
        <f t="shared" si="14"/>
        <v>33115</v>
      </c>
      <c r="M302" s="481">
        <f t="shared" si="15"/>
        <v>179720.37</v>
      </c>
    </row>
    <row r="303" spans="1:13">
      <c r="A303" t="s">
        <v>313</v>
      </c>
      <c r="B303" t="s">
        <v>1602</v>
      </c>
      <c r="C303" s="48">
        <v>1190.18</v>
      </c>
      <c r="D303" s="48">
        <v>463.09</v>
      </c>
      <c r="E303" s="48">
        <v>0</v>
      </c>
      <c r="F303" s="48">
        <v>104.72</v>
      </c>
      <c r="G303" s="48">
        <v>1489.38</v>
      </c>
      <c r="H303" s="48">
        <v>9050.9699999999993</v>
      </c>
      <c r="I303" s="481">
        <f t="shared" si="13"/>
        <v>12298.34</v>
      </c>
      <c r="L303" t="str">
        <f t="shared" si="14"/>
        <v>33183</v>
      </c>
      <c r="M303" s="481">
        <f t="shared" si="15"/>
        <v>12298.34</v>
      </c>
    </row>
    <row r="304" spans="1:13">
      <c r="A304" t="s">
        <v>585</v>
      </c>
      <c r="B304" t="s">
        <v>1874</v>
      </c>
      <c r="C304" s="48">
        <v>607.63</v>
      </c>
      <c r="D304" s="48">
        <v>327.41000000000003</v>
      </c>
      <c r="E304" s="48">
        <v>0</v>
      </c>
      <c r="F304" s="48">
        <v>35.4</v>
      </c>
      <c r="G304" s="48">
        <v>1206.23</v>
      </c>
      <c r="H304" s="48">
        <v>8723.56</v>
      </c>
      <c r="I304" s="481">
        <f t="shared" si="13"/>
        <v>10900.23</v>
      </c>
      <c r="L304" t="str">
        <f t="shared" si="14"/>
        <v>33202</v>
      </c>
      <c r="M304" s="481">
        <f t="shared" si="15"/>
        <v>10900.23</v>
      </c>
    </row>
    <row r="305" spans="1:13">
      <c r="A305" t="s">
        <v>209</v>
      </c>
      <c r="B305" t="s">
        <v>1498</v>
      </c>
      <c r="C305" s="48">
        <v>266.94</v>
      </c>
      <c r="D305" s="48">
        <v>141.58000000000001</v>
      </c>
      <c r="E305" s="48">
        <v>0</v>
      </c>
      <c r="F305" s="48">
        <v>0</v>
      </c>
      <c r="G305" s="48">
        <v>498.59</v>
      </c>
      <c r="H305" s="48">
        <v>4091.14</v>
      </c>
      <c r="I305" s="481">
        <f t="shared" si="13"/>
        <v>4998.25</v>
      </c>
      <c r="L305" t="str">
        <f t="shared" si="14"/>
        <v>33205</v>
      </c>
      <c r="M305" s="481">
        <f t="shared" si="15"/>
        <v>4998.25</v>
      </c>
    </row>
    <row r="306" spans="1:13">
      <c r="A306" t="s">
        <v>121</v>
      </c>
      <c r="B306" t="s">
        <v>1418</v>
      </c>
      <c r="C306" s="48">
        <v>943.88</v>
      </c>
      <c r="D306" s="48">
        <v>572.23</v>
      </c>
      <c r="E306" s="48">
        <v>0</v>
      </c>
      <c r="F306" s="48">
        <v>0</v>
      </c>
      <c r="G306" s="48">
        <v>1541.67</v>
      </c>
      <c r="H306" s="48">
        <v>19432.210000000003</v>
      </c>
      <c r="I306" s="481">
        <f t="shared" si="13"/>
        <v>22489.99</v>
      </c>
      <c r="L306" t="str">
        <f t="shared" si="14"/>
        <v>33206</v>
      </c>
      <c r="M306" s="481">
        <f t="shared" si="15"/>
        <v>22489.99</v>
      </c>
    </row>
    <row r="307" spans="1:13">
      <c r="A307" t="s">
        <v>333</v>
      </c>
      <c r="B307" t="s">
        <v>1622</v>
      </c>
      <c r="C307" s="48">
        <v>3632.48</v>
      </c>
      <c r="D307" s="48">
        <v>2126.69</v>
      </c>
      <c r="E307" s="48">
        <v>0</v>
      </c>
      <c r="F307" s="48">
        <v>0</v>
      </c>
      <c r="G307" s="48">
        <v>7195.19</v>
      </c>
      <c r="H307" s="48">
        <v>37798.11</v>
      </c>
      <c r="I307" s="481">
        <f t="shared" si="13"/>
        <v>50752.47</v>
      </c>
      <c r="L307" t="str">
        <f t="shared" si="14"/>
        <v>33207</v>
      </c>
      <c r="M307" s="481">
        <f t="shared" si="15"/>
        <v>50752.47</v>
      </c>
    </row>
    <row r="308" spans="1:13">
      <c r="A308" t="s">
        <v>399</v>
      </c>
      <c r="B308" t="s">
        <v>1688</v>
      </c>
      <c r="C308" s="48">
        <v>1609.03</v>
      </c>
      <c r="D308" s="48">
        <v>709.39</v>
      </c>
      <c r="E308" s="48">
        <v>0</v>
      </c>
      <c r="F308" s="48">
        <v>112.09</v>
      </c>
      <c r="G308" s="48">
        <v>3424.03</v>
      </c>
      <c r="H308" s="48">
        <v>21926.13</v>
      </c>
      <c r="I308" s="481">
        <f t="shared" si="13"/>
        <v>27780.670000000002</v>
      </c>
      <c r="L308" t="str">
        <f t="shared" si="14"/>
        <v>33211</v>
      </c>
      <c r="M308" s="481">
        <f t="shared" si="15"/>
        <v>27780.670000000002</v>
      </c>
    </row>
    <row r="309" spans="1:13">
      <c r="A309" t="s">
        <v>283</v>
      </c>
      <c r="B309" t="s">
        <v>1572</v>
      </c>
      <c r="C309" s="48">
        <v>5550.92</v>
      </c>
      <c r="D309" s="48">
        <v>3402.76</v>
      </c>
      <c r="E309" s="48">
        <v>0</v>
      </c>
      <c r="F309" s="48">
        <v>467.84</v>
      </c>
      <c r="G309" s="48">
        <v>12981.42</v>
      </c>
      <c r="H309" s="48">
        <v>60234.27</v>
      </c>
      <c r="I309" s="481">
        <f t="shared" si="13"/>
        <v>82637.209999999992</v>
      </c>
      <c r="L309" t="str">
        <f t="shared" si="14"/>
        <v>33212</v>
      </c>
      <c r="M309" s="481">
        <f t="shared" si="15"/>
        <v>82637.209999999992</v>
      </c>
    </row>
    <row r="310" spans="1:13">
      <c r="A310" t="s">
        <v>693</v>
      </c>
      <c r="B310" t="s">
        <v>1982</v>
      </c>
      <c r="C310" s="48">
        <v>25872.74</v>
      </c>
      <c r="D310" s="48">
        <v>2984.36</v>
      </c>
      <c r="E310" s="48">
        <v>5113.58</v>
      </c>
      <c r="F310" s="48">
        <v>2548.1999999999998</v>
      </c>
      <c r="G310" s="48">
        <v>90713.42</v>
      </c>
      <c r="H310" s="48">
        <v>479222.58</v>
      </c>
      <c r="I310" s="481">
        <f t="shared" si="13"/>
        <v>606454.88</v>
      </c>
      <c r="L310" t="str">
        <f t="shared" si="14"/>
        <v>34002</v>
      </c>
      <c r="M310" s="481">
        <f t="shared" si="15"/>
        <v>606454.88</v>
      </c>
    </row>
    <row r="311" spans="1:13">
      <c r="A311" t="s">
        <v>397</v>
      </c>
      <c r="B311" t="s">
        <v>1686</v>
      </c>
      <c r="C311" s="48">
        <v>62346.09</v>
      </c>
      <c r="D311" s="48">
        <v>15604.12</v>
      </c>
      <c r="E311" s="48">
        <v>23811.84</v>
      </c>
      <c r="F311" s="48">
        <v>6341.04</v>
      </c>
      <c r="G311" s="48">
        <v>242123.83</v>
      </c>
      <c r="H311" s="48">
        <v>1183876.6000000001</v>
      </c>
      <c r="I311" s="481">
        <f t="shared" si="13"/>
        <v>1534103.52</v>
      </c>
      <c r="L311" t="str">
        <f t="shared" si="14"/>
        <v>34003</v>
      </c>
      <c r="M311" s="481">
        <f t="shared" si="15"/>
        <v>1534103.52</v>
      </c>
    </row>
    <row r="312" spans="1:13">
      <c r="A312" t="s">
        <v>625</v>
      </c>
      <c r="B312" t="s">
        <v>1914</v>
      </c>
      <c r="C312" s="48">
        <v>20601.740000000002</v>
      </c>
      <c r="D312" s="48">
        <v>0</v>
      </c>
      <c r="E312" s="48">
        <v>3899.42</v>
      </c>
      <c r="F312" s="48">
        <v>2800.68</v>
      </c>
      <c r="G312" s="48">
        <v>85705.86</v>
      </c>
      <c r="H312" s="48">
        <v>526299.32999999996</v>
      </c>
      <c r="I312" s="481">
        <f t="shared" si="13"/>
        <v>639307.03</v>
      </c>
      <c r="L312" t="str">
        <f t="shared" si="14"/>
        <v>34033</v>
      </c>
      <c r="M312" s="481">
        <f t="shared" si="15"/>
        <v>639307.03</v>
      </c>
    </row>
    <row r="313" spans="1:13">
      <c r="A313" t="s">
        <v>417</v>
      </c>
      <c r="B313" t="s">
        <v>1706</v>
      </c>
      <c r="C313" s="48">
        <v>29605.62</v>
      </c>
      <c r="D313" s="48">
        <v>2829.88</v>
      </c>
      <c r="E313" s="48">
        <v>8994.27</v>
      </c>
      <c r="F313" s="48">
        <v>4170.4399999999996</v>
      </c>
      <c r="G313" s="48">
        <v>148376.68</v>
      </c>
      <c r="H313" s="48">
        <v>731767.54999999993</v>
      </c>
      <c r="I313" s="481">
        <f t="shared" si="13"/>
        <v>925744.44</v>
      </c>
      <c r="L313" t="str">
        <f t="shared" si="14"/>
        <v>34111</v>
      </c>
      <c r="M313" s="481">
        <f t="shared" si="15"/>
        <v>925744.44</v>
      </c>
    </row>
    <row r="314" spans="1:13">
      <c r="A314" t="s">
        <v>489</v>
      </c>
      <c r="B314" t="s">
        <v>1778</v>
      </c>
      <c r="C314" s="48">
        <v>3654.59</v>
      </c>
      <c r="D314" s="48">
        <v>0</v>
      </c>
      <c r="E314" s="48">
        <v>0</v>
      </c>
      <c r="F314" s="48">
        <v>395.25</v>
      </c>
      <c r="G314" s="48">
        <v>13699.8</v>
      </c>
      <c r="H314" s="48">
        <v>77665.399999999994</v>
      </c>
      <c r="I314" s="481">
        <f t="shared" si="13"/>
        <v>95415.039999999994</v>
      </c>
      <c r="L314" t="str">
        <f t="shared" si="14"/>
        <v>34307</v>
      </c>
      <c r="M314" s="481">
        <f t="shared" si="15"/>
        <v>95415.039999999994</v>
      </c>
    </row>
    <row r="315" spans="1:13">
      <c r="A315" t="s">
        <v>243</v>
      </c>
      <c r="B315" t="s">
        <v>1532</v>
      </c>
      <c r="C315" s="48">
        <v>1193.1300000000001</v>
      </c>
      <c r="D315" s="48">
        <v>0</v>
      </c>
      <c r="E315" s="48">
        <v>0</v>
      </c>
      <c r="F315" s="48">
        <v>234.5</v>
      </c>
      <c r="G315" s="48">
        <v>8830.6299999999992</v>
      </c>
      <c r="H315" s="48">
        <v>47545.2</v>
      </c>
      <c r="I315" s="481">
        <f t="shared" si="13"/>
        <v>57803.459999999992</v>
      </c>
      <c r="L315" t="str">
        <f t="shared" si="14"/>
        <v>34324</v>
      </c>
      <c r="M315" s="481">
        <f t="shared" si="15"/>
        <v>57803.459999999992</v>
      </c>
    </row>
    <row r="316" spans="1:13">
      <c r="A316" t="s">
        <v>513</v>
      </c>
      <c r="B316" t="s">
        <v>1802</v>
      </c>
      <c r="C316" s="48">
        <v>11550.77</v>
      </c>
      <c r="D316" s="48">
        <v>6669.13</v>
      </c>
      <c r="E316" s="48">
        <v>5194.32</v>
      </c>
      <c r="F316" s="48">
        <v>883.41</v>
      </c>
      <c r="G316" s="48">
        <v>31322.01</v>
      </c>
      <c r="H316" s="48">
        <v>166306.44</v>
      </c>
      <c r="I316" s="481">
        <f t="shared" si="13"/>
        <v>221926.08000000002</v>
      </c>
      <c r="L316" t="str">
        <f t="shared" si="14"/>
        <v>34401</v>
      </c>
      <c r="M316" s="481">
        <f t="shared" si="15"/>
        <v>221926.08000000002</v>
      </c>
    </row>
    <row r="317" spans="1:13">
      <c r="A317" t="s">
        <v>607</v>
      </c>
      <c r="B317" t="s">
        <v>1896</v>
      </c>
      <c r="C317" s="48">
        <v>5899.27</v>
      </c>
      <c r="D317" s="48">
        <v>2688.59</v>
      </c>
      <c r="E317" s="48">
        <v>367.23</v>
      </c>
      <c r="F317" s="48">
        <v>530.92999999999995</v>
      </c>
      <c r="G317" s="48">
        <v>18898.71</v>
      </c>
      <c r="H317" s="48">
        <v>103321.37</v>
      </c>
      <c r="I317" s="481">
        <f t="shared" si="13"/>
        <v>131706.1</v>
      </c>
      <c r="L317" t="str">
        <f t="shared" si="14"/>
        <v>34402</v>
      </c>
      <c r="M317" s="481">
        <f t="shared" si="15"/>
        <v>131706.1</v>
      </c>
    </row>
    <row r="318" spans="1:13">
      <c r="A318" t="s">
        <v>191</v>
      </c>
      <c r="B318" t="s">
        <v>2067</v>
      </c>
      <c r="C318" s="48">
        <v>0</v>
      </c>
      <c r="D318" s="48">
        <v>0</v>
      </c>
      <c r="E318" s="48">
        <v>0</v>
      </c>
      <c r="F318" s="48">
        <v>0</v>
      </c>
      <c r="G318" s="48">
        <v>0</v>
      </c>
      <c r="H318" s="48">
        <v>0</v>
      </c>
      <c r="I318" s="481">
        <f t="shared" si="13"/>
        <v>0</v>
      </c>
      <c r="L318" t="str">
        <f t="shared" si="14"/>
        <v>34801</v>
      </c>
      <c r="M318" s="481">
        <f t="shared" si="15"/>
        <v>0</v>
      </c>
    </row>
    <row r="319" spans="1:13">
      <c r="A319" t="s">
        <v>637</v>
      </c>
      <c r="B319" t="s">
        <v>1926</v>
      </c>
      <c r="C319" s="48">
        <v>1285.8699999999999</v>
      </c>
      <c r="D319" s="48">
        <v>594.29</v>
      </c>
      <c r="E319" s="48">
        <v>0</v>
      </c>
      <c r="F319" s="48">
        <v>0</v>
      </c>
      <c r="G319" s="48">
        <v>1978.53</v>
      </c>
      <c r="H319" s="48">
        <v>12852.74</v>
      </c>
      <c r="I319" s="481">
        <f t="shared" si="13"/>
        <v>16711.43</v>
      </c>
      <c r="L319" t="str">
        <f t="shared" si="14"/>
        <v>34901</v>
      </c>
      <c r="M319" s="481">
        <f t="shared" si="15"/>
        <v>16711.43</v>
      </c>
    </row>
    <row r="320" spans="1:13">
      <c r="A320" t="s">
        <v>2068</v>
      </c>
      <c r="B320" t="s">
        <v>2069</v>
      </c>
      <c r="C320" s="48">
        <v>0</v>
      </c>
      <c r="D320" s="48">
        <v>0</v>
      </c>
      <c r="E320" s="48">
        <v>0</v>
      </c>
      <c r="F320" s="48">
        <v>0</v>
      </c>
      <c r="G320" s="48">
        <v>0</v>
      </c>
      <c r="H320" s="48">
        <v>0</v>
      </c>
      <c r="I320" s="481">
        <f t="shared" si="13"/>
        <v>0</v>
      </c>
      <c r="L320" t="str">
        <f t="shared" si="14"/>
        <v>34903</v>
      </c>
      <c r="M320" s="481">
        <f t="shared" si="15"/>
        <v>0</v>
      </c>
    </row>
    <row r="321" spans="1:13">
      <c r="A321" t="s">
        <v>2070</v>
      </c>
      <c r="B321" t="s">
        <v>2071</v>
      </c>
      <c r="C321" s="48">
        <v>0</v>
      </c>
      <c r="D321" s="48">
        <v>0</v>
      </c>
      <c r="E321" s="48">
        <v>0</v>
      </c>
      <c r="F321" s="48">
        <v>0</v>
      </c>
      <c r="G321" s="48">
        <v>0</v>
      </c>
      <c r="H321" s="48">
        <v>0</v>
      </c>
      <c r="I321" s="481">
        <f t="shared" si="13"/>
        <v>0</v>
      </c>
      <c r="L321" t="str">
        <f t="shared" si="14"/>
        <v>34945</v>
      </c>
      <c r="M321" s="481">
        <f t="shared" si="15"/>
        <v>0</v>
      </c>
    </row>
    <row r="322" spans="1:13">
      <c r="A322" t="s">
        <v>2072</v>
      </c>
      <c r="B322" t="s">
        <v>2073</v>
      </c>
      <c r="C322" s="48">
        <v>0</v>
      </c>
      <c r="D322" s="48">
        <v>0</v>
      </c>
      <c r="E322" s="48">
        <v>0</v>
      </c>
      <c r="F322" s="48">
        <v>0</v>
      </c>
      <c r="G322" s="48">
        <v>0</v>
      </c>
      <c r="H322" s="48">
        <v>0</v>
      </c>
      <c r="I322" s="481">
        <f t="shared" si="13"/>
        <v>0</v>
      </c>
      <c r="L322" t="str">
        <f t="shared" si="14"/>
        <v>34950</v>
      </c>
      <c r="M322" s="481">
        <f t="shared" si="15"/>
        <v>0</v>
      </c>
    </row>
    <row r="323" spans="1:13">
      <c r="A323" t="s">
        <v>2074</v>
      </c>
      <c r="B323" t="s">
        <v>2075</v>
      </c>
      <c r="C323" s="48">
        <v>0</v>
      </c>
      <c r="D323" s="48">
        <v>0</v>
      </c>
      <c r="E323" s="48">
        <v>0</v>
      </c>
      <c r="F323" s="48">
        <v>0</v>
      </c>
      <c r="G323" s="48">
        <v>0</v>
      </c>
      <c r="H323" s="48">
        <v>0</v>
      </c>
      <c r="I323" s="481">
        <f t="shared" si="13"/>
        <v>0</v>
      </c>
      <c r="L323" t="str">
        <f t="shared" si="14"/>
        <v>34970</v>
      </c>
      <c r="M323" s="481">
        <f t="shared" si="15"/>
        <v>0</v>
      </c>
    </row>
    <row r="324" spans="1:13">
      <c r="A324" t="s">
        <v>2076</v>
      </c>
      <c r="B324" t="s">
        <v>2077</v>
      </c>
      <c r="C324" s="48">
        <v>0</v>
      </c>
      <c r="D324" s="48">
        <v>0</v>
      </c>
      <c r="E324" s="48">
        <v>0</v>
      </c>
      <c r="F324" s="48">
        <v>0</v>
      </c>
      <c r="G324" s="48">
        <v>0</v>
      </c>
      <c r="H324" s="48">
        <v>0</v>
      </c>
      <c r="I324" s="481">
        <f t="shared" si="13"/>
        <v>0</v>
      </c>
      <c r="L324" t="str">
        <f t="shared" si="14"/>
        <v>34973</v>
      </c>
      <c r="M324" s="481">
        <f t="shared" si="15"/>
        <v>0</v>
      </c>
    </row>
    <row r="325" spans="1:13">
      <c r="A325" t="s">
        <v>2078</v>
      </c>
      <c r="B325" t="s">
        <v>2079</v>
      </c>
      <c r="C325" s="48">
        <v>0</v>
      </c>
      <c r="D325" s="48">
        <v>0</v>
      </c>
      <c r="E325" s="48">
        <v>0</v>
      </c>
      <c r="F325" s="48">
        <v>0</v>
      </c>
      <c r="G325" s="48">
        <v>0</v>
      </c>
      <c r="H325" s="48">
        <v>0</v>
      </c>
      <c r="I325" s="481">
        <f t="shared" ref="I325:I383" si="16">SUM(C325:H325)</f>
        <v>0</v>
      </c>
      <c r="L325" t="str">
        <f t="shared" ref="L325:L383" si="17">TEXT(A325, "00000")</f>
        <v>34974</v>
      </c>
      <c r="M325" s="481">
        <f t="shared" ref="M325:M383" si="18">I325</f>
        <v>0</v>
      </c>
    </row>
    <row r="326" spans="1:13">
      <c r="A326" t="s">
        <v>2080</v>
      </c>
      <c r="B326" t="s">
        <v>2081</v>
      </c>
      <c r="C326" s="48">
        <v>0</v>
      </c>
      <c r="D326" s="48">
        <v>0</v>
      </c>
      <c r="E326" s="48">
        <v>0</v>
      </c>
      <c r="F326" s="48">
        <v>0</v>
      </c>
      <c r="G326" s="48">
        <v>0</v>
      </c>
      <c r="H326" s="48">
        <v>0</v>
      </c>
      <c r="I326" s="481">
        <f t="shared" si="16"/>
        <v>0</v>
      </c>
      <c r="L326" t="str">
        <f t="shared" si="17"/>
        <v>34975</v>
      </c>
      <c r="M326" s="481">
        <f t="shared" si="18"/>
        <v>0</v>
      </c>
    </row>
    <row r="327" spans="1:13">
      <c r="A327" t="s">
        <v>2082</v>
      </c>
      <c r="B327" t="s">
        <v>2083</v>
      </c>
      <c r="C327" s="48">
        <v>0</v>
      </c>
      <c r="D327" s="48">
        <v>0</v>
      </c>
      <c r="E327" s="48">
        <v>0</v>
      </c>
      <c r="F327" s="48">
        <v>0</v>
      </c>
      <c r="G327" s="48">
        <v>0</v>
      </c>
      <c r="H327" s="48">
        <v>0</v>
      </c>
      <c r="I327" s="481">
        <f t="shared" si="16"/>
        <v>0</v>
      </c>
      <c r="L327" t="str">
        <f t="shared" si="17"/>
        <v>34977</v>
      </c>
      <c r="M327" s="481">
        <f t="shared" si="18"/>
        <v>0</v>
      </c>
    </row>
    <row r="328" spans="1:13">
      <c r="A328" t="s">
        <v>2084</v>
      </c>
      <c r="B328" t="s">
        <v>2085</v>
      </c>
      <c r="C328" s="48">
        <v>0</v>
      </c>
      <c r="D328" s="48">
        <v>0</v>
      </c>
      <c r="E328" s="48">
        <v>0</v>
      </c>
      <c r="F328" s="48">
        <v>0</v>
      </c>
      <c r="G328" s="48">
        <v>0</v>
      </c>
      <c r="H328" s="48">
        <v>0</v>
      </c>
      <c r="I328" s="481">
        <f t="shared" si="16"/>
        <v>0</v>
      </c>
      <c r="L328" t="str">
        <f t="shared" si="17"/>
        <v>34978</v>
      </c>
      <c r="M328" s="481">
        <f t="shared" si="18"/>
        <v>0</v>
      </c>
    </row>
    <row r="329" spans="1:13">
      <c r="A329" t="s">
        <v>2086</v>
      </c>
      <c r="B329" t="s">
        <v>2087</v>
      </c>
      <c r="C329" s="48">
        <v>0</v>
      </c>
      <c r="D329" s="48">
        <v>0</v>
      </c>
      <c r="E329" s="48">
        <v>0</v>
      </c>
      <c r="F329" s="48">
        <v>0</v>
      </c>
      <c r="G329" s="48">
        <v>0</v>
      </c>
      <c r="H329" s="48">
        <v>0</v>
      </c>
      <c r="I329" s="481">
        <f t="shared" si="16"/>
        <v>0</v>
      </c>
      <c r="L329" t="str">
        <f t="shared" si="17"/>
        <v>34979</v>
      </c>
      <c r="M329" s="481">
        <f t="shared" si="18"/>
        <v>0</v>
      </c>
    </row>
    <row r="330" spans="1:13">
      <c r="A330" t="s">
        <v>639</v>
      </c>
      <c r="B330" t="s">
        <v>1928</v>
      </c>
      <c r="C330" s="48">
        <v>2447.96</v>
      </c>
      <c r="D330" s="48">
        <v>1937.2</v>
      </c>
      <c r="E330" s="48">
        <v>0</v>
      </c>
      <c r="F330" s="48">
        <v>180.99</v>
      </c>
      <c r="G330" s="48">
        <v>0</v>
      </c>
      <c r="H330" s="48">
        <v>39512.509999999995</v>
      </c>
      <c r="I330" s="481">
        <f t="shared" si="16"/>
        <v>44078.659999999996</v>
      </c>
      <c r="L330" t="str">
        <f t="shared" si="17"/>
        <v>35200</v>
      </c>
      <c r="M330" s="481">
        <f t="shared" si="18"/>
        <v>44078.659999999996</v>
      </c>
    </row>
    <row r="331" spans="1:13">
      <c r="A331" t="s">
        <v>157</v>
      </c>
      <c r="B331" t="s">
        <v>1454</v>
      </c>
      <c r="C331" s="48">
        <v>128.84</v>
      </c>
      <c r="D331" s="48">
        <v>76.69</v>
      </c>
      <c r="E331" s="48">
        <v>0</v>
      </c>
      <c r="F331" s="48">
        <v>0</v>
      </c>
      <c r="G331" s="48">
        <v>0</v>
      </c>
      <c r="H331" s="48">
        <v>3665.81</v>
      </c>
      <c r="I331" s="481">
        <f t="shared" si="16"/>
        <v>3871.34</v>
      </c>
      <c r="L331" t="str">
        <f t="shared" si="17"/>
        <v>36101</v>
      </c>
      <c r="M331" s="481">
        <f t="shared" si="18"/>
        <v>3871.34</v>
      </c>
    </row>
    <row r="332" spans="1:13">
      <c r="A332" t="s">
        <v>645</v>
      </c>
      <c r="B332" t="s">
        <v>1934</v>
      </c>
      <c r="C332" s="48">
        <v>34945.24</v>
      </c>
      <c r="D332" s="48">
        <v>21021.3</v>
      </c>
      <c r="E332" s="48">
        <v>19410.169999999998</v>
      </c>
      <c r="F332" s="48">
        <v>2301.6</v>
      </c>
      <c r="G332" s="48">
        <v>79328.149999999994</v>
      </c>
      <c r="H332" s="48">
        <v>407312.82</v>
      </c>
      <c r="I332" s="481">
        <f t="shared" si="16"/>
        <v>564319.28</v>
      </c>
      <c r="L332" t="str">
        <f t="shared" si="17"/>
        <v>36140</v>
      </c>
      <c r="M332" s="481">
        <f t="shared" si="18"/>
        <v>564319.28</v>
      </c>
    </row>
    <row r="333" spans="1:13">
      <c r="A333" t="s">
        <v>117</v>
      </c>
      <c r="B333" t="s">
        <v>1414</v>
      </c>
      <c r="C333" s="48">
        <v>7823.92</v>
      </c>
      <c r="D333" s="48">
        <v>6530.49</v>
      </c>
      <c r="E333" s="48">
        <v>5866.83</v>
      </c>
      <c r="F333" s="48">
        <v>628.27</v>
      </c>
      <c r="G333" s="48">
        <v>22735.81</v>
      </c>
      <c r="H333" s="48">
        <v>120042.85</v>
      </c>
      <c r="I333" s="481">
        <f t="shared" si="16"/>
        <v>163628.17000000001</v>
      </c>
      <c r="L333" t="str">
        <f t="shared" si="17"/>
        <v>36250</v>
      </c>
      <c r="M333" s="481">
        <f t="shared" si="18"/>
        <v>163628.17000000001</v>
      </c>
    </row>
    <row r="334" spans="1:13">
      <c r="A334" t="s">
        <v>617</v>
      </c>
      <c r="B334" t="s">
        <v>1906</v>
      </c>
      <c r="C334" s="48">
        <v>966</v>
      </c>
      <c r="D334" s="48">
        <v>0</v>
      </c>
      <c r="E334" s="48">
        <v>815.57</v>
      </c>
      <c r="F334" s="48">
        <v>97.34</v>
      </c>
      <c r="G334" s="48">
        <v>1573.8</v>
      </c>
      <c r="H334" s="48">
        <v>24011.510000000002</v>
      </c>
      <c r="I334" s="481">
        <f t="shared" si="16"/>
        <v>27464.22</v>
      </c>
      <c r="L334" t="str">
        <f t="shared" si="17"/>
        <v>36300</v>
      </c>
      <c r="M334" s="481">
        <f t="shared" si="18"/>
        <v>27464.22</v>
      </c>
    </row>
    <row r="335" spans="1:13">
      <c r="A335" t="s">
        <v>123</v>
      </c>
      <c r="B335" t="s">
        <v>1420</v>
      </c>
      <c r="C335" s="48">
        <v>4034.57</v>
      </c>
      <c r="D335" s="48">
        <v>3333.56</v>
      </c>
      <c r="E335" s="48">
        <v>3556.2</v>
      </c>
      <c r="F335" s="48">
        <v>330.95</v>
      </c>
      <c r="G335" s="48">
        <v>11289.05</v>
      </c>
      <c r="H335" s="48">
        <v>67241.37</v>
      </c>
      <c r="I335" s="481">
        <f t="shared" si="16"/>
        <v>89785.7</v>
      </c>
      <c r="L335" t="str">
        <f t="shared" si="17"/>
        <v>36400</v>
      </c>
      <c r="M335" s="481">
        <f t="shared" si="18"/>
        <v>89785.7</v>
      </c>
    </row>
    <row r="336" spans="1:13">
      <c r="A336" t="s">
        <v>643</v>
      </c>
      <c r="B336" t="s">
        <v>1932</v>
      </c>
      <c r="C336" s="48">
        <v>1482.19</v>
      </c>
      <c r="D336" s="48">
        <v>815.57</v>
      </c>
      <c r="E336" s="48">
        <v>0</v>
      </c>
      <c r="F336" s="48">
        <v>0</v>
      </c>
      <c r="G336" s="48">
        <v>0</v>
      </c>
      <c r="H336" s="48">
        <v>29611.41</v>
      </c>
      <c r="I336" s="481">
        <f t="shared" si="16"/>
        <v>31909.17</v>
      </c>
      <c r="L336" t="str">
        <f t="shared" si="17"/>
        <v>36401</v>
      </c>
      <c r="M336" s="481">
        <f t="shared" si="18"/>
        <v>31909.17</v>
      </c>
    </row>
    <row r="337" spans="1:13">
      <c r="A337" t="s">
        <v>465</v>
      </c>
      <c r="B337" t="s">
        <v>1754</v>
      </c>
      <c r="C337" s="48">
        <v>1911.36</v>
      </c>
      <c r="D337" s="48">
        <v>1054.49</v>
      </c>
      <c r="E337" s="48">
        <v>2306.61</v>
      </c>
      <c r="F337" s="48">
        <v>0</v>
      </c>
      <c r="G337" s="48">
        <v>3873.2</v>
      </c>
      <c r="H337" s="48">
        <v>30512.519999999997</v>
      </c>
      <c r="I337" s="481">
        <f t="shared" si="16"/>
        <v>39658.179999999993</v>
      </c>
      <c r="L337" t="str">
        <f t="shared" si="17"/>
        <v>36402</v>
      </c>
      <c r="M337" s="481">
        <f t="shared" si="18"/>
        <v>39658.179999999993</v>
      </c>
    </row>
    <row r="338" spans="1:13">
      <c r="A338" t="s">
        <v>2088</v>
      </c>
      <c r="B338" t="s">
        <v>2089</v>
      </c>
      <c r="C338" s="48">
        <v>0</v>
      </c>
      <c r="D338" s="48">
        <v>0</v>
      </c>
      <c r="E338" s="48">
        <v>0</v>
      </c>
      <c r="F338" s="48">
        <v>0</v>
      </c>
      <c r="G338" s="48">
        <v>0</v>
      </c>
      <c r="H338" s="48">
        <v>0</v>
      </c>
      <c r="I338" s="481">
        <f t="shared" si="16"/>
        <v>0</v>
      </c>
      <c r="L338" t="str">
        <f t="shared" si="17"/>
        <v>36950</v>
      </c>
      <c r="M338" s="481">
        <f t="shared" si="18"/>
        <v>0</v>
      </c>
    </row>
    <row r="339" spans="1:13">
      <c r="A339" t="s">
        <v>55</v>
      </c>
      <c r="B339" t="s">
        <v>1352</v>
      </c>
      <c r="C339" s="48">
        <v>43665.91</v>
      </c>
      <c r="D339" s="48">
        <v>8391.68</v>
      </c>
      <c r="E339" s="48">
        <v>24296.71</v>
      </c>
      <c r="F339" s="48">
        <v>4965.57</v>
      </c>
      <c r="G339" s="48">
        <v>176700.65</v>
      </c>
      <c r="H339" s="48">
        <v>913386.79999999993</v>
      </c>
      <c r="I339" s="481">
        <f t="shared" si="16"/>
        <v>1171407.3199999998</v>
      </c>
      <c r="L339" t="str">
        <f t="shared" si="17"/>
        <v>37501</v>
      </c>
      <c r="M339" s="481">
        <f t="shared" si="18"/>
        <v>1171407.3199999998</v>
      </c>
    </row>
    <row r="340" spans="1:13">
      <c r="A340" t="s">
        <v>213</v>
      </c>
      <c r="B340" t="s">
        <v>1502</v>
      </c>
      <c r="C340" s="48">
        <v>24103.29</v>
      </c>
      <c r="D340" s="48">
        <v>10467.01</v>
      </c>
      <c r="E340" s="48">
        <v>12177.69</v>
      </c>
      <c r="F340" s="48">
        <v>2067.4</v>
      </c>
      <c r="G340" s="48">
        <v>73571.990000000005</v>
      </c>
      <c r="H340" s="48">
        <v>386943.21</v>
      </c>
      <c r="I340" s="481">
        <f t="shared" si="16"/>
        <v>509330.59</v>
      </c>
      <c r="L340" t="str">
        <f t="shared" si="17"/>
        <v>37502</v>
      </c>
      <c r="M340" s="481">
        <f t="shared" si="18"/>
        <v>509330.59</v>
      </c>
    </row>
    <row r="341" spans="1:13">
      <c r="A341" t="s">
        <v>63</v>
      </c>
      <c r="B341" t="s">
        <v>1360</v>
      </c>
      <c r="C341" s="48">
        <v>10081.030000000001</v>
      </c>
      <c r="D341" s="48">
        <v>47.07</v>
      </c>
      <c r="E341" s="48">
        <v>2933.86</v>
      </c>
      <c r="F341" s="48">
        <v>956.65</v>
      </c>
      <c r="G341" s="48">
        <v>33796.730000000003</v>
      </c>
      <c r="H341" s="48">
        <v>179399.02000000002</v>
      </c>
      <c r="I341" s="481">
        <f t="shared" si="16"/>
        <v>227214.36000000002</v>
      </c>
      <c r="L341" t="str">
        <f t="shared" si="17"/>
        <v>37503</v>
      </c>
      <c r="M341" s="481">
        <f t="shared" si="18"/>
        <v>227214.36000000002</v>
      </c>
    </row>
    <row r="342" spans="1:13">
      <c r="A342" t="s">
        <v>323</v>
      </c>
      <c r="B342" t="s">
        <v>1612</v>
      </c>
      <c r="C342" s="48">
        <v>14856.27</v>
      </c>
      <c r="D342" s="48">
        <v>0</v>
      </c>
      <c r="E342" s="48">
        <v>12158.87</v>
      </c>
      <c r="F342" s="48">
        <v>1633.63</v>
      </c>
      <c r="G342" s="48">
        <v>54734.69</v>
      </c>
      <c r="H342" s="48">
        <v>275737.74</v>
      </c>
      <c r="I342" s="481">
        <f t="shared" si="16"/>
        <v>359121.2</v>
      </c>
      <c r="L342" t="str">
        <f t="shared" si="17"/>
        <v>37504</v>
      </c>
      <c r="M342" s="481">
        <f t="shared" si="18"/>
        <v>359121.2</v>
      </c>
    </row>
    <row r="343" spans="1:13">
      <c r="A343" t="s">
        <v>345</v>
      </c>
      <c r="B343" t="s">
        <v>1634</v>
      </c>
      <c r="C343" s="48">
        <v>7150.63</v>
      </c>
      <c r="D343" s="48">
        <v>0</v>
      </c>
      <c r="E343" s="48">
        <v>5962.99</v>
      </c>
      <c r="F343" s="48">
        <v>863.89</v>
      </c>
      <c r="G343" s="48">
        <v>23827.06</v>
      </c>
      <c r="H343" s="48">
        <v>139342.28</v>
      </c>
      <c r="I343" s="481">
        <f t="shared" si="16"/>
        <v>177146.85</v>
      </c>
      <c r="L343" t="str">
        <f t="shared" si="17"/>
        <v>37505</v>
      </c>
      <c r="M343" s="481">
        <f t="shared" si="18"/>
        <v>177146.85</v>
      </c>
    </row>
    <row r="344" spans="1:13">
      <c r="A344" t="s">
        <v>385</v>
      </c>
      <c r="B344" t="s">
        <v>1674</v>
      </c>
      <c r="C344" s="48">
        <v>11093.23</v>
      </c>
      <c r="D344" s="48">
        <v>6834.78</v>
      </c>
      <c r="E344" s="48">
        <v>6687.83</v>
      </c>
      <c r="F344" s="48">
        <v>847.31</v>
      </c>
      <c r="G344" s="48">
        <v>31220.82</v>
      </c>
      <c r="H344" s="48">
        <v>167186.38</v>
      </c>
      <c r="I344" s="481">
        <f t="shared" si="16"/>
        <v>223870.35</v>
      </c>
      <c r="L344" t="str">
        <f t="shared" si="17"/>
        <v>37506</v>
      </c>
      <c r="M344" s="481">
        <f t="shared" si="18"/>
        <v>223870.35</v>
      </c>
    </row>
    <row r="345" spans="1:13">
      <c r="A345" t="s">
        <v>363</v>
      </c>
      <c r="B345" t="s">
        <v>1652</v>
      </c>
      <c r="C345" s="48">
        <v>8915.48</v>
      </c>
      <c r="D345" s="48">
        <v>3928.85</v>
      </c>
      <c r="E345" s="48">
        <v>2374.36</v>
      </c>
      <c r="F345" s="48">
        <v>723.4</v>
      </c>
      <c r="G345" s="48">
        <v>27274.21</v>
      </c>
      <c r="H345" s="48">
        <v>135624.35999999999</v>
      </c>
      <c r="I345" s="481">
        <f t="shared" si="16"/>
        <v>178840.65999999997</v>
      </c>
      <c r="L345" t="str">
        <f t="shared" si="17"/>
        <v>37507</v>
      </c>
      <c r="M345" s="481">
        <f t="shared" si="18"/>
        <v>178840.65999999997</v>
      </c>
    </row>
    <row r="346" spans="1:13">
      <c r="A346" t="s">
        <v>2090</v>
      </c>
      <c r="B346" t="s">
        <v>2091</v>
      </c>
      <c r="C346" s="48">
        <v>0</v>
      </c>
      <c r="D346" s="48">
        <v>0</v>
      </c>
      <c r="E346" s="48">
        <v>0</v>
      </c>
      <c r="F346" s="48">
        <v>0</v>
      </c>
      <c r="G346" s="48">
        <v>0</v>
      </c>
      <c r="H346" s="48">
        <v>0</v>
      </c>
      <c r="I346" s="481">
        <f t="shared" si="16"/>
        <v>0</v>
      </c>
      <c r="L346" t="str">
        <f t="shared" si="17"/>
        <v>37901</v>
      </c>
      <c r="M346" s="481">
        <f t="shared" si="18"/>
        <v>0</v>
      </c>
    </row>
    <row r="347" spans="1:13">
      <c r="A347" t="s">
        <v>665</v>
      </c>
      <c r="B347" t="s">
        <v>1954</v>
      </c>
      <c r="C347" s="48">
        <v>450.27</v>
      </c>
      <c r="D347" s="48">
        <v>0</v>
      </c>
      <c r="E347" s="48">
        <v>0</v>
      </c>
      <c r="F347" s="48">
        <v>34.880000000000003</v>
      </c>
      <c r="G347" s="48">
        <v>1000.19</v>
      </c>
      <c r="H347" s="48">
        <v>14253.01</v>
      </c>
      <c r="I347" s="481">
        <f t="shared" si="16"/>
        <v>15738.35</v>
      </c>
      <c r="L347" t="str">
        <f t="shared" si="17"/>
        <v>37902</v>
      </c>
      <c r="M347" s="481">
        <f t="shared" si="18"/>
        <v>15738.35</v>
      </c>
    </row>
    <row r="348" spans="1:13">
      <c r="A348" t="s">
        <v>319</v>
      </c>
      <c r="B348" t="s">
        <v>1608</v>
      </c>
      <c r="C348" s="48">
        <v>3638.57</v>
      </c>
      <c r="D348" s="48">
        <v>1797.88</v>
      </c>
      <c r="E348" s="48">
        <v>0</v>
      </c>
      <c r="F348" s="48">
        <v>0</v>
      </c>
      <c r="G348" s="48">
        <v>7529.41</v>
      </c>
      <c r="H348" s="48">
        <v>40937.39</v>
      </c>
      <c r="I348" s="481">
        <f t="shared" si="16"/>
        <v>53903.25</v>
      </c>
      <c r="L348" t="str">
        <f t="shared" si="17"/>
        <v>37903</v>
      </c>
      <c r="M348" s="481">
        <f t="shared" si="18"/>
        <v>53903.25</v>
      </c>
    </row>
    <row r="349" spans="1:13">
      <c r="A349" t="s">
        <v>2092</v>
      </c>
      <c r="B349" t="s">
        <v>2093</v>
      </c>
      <c r="C349" s="48">
        <v>0</v>
      </c>
      <c r="D349" s="48">
        <v>0</v>
      </c>
      <c r="E349" s="48">
        <v>0</v>
      </c>
      <c r="F349" s="48">
        <v>0</v>
      </c>
      <c r="G349" s="48">
        <v>0</v>
      </c>
      <c r="H349" s="48">
        <v>0</v>
      </c>
      <c r="I349" s="481">
        <f t="shared" si="16"/>
        <v>0</v>
      </c>
      <c r="L349" t="str">
        <f t="shared" si="17"/>
        <v>37906</v>
      </c>
      <c r="M349" s="481">
        <f t="shared" si="18"/>
        <v>0</v>
      </c>
    </row>
    <row r="350" spans="1:13">
      <c r="A350" t="s">
        <v>2094</v>
      </c>
      <c r="B350" t="s">
        <v>2095</v>
      </c>
      <c r="C350" s="48">
        <v>0</v>
      </c>
      <c r="D350" s="48">
        <v>0</v>
      </c>
      <c r="E350" s="48">
        <v>0</v>
      </c>
      <c r="F350" s="48">
        <v>0</v>
      </c>
      <c r="G350" s="48">
        <v>0</v>
      </c>
      <c r="H350" s="48">
        <v>0</v>
      </c>
      <c r="I350" s="481">
        <f t="shared" si="16"/>
        <v>0</v>
      </c>
      <c r="L350" t="str">
        <f t="shared" si="17"/>
        <v>37952</v>
      </c>
      <c r="M350" s="481">
        <f t="shared" si="18"/>
        <v>0</v>
      </c>
    </row>
    <row r="351" spans="1:13">
      <c r="A351" t="s">
        <v>295</v>
      </c>
      <c r="B351" t="s">
        <v>1584</v>
      </c>
      <c r="C351" s="48">
        <v>436.26</v>
      </c>
      <c r="D351" s="48">
        <v>188.04</v>
      </c>
      <c r="E351" s="48">
        <v>0</v>
      </c>
      <c r="F351" s="48">
        <v>31.59</v>
      </c>
      <c r="G351" s="48">
        <v>1126.05</v>
      </c>
      <c r="H351" s="48">
        <v>19149.93</v>
      </c>
      <c r="I351" s="481">
        <f t="shared" si="16"/>
        <v>20931.87</v>
      </c>
      <c r="L351" t="str">
        <f t="shared" si="17"/>
        <v>38126</v>
      </c>
      <c r="M351" s="481">
        <f t="shared" si="18"/>
        <v>20931.87</v>
      </c>
    </row>
    <row r="352" spans="1:13">
      <c r="A352" t="s">
        <v>305</v>
      </c>
      <c r="B352" t="s">
        <v>1594</v>
      </c>
      <c r="C352" s="48">
        <v>168.13</v>
      </c>
      <c r="D352" s="48">
        <v>119.47</v>
      </c>
      <c r="E352" s="48">
        <v>0</v>
      </c>
      <c r="F352" s="48">
        <v>10.33</v>
      </c>
      <c r="G352" s="48">
        <v>286.36</v>
      </c>
      <c r="H352" s="48">
        <v>5324.1</v>
      </c>
      <c r="I352" s="481">
        <f t="shared" si="16"/>
        <v>5908.39</v>
      </c>
      <c r="L352" t="str">
        <f t="shared" si="17"/>
        <v>38264</v>
      </c>
      <c r="M352" s="481">
        <f t="shared" si="18"/>
        <v>5908.39</v>
      </c>
    </row>
    <row r="353" spans="1:13">
      <c r="A353" t="s">
        <v>605</v>
      </c>
      <c r="B353" t="s">
        <v>1894</v>
      </c>
      <c r="C353" s="48">
        <v>1251.5899999999999</v>
      </c>
      <c r="D353" s="48">
        <v>875.52</v>
      </c>
      <c r="E353" s="48">
        <v>0</v>
      </c>
      <c r="F353" s="48">
        <v>82.74</v>
      </c>
      <c r="G353" s="48">
        <v>2825.82</v>
      </c>
      <c r="H353" s="48">
        <v>24976.129999999997</v>
      </c>
      <c r="I353" s="481">
        <f t="shared" si="16"/>
        <v>30011.799999999996</v>
      </c>
      <c r="L353" t="str">
        <f t="shared" si="17"/>
        <v>38265</v>
      </c>
      <c r="M353" s="481">
        <f t="shared" si="18"/>
        <v>30011.799999999996</v>
      </c>
    </row>
    <row r="354" spans="1:13">
      <c r="A354" t="s">
        <v>471</v>
      </c>
      <c r="B354" t="s">
        <v>1760</v>
      </c>
      <c r="C354" s="48">
        <v>9104.06</v>
      </c>
      <c r="D354" s="48">
        <v>1364.21</v>
      </c>
      <c r="E354" s="48">
        <v>3802.08</v>
      </c>
      <c r="F354" s="48">
        <v>1112.02</v>
      </c>
      <c r="G354" s="48">
        <v>36292.92</v>
      </c>
      <c r="H354" s="48">
        <v>216733.43000000002</v>
      </c>
      <c r="I354" s="481">
        <f t="shared" si="16"/>
        <v>268408.72000000003</v>
      </c>
      <c r="L354" t="str">
        <f t="shared" si="17"/>
        <v>38267</v>
      </c>
      <c r="M354" s="481">
        <f t="shared" si="18"/>
        <v>268408.72000000003</v>
      </c>
    </row>
    <row r="355" spans="1:13">
      <c r="A355" t="s">
        <v>115</v>
      </c>
      <c r="B355" t="s">
        <v>1412</v>
      </c>
      <c r="C355" s="48">
        <v>1895.79</v>
      </c>
      <c r="D355" s="48">
        <v>0</v>
      </c>
      <c r="E355" s="48">
        <v>0</v>
      </c>
      <c r="F355" s="48">
        <v>225.47</v>
      </c>
      <c r="G355" s="48">
        <v>6564.74</v>
      </c>
      <c r="H355" s="48">
        <v>48531.33</v>
      </c>
      <c r="I355" s="481">
        <f t="shared" si="16"/>
        <v>57217.33</v>
      </c>
      <c r="L355" t="str">
        <f t="shared" si="17"/>
        <v>38300</v>
      </c>
      <c r="M355" s="481">
        <f t="shared" si="18"/>
        <v>57217.33</v>
      </c>
    </row>
    <row r="356" spans="1:13">
      <c r="A356" t="s">
        <v>441</v>
      </c>
      <c r="B356" t="s">
        <v>1730</v>
      </c>
      <c r="C356" s="48">
        <v>591.4</v>
      </c>
      <c r="D356" s="48">
        <v>0</v>
      </c>
      <c r="E356" s="48">
        <v>0</v>
      </c>
      <c r="F356" s="48">
        <v>0</v>
      </c>
      <c r="G356" s="48">
        <v>1930.58</v>
      </c>
      <c r="H356" s="48">
        <v>22993.9</v>
      </c>
      <c r="I356" s="481">
        <f t="shared" si="16"/>
        <v>25515.88</v>
      </c>
      <c r="L356" t="str">
        <f t="shared" si="17"/>
        <v>38301</v>
      </c>
      <c r="M356" s="481">
        <f t="shared" si="18"/>
        <v>25515.88</v>
      </c>
    </row>
    <row r="357" spans="1:13">
      <c r="A357" t="s">
        <v>223</v>
      </c>
      <c r="B357" t="s">
        <v>1512</v>
      </c>
      <c r="C357" s="48">
        <v>632.70000000000005</v>
      </c>
      <c r="D357" s="48">
        <v>224.17</v>
      </c>
      <c r="E357" s="48">
        <v>0</v>
      </c>
      <c r="F357" s="48">
        <v>47.19</v>
      </c>
      <c r="G357" s="48">
        <v>1526.08</v>
      </c>
      <c r="H357" s="48">
        <v>19725.7</v>
      </c>
      <c r="I357" s="481">
        <f t="shared" si="16"/>
        <v>22155.84</v>
      </c>
      <c r="L357" t="str">
        <f t="shared" si="17"/>
        <v>38302</v>
      </c>
      <c r="M357" s="481">
        <f t="shared" si="18"/>
        <v>22155.84</v>
      </c>
    </row>
    <row r="358" spans="1:13">
      <c r="A358" t="s">
        <v>579</v>
      </c>
      <c r="B358" t="s">
        <v>1868</v>
      </c>
      <c r="C358" s="48">
        <v>0</v>
      </c>
      <c r="D358" s="48">
        <v>0</v>
      </c>
      <c r="E358" s="48">
        <v>0</v>
      </c>
      <c r="F358" s="48">
        <v>0</v>
      </c>
      <c r="G358" s="48">
        <v>472.4</v>
      </c>
      <c r="H358" s="48">
        <v>5642.89</v>
      </c>
      <c r="I358" s="481">
        <f t="shared" si="16"/>
        <v>6115.29</v>
      </c>
      <c r="L358" t="str">
        <f t="shared" si="17"/>
        <v>38304</v>
      </c>
      <c r="M358" s="481">
        <f t="shared" si="18"/>
        <v>6115.29</v>
      </c>
    </row>
    <row r="359" spans="1:13">
      <c r="A359" t="s">
        <v>119</v>
      </c>
      <c r="B359" t="s">
        <v>1416</v>
      </c>
      <c r="C359" s="48">
        <v>461.82</v>
      </c>
      <c r="D359" s="48">
        <v>0</v>
      </c>
      <c r="E359" s="48">
        <v>0</v>
      </c>
      <c r="F359" s="48">
        <v>0</v>
      </c>
      <c r="G359" s="48">
        <v>2427.36</v>
      </c>
      <c r="H359" s="48">
        <v>22471.46</v>
      </c>
      <c r="I359" s="481">
        <f t="shared" si="16"/>
        <v>25360.639999999999</v>
      </c>
      <c r="L359" t="str">
        <f t="shared" si="17"/>
        <v>38306</v>
      </c>
      <c r="M359" s="481">
        <f t="shared" si="18"/>
        <v>25360.639999999999</v>
      </c>
    </row>
    <row r="360" spans="1:13">
      <c r="A360" t="s">
        <v>175</v>
      </c>
      <c r="B360" t="s">
        <v>1472</v>
      </c>
      <c r="C360" s="48">
        <v>383.46</v>
      </c>
      <c r="D360" s="48">
        <v>300.86</v>
      </c>
      <c r="E360" s="48">
        <v>0</v>
      </c>
      <c r="F360" s="48">
        <v>32.44</v>
      </c>
      <c r="G360" s="48">
        <v>1096.45</v>
      </c>
      <c r="H360" s="48">
        <v>19019.259999999998</v>
      </c>
      <c r="I360" s="481">
        <f t="shared" si="16"/>
        <v>20832.469999999998</v>
      </c>
      <c r="L360" t="str">
        <f t="shared" si="17"/>
        <v>38308</v>
      </c>
      <c r="M360" s="481">
        <f t="shared" si="18"/>
        <v>20832.469999999998</v>
      </c>
    </row>
    <row r="361" spans="1:13">
      <c r="A361" t="s">
        <v>519</v>
      </c>
      <c r="B361" t="s">
        <v>1808</v>
      </c>
      <c r="C361" s="48">
        <v>926.43</v>
      </c>
      <c r="D361" s="48">
        <v>667.21</v>
      </c>
      <c r="E361" s="48">
        <v>0</v>
      </c>
      <c r="F361" s="48">
        <v>64.430000000000007</v>
      </c>
      <c r="G361" s="48">
        <v>2135.89</v>
      </c>
      <c r="H361" s="48">
        <v>23938.190000000002</v>
      </c>
      <c r="I361" s="481">
        <f t="shared" si="16"/>
        <v>27732.15</v>
      </c>
      <c r="L361" t="str">
        <f t="shared" si="17"/>
        <v>38320</v>
      </c>
      <c r="M361" s="481">
        <f t="shared" si="18"/>
        <v>27732.15</v>
      </c>
    </row>
    <row r="362" spans="1:13">
      <c r="A362" t="s">
        <v>567</v>
      </c>
      <c r="B362" t="s">
        <v>1856</v>
      </c>
      <c r="C362" s="48">
        <v>657.76</v>
      </c>
      <c r="D362" s="48">
        <v>305.29000000000002</v>
      </c>
      <c r="E362" s="48">
        <v>0</v>
      </c>
      <c r="F362" s="48">
        <v>56.05</v>
      </c>
      <c r="G362" s="48">
        <v>1886.88</v>
      </c>
      <c r="H362" s="48">
        <v>21378.969999999998</v>
      </c>
      <c r="I362" s="481">
        <f t="shared" si="16"/>
        <v>24284.949999999997</v>
      </c>
      <c r="L362" t="str">
        <f t="shared" si="17"/>
        <v>38322</v>
      </c>
      <c r="M362" s="481">
        <f t="shared" si="18"/>
        <v>24284.949999999997</v>
      </c>
    </row>
    <row r="363" spans="1:13">
      <c r="A363" t="s">
        <v>405</v>
      </c>
      <c r="B363" t="s">
        <v>1694</v>
      </c>
      <c r="C363" s="48">
        <v>573.15</v>
      </c>
      <c r="D363" s="48">
        <v>0</v>
      </c>
      <c r="E363" s="48">
        <v>0</v>
      </c>
      <c r="F363" s="48">
        <v>66.19</v>
      </c>
      <c r="G363" s="48">
        <v>2390.86</v>
      </c>
      <c r="H363" s="48">
        <v>23118.300000000003</v>
      </c>
      <c r="I363" s="481">
        <f t="shared" si="16"/>
        <v>26148.500000000004</v>
      </c>
      <c r="L363" t="str">
        <f t="shared" si="17"/>
        <v>38324</v>
      </c>
      <c r="M363" s="481">
        <f t="shared" si="18"/>
        <v>26148.500000000004</v>
      </c>
    </row>
    <row r="364" spans="1:13">
      <c r="A364" t="s">
        <v>473</v>
      </c>
      <c r="B364" t="s">
        <v>1762</v>
      </c>
      <c r="C364" s="48">
        <v>191.73</v>
      </c>
      <c r="D364" s="48">
        <v>0</v>
      </c>
      <c r="E364" s="48">
        <v>0</v>
      </c>
      <c r="F364" s="48">
        <v>0</v>
      </c>
      <c r="G364" s="48">
        <v>1682.55</v>
      </c>
      <c r="H364" s="48">
        <v>10801.58</v>
      </c>
      <c r="I364" s="481">
        <f t="shared" si="16"/>
        <v>12675.86</v>
      </c>
      <c r="L364" t="str">
        <f t="shared" si="17"/>
        <v>38901</v>
      </c>
      <c r="M364" s="481">
        <f t="shared" si="18"/>
        <v>12675.86</v>
      </c>
    </row>
    <row r="365" spans="1:13">
      <c r="A365" t="s">
        <v>2096</v>
      </c>
      <c r="B365" t="s">
        <v>2097</v>
      </c>
      <c r="C365" s="48">
        <v>0</v>
      </c>
      <c r="D365" s="48">
        <v>0</v>
      </c>
      <c r="E365" s="48">
        <v>0</v>
      </c>
      <c r="F365" s="48">
        <v>0</v>
      </c>
      <c r="G365" s="48">
        <v>0</v>
      </c>
      <c r="H365" s="48">
        <v>0</v>
      </c>
      <c r="I365" s="481">
        <f t="shared" si="16"/>
        <v>0</v>
      </c>
      <c r="L365" t="str">
        <f t="shared" si="17"/>
        <v>38905</v>
      </c>
      <c r="M365" s="481">
        <f t="shared" si="18"/>
        <v>0</v>
      </c>
    </row>
    <row r="366" spans="1:13">
      <c r="A366" t="s">
        <v>627</v>
      </c>
      <c r="B366" t="s">
        <v>1916</v>
      </c>
      <c r="C366" s="48">
        <v>4657.47</v>
      </c>
      <c r="D366" s="48">
        <v>2420.1799999999998</v>
      </c>
      <c r="E366" s="48">
        <v>3350.79</v>
      </c>
      <c r="F366" s="48">
        <v>230.07</v>
      </c>
      <c r="G366" s="48">
        <v>8386.4699999999993</v>
      </c>
      <c r="H366" s="48">
        <v>46636.72</v>
      </c>
      <c r="I366" s="481">
        <f t="shared" si="16"/>
        <v>65681.7</v>
      </c>
      <c r="L366" t="str">
        <f t="shared" si="17"/>
        <v>39002</v>
      </c>
      <c r="M366" s="481">
        <f t="shared" si="18"/>
        <v>65681.7</v>
      </c>
    </row>
    <row r="367" spans="1:13">
      <c r="A367" t="s">
        <v>373</v>
      </c>
      <c r="B367" t="s">
        <v>1662</v>
      </c>
      <c r="C367" s="48">
        <v>6614.56</v>
      </c>
      <c r="D367" s="48">
        <v>5568.92</v>
      </c>
      <c r="E367" s="48">
        <v>1647.37</v>
      </c>
      <c r="F367" s="48">
        <v>542.73</v>
      </c>
      <c r="G367" s="48">
        <v>18972.990000000002</v>
      </c>
      <c r="H367" s="48">
        <v>102973.3</v>
      </c>
      <c r="I367" s="481">
        <f t="shared" si="16"/>
        <v>136319.87</v>
      </c>
      <c r="L367" t="str">
        <f t="shared" si="17"/>
        <v>39003</v>
      </c>
      <c r="M367" s="481">
        <f t="shared" si="18"/>
        <v>136319.87</v>
      </c>
    </row>
    <row r="368" spans="1:13">
      <c r="A368" t="s">
        <v>691</v>
      </c>
      <c r="B368" t="s">
        <v>1980</v>
      </c>
      <c r="C368" s="48">
        <v>123268.28</v>
      </c>
      <c r="D368" s="48">
        <v>64013.02</v>
      </c>
      <c r="E368" s="48">
        <v>110934.38</v>
      </c>
      <c r="F368" s="48">
        <v>6512.8</v>
      </c>
      <c r="G368" s="48">
        <v>213662.75</v>
      </c>
      <c r="H368" s="48">
        <v>1227895.5699999998</v>
      </c>
      <c r="I368" s="481">
        <f t="shared" si="16"/>
        <v>1746286.7999999998</v>
      </c>
      <c r="L368" t="str">
        <f t="shared" si="17"/>
        <v>39007</v>
      </c>
      <c r="M368" s="481">
        <f t="shared" si="18"/>
        <v>1746286.7999999998</v>
      </c>
    </row>
    <row r="369" spans="1:13">
      <c r="A369" t="s">
        <v>161</v>
      </c>
      <c r="B369" t="s">
        <v>1458</v>
      </c>
      <c r="C369" s="48">
        <v>19247.86</v>
      </c>
      <c r="D369" s="48">
        <v>14528.43</v>
      </c>
      <c r="E369" s="48">
        <v>10230.81</v>
      </c>
      <c r="F369" s="48">
        <v>1406.97</v>
      </c>
      <c r="G369" s="48">
        <v>42547.74</v>
      </c>
      <c r="H369" s="48">
        <v>266077.92</v>
      </c>
      <c r="I369" s="481">
        <f t="shared" si="16"/>
        <v>354039.73</v>
      </c>
      <c r="L369" t="str">
        <f t="shared" si="17"/>
        <v>39090</v>
      </c>
      <c r="M369" s="481">
        <f t="shared" si="18"/>
        <v>354039.73</v>
      </c>
    </row>
    <row r="370" spans="1:13">
      <c r="A370" t="s">
        <v>531</v>
      </c>
      <c r="B370" t="s">
        <v>1820</v>
      </c>
      <c r="C370" s="48">
        <v>21996.92</v>
      </c>
      <c r="D370" s="48">
        <v>15761.38</v>
      </c>
      <c r="E370" s="48">
        <v>9429.99</v>
      </c>
      <c r="F370" s="48">
        <v>1560.36</v>
      </c>
      <c r="G370" s="48">
        <v>46837.279999999999</v>
      </c>
      <c r="H370" s="48">
        <v>301890.92000000004</v>
      </c>
      <c r="I370" s="481">
        <f t="shared" si="16"/>
        <v>397476.85000000003</v>
      </c>
      <c r="L370" t="str">
        <f t="shared" si="17"/>
        <v>39119</v>
      </c>
      <c r="M370" s="481">
        <f t="shared" si="18"/>
        <v>397476.85000000003</v>
      </c>
    </row>
    <row r="371" spans="1:13">
      <c r="A371" t="s">
        <v>325</v>
      </c>
      <c r="B371" t="s">
        <v>1614</v>
      </c>
      <c r="C371" s="48">
        <v>7189.74</v>
      </c>
      <c r="D371" s="48">
        <v>3328.66</v>
      </c>
      <c r="E371" s="48">
        <v>6974.41</v>
      </c>
      <c r="F371" s="48">
        <v>303.81</v>
      </c>
      <c r="G371" s="48">
        <v>8200.9</v>
      </c>
      <c r="H371" s="48">
        <v>57693.440000000002</v>
      </c>
      <c r="I371" s="481">
        <f t="shared" si="16"/>
        <v>83690.959999999992</v>
      </c>
      <c r="L371" t="str">
        <f t="shared" si="17"/>
        <v>39120</v>
      </c>
      <c r="M371" s="481">
        <f t="shared" si="18"/>
        <v>83690.959999999992</v>
      </c>
    </row>
    <row r="372" spans="1:13">
      <c r="A372" t="s">
        <v>231</v>
      </c>
      <c r="B372" t="s">
        <v>1520</v>
      </c>
      <c r="C372" s="48">
        <v>28822.38</v>
      </c>
      <c r="D372" s="48">
        <v>15037.25</v>
      </c>
      <c r="E372" s="48">
        <v>26565.91</v>
      </c>
      <c r="F372" s="48">
        <v>1483.67</v>
      </c>
      <c r="G372" s="48">
        <v>52591.839999999997</v>
      </c>
      <c r="H372" s="48">
        <v>286625.08999999997</v>
      </c>
      <c r="I372" s="481">
        <f t="shared" si="16"/>
        <v>411126.13999999996</v>
      </c>
      <c r="L372" t="str">
        <f t="shared" si="17"/>
        <v>39200</v>
      </c>
      <c r="M372" s="481">
        <f t="shared" si="18"/>
        <v>411126.13999999996</v>
      </c>
    </row>
    <row r="373" spans="1:13">
      <c r="A373" t="s">
        <v>595</v>
      </c>
      <c r="B373" t="s">
        <v>1884</v>
      </c>
      <c r="C373" s="48">
        <v>55485.63</v>
      </c>
      <c r="D373" s="48">
        <v>27098.31</v>
      </c>
      <c r="E373" s="48">
        <v>46487.75</v>
      </c>
      <c r="F373" s="48">
        <v>2586.83</v>
      </c>
      <c r="G373" s="48">
        <v>82255.92</v>
      </c>
      <c r="H373" s="48">
        <v>492726.55999999994</v>
      </c>
      <c r="I373" s="481">
        <f t="shared" si="16"/>
        <v>706641</v>
      </c>
      <c r="L373" t="str">
        <f t="shared" si="17"/>
        <v>39201</v>
      </c>
      <c r="M373" s="481">
        <f t="shared" si="18"/>
        <v>706641</v>
      </c>
    </row>
    <row r="374" spans="1:13">
      <c r="A374" t="s">
        <v>615</v>
      </c>
      <c r="B374" t="s">
        <v>1904</v>
      </c>
      <c r="C374" s="48">
        <v>38066.550000000003</v>
      </c>
      <c r="D374" s="48">
        <v>15475.28</v>
      </c>
      <c r="E374" s="48">
        <v>28232.45</v>
      </c>
      <c r="F374" s="48">
        <v>1672.45</v>
      </c>
      <c r="G374" s="48">
        <v>48300.480000000003</v>
      </c>
      <c r="H374" s="48">
        <v>276268.92000000004</v>
      </c>
      <c r="I374" s="481">
        <f t="shared" si="16"/>
        <v>408016.13</v>
      </c>
      <c r="L374" t="str">
        <f t="shared" si="17"/>
        <v>39202</v>
      </c>
      <c r="M374" s="481">
        <f t="shared" si="18"/>
        <v>408016.13</v>
      </c>
    </row>
    <row r="375" spans="1:13">
      <c r="A375" t="s">
        <v>247</v>
      </c>
      <c r="B375" t="s">
        <v>1536</v>
      </c>
      <c r="C375" s="48">
        <v>8102.66</v>
      </c>
      <c r="D375" s="48">
        <v>4599.96</v>
      </c>
      <c r="E375" s="48">
        <v>7810.63</v>
      </c>
      <c r="F375" s="48">
        <v>446.87</v>
      </c>
      <c r="G375" s="48">
        <v>14578.84</v>
      </c>
      <c r="H375" s="48">
        <v>84579.36</v>
      </c>
      <c r="I375" s="481">
        <f t="shared" si="16"/>
        <v>120118.32</v>
      </c>
      <c r="L375" t="str">
        <f t="shared" si="17"/>
        <v>39203</v>
      </c>
      <c r="M375" s="481">
        <f t="shared" si="18"/>
        <v>120118.32</v>
      </c>
    </row>
    <row r="376" spans="1:13">
      <c r="A376" t="s">
        <v>233</v>
      </c>
      <c r="B376" t="s">
        <v>1522</v>
      </c>
      <c r="C376" s="48">
        <v>11974.05</v>
      </c>
      <c r="D376" s="48">
        <v>6039.39</v>
      </c>
      <c r="E376" s="48">
        <v>16239.22</v>
      </c>
      <c r="F376" s="48">
        <v>578.13</v>
      </c>
      <c r="G376" s="48">
        <v>19378.52</v>
      </c>
      <c r="H376" s="48">
        <v>114740.88</v>
      </c>
      <c r="I376" s="481">
        <f t="shared" si="16"/>
        <v>168950.19</v>
      </c>
      <c r="L376" t="str">
        <f t="shared" si="17"/>
        <v>39204</v>
      </c>
      <c r="M376" s="481">
        <f t="shared" si="18"/>
        <v>168950.19</v>
      </c>
    </row>
    <row r="377" spans="1:13">
      <c r="A377" t="s">
        <v>695</v>
      </c>
      <c r="B377" t="s">
        <v>1984</v>
      </c>
      <c r="C377" s="48">
        <v>8291.43</v>
      </c>
      <c r="D377" s="48">
        <v>5595.46</v>
      </c>
      <c r="E377" s="48">
        <v>4139.8100000000004</v>
      </c>
      <c r="F377" s="48">
        <v>547.16</v>
      </c>
      <c r="G377" s="48">
        <v>14497.78</v>
      </c>
      <c r="H377" s="48">
        <v>103390.68000000001</v>
      </c>
      <c r="I377" s="481">
        <f t="shared" si="16"/>
        <v>136462.32</v>
      </c>
      <c r="L377" t="str">
        <f t="shared" si="17"/>
        <v>39205</v>
      </c>
      <c r="M377" s="481">
        <f t="shared" si="18"/>
        <v>136462.32</v>
      </c>
    </row>
    <row r="378" spans="1:13">
      <c r="A378" t="s">
        <v>647</v>
      </c>
      <c r="B378" t="s">
        <v>1936</v>
      </c>
      <c r="C378" s="48">
        <v>26014.33</v>
      </c>
      <c r="D378" s="48">
        <v>13569.8</v>
      </c>
      <c r="E378" s="48">
        <v>25529.11</v>
      </c>
      <c r="F378" s="48">
        <v>1297.8499999999999</v>
      </c>
      <c r="G378" s="48">
        <v>37310.53</v>
      </c>
      <c r="H378" s="48">
        <v>249820.98</v>
      </c>
      <c r="I378" s="481">
        <f t="shared" si="16"/>
        <v>353542.60000000003</v>
      </c>
      <c r="L378" t="str">
        <f t="shared" si="17"/>
        <v>39207</v>
      </c>
      <c r="M378" s="481">
        <f t="shared" si="18"/>
        <v>353542.60000000003</v>
      </c>
    </row>
    <row r="379" spans="1:13">
      <c r="A379" t="s">
        <v>663</v>
      </c>
      <c r="B379" t="s">
        <v>1952</v>
      </c>
      <c r="C379" s="48">
        <v>25310.28</v>
      </c>
      <c r="D379" s="48">
        <v>7638.89</v>
      </c>
      <c r="E379" s="48">
        <v>11779.43</v>
      </c>
      <c r="F379" s="48">
        <v>2312.77</v>
      </c>
      <c r="G379" s="48">
        <v>76049.72</v>
      </c>
      <c r="H379" s="48">
        <v>431976.7</v>
      </c>
      <c r="I379" s="481">
        <f t="shared" si="16"/>
        <v>555067.79</v>
      </c>
      <c r="L379" t="str">
        <f t="shared" si="17"/>
        <v>39208</v>
      </c>
      <c r="M379" s="481">
        <f t="shared" si="18"/>
        <v>555067.79</v>
      </c>
    </row>
    <row r="380" spans="1:13">
      <c r="A380" t="s">
        <v>361</v>
      </c>
      <c r="B380" t="s">
        <v>1650</v>
      </c>
      <c r="C380" s="48">
        <v>8309.1200000000008</v>
      </c>
      <c r="D380" s="48">
        <v>3827.15</v>
      </c>
      <c r="E380" s="48">
        <v>2964.39</v>
      </c>
      <c r="F380" s="48">
        <v>370.18</v>
      </c>
      <c r="G380" s="48">
        <v>11596.42</v>
      </c>
      <c r="H380" s="48">
        <v>72047.839999999997</v>
      </c>
      <c r="I380" s="481">
        <f t="shared" si="16"/>
        <v>99115.1</v>
      </c>
      <c r="L380" t="str">
        <f t="shared" si="17"/>
        <v>39209</v>
      </c>
      <c r="M380" s="481">
        <f t="shared" si="18"/>
        <v>99115.1</v>
      </c>
    </row>
    <row r="381" spans="1:13">
      <c r="A381" t="s">
        <v>187</v>
      </c>
      <c r="B381" t="s">
        <v>2098</v>
      </c>
      <c r="C381" s="48">
        <v>0</v>
      </c>
      <c r="D381" s="48">
        <v>0</v>
      </c>
      <c r="E381" s="48">
        <v>0</v>
      </c>
      <c r="F381" s="48">
        <v>0</v>
      </c>
      <c r="G381" s="48">
        <v>0</v>
      </c>
      <c r="H381" s="48">
        <v>0</v>
      </c>
      <c r="I381" s="481">
        <f t="shared" si="16"/>
        <v>0</v>
      </c>
      <c r="L381" t="str">
        <f t="shared" si="17"/>
        <v>39801</v>
      </c>
      <c r="M381" s="481">
        <f t="shared" si="18"/>
        <v>0</v>
      </c>
    </row>
    <row r="382" spans="1:13">
      <c r="A382" t="s">
        <v>689</v>
      </c>
      <c r="B382" t="s">
        <v>1978</v>
      </c>
      <c r="C382" s="48">
        <v>0</v>
      </c>
      <c r="D382" s="48">
        <v>0</v>
      </c>
      <c r="E382" s="48">
        <v>0</v>
      </c>
      <c r="F382" s="48">
        <v>0</v>
      </c>
      <c r="G382" s="48">
        <v>1729.54</v>
      </c>
      <c r="H382" s="48">
        <v>19333.39</v>
      </c>
      <c r="I382" s="481">
        <f t="shared" si="16"/>
        <v>21062.93</v>
      </c>
      <c r="L382" t="str">
        <f t="shared" si="17"/>
        <v>39901</v>
      </c>
      <c r="M382" s="481">
        <f t="shared" si="18"/>
        <v>21062.93</v>
      </c>
    </row>
    <row r="383" spans="1:13">
      <c r="A383" t="s">
        <v>2099</v>
      </c>
      <c r="B383" t="s">
        <v>2100</v>
      </c>
      <c r="C383" s="48">
        <v>0</v>
      </c>
      <c r="D383" s="48">
        <v>0</v>
      </c>
      <c r="E383" s="48">
        <v>0</v>
      </c>
      <c r="F383" s="48">
        <v>0</v>
      </c>
      <c r="G383" s="48">
        <v>0</v>
      </c>
      <c r="H383" s="48">
        <v>0</v>
      </c>
      <c r="I383" s="481">
        <f t="shared" si="16"/>
        <v>0</v>
      </c>
      <c r="L383" t="str">
        <f t="shared" si="17"/>
        <v>39953</v>
      </c>
      <c r="M383" s="481">
        <f t="shared" si="18"/>
        <v>0</v>
      </c>
    </row>
    <row r="384" spans="1:13">
      <c r="C384" s="48"/>
      <c r="D384" s="48"/>
      <c r="E384" s="48"/>
      <c r="F384" s="48"/>
      <c r="G384" s="48"/>
      <c r="H384" s="48"/>
    </row>
  </sheetData>
  <sortState xmlns:xlrd2="http://schemas.microsoft.com/office/spreadsheetml/2017/richdata2" ref="A4:I322">
    <sortCondition ref="A4:A322"/>
  </sortSt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F6B08-4BBC-41BA-8C62-9BEAD2EB81DD}">
  <sheetPr>
    <tabColor rgb="FFFFFF00"/>
    <pageSetUpPr fitToPage="1"/>
  </sheetPr>
  <dimension ref="A1:T29"/>
  <sheetViews>
    <sheetView zoomScaleNormal="100" workbookViewId="0">
      <selection activeCell="B4" sqref="B4"/>
    </sheetView>
  </sheetViews>
  <sheetFormatPr defaultRowHeight="14.45"/>
  <cols>
    <col min="1" max="1" width="47.5703125" bestFit="1" customWidth="1"/>
    <col min="2" max="2" width="16.5703125" bestFit="1" customWidth="1"/>
    <col min="3" max="3" width="14" bestFit="1" customWidth="1"/>
    <col min="4" max="4" width="14" customWidth="1"/>
    <col min="5" max="5" width="14" bestFit="1" customWidth="1"/>
    <col min="6" max="6" width="22" customWidth="1"/>
    <col min="7" max="7" width="22.140625" customWidth="1"/>
    <col min="8" max="8" width="2.5703125" customWidth="1"/>
    <col min="10" max="10" width="14.28515625" customWidth="1"/>
    <col min="11" max="11" width="3.28515625" customWidth="1"/>
    <col min="12" max="12" width="5.7109375" customWidth="1"/>
    <col min="13" max="13" width="44.28515625" bestFit="1" customWidth="1"/>
    <col min="14" max="14" width="17.85546875" bestFit="1" customWidth="1"/>
    <col min="15" max="15" width="12" bestFit="1" customWidth="1"/>
    <col min="16" max="16" width="12.85546875" bestFit="1" customWidth="1"/>
    <col min="17" max="17" width="11.42578125" bestFit="1" customWidth="1"/>
    <col min="18" max="18" width="8.28515625" customWidth="1"/>
    <col min="19" max="19" width="2.7109375" customWidth="1"/>
    <col min="20" max="20" width="12.28515625" customWidth="1"/>
  </cols>
  <sheetData>
    <row r="1" spans="1:20" ht="15.6">
      <c r="A1" s="618" t="s">
        <v>2101</v>
      </c>
      <c r="B1" s="618"/>
      <c r="C1" s="618"/>
      <c r="D1" s="618"/>
      <c r="E1" s="618"/>
      <c r="F1" s="618"/>
      <c r="I1" s="34" t="str">
        <f>'Fund Balance Summary'!$B$1</f>
        <v>14005</v>
      </c>
      <c r="M1" s="454" t="s">
        <v>2102</v>
      </c>
    </row>
    <row r="2" spans="1:20" ht="16.149999999999999" thickBot="1">
      <c r="A2" s="618" t="s">
        <v>1207</v>
      </c>
      <c r="B2" s="618"/>
      <c r="C2" s="618"/>
      <c r="D2" s="618"/>
      <c r="E2" s="618"/>
      <c r="F2" s="618"/>
    </row>
    <row r="3" spans="1:20" ht="15" customHeight="1">
      <c r="A3" s="6" t="s">
        <v>1216</v>
      </c>
      <c r="B3" s="320"/>
      <c r="C3" s="320"/>
      <c r="D3" s="320"/>
      <c r="F3" s="2"/>
      <c r="G3" s="421"/>
      <c r="H3" s="227"/>
      <c r="I3" s="617" t="s">
        <v>2103</v>
      </c>
      <c r="J3" s="617"/>
      <c r="L3" s="424"/>
      <c r="M3" s="425"/>
      <c r="N3" s="425"/>
      <c r="O3" s="425"/>
      <c r="P3" s="425"/>
      <c r="Q3" s="425"/>
      <c r="R3" s="425"/>
      <c r="S3" s="426"/>
    </row>
    <row r="4" spans="1:20" ht="30.75" customHeight="1" thickBot="1">
      <c r="G4" s="421"/>
      <c r="H4" s="227"/>
      <c r="I4" s="617"/>
      <c r="J4" s="617"/>
      <c r="L4" s="412"/>
      <c r="M4" s="616" t="s">
        <v>2104</v>
      </c>
      <c r="N4" s="616"/>
      <c r="O4" s="616"/>
      <c r="P4" s="616"/>
      <c r="Q4" s="616"/>
      <c r="R4" s="616"/>
      <c r="S4" s="427"/>
    </row>
    <row r="5" spans="1:20" ht="35.25" customHeight="1">
      <c r="A5" s="420" t="s">
        <v>2105</v>
      </c>
      <c r="B5" s="452" t="s">
        <v>2106</v>
      </c>
      <c r="C5" s="452" t="s">
        <v>2107</v>
      </c>
      <c r="D5" s="452" t="s">
        <v>2108</v>
      </c>
      <c r="E5" s="453" t="s">
        <v>2109</v>
      </c>
      <c r="F5" s="326" t="s">
        <v>2110</v>
      </c>
      <c r="G5" s="421"/>
      <c r="I5" s="617"/>
      <c r="J5" s="617"/>
      <c r="L5" s="412"/>
      <c r="M5" s="559" t="s">
        <v>2111</v>
      </c>
      <c r="N5" s="452" t="s">
        <v>2106</v>
      </c>
      <c r="O5" s="452" t="s">
        <v>2107</v>
      </c>
      <c r="P5" s="452" t="s">
        <v>2108</v>
      </c>
      <c r="Q5" s="453" t="s">
        <v>2109</v>
      </c>
      <c r="R5" s="560" t="s">
        <v>2112</v>
      </c>
      <c r="S5" s="427"/>
    </row>
    <row r="6" spans="1:20" ht="15.6">
      <c r="A6" s="324" t="s">
        <v>2113</v>
      </c>
      <c r="B6" s="414">
        <v>0</v>
      </c>
      <c r="C6" s="414">
        <v>0</v>
      </c>
      <c r="D6" s="414">
        <v>0</v>
      </c>
      <c r="E6" s="415">
        <v>0</v>
      </c>
      <c r="F6" s="336">
        <f>SUM(B6:E6)</f>
        <v>0</v>
      </c>
      <c r="G6" s="421"/>
      <c r="I6" s="617"/>
      <c r="J6" s="617"/>
      <c r="L6" s="428" t="s">
        <v>2114</v>
      </c>
      <c r="M6" s="423" t="s">
        <v>2115</v>
      </c>
      <c r="N6" s="561"/>
      <c r="O6" s="561"/>
      <c r="P6" s="561"/>
      <c r="Q6" s="561"/>
      <c r="R6" s="562" t="s">
        <v>2116</v>
      </c>
      <c r="S6" s="427"/>
    </row>
    <row r="7" spans="1:20" ht="15.6">
      <c r="A7" s="321"/>
      <c r="B7" s="321"/>
      <c r="C7" s="321"/>
      <c r="D7" s="321"/>
      <c r="E7" s="322"/>
      <c r="F7" s="327"/>
      <c r="I7" s="617"/>
      <c r="J7" s="617"/>
      <c r="L7" s="428"/>
      <c r="M7" s="423"/>
      <c r="N7" s="563"/>
      <c r="O7" s="563"/>
      <c r="P7" s="563"/>
      <c r="Q7" s="563"/>
      <c r="R7" s="560"/>
      <c r="S7" s="427"/>
    </row>
    <row r="8" spans="1:20" ht="17.45">
      <c r="A8" s="88" t="s">
        <v>2117</v>
      </c>
      <c r="C8" s="416">
        <v>0</v>
      </c>
      <c r="D8" s="416">
        <v>0</v>
      </c>
      <c r="E8" s="417">
        <v>0</v>
      </c>
      <c r="F8" s="328"/>
      <c r="I8" s="617"/>
      <c r="J8" s="617"/>
      <c r="L8" s="428" t="s">
        <v>2118</v>
      </c>
      <c r="M8" t="s">
        <v>2117</v>
      </c>
      <c r="N8" s="563"/>
      <c r="O8" s="564" t="s">
        <v>2119</v>
      </c>
      <c r="P8" s="564" t="s">
        <v>2119</v>
      </c>
      <c r="Q8" s="564" t="s">
        <v>2120</v>
      </c>
      <c r="R8" s="565"/>
      <c r="S8" s="427"/>
    </row>
    <row r="9" spans="1:20" ht="18">
      <c r="A9" s="88" t="s">
        <v>2121</v>
      </c>
      <c r="B9" s="88"/>
      <c r="C9" s="418">
        <v>0</v>
      </c>
      <c r="D9" s="418">
        <v>0</v>
      </c>
      <c r="E9" s="419">
        <v>0</v>
      </c>
      <c r="F9" s="329"/>
      <c r="G9" s="271"/>
      <c r="I9" s="617"/>
      <c r="J9" s="617"/>
      <c r="L9" s="428" t="s">
        <v>2122</v>
      </c>
      <c r="M9" t="s">
        <v>2121</v>
      </c>
      <c r="N9" s="563"/>
      <c r="O9" s="564" t="s">
        <v>2123</v>
      </c>
      <c r="P9" s="564" t="s">
        <v>2123</v>
      </c>
      <c r="Q9" s="564" t="s">
        <v>2123</v>
      </c>
      <c r="R9" s="565"/>
      <c r="S9" s="427"/>
    </row>
    <row r="10" spans="1:20" ht="18">
      <c r="A10" s="333" t="s">
        <v>2124</v>
      </c>
      <c r="B10" s="88"/>
      <c r="C10" s="334">
        <f>+C9*C8</f>
        <v>0</v>
      </c>
      <c r="D10" s="334">
        <f t="shared" ref="D10:E10" si="0">+D9*D8</f>
        <v>0</v>
      </c>
      <c r="E10" s="410">
        <f t="shared" si="0"/>
        <v>0</v>
      </c>
      <c r="F10" s="411">
        <f>SUM(C10:E10)</f>
        <v>0</v>
      </c>
      <c r="G10" s="271"/>
      <c r="I10" s="617"/>
      <c r="J10" s="617"/>
      <c r="L10" s="428" t="s">
        <v>2125</v>
      </c>
      <c r="M10" s="566" t="s">
        <v>2124</v>
      </c>
      <c r="N10" s="563"/>
      <c r="O10" s="567" t="s">
        <v>2126</v>
      </c>
      <c r="P10" s="567" t="s">
        <v>2126</v>
      </c>
      <c r="Q10" s="567" t="s">
        <v>2126</v>
      </c>
      <c r="R10" s="560" t="s">
        <v>2127</v>
      </c>
      <c r="S10" s="427"/>
    </row>
    <row r="11" spans="1:20" ht="18">
      <c r="A11" s="88" t="s">
        <v>2128</v>
      </c>
      <c r="B11" s="414">
        <v>0</v>
      </c>
      <c r="C11" s="325"/>
      <c r="D11" s="325"/>
      <c r="E11" s="325"/>
      <c r="F11" s="327">
        <f>+B11</f>
        <v>0</v>
      </c>
      <c r="G11" s="271"/>
      <c r="I11" s="617"/>
      <c r="J11" s="617"/>
      <c r="L11" s="428" t="s">
        <v>2129</v>
      </c>
      <c r="M11" t="s">
        <v>2128</v>
      </c>
      <c r="N11" s="564">
        <v>1197</v>
      </c>
      <c r="O11" s="563"/>
      <c r="P11" s="563"/>
      <c r="Q11" s="563"/>
      <c r="R11" s="560" t="s">
        <v>2130</v>
      </c>
      <c r="S11" s="427"/>
    </row>
    <row r="12" spans="1:20" ht="18">
      <c r="A12" s="88" t="s">
        <v>2131</v>
      </c>
      <c r="B12" s="414">
        <v>0</v>
      </c>
      <c r="F12" s="327">
        <f>+B12</f>
        <v>0</v>
      </c>
      <c r="G12" s="271"/>
      <c r="J12" s="409"/>
      <c r="L12" s="428" t="s">
        <v>2132</v>
      </c>
      <c r="M12" t="s">
        <v>2131</v>
      </c>
      <c r="N12" s="564">
        <v>1197</v>
      </c>
      <c r="O12" s="563"/>
      <c r="P12" s="563"/>
      <c r="Q12" s="563"/>
      <c r="R12" s="560" t="s">
        <v>2133</v>
      </c>
      <c r="S12" s="427"/>
    </row>
    <row r="13" spans="1:20" ht="18">
      <c r="A13" s="323"/>
      <c r="B13" s="331"/>
      <c r="C13" s="105"/>
      <c r="D13" s="105"/>
      <c r="E13" s="105"/>
      <c r="F13" s="327"/>
      <c r="G13" s="271"/>
      <c r="J13" s="254"/>
      <c r="L13" s="429"/>
      <c r="M13" s="10"/>
      <c r="N13" s="74"/>
      <c r="O13" s="74"/>
      <c r="P13" s="74"/>
      <c r="Q13" s="74"/>
      <c r="R13" s="74"/>
      <c r="S13" s="427"/>
    </row>
    <row r="14" spans="1:20" ht="17.45">
      <c r="A14" s="423" t="s">
        <v>2134</v>
      </c>
      <c r="B14" s="109">
        <f>+B6+B11+B12</f>
        <v>0</v>
      </c>
      <c r="C14" s="109">
        <f>+C10+C6</f>
        <v>0</v>
      </c>
      <c r="D14" s="109">
        <f>+D10+D6</f>
        <v>0</v>
      </c>
      <c r="E14" s="109">
        <f>+E10+E6</f>
        <v>0</v>
      </c>
      <c r="F14" s="330">
        <f>SUM(B14:E14)</f>
        <v>0</v>
      </c>
      <c r="H14" s="5"/>
      <c r="I14" s="5"/>
      <c r="J14" s="254"/>
      <c r="L14" s="428" t="s">
        <v>2135</v>
      </c>
      <c r="M14" s="423" t="s">
        <v>2134</v>
      </c>
      <c r="N14" s="567" t="s">
        <v>2136</v>
      </c>
      <c r="O14" s="567" t="s">
        <v>2137</v>
      </c>
      <c r="P14" s="567" t="s">
        <v>2137</v>
      </c>
      <c r="Q14" s="567" t="s">
        <v>2137</v>
      </c>
      <c r="R14" s="560" t="s">
        <v>2138</v>
      </c>
      <c r="S14" s="427"/>
    </row>
    <row r="15" spans="1:20" ht="17.45">
      <c r="A15" s="88"/>
      <c r="B15" s="88"/>
      <c r="C15" s="88"/>
      <c r="D15" s="88"/>
      <c r="E15" s="97"/>
      <c r="F15" s="328"/>
      <c r="J15" s="409"/>
      <c r="L15" s="429"/>
      <c r="N15" s="74"/>
      <c r="O15" s="74"/>
      <c r="P15" s="74"/>
      <c r="Q15" s="74"/>
      <c r="R15" s="74"/>
      <c r="S15" s="427"/>
    </row>
    <row r="16" spans="1:20" ht="18" thickBot="1">
      <c r="A16" s="423" t="s">
        <v>2139</v>
      </c>
      <c r="B16" s="414">
        <v>0</v>
      </c>
      <c r="F16" s="328"/>
      <c r="G16" t="s">
        <v>2140</v>
      </c>
      <c r="J16" s="254"/>
      <c r="L16" s="428" t="s">
        <v>2141</v>
      </c>
      <c r="M16" s="423" t="s">
        <v>2139</v>
      </c>
      <c r="N16" s="568" t="s">
        <v>2142</v>
      </c>
      <c r="O16" s="563"/>
      <c r="P16" s="563"/>
      <c r="Q16" s="563"/>
      <c r="R16" s="433"/>
      <c r="S16" s="427"/>
      <c r="T16" t="s">
        <v>2140</v>
      </c>
    </row>
    <row r="17" spans="1:20" ht="18.75" customHeight="1" thickBot="1">
      <c r="A17" s="88" t="s">
        <v>2143</v>
      </c>
      <c r="B17" s="88"/>
      <c r="C17" s="414">
        <v>0</v>
      </c>
      <c r="D17" s="414">
        <v>0</v>
      </c>
      <c r="E17" s="415">
        <v>0</v>
      </c>
      <c r="F17" s="332"/>
      <c r="G17" s="558">
        <f>+B16+C17+D17+E17</f>
        <v>0</v>
      </c>
      <c r="J17" s="254"/>
      <c r="L17" s="428" t="s">
        <v>2144</v>
      </c>
      <c r="M17" t="s">
        <v>2143</v>
      </c>
      <c r="N17" s="563"/>
      <c r="O17" s="564"/>
      <c r="P17" s="564"/>
      <c r="Q17" s="564"/>
      <c r="R17" s="433"/>
      <c r="S17" s="427"/>
      <c r="T17" s="433" t="s">
        <v>2145</v>
      </c>
    </row>
    <row r="18" spans="1:20" ht="17.45">
      <c r="A18" s="88"/>
      <c r="B18" s="88"/>
      <c r="C18" s="88"/>
      <c r="D18" s="88"/>
      <c r="E18" s="97"/>
      <c r="F18" s="328"/>
      <c r="J18" s="254"/>
      <c r="L18" s="429"/>
      <c r="M18" s="74"/>
      <c r="N18" s="74"/>
      <c r="O18" s="74"/>
      <c r="P18" s="74"/>
      <c r="Q18" s="74"/>
      <c r="R18" s="74"/>
      <c r="S18" s="427"/>
      <c r="T18" s="433"/>
    </row>
    <row r="19" spans="1:20" ht="18" thickBot="1">
      <c r="A19" s="88" t="s">
        <v>2146</v>
      </c>
      <c r="B19" s="335">
        <f>+B14-B16</f>
        <v>0</v>
      </c>
      <c r="C19" s="555">
        <f t="shared" ref="C19:E19" si="1">+C14-C17</f>
        <v>0</v>
      </c>
      <c r="D19" s="555">
        <f t="shared" si="1"/>
        <v>0</v>
      </c>
      <c r="E19" s="556">
        <f t="shared" si="1"/>
        <v>0</v>
      </c>
      <c r="F19" s="328"/>
      <c r="J19" s="254"/>
      <c r="L19" s="428" t="s">
        <v>2147</v>
      </c>
      <c r="M19" s="423" t="s">
        <v>2148</v>
      </c>
      <c r="N19" s="567" t="s">
        <v>2149</v>
      </c>
      <c r="O19" s="567" t="s">
        <v>2150</v>
      </c>
      <c r="P19" s="567" t="s">
        <v>2150</v>
      </c>
      <c r="Q19" s="567" t="s">
        <v>2150</v>
      </c>
      <c r="R19" s="563"/>
      <c r="S19" s="427"/>
    </row>
    <row r="20" spans="1:20" ht="58.15" customHeight="1">
      <c r="A20" s="422" t="s">
        <v>2151</v>
      </c>
      <c r="B20" s="88"/>
      <c r="C20" s="619" t="s">
        <v>2152</v>
      </c>
      <c r="D20" s="620"/>
      <c r="E20" s="620"/>
      <c r="F20" s="332"/>
      <c r="L20" s="413"/>
      <c r="M20" s="569" t="s">
        <v>2153</v>
      </c>
      <c r="N20" s="563"/>
      <c r="O20" s="563"/>
      <c r="P20" s="563"/>
      <c r="Q20" s="563"/>
      <c r="R20" s="563"/>
      <c r="S20" s="427"/>
    </row>
    <row r="21" spans="1:20" ht="18" thickBot="1">
      <c r="A21" s="337" t="s">
        <v>2154</v>
      </c>
      <c r="B21" s="573">
        <f>IF(+B14-B16&lt;0,0,+B19)</f>
        <v>0</v>
      </c>
      <c r="C21" s="574">
        <f t="shared" ref="C21:E21" si="2">IF(+C14-C17&lt;0,0,+C19)</f>
        <v>0</v>
      </c>
      <c r="D21" s="575">
        <f t="shared" si="2"/>
        <v>0</v>
      </c>
      <c r="E21" s="576">
        <f t="shared" si="2"/>
        <v>0</v>
      </c>
      <c r="F21" s="577">
        <f>SUM(B21:E21)</f>
        <v>0</v>
      </c>
      <c r="L21" s="428" t="s">
        <v>2155</v>
      </c>
      <c r="M21" s="423" t="s">
        <v>2156</v>
      </c>
      <c r="N21" s="570" t="s">
        <v>2157</v>
      </c>
      <c r="O21" s="570" t="s">
        <v>2157</v>
      </c>
      <c r="P21" s="570" t="s">
        <v>2157</v>
      </c>
      <c r="Q21" s="570" t="s">
        <v>2157</v>
      </c>
      <c r="R21" s="562" t="s">
        <v>2158</v>
      </c>
      <c r="S21" s="427"/>
    </row>
    <row r="22" spans="1:20" ht="15" thickBot="1">
      <c r="L22" s="571"/>
      <c r="S22" s="572"/>
    </row>
    <row r="23" spans="1:20" ht="16.149999999999999" thickBot="1">
      <c r="A23" s="579" t="s">
        <v>2159</v>
      </c>
      <c r="B23" s="87"/>
      <c r="C23" s="87"/>
      <c r="D23" s="87"/>
      <c r="E23" s="87"/>
      <c r="F23" s="578">
        <f>+B21</f>
        <v>0</v>
      </c>
      <c r="L23" s="430"/>
      <c r="M23" s="431"/>
      <c r="N23" s="431"/>
      <c r="O23" s="431"/>
      <c r="P23" s="431"/>
      <c r="Q23" s="431"/>
      <c r="R23" s="431"/>
      <c r="S23" s="432"/>
    </row>
    <row r="24" spans="1:20" ht="29.45" thickBot="1">
      <c r="F24" s="557" t="s">
        <v>2160</v>
      </c>
    </row>
    <row r="25" spans="1:20">
      <c r="A25" s="454" t="s">
        <v>2161</v>
      </c>
      <c r="B25" s="455"/>
      <c r="C25" s="455"/>
      <c r="D25" s="455"/>
      <c r="E25" s="455"/>
      <c r="M25" s="454" t="s">
        <v>2161</v>
      </c>
      <c r="N25" s="455"/>
      <c r="O25" s="455"/>
      <c r="P25" s="455"/>
      <c r="Q25" s="455"/>
      <c r="R25" s="455"/>
    </row>
    <row r="26" spans="1:20" ht="15" customHeight="1">
      <c r="G26" s="421"/>
    </row>
    <row r="27" spans="1:20">
      <c r="G27" s="421"/>
    </row>
    <row r="28" spans="1:20">
      <c r="G28" s="421"/>
    </row>
    <row r="29" spans="1:20">
      <c r="G29" s="421"/>
    </row>
  </sheetData>
  <mergeCells count="5">
    <mergeCell ref="M4:R4"/>
    <mergeCell ref="I3:J11"/>
    <mergeCell ref="A1:F1"/>
    <mergeCell ref="A2:F2"/>
    <mergeCell ref="C20:E20"/>
  </mergeCells>
  <hyperlinks>
    <hyperlink ref="A3" location="'Fund Balance Summary'!A1" display="(Return to summary sheet)" xr:uid="{97CF06A2-A34A-48AC-A10E-FF41DBC22EFC}"/>
  </hyperlinks>
  <pageMargins left="0.2" right="0.2" top="0.75" bottom="0.75" header="0.3" footer="0.3"/>
  <pageSetup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C45"/>
  <sheetViews>
    <sheetView workbookViewId="0">
      <selection sqref="A1:C1"/>
    </sheetView>
  </sheetViews>
  <sheetFormatPr defaultRowHeight="14.45"/>
  <cols>
    <col min="1" max="1" width="70.85546875" bestFit="1" customWidth="1"/>
    <col min="2" max="3" width="15.7109375" style="2" customWidth="1"/>
    <col min="4" max="5" width="3.85546875" customWidth="1"/>
    <col min="18" max="18" width="15.42578125" bestFit="1" customWidth="1"/>
    <col min="22" max="22" width="12.5703125" bestFit="1" customWidth="1"/>
    <col min="23" max="23" width="7" bestFit="1" customWidth="1"/>
  </cols>
  <sheetData>
    <row r="1" spans="1:3">
      <c r="A1" s="597" t="s">
        <v>721</v>
      </c>
      <c r="B1" s="597"/>
      <c r="C1" s="597"/>
    </row>
    <row r="2" spans="1:3">
      <c r="A2" s="597" t="s">
        <v>2162</v>
      </c>
      <c r="B2" s="597"/>
      <c r="C2" s="597"/>
    </row>
    <row r="3" spans="1:3">
      <c r="A3" s="116" t="s">
        <v>2163</v>
      </c>
    </row>
    <row r="5" spans="1:3">
      <c r="A5" s="7" t="s">
        <v>2164</v>
      </c>
    </row>
    <row r="6" spans="1:3">
      <c r="A6" t="s">
        <v>2165</v>
      </c>
      <c r="C6" s="1">
        <v>0</v>
      </c>
    </row>
    <row r="7" spans="1:3">
      <c r="A7" t="s">
        <v>2166</v>
      </c>
    </row>
    <row r="8" spans="1:3">
      <c r="A8" s="4" t="s">
        <v>2167</v>
      </c>
      <c r="B8" s="1">
        <v>0</v>
      </c>
    </row>
    <row r="9" spans="1:3">
      <c r="A9" s="4" t="s">
        <v>2168</v>
      </c>
      <c r="B9" s="1">
        <v>0</v>
      </c>
    </row>
    <row r="10" spans="1:3">
      <c r="A10" s="4" t="s">
        <v>2169</v>
      </c>
      <c r="B10" s="1">
        <v>0</v>
      </c>
    </row>
    <row r="11" spans="1:3">
      <c r="A11" s="4" t="s">
        <v>2170</v>
      </c>
      <c r="B11" s="1">
        <v>0</v>
      </c>
    </row>
    <row r="12" spans="1:3">
      <c r="A12" s="4" t="s">
        <v>2171</v>
      </c>
      <c r="B12" s="1">
        <v>0</v>
      </c>
    </row>
    <row r="13" spans="1:3">
      <c r="A13" s="4" t="s">
        <v>2172</v>
      </c>
      <c r="B13" s="1">
        <v>0</v>
      </c>
    </row>
    <row r="14" spans="1:3">
      <c r="A14" s="4" t="s">
        <v>2173</v>
      </c>
      <c r="B14" s="1">
        <v>0</v>
      </c>
    </row>
    <row r="15" spans="1:3" ht="16.149999999999999">
      <c r="A15" s="4" t="s">
        <v>2174</v>
      </c>
      <c r="B15" s="59">
        <v>0</v>
      </c>
    </row>
    <row r="16" spans="1:3" ht="16.149999999999999">
      <c r="A16" t="s">
        <v>2175</v>
      </c>
      <c r="C16" s="60">
        <f>SUM(B8:B15)</f>
        <v>0</v>
      </c>
    </row>
    <row r="17" spans="1:2">
      <c r="A17" s="58" t="s">
        <v>2176</v>
      </c>
    </row>
    <row r="18" spans="1:2">
      <c r="A18" s="4" t="s">
        <v>2177</v>
      </c>
      <c r="B18" s="1">
        <v>0</v>
      </c>
    </row>
    <row r="19" spans="1:2">
      <c r="A19" s="4" t="s">
        <v>2178</v>
      </c>
      <c r="B19" s="1">
        <v>0</v>
      </c>
    </row>
    <row r="20" spans="1:2">
      <c r="A20" s="4" t="s">
        <v>2179</v>
      </c>
      <c r="B20" s="1">
        <v>0</v>
      </c>
    </row>
    <row r="21" spans="1:2">
      <c r="A21" s="4" t="s">
        <v>2180</v>
      </c>
      <c r="B21" s="1">
        <v>0</v>
      </c>
    </row>
    <row r="22" spans="1:2">
      <c r="A22" s="4" t="s">
        <v>2181</v>
      </c>
      <c r="B22" s="1">
        <v>0</v>
      </c>
    </row>
    <row r="23" spans="1:2">
      <c r="A23" s="4" t="s">
        <v>2182</v>
      </c>
      <c r="B23" s="1">
        <v>0</v>
      </c>
    </row>
    <row r="24" spans="1:2">
      <c r="A24" s="4" t="s">
        <v>2183</v>
      </c>
      <c r="B24" s="1">
        <v>0</v>
      </c>
    </row>
    <row r="25" spans="1:2">
      <c r="A25" s="4" t="s">
        <v>2184</v>
      </c>
      <c r="B25" s="1">
        <v>0</v>
      </c>
    </row>
    <row r="26" spans="1:2">
      <c r="A26" s="4" t="s">
        <v>2185</v>
      </c>
      <c r="B26" s="1">
        <v>0</v>
      </c>
    </row>
    <row r="27" spans="1:2">
      <c r="A27" s="4" t="s">
        <v>2186</v>
      </c>
      <c r="B27" s="1">
        <v>0</v>
      </c>
    </row>
    <row r="28" spans="1:2">
      <c r="A28" s="4" t="s">
        <v>2187</v>
      </c>
      <c r="B28" s="1">
        <v>0</v>
      </c>
    </row>
    <row r="29" spans="1:2">
      <c r="A29" s="4" t="s">
        <v>2188</v>
      </c>
      <c r="B29" s="1">
        <v>0</v>
      </c>
    </row>
    <row r="30" spans="1:2">
      <c r="A30" s="4" t="s">
        <v>2189</v>
      </c>
      <c r="B30" s="1">
        <v>0</v>
      </c>
    </row>
    <row r="31" spans="1:2">
      <c r="A31" s="4" t="s">
        <v>2190</v>
      </c>
      <c r="B31" s="1">
        <v>0</v>
      </c>
    </row>
    <row r="32" spans="1:2">
      <c r="A32" s="4" t="s">
        <v>2191</v>
      </c>
      <c r="B32" s="1">
        <v>0</v>
      </c>
    </row>
    <row r="33" spans="1:3">
      <c r="A33" s="4" t="s">
        <v>2192</v>
      </c>
      <c r="B33" s="1">
        <v>0</v>
      </c>
    </row>
    <row r="34" spans="1:3">
      <c r="A34" s="4" t="s">
        <v>2193</v>
      </c>
      <c r="B34" s="1">
        <v>0</v>
      </c>
    </row>
    <row r="35" spans="1:3">
      <c r="A35" s="4" t="s">
        <v>2194</v>
      </c>
      <c r="B35" s="1">
        <v>0</v>
      </c>
    </row>
    <row r="36" spans="1:3" ht="16.149999999999999">
      <c r="A36" s="4" t="s">
        <v>2195</v>
      </c>
      <c r="B36" s="59">
        <v>0</v>
      </c>
    </row>
    <row r="37" spans="1:3" ht="16.149999999999999">
      <c r="A37" s="58" t="s">
        <v>2196</v>
      </c>
      <c r="C37" s="61">
        <f>SUM(B18:B36)</f>
        <v>0</v>
      </c>
    </row>
    <row r="38" spans="1:3">
      <c r="A38" s="58" t="s">
        <v>2197</v>
      </c>
      <c r="C38" s="2">
        <f>+C16-C37</f>
        <v>0</v>
      </c>
    </row>
    <row r="39" spans="1:3" ht="16.149999999999999">
      <c r="A39" s="58" t="s">
        <v>2198</v>
      </c>
      <c r="C39" s="62">
        <f>+C6+C38</f>
        <v>0</v>
      </c>
    </row>
    <row r="41" spans="1:3">
      <c r="A41" s="7" t="s">
        <v>1208</v>
      </c>
    </row>
    <row r="42" spans="1:3">
      <c r="A42" s="58" t="s">
        <v>2165</v>
      </c>
      <c r="C42" s="1">
        <v>0</v>
      </c>
    </row>
    <row r="43" spans="1:3">
      <c r="A43" s="58" t="s">
        <v>2199</v>
      </c>
      <c r="C43" s="1">
        <v>0</v>
      </c>
    </row>
    <row r="44" spans="1:3" ht="16.149999999999999">
      <c r="A44" s="58" t="s">
        <v>2200</v>
      </c>
      <c r="C44" s="59">
        <v>0</v>
      </c>
    </row>
    <row r="45" spans="1:3" ht="16.149999999999999">
      <c r="A45" s="58" t="s">
        <v>2198</v>
      </c>
      <c r="C45" s="62">
        <f>+C42+C43-C44</f>
        <v>0</v>
      </c>
    </row>
  </sheetData>
  <mergeCells count="2">
    <mergeCell ref="A1:C1"/>
    <mergeCell ref="A2:C2"/>
  </mergeCells>
  <hyperlinks>
    <hyperlink ref="A3" location="'Fund Balance Summary'!A1" display="(Return to Summary Sheet)" xr:uid="{00000000-0004-0000-0900-000000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T62"/>
  <sheetViews>
    <sheetView zoomScaleNormal="100" workbookViewId="0">
      <pane ySplit="4" topLeftCell="A5" activePane="bottomLeft" state="frozen"/>
      <selection pane="bottomLeft" activeCell="G17" sqref="G17"/>
    </sheetView>
  </sheetViews>
  <sheetFormatPr defaultColWidth="9.140625" defaultRowHeight="14.45"/>
  <cols>
    <col min="1" max="1" width="50.7109375" customWidth="1"/>
    <col min="2" max="2" width="16" bestFit="1" customWidth="1"/>
    <col min="3" max="3" width="13.42578125" bestFit="1" customWidth="1"/>
    <col min="4" max="4" width="14.85546875" bestFit="1" customWidth="1"/>
    <col min="5" max="5" width="3.140625" customWidth="1"/>
    <col min="6" max="6" width="13.85546875" bestFit="1" customWidth="1"/>
    <col min="8" max="8" width="12.28515625" customWidth="1"/>
    <col min="9" max="9" width="2.42578125" customWidth="1"/>
    <col min="14" max="14" width="14" bestFit="1" customWidth="1"/>
    <col min="23" max="23" width="9.140625" customWidth="1"/>
  </cols>
  <sheetData>
    <row r="1" spans="1:20" ht="35.25" customHeight="1" thickBot="1">
      <c r="A1" s="621" t="s">
        <v>2201</v>
      </c>
      <c r="B1" s="621"/>
      <c r="C1" s="621"/>
      <c r="F1" s="68" t="str">
        <f>'Fund Balance Summary'!B1</f>
        <v>14005</v>
      </c>
      <c r="J1" s="653" t="s">
        <v>2202</v>
      </c>
      <c r="K1" s="653"/>
      <c r="L1" s="653"/>
      <c r="M1" s="653"/>
      <c r="N1" s="653"/>
      <c r="O1" s="653"/>
      <c r="P1" s="653"/>
      <c r="Q1" s="653"/>
      <c r="R1" s="653"/>
      <c r="S1" s="653"/>
    </row>
    <row r="2" spans="1:20" ht="15" customHeight="1">
      <c r="A2" s="622" t="s">
        <v>1207</v>
      </c>
      <c r="B2" s="622"/>
      <c r="C2" s="622"/>
      <c r="J2" s="624" t="s">
        <v>2203</v>
      </c>
      <c r="K2" s="625"/>
      <c r="L2" s="625"/>
      <c r="M2" s="625"/>
      <c r="N2" s="625"/>
      <c r="O2" s="625"/>
      <c r="P2" s="625"/>
      <c r="Q2" s="625"/>
      <c r="R2" s="625"/>
      <c r="S2" s="626"/>
    </row>
    <row r="3" spans="1:20">
      <c r="A3" s="6" t="s">
        <v>1216</v>
      </c>
      <c r="J3" s="627" t="s">
        <v>1207</v>
      </c>
      <c r="K3" s="628"/>
      <c r="L3" s="628"/>
      <c r="M3" s="628"/>
      <c r="N3" s="628"/>
      <c r="O3" s="628"/>
      <c r="P3" s="628"/>
      <c r="Q3" s="628"/>
      <c r="R3" s="628"/>
      <c r="S3" s="629"/>
    </row>
    <row r="4" spans="1:20" ht="20.45">
      <c r="A4" s="46" t="str">
        <f>F1</f>
        <v>14005</v>
      </c>
      <c r="B4" s="7" t="str">
        <f>PROPER(VLOOKUP(F1,CCDDD!$K$2:$L$332,2,FALSE))</f>
        <v>Aberdeen</v>
      </c>
      <c r="F4" s="299" t="s">
        <v>2204</v>
      </c>
      <c r="G4" s="642" t="s">
        <v>2205</v>
      </c>
      <c r="H4" s="643"/>
      <c r="J4" s="636" t="s">
        <v>2206</v>
      </c>
      <c r="K4" s="637"/>
      <c r="L4" s="637"/>
      <c r="M4" s="637"/>
      <c r="N4" s="637"/>
      <c r="O4" s="637"/>
      <c r="P4" s="637"/>
      <c r="Q4" s="637"/>
      <c r="R4" s="637"/>
      <c r="S4" s="638"/>
    </row>
    <row r="5" spans="1:20" ht="15" customHeight="1">
      <c r="F5" s="451">
        <v>0</v>
      </c>
      <c r="G5" s="644"/>
      <c r="H5" s="645"/>
      <c r="I5" s="7"/>
      <c r="J5" s="630" t="s">
        <v>2207</v>
      </c>
      <c r="K5" s="631"/>
      <c r="L5" s="631"/>
      <c r="M5" s="631"/>
      <c r="N5" s="631"/>
      <c r="O5" s="631"/>
      <c r="P5" s="631"/>
      <c r="Q5" s="631"/>
      <c r="R5" s="631"/>
      <c r="S5" s="632"/>
    </row>
    <row r="6" spans="1:20">
      <c r="A6" s="47" t="s">
        <v>2166</v>
      </c>
      <c r="J6" s="630"/>
      <c r="K6" s="631"/>
      <c r="L6" s="631"/>
      <c r="M6" s="631"/>
      <c r="N6" s="631"/>
      <c r="O6" s="631"/>
      <c r="P6" s="631"/>
      <c r="Q6" s="631"/>
      <c r="R6" s="631"/>
      <c r="S6" s="632"/>
    </row>
    <row r="7" spans="1:20">
      <c r="A7" s="33" t="s">
        <v>2208</v>
      </c>
      <c r="D7" s="1">
        <v>0</v>
      </c>
      <c r="J7" s="630"/>
      <c r="K7" s="631"/>
      <c r="L7" s="631"/>
      <c r="M7" s="631"/>
      <c r="N7" s="631"/>
      <c r="O7" s="631"/>
      <c r="P7" s="631"/>
      <c r="Q7" s="631"/>
      <c r="R7" s="631"/>
      <c r="S7" s="632"/>
      <c r="T7" s="111"/>
    </row>
    <row r="8" spans="1:20">
      <c r="A8" s="33" t="s">
        <v>2209</v>
      </c>
      <c r="D8" s="56">
        <v>0</v>
      </c>
      <c r="J8" s="630"/>
      <c r="K8" s="631"/>
      <c r="L8" s="631"/>
      <c r="M8" s="631"/>
      <c r="N8" s="631"/>
      <c r="O8" s="631"/>
      <c r="P8" s="631"/>
      <c r="Q8" s="631"/>
      <c r="R8" s="631"/>
      <c r="S8" s="632"/>
      <c r="T8" s="112"/>
    </row>
    <row r="9" spans="1:20">
      <c r="A9" s="33" t="s">
        <v>2210</v>
      </c>
      <c r="D9" s="56">
        <v>0</v>
      </c>
      <c r="J9" s="630"/>
      <c r="K9" s="631"/>
      <c r="L9" s="631"/>
      <c r="M9" s="631"/>
      <c r="N9" s="631"/>
      <c r="O9" s="631"/>
      <c r="P9" s="631"/>
      <c r="Q9" s="631"/>
      <c r="R9" s="631"/>
      <c r="S9" s="632"/>
      <c r="T9" s="113"/>
    </row>
    <row r="10" spans="1:20">
      <c r="A10" s="246" t="s">
        <v>2211</v>
      </c>
      <c r="B10" s="248"/>
      <c r="C10" s="248"/>
      <c r="D10" s="280" t="s">
        <v>2212</v>
      </c>
      <c r="E10" s="248"/>
      <c r="F10" s="250">
        <f>VLOOKUP($F$1,ALLOC!$B$7:$AS$339,44,FALSE)</f>
        <v>104170.09000000001</v>
      </c>
      <c r="J10" s="243"/>
      <c r="K10" s="244"/>
      <c r="L10" s="244"/>
      <c r="M10" s="244"/>
      <c r="N10" s="244"/>
      <c r="O10" s="244"/>
      <c r="P10" s="244"/>
      <c r="Q10" s="244"/>
      <c r="R10" s="244"/>
      <c r="S10" s="245"/>
      <c r="T10" s="113"/>
    </row>
    <row r="11" spans="1:20" ht="15" customHeight="1">
      <c r="A11" s="33" t="s">
        <v>2213</v>
      </c>
      <c r="D11" s="56">
        <v>0</v>
      </c>
      <c r="F11" s="223"/>
      <c r="J11" s="633" t="s">
        <v>2214</v>
      </c>
      <c r="K11" s="634"/>
      <c r="L11" s="634"/>
      <c r="M11" s="634"/>
      <c r="N11" s="634"/>
      <c r="O11" s="634"/>
      <c r="P11" s="634"/>
      <c r="Q11" s="634"/>
      <c r="R11" s="634"/>
      <c r="S11" s="635"/>
      <c r="T11" s="114"/>
    </row>
    <row r="12" spans="1:20" ht="16.149999999999999">
      <c r="A12" s="33" t="s">
        <v>2215</v>
      </c>
      <c r="D12" s="57">
        <v>0</v>
      </c>
      <c r="F12" s="223"/>
      <c r="J12" s="633"/>
      <c r="K12" s="634"/>
      <c r="L12" s="634"/>
      <c r="M12" s="634"/>
      <c r="N12" s="634"/>
      <c r="O12" s="634"/>
      <c r="P12" s="634"/>
      <c r="Q12" s="634"/>
      <c r="R12" s="634"/>
      <c r="S12" s="635"/>
      <c r="T12" s="114"/>
    </row>
    <row r="13" spans="1:20">
      <c r="A13" s="47" t="s">
        <v>2216</v>
      </c>
      <c r="D13" s="21">
        <f>SUM(D7:D12)</f>
        <v>0</v>
      </c>
      <c r="F13" s="223"/>
      <c r="J13" s="636" t="s">
        <v>2217</v>
      </c>
      <c r="K13" s="637"/>
      <c r="L13" s="637"/>
      <c r="M13" s="637"/>
      <c r="N13" s="637"/>
      <c r="O13" s="637"/>
      <c r="P13" s="637"/>
      <c r="Q13" s="637"/>
      <c r="R13" s="637"/>
      <c r="S13" s="638"/>
    </row>
    <row r="14" spans="1:20">
      <c r="A14" s="33"/>
      <c r="F14" s="223"/>
      <c r="J14" s="636"/>
      <c r="K14" s="637"/>
      <c r="L14" s="637"/>
      <c r="M14" s="637"/>
      <c r="N14" s="637"/>
      <c r="O14" s="637"/>
      <c r="P14" s="637"/>
      <c r="Q14" s="637"/>
      <c r="R14" s="637"/>
      <c r="S14" s="638"/>
    </row>
    <row r="15" spans="1:20" ht="28.9">
      <c r="A15" s="47" t="s">
        <v>1240</v>
      </c>
      <c r="B15" s="49" t="s">
        <v>1241</v>
      </c>
      <c r="C15" s="49" t="s">
        <v>2218</v>
      </c>
      <c r="D15" s="49" t="s">
        <v>2219</v>
      </c>
      <c r="F15" s="223"/>
      <c r="J15" s="630" t="s">
        <v>2220</v>
      </c>
      <c r="K15" s="631"/>
      <c r="L15" s="631"/>
      <c r="M15" s="631"/>
      <c r="N15" s="631"/>
      <c r="O15" s="631"/>
      <c r="P15" s="631"/>
      <c r="Q15" s="631"/>
      <c r="R15" s="631"/>
      <c r="S15" s="632"/>
    </row>
    <row r="16" spans="1:20">
      <c r="A16" s="33" t="s">
        <v>2221</v>
      </c>
      <c r="B16" s="1">
        <v>0</v>
      </c>
      <c r="C16" s="5">
        <f>IF($B$24=0,0,B16/$B$24*$C$24)</f>
        <v>0</v>
      </c>
      <c r="D16" s="5">
        <f>+B16+C16</f>
        <v>0</v>
      </c>
      <c r="E16" t="s">
        <v>2222</v>
      </c>
      <c r="F16" s="223"/>
      <c r="J16" s="639" t="s">
        <v>2223</v>
      </c>
      <c r="K16" s="640"/>
      <c r="L16" s="640"/>
      <c r="M16" s="640"/>
      <c r="N16" s="640"/>
      <c r="O16" s="640"/>
      <c r="P16" s="640"/>
      <c r="Q16" s="640"/>
      <c r="R16" s="640"/>
      <c r="S16" s="641"/>
    </row>
    <row r="17" spans="1:19">
      <c r="A17" s="33" t="s">
        <v>2224</v>
      </c>
      <c r="B17" s="56">
        <v>0</v>
      </c>
      <c r="C17" s="5">
        <f t="shared" ref="C17:C23" si="0">IF($B$24=0,0,B17/$B$24*$C$24)</f>
        <v>0</v>
      </c>
      <c r="D17" s="5">
        <f t="shared" ref="D17:D23" si="1">+B17+C17</f>
        <v>0</v>
      </c>
      <c r="E17" t="s">
        <v>2222</v>
      </c>
      <c r="F17" s="223"/>
      <c r="J17" s="639"/>
      <c r="K17" s="640"/>
      <c r="L17" s="640"/>
      <c r="M17" s="640"/>
      <c r="N17" s="640"/>
      <c r="O17" s="640"/>
      <c r="P17" s="640"/>
      <c r="Q17" s="640"/>
      <c r="R17" s="640"/>
      <c r="S17" s="641"/>
    </row>
    <row r="18" spans="1:19">
      <c r="A18" s="33" t="s">
        <v>2225</v>
      </c>
      <c r="B18" s="56">
        <v>0</v>
      </c>
      <c r="C18" s="5">
        <f t="shared" si="0"/>
        <v>0</v>
      </c>
      <c r="D18" s="5">
        <f t="shared" si="1"/>
        <v>0</v>
      </c>
      <c r="E18" t="s">
        <v>2222</v>
      </c>
      <c r="F18" s="223"/>
      <c r="J18" s="639"/>
      <c r="K18" s="640"/>
      <c r="L18" s="640"/>
      <c r="M18" s="640"/>
      <c r="N18" s="640"/>
      <c r="O18" s="640"/>
      <c r="P18" s="640"/>
      <c r="Q18" s="640"/>
      <c r="R18" s="640"/>
      <c r="S18" s="641"/>
    </row>
    <row r="19" spans="1:19">
      <c r="A19" s="33" t="s">
        <v>2226</v>
      </c>
      <c r="B19" s="56">
        <v>0</v>
      </c>
      <c r="C19" s="5">
        <f t="shared" si="0"/>
        <v>0</v>
      </c>
      <c r="D19" s="5">
        <f t="shared" si="1"/>
        <v>0</v>
      </c>
      <c r="F19" s="223"/>
      <c r="J19" s="630" t="s">
        <v>2227</v>
      </c>
      <c r="K19" s="631"/>
      <c r="L19" s="631"/>
      <c r="M19" s="631"/>
      <c r="N19" s="631"/>
      <c r="O19" s="631"/>
      <c r="P19" s="631"/>
      <c r="Q19" s="631"/>
      <c r="R19" s="631"/>
      <c r="S19" s="632"/>
    </row>
    <row r="20" spans="1:19">
      <c r="A20" s="33" t="s">
        <v>2228</v>
      </c>
      <c r="B20" s="56">
        <v>0</v>
      </c>
      <c r="C20" s="5">
        <f t="shared" si="0"/>
        <v>0</v>
      </c>
      <c r="D20" s="5">
        <f t="shared" si="1"/>
        <v>0</v>
      </c>
      <c r="F20" s="223"/>
      <c r="J20" s="630"/>
      <c r="K20" s="631"/>
      <c r="L20" s="631"/>
      <c r="M20" s="631"/>
      <c r="N20" s="631"/>
      <c r="O20" s="631"/>
      <c r="P20" s="631"/>
      <c r="Q20" s="631"/>
      <c r="R20" s="631"/>
      <c r="S20" s="632"/>
    </row>
    <row r="21" spans="1:19">
      <c r="A21" s="246" t="s">
        <v>2229</v>
      </c>
      <c r="B21" s="278" t="s">
        <v>2212</v>
      </c>
      <c r="C21" s="279" t="s">
        <v>2212</v>
      </c>
      <c r="D21" s="279" t="s">
        <v>2212</v>
      </c>
      <c r="E21" s="248"/>
      <c r="F21" s="1">
        <v>0</v>
      </c>
      <c r="J21" s="243"/>
      <c r="K21" s="244"/>
      <c r="L21" s="244"/>
      <c r="M21" s="244"/>
      <c r="N21" s="244"/>
      <c r="O21" s="244"/>
      <c r="P21" s="244"/>
      <c r="Q21" s="244"/>
      <c r="R21" s="244"/>
      <c r="S21" s="245"/>
    </row>
    <row r="22" spans="1:19">
      <c r="A22" s="33" t="s">
        <v>2230</v>
      </c>
      <c r="B22" s="56">
        <v>0</v>
      </c>
      <c r="C22" s="5">
        <f t="shared" si="0"/>
        <v>0</v>
      </c>
      <c r="D22" s="5">
        <f t="shared" si="1"/>
        <v>0</v>
      </c>
      <c r="E22" t="s">
        <v>2222</v>
      </c>
      <c r="F22" s="223"/>
      <c r="J22" s="630" t="s">
        <v>2231</v>
      </c>
      <c r="K22" s="631"/>
      <c r="L22" s="631"/>
      <c r="M22" s="631"/>
      <c r="N22" s="631"/>
      <c r="O22" s="631"/>
      <c r="P22" s="631"/>
      <c r="Q22" s="631"/>
      <c r="R22" s="631"/>
      <c r="S22" s="632"/>
    </row>
    <row r="23" spans="1:19" ht="16.149999999999999">
      <c r="A23" s="33" t="s">
        <v>2232</v>
      </c>
      <c r="B23" s="57">
        <v>0</v>
      </c>
      <c r="C23" s="50">
        <f t="shared" si="0"/>
        <v>0</v>
      </c>
      <c r="D23" s="50">
        <f t="shared" si="1"/>
        <v>0</v>
      </c>
      <c r="F23" s="223"/>
      <c r="J23" s="630" t="s">
        <v>2233</v>
      </c>
      <c r="K23" s="631"/>
      <c r="L23" s="631"/>
      <c r="M23" s="631"/>
      <c r="N23" s="631"/>
      <c r="O23" s="631"/>
      <c r="P23" s="631"/>
      <c r="Q23" s="631"/>
      <c r="R23" s="631"/>
      <c r="S23" s="632"/>
    </row>
    <row r="24" spans="1:19">
      <c r="A24" s="33" t="s">
        <v>2234</v>
      </c>
      <c r="B24" s="5">
        <f>SUM(B16:B23)</f>
        <v>0</v>
      </c>
      <c r="C24" s="1">
        <v>0</v>
      </c>
      <c r="D24" s="5">
        <f>SUM(D16:D23)</f>
        <v>0</v>
      </c>
      <c r="F24" s="223"/>
      <c r="J24" s="630" t="s">
        <v>2235</v>
      </c>
      <c r="K24" s="631"/>
      <c r="L24" s="631"/>
      <c r="M24" s="631"/>
      <c r="N24" s="631"/>
      <c r="O24" s="631"/>
      <c r="P24" s="631"/>
      <c r="Q24" s="631"/>
      <c r="R24" s="631"/>
      <c r="S24" s="632"/>
    </row>
    <row r="25" spans="1:19">
      <c r="A25" s="33"/>
      <c r="F25" s="223"/>
      <c r="J25" s="630" t="s">
        <v>2236</v>
      </c>
      <c r="K25" s="631"/>
      <c r="L25" s="631"/>
      <c r="M25" s="631"/>
      <c r="N25" s="631"/>
      <c r="O25" s="631"/>
      <c r="P25" s="631"/>
      <c r="Q25" s="631"/>
      <c r="R25" s="631"/>
      <c r="S25" s="632"/>
    </row>
    <row r="26" spans="1:19">
      <c r="A26" s="33" t="s">
        <v>1243</v>
      </c>
      <c r="F26" s="223"/>
      <c r="J26" s="630" t="s">
        <v>2237</v>
      </c>
      <c r="K26" s="631"/>
      <c r="L26" s="631"/>
      <c r="M26" s="631"/>
      <c r="N26" s="631"/>
      <c r="O26" s="631"/>
      <c r="P26" s="631"/>
      <c r="Q26" s="631"/>
      <c r="R26" s="631"/>
      <c r="S26" s="632"/>
    </row>
    <row r="27" spans="1:19">
      <c r="A27" s="33" t="s">
        <v>2238</v>
      </c>
      <c r="D27" s="51">
        <f>VLOOKUP($F$1,Indirects!$B$7:$G$354,5,FALSE)</f>
        <v>0.2092</v>
      </c>
      <c r="F27" s="223"/>
      <c r="J27" s="630" t="s">
        <v>2239</v>
      </c>
      <c r="K27" s="631"/>
      <c r="L27" s="631"/>
      <c r="M27" s="631"/>
      <c r="N27" s="631"/>
      <c r="O27" s="631"/>
      <c r="P27" s="631"/>
      <c r="Q27" s="631"/>
      <c r="R27" s="631"/>
      <c r="S27" s="632"/>
    </row>
    <row r="28" spans="1:19">
      <c r="A28" s="33" t="s">
        <v>2240</v>
      </c>
      <c r="B28" s="48"/>
      <c r="D28" s="48">
        <f>ROUND((D16+D17+D18+D22)*D27,2)</f>
        <v>0</v>
      </c>
      <c r="F28" s="223"/>
      <c r="J28" s="630" t="s">
        <v>2241</v>
      </c>
      <c r="K28" s="631"/>
      <c r="L28" s="631"/>
      <c r="M28" s="631"/>
      <c r="N28" s="631"/>
      <c r="O28" s="631"/>
      <c r="P28" s="631"/>
      <c r="Q28" s="631"/>
      <c r="R28" s="631"/>
      <c r="S28" s="632"/>
    </row>
    <row r="29" spans="1:19" ht="16.149999999999999">
      <c r="A29" s="47" t="s">
        <v>2242</v>
      </c>
      <c r="B29" s="2"/>
      <c r="D29" s="52">
        <f>+D24+D28</f>
        <v>0</v>
      </c>
      <c r="F29" s="223"/>
      <c r="J29" s="630"/>
      <c r="K29" s="631"/>
      <c r="L29" s="631"/>
      <c r="M29" s="631"/>
      <c r="N29" s="631"/>
      <c r="O29" s="631"/>
      <c r="P29" s="631"/>
      <c r="Q29" s="631"/>
      <c r="R29" s="631"/>
      <c r="S29" s="632"/>
    </row>
    <row r="30" spans="1:19">
      <c r="A30" s="33"/>
      <c r="F30" s="223"/>
      <c r="J30" s="630" t="s">
        <v>2243</v>
      </c>
      <c r="K30" s="631"/>
      <c r="L30" s="631"/>
      <c r="M30" s="631"/>
      <c r="N30" s="631"/>
      <c r="O30" s="631"/>
      <c r="P30" s="631"/>
      <c r="Q30" s="631"/>
      <c r="R30" s="631"/>
      <c r="S30" s="632"/>
    </row>
    <row r="31" spans="1:19" ht="16.149999999999999">
      <c r="A31" s="53" t="s">
        <v>2244</v>
      </c>
      <c r="B31" s="5"/>
      <c r="D31" s="54">
        <f>+D13-D29</f>
        <v>0</v>
      </c>
      <c r="F31" s="223"/>
      <c r="J31" s="630"/>
      <c r="K31" s="631"/>
      <c r="L31" s="631"/>
      <c r="M31" s="631"/>
      <c r="N31" s="631"/>
      <c r="O31" s="631"/>
      <c r="P31" s="631"/>
      <c r="Q31" s="631"/>
      <c r="R31" s="631"/>
      <c r="S31" s="632"/>
    </row>
    <row r="32" spans="1:19">
      <c r="F32" s="223"/>
      <c r="J32" s="462"/>
      <c r="K32" s="53"/>
      <c r="L32" s="53"/>
      <c r="M32" s="53"/>
      <c r="N32" s="53"/>
      <c r="O32" s="53"/>
      <c r="P32" s="53"/>
      <c r="Q32" s="53"/>
      <c r="R32" s="53"/>
      <c r="S32" s="463"/>
    </row>
    <row r="33" spans="1:19">
      <c r="F33" s="223"/>
      <c r="J33" s="646" t="s">
        <v>2245</v>
      </c>
      <c r="K33" s="647"/>
      <c r="L33" s="647"/>
      <c r="M33" s="647"/>
      <c r="N33" s="647"/>
      <c r="O33" s="647"/>
      <c r="P33" s="647"/>
      <c r="Q33" s="647"/>
      <c r="R33" s="647"/>
      <c r="S33" s="648"/>
    </row>
    <row r="34" spans="1:19">
      <c r="A34" t="str">
        <f>"2019-20 "&amp;IF(B34&gt;0,"Balance","Loan-Deficit")</f>
        <v>2019-20 Loan-Deficit</v>
      </c>
      <c r="B34" s="2">
        <f>IF(ISNA(VLOOKUP($A$4,'Food Svc Carryover'!$A$7:$E$424,3,FALSE)),0,VLOOKUP($A$4,'Food Svc Carryover'!$A$7:$E$424,3,FALSE))</f>
        <v>-280906.08</v>
      </c>
      <c r="F34" s="223"/>
      <c r="J34" s="646"/>
      <c r="K34" s="647"/>
      <c r="L34" s="647"/>
      <c r="M34" s="647"/>
      <c r="N34" s="647"/>
      <c r="O34" s="647"/>
      <c r="P34" s="647"/>
      <c r="Q34" s="647"/>
      <c r="R34" s="647"/>
      <c r="S34" s="648"/>
    </row>
    <row r="35" spans="1:19" ht="15" customHeight="1" thickBot="1">
      <c r="A35" t="str">
        <f>"2020-21 "&amp;IF(B35&gt;0,"Balance","Loan-Deficit")</f>
        <v>2020-21 Balance</v>
      </c>
      <c r="B35" s="2">
        <f>IF(ISNA(VLOOKUP($A$4,'Food Svc Carryover'!$A$7:$E$424,4,FALSE)),0,VLOOKUP($A$4,'Food Svc Carryover'!$A$7:$E$424,4,FALSE))</f>
        <v>34224.225940000062</v>
      </c>
      <c r="F35" s="223"/>
      <c r="J35" s="649"/>
      <c r="K35" s="650"/>
      <c r="L35" s="650"/>
      <c r="M35" s="650"/>
      <c r="N35" s="650"/>
      <c r="O35" s="650"/>
      <c r="P35" s="650"/>
      <c r="Q35" s="650"/>
      <c r="R35" s="650"/>
      <c r="S35" s="651"/>
    </row>
    <row r="36" spans="1:19">
      <c r="A36" t="str">
        <f>"2021-22 "&amp;IF(B36&gt;0,"Balance","Loan-Deficit")</f>
        <v>2021-22 Loan-Deficit</v>
      </c>
      <c r="B36" s="2">
        <f>IF(ISNA(VLOOKUP($A$4,'Food Svc Carryover'!$A$7:$E$424,5,FALSE)),0,VLOOKUP($A$4,'Food Svc Carryover'!$A$7:$E$424,5,FALSE))</f>
        <v>-444868.54173117736</v>
      </c>
      <c r="F36" s="223"/>
    </row>
    <row r="37" spans="1:19" ht="15.6">
      <c r="A37" t="str">
        <f>"2022-23 "&amp;IF(B37&gt;0,"Balance","Loan-Deficit")</f>
        <v>2022-23 Loan-Deficit</v>
      </c>
      <c r="B37" s="2">
        <f>IF(ISNA(VLOOKUP($A$4,'Food Svc Carryover'!$A$7:$F$424,6,FALSE)),0,VLOOKUP($A$4,'Food Svc Carryover'!$A$7:$F$424,6,FALSE))</f>
        <v>-318946.78542409418</v>
      </c>
      <c r="F37" s="223"/>
      <c r="J37" s="76" t="s">
        <v>2246</v>
      </c>
    </row>
    <row r="38" spans="1:19">
      <c r="A38" t="str">
        <f>"2023-24 "&amp;IF(B38&gt;0,"Balance","Loan-Deficit")</f>
        <v>2023-24 Loan-Deficit</v>
      </c>
      <c r="B38" s="2">
        <f>D31</f>
        <v>0</v>
      </c>
      <c r="D38" s="33"/>
      <c r="F38" s="223"/>
      <c r="J38" s="634" t="s">
        <v>2247</v>
      </c>
      <c r="K38" s="634"/>
      <c r="L38" s="634"/>
      <c r="M38" s="634"/>
      <c r="N38" s="634"/>
      <c r="O38" s="634"/>
      <c r="P38" s="634"/>
      <c r="Q38" s="634"/>
      <c r="R38" s="634"/>
      <c r="S38" s="634"/>
    </row>
    <row r="39" spans="1:19" ht="16.149999999999999">
      <c r="A39" t="str">
        <f>IF(B36+B37+B38&lt;0,"2023-24 Net Loan-Deficit Carryforward","2023-24 Net Balance Carryforward")</f>
        <v>2023-24 Net Loan-Deficit Carryforward</v>
      </c>
      <c r="B39" s="54">
        <f>SUM(B34:B38)</f>
        <v>-1010497.1812152715</v>
      </c>
      <c r="C39" s="51">
        <f>IF(B39&gt;0,IF(D29=0,0,B39/D29),0)</f>
        <v>0</v>
      </c>
      <c r="D39" s="33"/>
      <c r="F39" s="223"/>
      <c r="J39" s="634"/>
      <c r="K39" s="634"/>
      <c r="L39" s="634"/>
      <c r="M39" s="634"/>
      <c r="N39" s="634"/>
      <c r="O39" s="634"/>
      <c r="P39" s="634"/>
      <c r="Q39" s="634"/>
      <c r="R39" s="634"/>
      <c r="S39" s="634"/>
    </row>
    <row r="40" spans="1:19">
      <c r="A40" t="s">
        <v>2248</v>
      </c>
      <c r="B40" s="5">
        <f>D29/9*3</f>
        <v>0</v>
      </c>
      <c r="C40" s="51"/>
      <c r="D40" s="33"/>
      <c r="F40" s="223"/>
      <c r="J40" s="634"/>
      <c r="K40" s="634"/>
      <c r="L40" s="634"/>
      <c r="M40" s="634"/>
      <c r="N40" s="634"/>
      <c r="O40" s="634"/>
      <c r="P40" s="634"/>
      <c r="Q40" s="634"/>
      <c r="R40" s="634"/>
      <c r="S40" s="634"/>
    </row>
    <row r="41" spans="1:19" ht="17.25" customHeight="1">
      <c r="A41" s="268" t="str">
        <f>IF(B39&gt;B40,"Excess Cash Resources","")</f>
        <v/>
      </c>
      <c r="B41" s="55">
        <f>IF(B39&gt;B40,B39-B40,0)</f>
        <v>0</v>
      </c>
      <c r="F41" s="223"/>
      <c r="J41" s="634"/>
      <c r="K41" s="634"/>
      <c r="L41" s="634"/>
      <c r="M41" s="634"/>
      <c r="N41" s="634"/>
      <c r="O41" s="634"/>
      <c r="P41" s="634"/>
      <c r="Q41" s="634"/>
      <c r="R41" s="634"/>
      <c r="S41" s="634"/>
    </row>
    <row r="42" spans="1:19">
      <c r="A42" s="269" t="str">
        <f>IF(B39&lt;0,"","Net Balance as Percentage of Expenditures")</f>
        <v/>
      </c>
      <c r="C42" s="73">
        <f>IF(B39&gt;0,B39/D29,0)</f>
        <v>0</v>
      </c>
      <c r="F42" s="223"/>
      <c r="J42" s="634"/>
      <c r="K42" s="634"/>
      <c r="L42" s="634"/>
      <c r="M42" s="634"/>
      <c r="N42" s="634"/>
      <c r="O42" s="634"/>
      <c r="P42" s="634"/>
      <c r="Q42" s="634"/>
      <c r="R42" s="634"/>
      <c r="S42" s="634"/>
    </row>
    <row r="43" spans="1:19">
      <c r="A43" s="33"/>
      <c r="C43" s="73"/>
      <c r="F43" s="223"/>
      <c r="J43" s="254"/>
      <c r="K43" s="254"/>
      <c r="L43" s="254"/>
      <c r="M43" s="254"/>
      <c r="N43" s="254"/>
      <c r="O43" s="254"/>
      <c r="P43" s="254"/>
      <c r="Q43" s="254"/>
      <c r="R43" s="254"/>
      <c r="S43" s="254"/>
    </row>
    <row r="44" spans="1:19">
      <c r="A44" s="249" t="s">
        <v>2249</v>
      </c>
      <c r="C44" s="272"/>
      <c r="F44" s="250">
        <f>+F5+F10-F21</f>
        <v>104170.09000000001</v>
      </c>
      <c r="J44" s="254"/>
      <c r="K44" s="254"/>
      <c r="L44" s="254"/>
      <c r="M44" s="254"/>
      <c r="N44" s="254"/>
      <c r="O44" s="254"/>
      <c r="P44" s="254"/>
      <c r="Q44" s="254"/>
      <c r="R44" s="254"/>
      <c r="S44" s="254"/>
    </row>
    <row r="45" spans="1:19">
      <c r="A45" s="623" t="s">
        <v>2250</v>
      </c>
      <c r="B45" s="623"/>
      <c r="C45" s="623"/>
      <c r="F45" s="652" t="str">
        <f>IF(F44&lt;0, "Warning: SCA CARRYOVER cannot be less than zero","")</f>
        <v/>
      </c>
      <c r="J45" s="254"/>
      <c r="K45" s="254"/>
      <c r="L45" s="254"/>
      <c r="M45" s="254"/>
      <c r="N45" s="254"/>
      <c r="O45" s="254"/>
      <c r="P45" s="254"/>
      <c r="Q45" s="254"/>
      <c r="R45" s="254"/>
      <c r="S45" s="254"/>
    </row>
    <row r="46" spans="1:19" ht="15" customHeight="1">
      <c r="A46" s="623" t="s">
        <v>2251</v>
      </c>
      <c r="B46" s="623"/>
      <c r="C46" s="623"/>
      <c r="F46" s="652"/>
    </row>
    <row r="47" spans="1:19" ht="15" customHeight="1">
      <c r="F47" s="652"/>
      <c r="J47" s="338"/>
      <c r="K47" s="338"/>
      <c r="L47" s="338"/>
      <c r="M47" s="338"/>
    </row>
    <row r="48" spans="1:19">
      <c r="F48" s="652"/>
      <c r="J48" s="338"/>
      <c r="K48" s="338"/>
      <c r="L48" s="338"/>
      <c r="M48" s="338"/>
    </row>
    <row r="49" spans="1:14">
      <c r="A49" s="64"/>
      <c r="J49" s="338"/>
      <c r="K49" s="338"/>
      <c r="L49" s="338"/>
      <c r="M49" s="338"/>
    </row>
    <row r="50" spans="1:14">
      <c r="A50" t="s">
        <v>2252</v>
      </c>
    </row>
    <row r="51" spans="1:14" ht="15" customHeight="1">
      <c r="A51" s="313" t="s">
        <v>2202</v>
      </c>
      <c r="B51" s="314"/>
      <c r="C51" s="314"/>
      <c r="D51" s="314"/>
      <c r="J51" s="252"/>
      <c r="K51" s="252"/>
      <c r="L51" s="252"/>
      <c r="M51" s="252"/>
    </row>
    <row r="52" spans="1:14">
      <c r="J52" s="252"/>
      <c r="K52" s="252"/>
      <c r="L52" s="252"/>
      <c r="M52" s="252"/>
    </row>
    <row r="53" spans="1:14" ht="46.5" customHeight="1">
      <c r="J53" s="252"/>
      <c r="K53" s="252"/>
      <c r="L53" s="252"/>
      <c r="M53" s="252"/>
    </row>
    <row r="56" spans="1:14">
      <c r="J56" s="7"/>
    </row>
    <row r="57" spans="1:14">
      <c r="J57" s="7"/>
      <c r="N57" s="48"/>
    </row>
    <row r="58" spans="1:14">
      <c r="J58" s="7"/>
      <c r="N58" s="48"/>
    </row>
    <row r="59" spans="1:14">
      <c r="J59" s="7"/>
      <c r="N59" s="48"/>
    </row>
    <row r="60" spans="1:14">
      <c r="J60" s="7"/>
      <c r="N60" s="48"/>
    </row>
    <row r="61" spans="1:14">
      <c r="N61" s="48"/>
    </row>
    <row r="62" spans="1:14">
      <c r="N62" s="48"/>
    </row>
  </sheetData>
  <mergeCells count="27">
    <mergeCell ref="G4:H5"/>
    <mergeCell ref="J33:S35"/>
    <mergeCell ref="J38:S42"/>
    <mergeCell ref="F45:F48"/>
    <mergeCell ref="J1:S1"/>
    <mergeCell ref="J29:S29"/>
    <mergeCell ref="J24:S24"/>
    <mergeCell ref="J25:S25"/>
    <mergeCell ref="J26:S26"/>
    <mergeCell ref="J27:S27"/>
    <mergeCell ref="J28:S28"/>
    <mergeCell ref="A1:C1"/>
    <mergeCell ref="A2:C2"/>
    <mergeCell ref="A45:C45"/>
    <mergeCell ref="A46:C46"/>
    <mergeCell ref="J2:S2"/>
    <mergeCell ref="J3:S3"/>
    <mergeCell ref="J5:S9"/>
    <mergeCell ref="J11:S12"/>
    <mergeCell ref="J13:S14"/>
    <mergeCell ref="J15:S15"/>
    <mergeCell ref="J16:S18"/>
    <mergeCell ref="J19:S20"/>
    <mergeCell ref="J22:S22"/>
    <mergeCell ref="J23:S23"/>
    <mergeCell ref="J4:S4"/>
    <mergeCell ref="J30:S31"/>
  </mergeCells>
  <conditionalFormatting sqref="B41">
    <cfRule type="cellIs" dxfId="12" priority="2" operator="equal">
      <formula>0</formula>
    </cfRule>
  </conditionalFormatting>
  <conditionalFormatting sqref="C39:C40">
    <cfRule type="cellIs" dxfId="11" priority="3" operator="equal">
      <formula>0</formula>
    </cfRule>
    <cfRule type="cellIs" dxfId="10" priority="4" operator="greaterThan">
      <formula>0.3333</formula>
    </cfRule>
  </conditionalFormatting>
  <conditionalFormatting sqref="C42:C44">
    <cfRule type="cellIs" dxfId="9" priority="1" operator="equal">
      <formula>0</formula>
    </cfRule>
  </conditionalFormatting>
  <dataValidations count="1">
    <dataValidation type="decimal" errorStyle="information" operator="lessThanOrEqual" allowBlank="1" showInputMessage="1" showErrorMessage="1" errorTitle="Enter As Negative" error="Please enter credit transfers as a negative amount." sqref="C24" xr:uid="{00000000-0002-0000-0A00-000000000000}">
      <formula1>0</formula1>
    </dataValidation>
  </dataValidations>
  <hyperlinks>
    <hyperlink ref="A3" location="'Fund Balance Summary'!A1" display="(Return to summary sheet)" xr:uid="{00000000-0004-0000-0A00-000000000000}"/>
  </hyperlinks>
  <pageMargins left="0.5" right="0.25" top="0.75" bottom="0.75" header="0.3" footer="0.3"/>
  <pageSetup scale="8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A364B-EF51-424F-B45D-4A5594780DD0}">
  <dimension ref="A1:Q343"/>
  <sheetViews>
    <sheetView workbookViewId="0">
      <selection activeCell="G6" sqref="G6"/>
    </sheetView>
  </sheetViews>
  <sheetFormatPr defaultRowHeight="14.45"/>
  <cols>
    <col min="1" max="1" width="30.85546875" bestFit="1" customWidth="1"/>
    <col min="2" max="2" width="6" bestFit="1" customWidth="1"/>
    <col min="3" max="3" width="44" bestFit="1" customWidth="1"/>
    <col min="4" max="4" width="3.28515625" customWidth="1"/>
    <col min="5" max="5" width="15.28515625" customWidth="1"/>
    <col min="7" max="7" width="10.85546875" bestFit="1" customWidth="1"/>
    <col min="15" max="15" width="15.28515625" bestFit="1" customWidth="1"/>
  </cols>
  <sheetData>
    <row r="1" spans="1:17">
      <c r="G1" s="194">
        <v>44</v>
      </c>
      <c r="L1" s="87" t="s">
        <v>2253</v>
      </c>
      <c r="M1" s="87"/>
      <c r="N1" s="87"/>
      <c r="O1" s="1"/>
    </row>
    <row r="2" spans="1:17">
      <c r="G2" s="195" t="s">
        <v>749</v>
      </c>
      <c r="L2" s="87" t="s">
        <v>2254</v>
      </c>
      <c r="M2" s="87"/>
      <c r="N2" s="87"/>
      <c r="O2" s="1"/>
    </row>
    <row r="3" spans="1:17">
      <c r="E3" s="546">
        <f>SUM(E7:E362)</f>
        <v>30780454.109999999</v>
      </c>
      <c r="G3" s="347" t="s">
        <v>774</v>
      </c>
      <c r="L3" s="87" t="s">
        <v>2255</v>
      </c>
      <c r="M3" s="87"/>
      <c r="N3" s="87"/>
      <c r="O3" s="1">
        <f>SUM(O7:O364)</f>
        <v>35026442.890000008</v>
      </c>
    </row>
    <row r="4" spans="1:17" ht="27.6">
      <c r="E4" s="481"/>
      <c r="G4" s="526" t="s">
        <v>808</v>
      </c>
      <c r="L4" s="87"/>
      <c r="M4" s="87"/>
      <c r="N4" s="87"/>
      <c r="O4" s="1"/>
    </row>
    <row r="5" spans="1:17">
      <c r="E5" s="547" t="s">
        <v>774</v>
      </c>
      <c r="G5" s="489" t="s">
        <v>838</v>
      </c>
      <c r="L5" s="87"/>
      <c r="M5" s="87"/>
      <c r="N5" s="87"/>
      <c r="O5" s="1"/>
    </row>
    <row r="6" spans="1:17" ht="43.15">
      <c r="A6" s="348" t="s">
        <v>841</v>
      </c>
      <c r="B6" s="348" t="s">
        <v>842</v>
      </c>
      <c r="C6" s="348" t="s">
        <v>843</v>
      </c>
      <c r="D6" s="348"/>
      <c r="E6" s="544" t="s">
        <v>2256</v>
      </c>
      <c r="G6" s="534">
        <f t="shared" ref="G6" si="0">SUM(G7:G337)</f>
        <v>30774986.669999998</v>
      </c>
      <c r="L6" s="7" t="s">
        <v>2257</v>
      </c>
      <c r="M6" s="7" t="s">
        <v>2258</v>
      </c>
      <c r="N6" s="7" t="s">
        <v>2259</v>
      </c>
      <c r="O6" s="21" t="s">
        <v>2260</v>
      </c>
      <c r="P6" s="7"/>
      <c r="Q6" s="7" t="s">
        <v>2261</v>
      </c>
    </row>
    <row r="7" spans="1:17">
      <c r="A7" s="283" t="s">
        <v>32</v>
      </c>
      <c r="B7" s="283" t="s">
        <v>31</v>
      </c>
      <c r="C7" s="283" t="str">
        <f t="shared" ref="C7:C33" si="1">CONCATENATE(B7," ",A7," SCHOOL DISTRICT")</f>
        <v>14005 ABERDEEN SCHOOL DISTRICT</v>
      </c>
      <c r="D7" s="283"/>
      <c r="E7" s="548">
        <v>104170.09000000001</v>
      </c>
      <c r="G7" s="552">
        <v>104170.09000000001</v>
      </c>
      <c r="L7" t="s">
        <v>2262</v>
      </c>
      <c r="M7" s="316">
        <v>14005</v>
      </c>
      <c r="N7" t="s">
        <v>31</v>
      </c>
      <c r="O7" s="2">
        <v>107153.72</v>
      </c>
      <c r="Q7" t="s">
        <v>846</v>
      </c>
    </row>
    <row r="8" spans="1:17">
      <c r="A8" s="283" t="s">
        <v>36</v>
      </c>
      <c r="B8" s="283" t="s">
        <v>35</v>
      </c>
      <c r="C8" s="283" t="str">
        <f t="shared" si="1"/>
        <v>21226 ADNA SCHOOL DISTRICT</v>
      </c>
      <c r="D8" s="283"/>
      <c r="E8" s="548">
        <v>28619.07</v>
      </c>
      <c r="G8" s="552">
        <v>28619.07</v>
      </c>
      <c r="L8" t="s">
        <v>2263</v>
      </c>
      <c r="M8" s="316">
        <v>21226</v>
      </c>
      <c r="N8" t="s">
        <v>35</v>
      </c>
      <c r="O8" s="2">
        <v>29389.18</v>
      </c>
      <c r="Q8" t="s">
        <v>847</v>
      </c>
    </row>
    <row r="9" spans="1:17">
      <c r="A9" s="283" t="s">
        <v>38</v>
      </c>
      <c r="B9" s="283" t="s">
        <v>37</v>
      </c>
      <c r="C9" s="283" t="str">
        <f t="shared" si="1"/>
        <v>22017 ALMIRA SCHOOL DISTRICT</v>
      </c>
      <c r="D9" s="283"/>
      <c r="E9" s="548">
        <v>14124.67</v>
      </c>
      <c r="G9" s="552">
        <v>14124.67</v>
      </c>
      <c r="L9" t="s">
        <v>2264</v>
      </c>
      <c r="M9" s="316">
        <v>22017</v>
      </c>
      <c r="N9" t="s">
        <v>37</v>
      </c>
      <c r="O9" s="2">
        <v>14266.93</v>
      </c>
      <c r="Q9" t="s">
        <v>849</v>
      </c>
    </row>
    <row r="10" spans="1:17">
      <c r="A10" s="283" t="s">
        <v>42</v>
      </c>
      <c r="B10" s="283" t="s">
        <v>41</v>
      </c>
      <c r="C10" s="283" t="str">
        <f t="shared" si="1"/>
        <v>29103 ANACORTES SCHOOL DISTRICT</v>
      </c>
      <c r="D10" s="283"/>
      <c r="E10" s="548">
        <v>84156.77</v>
      </c>
      <c r="G10" s="552">
        <v>84156.77</v>
      </c>
      <c r="L10" t="s">
        <v>2265</v>
      </c>
      <c r="M10" s="316">
        <v>29103</v>
      </c>
      <c r="N10" t="s">
        <v>41</v>
      </c>
      <c r="O10" s="2">
        <v>86792.6</v>
      </c>
      <c r="Q10" t="s">
        <v>851</v>
      </c>
    </row>
    <row r="11" spans="1:17">
      <c r="A11" s="283" t="s">
        <v>44</v>
      </c>
      <c r="B11" s="283" t="s">
        <v>43</v>
      </c>
      <c r="C11" s="283" t="str">
        <f t="shared" si="1"/>
        <v>31016 ARLINGTON SCHOOL DISTRICT</v>
      </c>
      <c r="D11" s="283"/>
      <c r="E11" s="548">
        <v>174347.43</v>
      </c>
      <c r="G11" s="552">
        <v>174347.43</v>
      </c>
      <c r="L11" t="s">
        <v>2266</v>
      </c>
      <c r="M11" s="316">
        <v>31016</v>
      </c>
      <c r="N11" t="s">
        <v>43</v>
      </c>
      <c r="O11" s="2">
        <v>181069.90000000002</v>
      </c>
      <c r="Q11" t="s">
        <v>852</v>
      </c>
    </row>
    <row r="12" spans="1:17">
      <c r="A12" s="283" t="s">
        <v>853</v>
      </c>
      <c r="B12" s="283" t="s">
        <v>45</v>
      </c>
      <c r="C12" s="283" t="str">
        <f t="shared" si="1"/>
        <v>02420 ASOTIN-ANATONE SCHOOL DISTRICT</v>
      </c>
      <c r="D12" s="283"/>
      <c r="E12" s="548">
        <v>18572.32</v>
      </c>
      <c r="G12" s="552">
        <v>18572.32</v>
      </c>
      <c r="L12" t="s">
        <v>2267</v>
      </c>
      <c r="M12" s="316">
        <v>2420</v>
      </c>
      <c r="N12" t="s">
        <v>45</v>
      </c>
      <c r="O12" s="2">
        <v>28763.38</v>
      </c>
      <c r="Q12" t="s">
        <v>855</v>
      </c>
    </row>
    <row r="13" spans="1:17">
      <c r="A13" s="283" t="s">
        <v>48</v>
      </c>
      <c r="B13" s="283" t="s">
        <v>47</v>
      </c>
      <c r="C13" s="283" t="str">
        <f t="shared" si="1"/>
        <v>17408 AUBURN SCHOOL DISTRICT</v>
      </c>
      <c r="D13" s="283"/>
      <c r="E13" s="548">
        <v>508590.25</v>
      </c>
      <c r="G13" s="552">
        <v>508590.25</v>
      </c>
      <c r="L13" t="s">
        <v>2268</v>
      </c>
      <c r="M13" s="316">
        <v>17408</v>
      </c>
      <c r="N13" t="s">
        <v>47</v>
      </c>
      <c r="O13" s="2">
        <v>522890.42000000004</v>
      </c>
      <c r="Q13" t="s">
        <v>857</v>
      </c>
    </row>
    <row r="14" spans="1:17">
      <c r="A14" s="283" t="s">
        <v>50</v>
      </c>
      <c r="B14" s="283" t="s">
        <v>49</v>
      </c>
      <c r="C14" s="283" t="str">
        <f t="shared" si="1"/>
        <v>18303 BAINBRIDGE SCHOOL DISTRICT</v>
      </c>
      <c r="D14" s="283"/>
      <c r="E14" s="548">
        <v>117851.19</v>
      </c>
      <c r="G14" s="552">
        <v>117851.19</v>
      </c>
      <c r="L14" t="s">
        <v>2269</v>
      </c>
      <c r="M14" s="316">
        <v>18303</v>
      </c>
      <c r="N14" t="s">
        <v>49</v>
      </c>
      <c r="O14" s="2">
        <v>121215.4</v>
      </c>
      <c r="Q14" t="s">
        <v>858</v>
      </c>
    </row>
    <row r="15" spans="1:17">
      <c r="A15" s="283" t="s">
        <v>52</v>
      </c>
      <c r="B15" s="283" t="s">
        <v>51</v>
      </c>
      <c r="C15" s="283" t="str">
        <f t="shared" si="1"/>
        <v>06119 BATTLE GROUND SCHOOL DISTRICT</v>
      </c>
      <c r="D15" s="283"/>
      <c r="E15" s="548">
        <v>369978.39</v>
      </c>
      <c r="G15" s="552">
        <v>369978.39</v>
      </c>
      <c r="L15" t="s">
        <v>2270</v>
      </c>
      <c r="M15" s="316">
        <v>6119</v>
      </c>
      <c r="N15" t="s">
        <v>51</v>
      </c>
      <c r="O15" s="2">
        <v>380840.36</v>
      </c>
      <c r="Q15" t="s">
        <v>860</v>
      </c>
    </row>
    <row r="16" spans="1:17">
      <c r="A16" s="283" t="s">
        <v>54</v>
      </c>
      <c r="B16" s="283" t="s">
        <v>53</v>
      </c>
      <c r="C16" s="283" t="str">
        <f t="shared" si="1"/>
        <v>17405 BELLEVUE SCHOOL DISTRICT</v>
      </c>
      <c r="D16" s="283"/>
      <c r="E16" s="548">
        <v>603951.26</v>
      </c>
      <c r="G16" s="552">
        <v>603951.26</v>
      </c>
      <c r="L16" t="s">
        <v>2271</v>
      </c>
      <c r="M16" s="316">
        <v>17405</v>
      </c>
      <c r="N16" t="s">
        <v>53</v>
      </c>
      <c r="O16" s="2">
        <v>621675.21</v>
      </c>
      <c r="Q16" t="s">
        <v>861</v>
      </c>
    </row>
    <row r="17" spans="1:17">
      <c r="A17" s="283" t="s">
        <v>56</v>
      </c>
      <c r="B17" s="283" t="s">
        <v>55</v>
      </c>
      <c r="C17" s="283" t="str">
        <f t="shared" si="1"/>
        <v>37501 BELLINGHAM SCHOOL DISTRICT</v>
      </c>
      <c r="D17" s="283"/>
      <c r="E17" s="548">
        <v>334599.25</v>
      </c>
      <c r="G17" s="552">
        <v>334599.25</v>
      </c>
      <c r="L17" t="s">
        <v>2272</v>
      </c>
      <c r="M17" s="316">
        <v>37501</v>
      </c>
      <c r="N17" t="s">
        <v>55</v>
      </c>
      <c r="O17" s="2">
        <v>349443.33999999997</v>
      </c>
      <c r="Q17" t="s">
        <v>862</v>
      </c>
    </row>
    <row r="18" spans="1:17">
      <c r="A18" s="283" t="s">
        <v>58</v>
      </c>
      <c r="B18" s="283" t="s">
        <v>57</v>
      </c>
      <c r="C18" s="283" t="str">
        <f t="shared" si="1"/>
        <v>01122 BENGE SCHOOL DISTRICT</v>
      </c>
      <c r="D18" s="283"/>
      <c r="E18" s="548"/>
      <c r="G18" s="552"/>
      <c r="M18" s="316"/>
      <c r="O18" s="2"/>
    </row>
    <row r="19" spans="1:17">
      <c r="A19" s="283" t="s">
        <v>60</v>
      </c>
      <c r="B19" s="283" t="s">
        <v>59</v>
      </c>
      <c r="C19" s="283" t="str">
        <f t="shared" si="1"/>
        <v>27403 BETHEL SCHOOL DISTRICT</v>
      </c>
      <c r="D19" s="283"/>
      <c r="E19" s="548">
        <v>604183.63</v>
      </c>
      <c r="G19" s="552">
        <v>604183.63</v>
      </c>
      <c r="L19" t="s">
        <v>2273</v>
      </c>
      <c r="M19" s="316">
        <v>27403</v>
      </c>
      <c r="N19" t="s">
        <v>59</v>
      </c>
      <c r="O19" s="2">
        <v>653274.28</v>
      </c>
      <c r="Q19" t="s">
        <v>864</v>
      </c>
    </row>
    <row r="20" spans="1:17">
      <c r="A20" s="283" t="s">
        <v>62</v>
      </c>
      <c r="B20" s="283" t="s">
        <v>61</v>
      </c>
      <c r="C20" s="283" t="str">
        <f t="shared" si="1"/>
        <v>20203 BICKLETON SCHOOL DISTRICT</v>
      </c>
      <c r="D20" s="283"/>
      <c r="E20" s="548"/>
      <c r="G20" s="552"/>
      <c r="M20" s="316"/>
      <c r="O20" s="2"/>
    </row>
    <row r="21" spans="1:17">
      <c r="A21" s="283" t="s">
        <v>64</v>
      </c>
      <c r="B21" s="283" t="s">
        <v>63</v>
      </c>
      <c r="C21" s="283" t="str">
        <f t="shared" si="1"/>
        <v>37503 BLAINE SCHOOL DISTRICT</v>
      </c>
      <c r="D21" s="283"/>
      <c r="E21" s="548">
        <v>66292.91</v>
      </c>
      <c r="G21" s="552">
        <v>66292.91</v>
      </c>
      <c r="L21" t="s">
        <v>2274</v>
      </c>
      <c r="M21" s="316">
        <v>37503</v>
      </c>
      <c r="N21" t="s">
        <v>63</v>
      </c>
      <c r="O21" s="2">
        <v>63370.009999999995</v>
      </c>
      <c r="Q21" t="s">
        <v>867</v>
      </c>
    </row>
    <row r="22" spans="1:17">
      <c r="A22" s="283" t="s">
        <v>66</v>
      </c>
      <c r="B22" s="283" t="s">
        <v>65</v>
      </c>
      <c r="C22" s="283" t="str">
        <f t="shared" si="1"/>
        <v>21234 BOISTFORT SCHOOL DISTRICT</v>
      </c>
      <c r="D22" s="283"/>
      <c r="E22" s="548">
        <v>12439.939999999999</v>
      </c>
      <c r="G22" s="552">
        <v>12439.939999999999</v>
      </c>
      <c r="L22" t="s">
        <v>2275</v>
      </c>
      <c r="M22" s="316">
        <v>21234</v>
      </c>
      <c r="N22" t="s">
        <v>65</v>
      </c>
      <c r="O22" s="2">
        <v>12752.18</v>
      </c>
      <c r="Q22" t="s">
        <v>868</v>
      </c>
    </row>
    <row r="23" spans="1:17">
      <c r="A23" s="283" t="s">
        <v>68</v>
      </c>
      <c r="B23" s="283" t="s">
        <v>67</v>
      </c>
      <c r="C23" s="283" t="str">
        <f t="shared" si="1"/>
        <v>18100 BREMERTON SCHOOL DISTRICT</v>
      </c>
      <c r="D23" s="283"/>
      <c r="E23" s="548">
        <v>130138.03</v>
      </c>
      <c r="G23" s="552">
        <v>130138.03</v>
      </c>
      <c r="L23" t="s">
        <v>2276</v>
      </c>
      <c r="M23" s="316">
        <v>18100</v>
      </c>
      <c r="N23" t="s">
        <v>67</v>
      </c>
      <c r="O23" s="2">
        <v>140243.34</v>
      </c>
      <c r="Q23" t="s">
        <v>870</v>
      </c>
    </row>
    <row r="24" spans="1:17">
      <c r="A24" s="283" t="s">
        <v>70</v>
      </c>
      <c r="B24" s="283" t="s">
        <v>69</v>
      </c>
      <c r="C24" s="283" t="str">
        <f t="shared" si="1"/>
        <v>24111 BREWSTER SCHOOL DISTRICT</v>
      </c>
      <c r="D24" s="283"/>
      <c r="E24" s="548">
        <v>38872.629999999997</v>
      </c>
      <c r="G24" s="552">
        <v>38872.629999999997</v>
      </c>
      <c r="L24" t="s">
        <v>2277</v>
      </c>
      <c r="M24" s="316">
        <v>24111</v>
      </c>
      <c r="N24" t="s">
        <v>69</v>
      </c>
      <c r="O24" s="2">
        <v>39550.979999999996</v>
      </c>
      <c r="Q24" t="s">
        <v>872</v>
      </c>
    </row>
    <row r="25" spans="1:17">
      <c r="A25" s="283" t="s">
        <v>72</v>
      </c>
      <c r="B25" s="283" t="s">
        <v>71</v>
      </c>
      <c r="C25" s="283" t="str">
        <f t="shared" si="1"/>
        <v>09075 BRIDGEPORT SCHOOL DISTRICT</v>
      </c>
      <c r="D25" s="283"/>
      <c r="E25" s="548">
        <v>31204.25</v>
      </c>
      <c r="G25" s="552">
        <v>31204.25</v>
      </c>
      <c r="L25" t="s">
        <v>2278</v>
      </c>
      <c r="M25" s="316">
        <v>9075</v>
      </c>
      <c r="N25" t="s">
        <v>71</v>
      </c>
      <c r="O25" s="2">
        <v>32452.590000000004</v>
      </c>
      <c r="Q25" t="s">
        <v>873</v>
      </c>
    </row>
    <row r="26" spans="1:17">
      <c r="A26" s="283" t="s">
        <v>74</v>
      </c>
      <c r="B26" s="283" t="s">
        <v>73</v>
      </c>
      <c r="C26" s="283" t="str">
        <f t="shared" si="1"/>
        <v>16046 BRINNON SCHOOL DISTRICT</v>
      </c>
      <c r="D26" s="283"/>
      <c r="E26" s="548">
        <v>12062.33</v>
      </c>
      <c r="G26" s="552">
        <v>12062.33</v>
      </c>
      <c r="L26" t="s">
        <v>2279</v>
      </c>
      <c r="M26" s="316">
        <v>16046</v>
      </c>
      <c r="N26" t="s">
        <v>73</v>
      </c>
      <c r="O26" s="2">
        <v>12196.970000000001</v>
      </c>
      <c r="Q26" t="s">
        <v>874</v>
      </c>
    </row>
    <row r="27" spans="1:17">
      <c r="A27" s="283" t="s">
        <v>76</v>
      </c>
      <c r="B27" s="283" t="s">
        <v>75</v>
      </c>
      <c r="C27" s="283" t="str">
        <f t="shared" si="1"/>
        <v>29100 BURLINGTON EDISON SCHOOL DISTRICT</v>
      </c>
      <c r="D27" s="283"/>
      <c r="E27" s="548">
        <v>107800.95000000001</v>
      </c>
      <c r="G27" s="552">
        <v>107800.95000000001</v>
      </c>
      <c r="L27" t="s">
        <v>2280</v>
      </c>
      <c r="M27" s="316">
        <v>29100</v>
      </c>
      <c r="N27" t="s">
        <v>75</v>
      </c>
      <c r="O27" s="2">
        <v>112699.22</v>
      </c>
      <c r="Q27" t="s">
        <v>875</v>
      </c>
    </row>
    <row r="28" spans="1:17">
      <c r="A28" s="283" t="s">
        <v>78</v>
      </c>
      <c r="B28" s="283" t="s">
        <v>77</v>
      </c>
      <c r="C28" s="283" t="str">
        <f t="shared" si="1"/>
        <v>06117 CAMAS SCHOOL DISTRICT</v>
      </c>
      <c r="D28" s="283"/>
      <c r="E28" s="548">
        <v>211701.76000000001</v>
      </c>
      <c r="G28" s="552">
        <v>211701.76000000001</v>
      </c>
      <c r="L28" t="s">
        <v>2281</v>
      </c>
      <c r="M28" s="316">
        <v>6117</v>
      </c>
      <c r="N28" t="s">
        <v>77</v>
      </c>
      <c r="O28" s="2">
        <v>220414.76</v>
      </c>
      <c r="Q28" t="s">
        <v>876</v>
      </c>
    </row>
    <row r="29" spans="1:17">
      <c r="A29" s="283" t="s">
        <v>80</v>
      </c>
      <c r="B29" s="283" t="s">
        <v>79</v>
      </c>
      <c r="C29" s="283" t="str">
        <f t="shared" si="1"/>
        <v>05401 CAPE FLATTERY SCHOOL DISTRICT</v>
      </c>
      <c r="D29" s="283"/>
      <c r="E29" s="548">
        <v>23797.29</v>
      </c>
      <c r="G29" s="552">
        <v>23797.29</v>
      </c>
      <c r="L29" t="s">
        <v>2282</v>
      </c>
      <c r="M29" s="316">
        <v>5401</v>
      </c>
      <c r="N29" t="s">
        <v>79</v>
      </c>
      <c r="O29" s="2">
        <v>24771.370000000003</v>
      </c>
      <c r="Q29" t="s">
        <v>877</v>
      </c>
    </row>
    <row r="30" spans="1:17">
      <c r="A30" s="283" t="s">
        <v>82</v>
      </c>
      <c r="B30" s="283" t="s">
        <v>81</v>
      </c>
      <c r="C30" s="283" t="str">
        <f t="shared" si="1"/>
        <v>27019 CARBONADO SCHOOL DISTRICT</v>
      </c>
      <c r="D30" s="283"/>
      <c r="E30" s="548"/>
      <c r="G30" s="552"/>
      <c r="L30" t="s">
        <v>2283</v>
      </c>
      <c r="M30" s="316">
        <v>27019</v>
      </c>
      <c r="N30" t="s">
        <v>81</v>
      </c>
      <c r="O30" s="2">
        <v>15473.400000000001</v>
      </c>
      <c r="Q30" t="s">
        <v>878</v>
      </c>
    </row>
    <row r="31" spans="1:17">
      <c r="A31" s="283" t="s">
        <v>84</v>
      </c>
      <c r="B31" s="283" t="s">
        <v>83</v>
      </c>
      <c r="C31" s="283" t="str">
        <f t="shared" si="1"/>
        <v>04228 CASCADE SCHOOL DISTRICT</v>
      </c>
      <c r="D31" s="283"/>
      <c r="E31" s="548">
        <v>14363.1</v>
      </c>
      <c r="G31" s="552">
        <v>14363.1</v>
      </c>
      <c r="L31" t="s">
        <v>2284</v>
      </c>
      <c r="M31" s="316">
        <v>4228</v>
      </c>
      <c r="N31" t="s">
        <v>83</v>
      </c>
      <c r="O31" s="2">
        <v>47331.58</v>
      </c>
      <c r="Q31" t="s">
        <v>879</v>
      </c>
    </row>
    <row r="32" spans="1:17">
      <c r="A32" s="283" t="s">
        <v>86</v>
      </c>
      <c r="B32" s="283" t="s">
        <v>85</v>
      </c>
      <c r="C32" s="283" t="str">
        <f t="shared" si="1"/>
        <v>04222 CASHMERE SCHOOL DISTRICT</v>
      </c>
      <c r="D32" s="283"/>
      <c r="E32" s="548">
        <v>58159.78</v>
      </c>
      <c r="G32" s="552">
        <v>58159.78</v>
      </c>
      <c r="L32" t="s">
        <v>2285</v>
      </c>
      <c r="M32" s="316">
        <v>4222</v>
      </c>
      <c r="N32" t="s">
        <v>85</v>
      </c>
      <c r="O32" s="2">
        <v>60371.86</v>
      </c>
      <c r="Q32" t="s">
        <v>880</v>
      </c>
    </row>
    <row r="33" spans="1:17">
      <c r="A33" s="283" t="s">
        <v>88</v>
      </c>
      <c r="B33" s="283" t="s">
        <v>87</v>
      </c>
      <c r="C33" s="283" t="str">
        <f t="shared" si="1"/>
        <v>08401 CASTLE ROCK SCHOOL DISTRICT</v>
      </c>
      <c r="D33" s="283"/>
      <c r="E33" s="548">
        <v>52001.83</v>
      </c>
      <c r="G33" s="552">
        <v>52001.83</v>
      </c>
      <c r="L33" t="s">
        <v>2286</v>
      </c>
      <c r="M33" s="316">
        <v>8401</v>
      </c>
      <c r="N33" t="s">
        <v>87</v>
      </c>
      <c r="O33" s="2">
        <v>53430.42</v>
      </c>
      <c r="Q33" t="s">
        <v>881</v>
      </c>
    </row>
    <row r="34" spans="1:17">
      <c r="A34" s="283" t="s">
        <v>90</v>
      </c>
      <c r="B34" s="353" t="s">
        <v>89</v>
      </c>
      <c r="C34" s="353" t="str">
        <f>CONCATENATE(B34," ",A34," PUBLIC SCHOOLS CHARTER")</f>
        <v>18901 CATALYST PUBLIC SCHOOLS CHARTER</v>
      </c>
      <c r="D34" s="353"/>
      <c r="E34" s="548">
        <v>14682.03</v>
      </c>
      <c r="G34" s="552">
        <v>14682.03</v>
      </c>
      <c r="L34" t="s">
        <v>2287</v>
      </c>
      <c r="M34" s="316">
        <v>18901</v>
      </c>
      <c r="N34" t="s">
        <v>89</v>
      </c>
      <c r="O34" s="2">
        <v>21287.09</v>
      </c>
      <c r="Q34" t="s">
        <v>883</v>
      </c>
    </row>
    <row r="35" spans="1:17">
      <c r="A35" s="283" t="s">
        <v>92</v>
      </c>
      <c r="B35" s="283" t="s">
        <v>91</v>
      </c>
      <c r="C35" s="283" t="str">
        <f t="shared" ref="C35:C41" si="2">CONCATENATE(B35," ",A35," SCHOOL DISTRICT")</f>
        <v>20215 CENTERVILLE SCHOOL DISTRICT</v>
      </c>
      <c r="D35" s="283"/>
      <c r="E35" s="548">
        <v>12788.52</v>
      </c>
      <c r="G35" s="552">
        <v>12788.52</v>
      </c>
      <c r="L35" t="s">
        <v>2288</v>
      </c>
      <c r="M35" s="316">
        <v>20215</v>
      </c>
      <c r="N35" t="s">
        <v>91</v>
      </c>
      <c r="O35" s="2">
        <v>12768.86</v>
      </c>
      <c r="Q35" t="s">
        <v>884</v>
      </c>
    </row>
    <row r="36" spans="1:17">
      <c r="A36" s="283" t="s">
        <v>94</v>
      </c>
      <c r="B36" s="283" t="s">
        <v>93</v>
      </c>
      <c r="C36" s="283" t="str">
        <f t="shared" si="2"/>
        <v>18401 CENTRAL KITSAP SCHOOL DISTRICT</v>
      </c>
      <c r="D36" s="283"/>
      <c r="E36" s="548">
        <v>338520.58</v>
      </c>
      <c r="G36" s="552">
        <v>338520.58</v>
      </c>
      <c r="L36" t="s">
        <v>2289</v>
      </c>
      <c r="M36" s="316">
        <v>18401</v>
      </c>
      <c r="N36" t="s">
        <v>93</v>
      </c>
      <c r="O36" s="2">
        <v>365234.33999999997</v>
      </c>
      <c r="Q36" t="s">
        <v>885</v>
      </c>
    </row>
    <row r="37" spans="1:17">
      <c r="A37" s="283" t="s">
        <v>96</v>
      </c>
      <c r="B37" s="283" t="s">
        <v>95</v>
      </c>
      <c r="C37" s="283" t="str">
        <f t="shared" si="2"/>
        <v>32356 CENTRAL VALLEY SCHOOL DISTRICT</v>
      </c>
      <c r="D37" s="283"/>
      <c r="E37" s="548">
        <v>413025.91000000003</v>
      </c>
      <c r="G37" s="552">
        <v>413025.91000000003</v>
      </c>
      <c r="L37" t="s">
        <v>2290</v>
      </c>
      <c r="M37" s="316">
        <v>32356</v>
      </c>
      <c r="N37" t="s">
        <v>95</v>
      </c>
      <c r="O37" s="2">
        <v>429178.88</v>
      </c>
      <c r="Q37" t="s">
        <v>886</v>
      </c>
    </row>
    <row r="38" spans="1:17">
      <c r="A38" s="283" t="s">
        <v>98</v>
      </c>
      <c r="B38" s="283" t="s">
        <v>97</v>
      </c>
      <c r="C38" s="283" t="str">
        <f t="shared" si="2"/>
        <v>21401 CENTRALIA SCHOOL DISTRICT</v>
      </c>
      <c r="D38" s="283"/>
      <c r="E38" s="548">
        <v>112361.32</v>
      </c>
      <c r="G38" s="552">
        <v>112361.32</v>
      </c>
      <c r="L38" t="s">
        <v>2291</v>
      </c>
      <c r="M38" s="316">
        <v>21401</v>
      </c>
      <c r="N38" t="s">
        <v>97</v>
      </c>
      <c r="O38" s="2">
        <v>112917.01999999999</v>
      </c>
      <c r="Q38" t="s">
        <v>887</v>
      </c>
    </row>
    <row r="39" spans="1:17">
      <c r="A39" s="283" t="s">
        <v>100</v>
      </c>
      <c r="B39" s="283" t="s">
        <v>99</v>
      </c>
      <c r="C39" s="283" t="str">
        <f t="shared" si="2"/>
        <v>21302 CHEHALIS SCHOOL DISTRICT</v>
      </c>
      <c r="D39" s="283"/>
      <c r="E39" s="548">
        <v>95688.390000000014</v>
      </c>
      <c r="G39" s="552">
        <v>95688.390000000014</v>
      </c>
      <c r="L39" t="s">
        <v>2292</v>
      </c>
      <c r="M39" s="316">
        <v>21302</v>
      </c>
      <c r="N39" t="s">
        <v>99</v>
      </c>
      <c r="O39" s="2">
        <v>98502.61</v>
      </c>
      <c r="Q39" t="s">
        <v>888</v>
      </c>
    </row>
    <row r="40" spans="1:17">
      <c r="A40" s="283" t="s">
        <v>102</v>
      </c>
      <c r="B40" s="283" t="s">
        <v>101</v>
      </c>
      <c r="C40" s="283" t="str">
        <f t="shared" si="2"/>
        <v>32360 CHENEY SCHOOL DISTRICT</v>
      </c>
      <c r="D40" s="283"/>
      <c r="E40" s="548">
        <v>173098.41</v>
      </c>
      <c r="G40" s="552">
        <v>173098.41</v>
      </c>
      <c r="L40" t="s">
        <v>2293</v>
      </c>
      <c r="M40" s="316">
        <v>32360</v>
      </c>
      <c r="N40" t="s">
        <v>101</v>
      </c>
      <c r="O40" s="2">
        <v>193031.27000000002</v>
      </c>
      <c r="Q40" t="s">
        <v>889</v>
      </c>
    </row>
    <row r="41" spans="1:17">
      <c r="A41" s="283" t="s">
        <v>104</v>
      </c>
      <c r="B41" s="283" t="s">
        <v>103</v>
      </c>
      <c r="C41" s="283" t="str">
        <f t="shared" si="2"/>
        <v>33036 CHEWELAH SCHOOL DISTRICT</v>
      </c>
      <c r="D41" s="283"/>
      <c r="E41" s="548">
        <v>32569.45</v>
      </c>
      <c r="G41" s="552">
        <v>32569.45</v>
      </c>
      <c r="L41" t="s">
        <v>2294</v>
      </c>
      <c r="M41" s="316">
        <v>33036</v>
      </c>
      <c r="N41" t="s">
        <v>103</v>
      </c>
      <c r="O41" s="2">
        <v>33536.629999999997</v>
      </c>
      <c r="Q41" t="s">
        <v>890</v>
      </c>
    </row>
    <row r="42" spans="1:17">
      <c r="A42" s="283" t="s">
        <v>891</v>
      </c>
      <c r="B42" s="353" t="s">
        <v>105</v>
      </c>
      <c r="C42" s="353" t="str">
        <f>CONCATENATE(B42," ",A42," TRIBAL COMPACT")</f>
        <v>27901 CHIEF LESCHI TRIBAL COMPACT</v>
      </c>
      <c r="D42" s="353"/>
      <c r="E42" s="548">
        <v>9868.5300000000007</v>
      </c>
      <c r="G42" s="552">
        <v>9868.5300000000007</v>
      </c>
      <c r="M42" s="316"/>
      <c r="O42" s="2"/>
    </row>
    <row r="43" spans="1:17">
      <c r="A43" s="283" t="s">
        <v>108</v>
      </c>
      <c r="B43" s="283" t="s">
        <v>107</v>
      </c>
      <c r="C43" s="283" t="str">
        <f t="shared" ref="C43:C80" si="3">CONCATENATE(B43," ",A43," SCHOOL DISTRICT")</f>
        <v>16049 CHIMACUM SCHOOL DISTRICT</v>
      </c>
      <c r="D43" s="283"/>
      <c r="E43" s="548">
        <v>29780.95</v>
      </c>
      <c r="G43" s="552">
        <v>29780.95</v>
      </c>
      <c r="L43" t="s">
        <v>2295</v>
      </c>
      <c r="M43" s="316">
        <v>16049</v>
      </c>
      <c r="N43" t="s">
        <v>107</v>
      </c>
      <c r="O43" s="2">
        <v>31879.100000000002</v>
      </c>
      <c r="Q43" t="s">
        <v>893</v>
      </c>
    </row>
    <row r="44" spans="1:17">
      <c r="A44" s="283" t="s">
        <v>110</v>
      </c>
      <c r="B44" s="283" t="s">
        <v>109</v>
      </c>
      <c r="C44" s="283" t="str">
        <f t="shared" si="3"/>
        <v>02250 CLARKSTON SCHOOL DISTRICT</v>
      </c>
      <c r="D44" s="283"/>
      <c r="E44" s="548">
        <v>77011.23</v>
      </c>
      <c r="G44" s="552">
        <v>77011.23</v>
      </c>
      <c r="L44" t="s">
        <v>2296</v>
      </c>
      <c r="M44" s="316">
        <v>2250</v>
      </c>
      <c r="N44" t="s">
        <v>109</v>
      </c>
      <c r="O44" s="2">
        <v>79798.610000000015</v>
      </c>
      <c r="Q44" t="s">
        <v>894</v>
      </c>
    </row>
    <row r="45" spans="1:17">
      <c r="A45" s="283" t="s">
        <v>112</v>
      </c>
      <c r="B45" s="283" t="s">
        <v>111</v>
      </c>
      <c r="C45" s="283" t="str">
        <f t="shared" si="3"/>
        <v>19404 CLE ELUM-ROSLYN SCHOOL DISTRICT</v>
      </c>
      <c r="D45" s="283"/>
      <c r="E45" s="548"/>
      <c r="G45" s="552"/>
      <c r="L45" t="s">
        <v>2297</v>
      </c>
      <c r="M45" s="316">
        <v>19404</v>
      </c>
      <c r="N45" t="s">
        <v>111</v>
      </c>
      <c r="O45" s="2">
        <v>37699.960000000006</v>
      </c>
      <c r="Q45" t="s">
        <v>895</v>
      </c>
    </row>
    <row r="46" spans="1:17">
      <c r="A46" s="283" t="s">
        <v>114</v>
      </c>
      <c r="B46" s="283" t="s">
        <v>113</v>
      </c>
      <c r="C46" s="283" t="str">
        <f t="shared" si="3"/>
        <v>27400 CLOVER PARK SCHOOL DISTRICT</v>
      </c>
      <c r="D46" s="283"/>
      <c r="E46" s="548">
        <v>373638.28</v>
      </c>
      <c r="G46" s="552">
        <v>373638.28</v>
      </c>
      <c r="L46" t="s">
        <v>2298</v>
      </c>
      <c r="M46" s="316">
        <v>27400</v>
      </c>
      <c r="N46" t="s">
        <v>113</v>
      </c>
      <c r="O46" s="2">
        <v>390096.57</v>
      </c>
      <c r="Q46" t="s">
        <v>896</v>
      </c>
    </row>
    <row r="47" spans="1:17">
      <c r="A47" s="283" t="s">
        <v>116</v>
      </c>
      <c r="B47" s="283" t="s">
        <v>115</v>
      </c>
      <c r="C47" s="283" t="str">
        <f t="shared" si="3"/>
        <v>38300 COLFAX SCHOOL DISTRICT</v>
      </c>
      <c r="D47" s="283"/>
      <c r="E47" s="548">
        <v>17435.830000000002</v>
      </c>
      <c r="G47" s="552">
        <v>17435.830000000002</v>
      </c>
      <c r="L47" t="s">
        <v>2299</v>
      </c>
      <c r="M47" s="316">
        <v>38300</v>
      </c>
      <c r="N47" t="s">
        <v>115</v>
      </c>
      <c r="O47" s="2">
        <v>26923.57</v>
      </c>
      <c r="Q47" t="s">
        <v>897</v>
      </c>
    </row>
    <row r="48" spans="1:17">
      <c r="A48" s="283" t="s">
        <v>118</v>
      </c>
      <c r="B48" s="283" t="s">
        <v>117</v>
      </c>
      <c r="C48" s="283" t="str">
        <f t="shared" si="3"/>
        <v>36250 COLLEGE PLACE SCHOOL DISTRICT</v>
      </c>
      <c r="D48" s="283"/>
      <c r="E48" s="548">
        <v>39029.15</v>
      </c>
      <c r="G48" s="552">
        <v>39029.15</v>
      </c>
      <c r="L48" t="s">
        <v>2300</v>
      </c>
      <c r="M48" s="316">
        <v>36250</v>
      </c>
      <c r="N48" t="s">
        <v>117</v>
      </c>
      <c r="O48" s="2">
        <v>57926.8</v>
      </c>
      <c r="Q48" t="s">
        <v>898</v>
      </c>
    </row>
    <row r="49" spans="1:17">
      <c r="A49" s="283" t="s">
        <v>120</v>
      </c>
      <c r="B49" s="283" t="s">
        <v>119</v>
      </c>
      <c r="C49" s="283" t="str">
        <f t="shared" si="3"/>
        <v>38306 COLTON SCHOOL DISTRICT</v>
      </c>
      <c r="D49" s="283"/>
      <c r="E49" s="548">
        <v>14415.13</v>
      </c>
      <c r="G49" s="552">
        <v>14415.13</v>
      </c>
      <c r="L49" t="s">
        <v>2301</v>
      </c>
      <c r="M49" s="316">
        <v>38306</v>
      </c>
      <c r="N49" t="s">
        <v>119</v>
      </c>
      <c r="O49" s="2">
        <v>14730.65</v>
      </c>
      <c r="Q49" t="s">
        <v>899</v>
      </c>
    </row>
    <row r="50" spans="1:17">
      <c r="A50" s="283" t="s">
        <v>122</v>
      </c>
      <c r="B50" s="283" t="s">
        <v>121</v>
      </c>
      <c r="C50" s="283" t="str">
        <f t="shared" si="3"/>
        <v>33206 COLUMBIA (STEVENS) SCHOOL DISTRICT</v>
      </c>
      <c r="D50" s="283"/>
      <c r="E50" s="548">
        <v>14008.47</v>
      </c>
      <c r="G50" s="552">
        <v>14008.47</v>
      </c>
      <c r="L50" t="s">
        <v>2302</v>
      </c>
      <c r="M50" s="316">
        <v>33206</v>
      </c>
      <c r="N50" t="s">
        <v>121</v>
      </c>
      <c r="O50" s="2">
        <v>13763.920000000002</v>
      </c>
      <c r="Q50" t="s">
        <v>2303</v>
      </c>
    </row>
    <row r="51" spans="1:17">
      <c r="A51" s="283" t="s">
        <v>901</v>
      </c>
      <c r="B51" s="283" t="s">
        <v>123</v>
      </c>
      <c r="C51" s="283" t="str">
        <f t="shared" si="3"/>
        <v>36400 COLUMBIA (WALLA) SCHOOL DISTRICT</v>
      </c>
      <c r="D51" s="283"/>
      <c r="E51" s="548">
        <v>32918.01</v>
      </c>
      <c r="G51" s="552">
        <v>32918.01</v>
      </c>
      <c r="L51" t="s">
        <v>2304</v>
      </c>
      <c r="M51" s="316">
        <v>36400</v>
      </c>
      <c r="N51" t="s">
        <v>123</v>
      </c>
      <c r="O51" s="2">
        <v>33235.79</v>
      </c>
      <c r="Q51" t="s">
        <v>902</v>
      </c>
    </row>
    <row r="52" spans="1:17">
      <c r="A52" s="283" t="s">
        <v>126</v>
      </c>
      <c r="B52" s="283" t="s">
        <v>125</v>
      </c>
      <c r="C52" s="283" t="str">
        <f t="shared" si="3"/>
        <v>33115 COLVILLE SCHOOL DISTRICT</v>
      </c>
      <c r="D52" s="283"/>
      <c r="E52" s="548">
        <v>58421.2</v>
      </c>
      <c r="G52" s="552">
        <v>58421.2</v>
      </c>
      <c r="L52" t="s">
        <v>2305</v>
      </c>
      <c r="M52" s="316">
        <v>33115</v>
      </c>
      <c r="N52" t="s">
        <v>125</v>
      </c>
      <c r="O52" s="2">
        <v>36117.9</v>
      </c>
      <c r="Q52" t="s">
        <v>903</v>
      </c>
    </row>
    <row r="53" spans="1:17">
      <c r="A53" s="283" t="s">
        <v>128</v>
      </c>
      <c r="B53" s="283" t="s">
        <v>127</v>
      </c>
      <c r="C53" s="283" t="str">
        <f t="shared" si="3"/>
        <v>29011 CONCRETE SCHOOL DISTRICT</v>
      </c>
      <c r="D53" s="283"/>
      <c r="E53" s="548">
        <v>24523.46</v>
      </c>
      <c r="G53" s="552">
        <v>24523.46</v>
      </c>
      <c r="L53" t="s">
        <v>2306</v>
      </c>
      <c r="M53" s="316">
        <v>29011</v>
      </c>
      <c r="N53" t="s">
        <v>127</v>
      </c>
      <c r="O53" s="2">
        <v>29081.16</v>
      </c>
      <c r="Q53" t="s">
        <v>904</v>
      </c>
    </row>
    <row r="54" spans="1:17">
      <c r="A54" s="283" t="s">
        <v>130</v>
      </c>
      <c r="B54" s="283" t="s">
        <v>129</v>
      </c>
      <c r="C54" s="283" t="str">
        <f t="shared" si="3"/>
        <v>29317 CONWAY SCHOOL DISTRICT</v>
      </c>
      <c r="D54" s="283"/>
      <c r="E54" s="548">
        <v>8351.16</v>
      </c>
      <c r="G54" s="552">
        <v>8351.16</v>
      </c>
      <c r="L54" t="s">
        <v>2307</v>
      </c>
      <c r="M54" s="316">
        <v>29317</v>
      </c>
      <c r="N54" t="s">
        <v>129</v>
      </c>
      <c r="O54" s="2">
        <v>24528.66</v>
      </c>
      <c r="Q54" t="s">
        <v>905</v>
      </c>
    </row>
    <row r="55" spans="1:17">
      <c r="A55" s="283" t="s">
        <v>132</v>
      </c>
      <c r="B55" s="283" t="s">
        <v>131</v>
      </c>
      <c r="C55" s="283" t="str">
        <f t="shared" si="3"/>
        <v>14099 COSMOPOLIS SCHOOL DISTRICT</v>
      </c>
      <c r="D55" s="283"/>
      <c r="E55" s="548">
        <v>15199.4</v>
      </c>
      <c r="G55" s="552">
        <v>15199.4</v>
      </c>
      <c r="L55" t="s">
        <v>2308</v>
      </c>
      <c r="M55" s="316">
        <v>14099</v>
      </c>
      <c r="N55" t="s">
        <v>131</v>
      </c>
      <c r="O55" s="2">
        <v>15204.77</v>
      </c>
      <c r="Q55" t="s">
        <v>906</v>
      </c>
    </row>
    <row r="56" spans="1:17">
      <c r="A56" s="283" t="s">
        <v>907</v>
      </c>
      <c r="B56" s="283" t="s">
        <v>133</v>
      </c>
      <c r="C56" s="283" t="str">
        <f t="shared" si="3"/>
        <v>13151 COULEE/HARTLINE SCHOOL DISTRICT</v>
      </c>
      <c r="D56" s="283"/>
      <c r="E56" s="548">
        <v>15344.630000000001</v>
      </c>
      <c r="G56" s="552">
        <v>15344.630000000001</v>
      </c>
      <c r="L56" t="s">
        <v>2309</v>
      </c>
      <c r="M56" s="316">
        <v>13151</v>
      </c>
      <c r="N56" t="s">
        <v>133</v>
      </c>
      <c r="O56" s="2">
        <v>15723.650000000001</v>
      </c>
      <c r="Q56" t="s">
        <v>908</v>
      </c>
    </row>
    <row r="57" spans="1:17">
      <c r="A57" s="283" t="s">
        <v>136</v>
      </c>
      <c r="B57" s="283" t="s">
        <v>135</v>
      </c>
      <c r="C57" s="283" t="str">
        <f t="shared" si="3"/>
        <v>15204 COUPEVILLE SCHOOL DISTRICT</v>
      </c>
      <c r="D57" s="283"/>
      <c r="E57" s="548">
        <v>37797.9</v>
      </c>
      <c r="G57" s="552">
        <v>37797.9</v>
      </c>
      <c r="L57" t="s">
        <v>2310</v>
      </c>
      <c r="M57" s="316">
        <v>15204</v>
      </c>
      <c r="N57" t="s">
        <v>135</v>
      </c>
      <c r="O57" s="2">
        <v>39375.18</v>
      </c>
      <c r="Q57" t="s">
        <v>909</v>
      </c>
    </row>
    <row r="58" spans="1:17">
      <c r="A58" s="283" t="s">
        <v>138</v>
      </c>
      <c r="B58" s="283" t="s">
        <v>137</v>
      </c>
      <c r="C58" s="283" t="str">
        <f t="shared" si="3"/>
        <v>05313 CRESCENT SCHOOL DISTRICT</v>
      </c>
      <c r="D58" s="283"/>
      <c r="E58" s="548">
        <v>16303.18</v>
      </c>
      <c r="G58" s="552">
        <v>16303.18</v>
      </c>
      <c r="L58" t="s">
        <v>2311</v>
      </c>
      <c r="M58" s="316">
        <v>5313</v>
      </c>
      <c r="N58" t="s">
        <v>137</v>
      </c>
      <c r="O58" s="2">
        <v>16665.259999999998</v>
      </c>
      <c r="Q58" t="s">
        <v>910</v>
      </c>
    </row>
    <row r="59" spans="1:17">
      <c r="A59" s="283" t="s">
        <v>140</v>
      </c>
      <c r="B59" s="283" t="s">
        <v>139</v>
      </c>
      <c r="C59" s="283" t="str">
        <f t="shared" si="3"/>
        <v>22073 CRESTON SCHOOL DISTRICT</v>
      </c>
      <c r="D59" s="283"/>
      <c r="E59" s="548">
        <v>12875.66</v>
      </c>
      <c r="G59" s="552">
        <v>12875.66</v>
      </c>
      <c r="L59" t="s">
        <v>2312</v>
      </c>
      <c r="M59" s="316">
        <v>22073</v>
      </c>
      <c r="N59" t="s">
        <v>139</v>
      </c>
      <c r="O59" s="2">
        <v>12812.720000000001</v>
      </c>
      <c r="Q59" t="s">
        <v>911</v>
      </c>
    </row>
    <row r="60" spans="1:17">
      <c r="A60" s="283" t="s">
        <v>142</v>
      </c>
      <c r="B60" s="283" t="s">
        <v>141</v>
      </c>
      <c r="C60" s="283" t="str">
        <f t="shared" si="3"/>
        <v>10050 CURLEW SCHOOL DISTRICT</v>
      </c>
      <c r="D60" s="283"/>
      <c r="E60" s="548">
        <v>15402.73</v>
      </c>
      <c r="G60" s="552">
        <v>15402.73</v>
      </c>
      <c r="L60" t="s">
        <v>2313</v>
      </c>
      <c r="M60" s="316">
        <v>10050</v>
      </c>
      <c r="N60" t="s">
        <v>141</v>
      </c>
      <c r="O60" s="2">
        <v>15910.4</v>
      </c>
      <c r="Q60" t="s">
        <v>912</v>
      </c>
    </row>
    <row r="61" spans="1:17">
      <c r="A61" s="283" t="s">
        <v>144</v>
      </c>
      <c r="B61" s="283" t="s">
        <v>143</v>
      </c>
      <c r="C61" s="283" t="str">
        <f t="shared" si="3"/>
        <v>26059 CUSICK SCHOOL DISTRICT</v>
      </c>
      <c r="D61" s="283"/>
      <c r="E61" s="548">
        <v>6941.66</v>
      </c>
      <c r="G61" s="552">
        <v>6941.66</v>
      </c>
      <c r="L61" t="s">
        <v>2314</v>
      </c>
      <c r="M61" s="316">
        <v>26059</v>
      </c>
      <c r="N61" t="s">
        <v>143</v>
      </c>
      <c r="O61" s="2">
        <v>17662.379999999997</v>
      </c>
      <c r="Q61" t="s">
        <v>913</v>
      </c>
    </row>
    <row r="62" spans="1:17">
      <c r="A62" s="283" t="s">
        <v>146</v>
      </c>
      <c r="B62" s="283" t="s">
        <v>145</v>
      </c>
      <c r="C62" s="283" t="str">
        <f t="shared" si="3"/>
        <v>19007 DAMMAN SCHOOL DISTRICT</v>
      </c>
      <c r="D62" s="283"/>
      <c r="E62" s="548"/>
      <c r="G62" s="552"/>
      <c r="M62" s="316"/>
      <c r="O62" s="2"/>
    </row>
    <row r="63" spans="1:17">
      <c r="A63" s="283" t="s">
        <v>148</v>
      </c>
      <c r="B63" s="283" t="s">
        <v>147</v>
      </c>
      <c r="C63" s="283" t="str">
        <f t="shared" si="3"/>
        <v>31330 DARRINGTON SCHOOL DISTRICT</v>
      </c>
      <c r="D63" s="283"/>
      <c r="E63" s="548">
        <v>22751.59</v>
      </c>
      <c r="G63" s="552">
        <v>22751.59</v>
      </c>
      <c r="L63" t="s">
        <v>2315</v>
      </c>
      <c r="M63" s="316">
        <v>31330</v>
      </c>
      <c r="N63" t="s">
        <v>147</v>
      </c>
      <c r="O63" s="2">
        <v>23022.6</v>
      </c>
      <c r="Q63" t="s">
        <v>915</v>
      </c>
    </row>
    <row r="64" spans="1:17">
      <c r="A64" s="283" t="s">
        <v>150</v>
      </c>
      <c r="B64" s="283" t="s">
        <v>149</v>
      </c>
      <c r="C64" s="283" t="str">
        <f t="shared" si="3"/>
        <v>22207 DAVENPORT SCHOOL DISTRICT</v>
      </c>
      <c r="D64" s="283"/>
      <c r="E64" s="548">
        <v>28764.3</v>
      </c>
      <c r="G64" s="552">
        <v>28764.3</v>
      </c>
      <c r="L64" t="s">
        <v>2316</v>
      </c>
      <c r="M64" s="316">
        <v>22207</v>
      </c>
      <c r="N64" t="s">
        <v>149</v>
      </c>
      <c r="O64" s="2">
        <v>28668.480000000003</v>
      </c>
      <c r="Q64" t="s">
        <v>916</v>
      </c>
    </row>
    <row r="65" spans="1:17">
      <c r="A65" s="283" t="s">
        <v>152</v>
      </c>
      <c r="B65" s="283" t="s">
        <v>151</v>
      </c>
      <c r="C65" s="283" t="str">
        <f t="shared" si="3"/>
        <v>07002 DAYTON SCHOOL DISTRICT</v>
      </c>
      <c r="D65" s="283"/>
      <c r="E65" s="548">
        <v>21328.3</v>
      </c>
      <c r="G65" s="552">
        <v>21328.3</v>
      </c>
      <c r="L65" t="s">
        <v>2317</v>
      </c>
      <c r="M65" s="316">
        <v>7002</v>
      </c>
      <c r="N65" t="s">
        <v>151</v>
      </c>
      <c r="O65" s="2">
        <v>21655.300000000003</v>
      </c>
      <c r="Q65" t="s">
        <v>917</v>
      </c>
    </row>
    <row r="66" spans="1:17">
      <c r="A66" s="283" t="s">
        <v>154</v>
      </c>
      <c r="B66" s="283" t="s">
        <v>153</v>
      </c>
      <c r="C66" s="283" t="str">
        <f t="shared" si="3"/>
        <v>32414 DEER PARK SCHOOL DISTRICT</v>
      </c>
      <c r="D66" s="283"/>
      <c r="E66" s="548"/>
      <c r="G66" s="552"/>
      <c r="L66" t="s">
        <v>2318</v>
      </c>
      <c r="M66" s="316">
        <v>32414</v>
      </c>
      <c r="N66" t="s">
        <v>153</v>
      </c>
      <c r="O66" s="2">
        <v>75288.87</v>
      </c>
      <c r="Q66" t="s">
        <v>918</v>
      </c>
    </row>
    <row r="67" spans="1:17">
      <c r="A67" s="283" t="s">
        <v>156</v>
      </c>
      <c r="B67" s="283" t="s">
        <v>155</v>
      </c>
      <c r="C67" s="283" t="str">
        <f t="shared" si="3"/>
        <v>27343 DIERINGER SCHOOL DISTRICT</v>
      </c>
      <c r="D67" s="283"/>
      <c r="E67" s="548">
        <v>52379.45</v>
      </c>
      <c r="G67" s="552">
        <v>52379.45</v>
      </c>
      <c r="L67" t="s">
        <v>2319</v>
      </c>
      <c r="M67" s="316">
        <v>27343</v>
      </c>
      <c r="N67" t="s">
        <v>155</v>
      </c>
      <c r="O67" s="2">
        <v>53699.86</v>
      </c>
      <c r="Q67" t="s">
        <v>919</v>
      </c>
    </row>
    <row r="68" spans="1:17">
      <c r="A68" s="283" t="s">
        <v>158</v>
      </c>
      <c r="B68" s="283" t="s">
        <v>157</v>
      </c>
      <c r="C68" s="283" t="str">
        <f t="shared" si="3"/>
        <v>36101 DIXIE SCHOOL DISTRICT</v>
      </c>
      <c r="D68" s="283"/>
      <c r="E68" s="548">
        <v>10464.75</v>
      </c>
      <c r="G68" s="552">
        <v>10464.75</v>
      </c>
      <c r="L68" t="s">
        <v>2320</v>
      </c>
      <c r="M68" s="316">
        <v>36101</v>
      </c>
      <c r="N68" t="s">
        <v>157</v>
      </c>
      <c r="O68" s="2">
        <v>10519.69</v>
      </c>
      <c r="Q68" t="s">
        <v>920</v>
      </c>
    </row>
    <row r="69" spans="1:17">
      <c r="A69" s="283" t="s">
        <v>921</v>
      </c>
      <c r="B69" s="283" t="s">
        <v>159</v>
      </c>
      <c r="C69" s="283" t="str">
        <f t="shared" si="3"/>
        <v>32361 EAST VALLEY SCHOOL DISTRICT</v>
      </c>
      <c r="D69" s="283"/>
      <c r="E69" s="548">
        <v>116050.28</v>
      </c>
      <c r="G69" s="552">
        <v>116050.28</v>
      </c>
      <c r="L69" t="s">
        <v>2321</v>
      </c>
      <c r="M69" s="316">
        <v>32361</v>
      </c>
      <c r="N69" t="s">
        <v>159</v>
      </c>
      <c r="O69" s="2">
        <v>122976.12</v>
      </c>
      <c r="Q69" t="s">
        <v>2322</v>
      </c>
    </row>
    <row r="70" spans="1:17">
      <c r="A70" s="283" t="s">
        <v>162</v>
      </c>
      <c r="B70" s="283" t="s">
        <v>161</v>
      </c>
      <c r="C70" s="283" t="str">
        <f t="shared" si="3"/>
        <v>39090 EAST VALLEY (YAKIMA) SCHOOL DISTRICT</v>
      </c>
      <c r="D70" s="283"/>
      <c r="E70" s="548">
        <v>107307.16</v>
      </c>
      <c r="G70" s="552">
        <v>107307.16</v>
      </c>
      <c r="L70" t="s">
        <v>2323</v>
      </c>
      <c r="M70" s="316">
        <v>39090</v>
      </c>
      <c r="N70" t="s">
        <v>161</v>
      </c>
      <c r="O70" s="2">
        <v>111590.06</v>
      </c>
      <c r="Q70" t="s">
        <v>2324</v>
      </c>
    </row>
    <row r="71" spans="1:17">
      <c r="A71" s="283" t="s">
        <v>164</v>
      </c>
      <c r="B71" s="283" t="s">
        <v>163</v>
      </c>
      <c r="C71" s="283" t="str">
        <f t="shared" si="3"/>
        <v>09206 EASTMONT SCHOOL DISTRICT</v>
      </c>
      <c r="D71" s="283"/>
      <c r="E71" s="548"/>
      <c r="G71" s="552"/>
      <c r="L71" t="s">
        <v>2325</v>
      </c>
      <c r="M71" s="316">
        <v>9206</v>
      </c>
      <c r="N71" t="s">
        <v>163</v>
      </c>
      <c r="O71" s="2">
        <v>189111.7</v>
      </c>
      <c r="Q71" t="s">
        <v>924</v>
      </c>
    </row>
    <row r="72" spans="1:17">
      <c r="A72" s="283" t="s">
        <v>166</v>
      </c>
      <c r="B72" s="283" t="s">
        <v>165</v>
      </c>
      <c r="C72" s="283" t="str">
        <f t="shared" si="3"/>
        <v>19028 EASTON SCHOOL DISTRICT</v>
      </c>
      <c r="D72" s="283"/>
      <c r="E72" s="548">
        <v>12701.36</v>
      </c>
      <c r="G72" s="552">
        <v>12701.36</v>
      </c>
      <c r="L72" t="s">
        <v>2326</v>
      </c>
      <c r="M72" s="316">
        <v>19028</v>
      </c>
      <c r="N72" t="s">
        <v>165</v>
      </c>
      <c r="O72" s="2">
        <v>12709.119999999999</v>
      </c>
      <c r="Q72" t="s">
        <v>925</v>
      </c>
    </row>
    <row r="73" spans="1:17">
      <c r="A73" s="283" t="s">
        <v>168</v>
      </c>
      <c r="B73" s="283" t="s">
        <v>167</v>
      </c>
      <c r="C73" s="283" t="str">
        <f t="shared" si="3"/>
        <v>27404 EATONVILLE SCHOOL DISTRICT</v>
      </c>
      <c r="D73" s="283"/>
      <c r="E73" s="548">
        <v>67745.260000000009</v>
      </c>
      <c r="G73" s="552">
        <v>67745.260000000009</v>
      </c>
      <c r="L73" t="s">
        <v>2327</v>
      </c>
      <c r="M73" s="316">
        <v>27404</v>
      </c>
      <c r="N73" t="s">
        <v>167</v>
      </c>
      <c r="O73" s="2">
        <v>70816.56</v>
      </c>
      <c r="Q73" t="s">
        <v>926</v>
      </c>
    </row>
    <row r="74" spans="1:17">
      <c r="A74" s="283" t="s">
        <v>170</v>
      </c>
      <c r="B74" s="283" t="s">
        <v>169</v>
      </c>
      <c r="C74" s="283" t="str">
        <f t="shared" si="3"/>
        <v>31015 EDMONDS SCHOOL DISTRICT</v>
      </c>
      <c r="D74" s="283"/>
      <c r="E74" s="548">
        <v>598577.58000000007</v>
      </c>
      <c r="G74" s="552">
        <v>598577.58000000007</v>
      </c>
      <c r="L74" t="s">
        <v>2328</v>
      </c>
      <c r="M74" s="316">
        <v>31015</v>
      </c>
      <c r="N74" t="s">
        <v>169</v>
      </c>
      <c r="O74" s="2">
        <v>609508.41</v>
      </c>
      <c r="Q74" t="s">
        <v>927</v>
      </c>
    </row>
    <row r="75" spans="1:17">
      <c r="A75" s="283" t="s">
        <v>172</v>
      </c>
      <c r="B75" s="283" t="s">
        <v>171</v>
      </c>
      <c r="C75" s="283" t="str">
        <f t="shared" si="3"/>
        <v>19401 ELLENSBURG SCHOOL DISTRICT</v>
      </c>
      <c r="D75" s="283"/>
      <c r="E75" s="548">
        <v>105738.62</v>
      </c>
      <c r="G75" s="552">
        <v>105738.62</v>
      </c>
      <c r="L75" t="s">
        <v>2329</v>
      </c>
      <c r="M75" s="316">
        <v>19401</v>
      </c>
      <c r="N75" t="s">
        <v>171</v>
      </c>
      <c r="O75" s="2">
        <v>110276.68000000001</v>
      </c>
      <c r="Q75" t="s">
        <v>928</v>
      </c>
    </row>
    <row r="76" spans="1:17">
      <c r="A76" s="283" t="s">
        <v>174</v>
      </c>
      <c r="B76" s="283" t="s">
        <v>173</v>
      </c>
      <c r="C76" s="283" t="str">
        <f t="shared" si="3"/>
        <v>14068 ELMA SCHOOL DISTRICT</v>
      </c>
      <c r="D76" s="283"/>
      <c r="E76" s="548">
        <v>40821.31</v>
      </c>
      <c r="G76" s="552">
        <v>40821.31</v>
      </c>
      <c r="L76" t="s">
        <v>2330</v>
      </c>
      <c r="M76" s="316">
        <v>14068</v>
      </c>
      <c r="N76" t="s">
        <v>173</v>
      </c>
      <c r="O76" s="2">
        <v>57998.44</v>
      </c>
      <c r="Q76" t="s">
        <v>929</v>
      </c>
    </row>
    <row r="77" spans="1:17">
      <c r="A77" s="283" t="s">
        <v>176</v>
      </c>
      <c r="B77" s="283" t="s">
        <v>175</v>
      </c>
      <c r="C77" s="283" t="str">
        <f t="shared" si="3"/>
        <v>38308 ENDICOTT SCHOOL DISTRICT</v>
      </c>
      <c r="D77" s="283"/>
      <c r="E77" s="548">
        <v>12468.99</v>
      </c>
      <c r="G77" s="552">
        <v>12468.99</v>
      </c>
      <c r="L77" t="s">
        <v>2331</v>
      </c>
      <c r="M77" s="316">
        <v>38308</v>
      </c>
      <c r="N77" t="s">
        <v>175</v>
      </c>
      <c r="O77" s="2">
        <v>12655.66</v>
      </c>
      <c r="Q77" t="s">
        <v>930</v>
      </c>
    </row>
    <row r="78" spans="1:17">
      <c r="A78" s="283" t="s">
        <v>178</v>
      </c>
      <c r="B78" s="283" t="s">
        <v>177</v>
      </c>
      <c r="C78" s="283" t="str">
        <f t="shared" si="3"/>
        <v>04127 ENTIAT SCHOOL DISTRICT</v>
      </c>
      <c r="D78" s="283"/>
      <c r="E78" s="548">
        <v>20195.46</v>
      </c>
      <c r="G78" s="552">
        <v>20195.46</v>
      </c>
      <c r="L78" t="s">
        <v>2332</v>
      </c>
      <c r="M78" s="316">
        <v>4127</v>
      </c>
      <c r="N78" t="s">
        <v>177</v>
      </c>
      <c r="O78" s="2">
        <v>20513.580000000002</v>
      </c>
      <c r="Q78" t="s">
        <v>931</v>
      </c>
    </row>
    <row r="79" spans="1:17">
      <c r="A79" s="283" t="s">
        <v>180</v>
      </c>
      <c r="B79" s="283" t="s">
        <v>179</v>
      </c>
      <c r="C79" s="283" t="str">
        <f t="shared" si="3"/>
        <v>17216 ENUMCLAW SCHOOL DISTRICT</v>
      </c>
      <c r="D79" s="283"/>
      <c r="E79" s="548">
        <v>99962.54</v>
      </c>
      <c r="G79" s="552">
        <v>99962.54</v>
      </c>
      <c r="L79" t="s">
        <v>2333</v>
      </c>
      <c r="M79" s="316">
        <v>17216</v>
      </c>
      <c r="N79" t="s">
        <v>179</v>
      </c>
      <c r="O79" s="2">
        <v>138676.94</v>
      </c>
      <c r="Q79" t="s">
        <v>932</v>
      </c>
    </row>
    <row r="80" spans="1:17">
      <c r="A80" s="283" t="s">
        <v>182</v>
      </c>
      <c r="B80" s="283" t="s">
        <v>181</v>
      </c>
      <c r="C80" s="283" t="str">
        <f t="shared" si="3"/>
        <v>13165 EPHRATA SCHOOL DISTRICT</v>
      </c>
      <c r="D80" s="283"/>
      <c r="E80" s="548">
        <v>89733.76999999999</v>
      </c>
      <c r="G80" s="552">
        <v>89733.76999999999</v>
      </c>
      <c r="L80" t="s">
        <v>2334</v>
      </c>
      <c r="M80" s="316">
        <v>13165</v>
      </c>
      <c r="N80" t="s">
        <v>181</v>
      </c>
      <c r="O80" s="2">
        <v>93298.74</v>
      </c>
      <c r="Q80" t="s">
        <v>933</v>
      </c>
    </row>
    <row r="81" spans="1:17">
      <c r="A81" s="283" t="s">
        <v>184</v>
      </c>
      <c r="B81" s="285" t="s">
        <v>183</v>
      </c>
      <c r="C81" s="286" t="str">
        <f>CONCATENATE(B81," ",A81)</f>
        <v>06701 ESA 112</v>
      </c>
      <c r="D81" s="286"/>
      <c r="E81" s="548"/>
      <c r="G81" s="552"/>
      <c r="M81" s="316"/>
      <c r="O81" s="2"/>
    </row>
    <row r="82" spans="1:17">
      <c r="A82" s="283" t="s">
        <v>186</v>
      </c>
      <c r="B82" s="283" t="s">
        <v>185</v>
      </c>
      <c r="C82" s="286" t="str">
        <f>CONCATENATE(B82," ",A82)</f>
        <v>32801 ESD 101</v>
      </c>
      <c r="D82" s="286"/>
      <c r="E82" s="548"/>
      <c r="G82" s="552"/>
      <c r="M82" s="316"/>
      <c r="O82" s="2"/>
    </row>
    <row r="83" spans="1:17">
      <c r="A83" s="283" t="s">
        <v>188</v>
      </c>
      <c r="B83" s="285" t="s">
        <v>187</v>
      </c>
      <c r="C83" s="286" t="str">
        <f>CONCATENATE(B83," ",A83)</f>
        <v>39801 ESD 105</v>
      </c>
      <c r="D83" s="286"/>
      <c r="E83" s="548"/>
      <c r="G83" s="552"/>
      <c r="M83" s="316"/>
      <c r="O83" s="2"/>
    </row>
    <row r="84" spans="1:17">
      <c r="A84" s="283" t="s">
        <v>190</v>
      </c>
      <c r="B84" s="285" t="s">
        <v>189</v>
      </c>
      <c r="C84" s="286" t="str">
        <f>CONCATENATE(B84," ",A84)</f>
        <v>06801 ESD 112</v>
      </c>
      <c r="D84" s="286"/>
      <c r="E84" s="548"/>
      <c r="G84" s="552"/>
      <c r="M84" s="316"/>
      <c r="O84" s="2"/>
    </row>
    <row r="85" spans="1:17">
      <c r="A85" s="283" t="s">
        <v>192</v>
      </c>
      <c r="B85" s="283" t="s">
        <v>191</v>
      </c>
      <c r="C85" s="286" t="str">
        <f>CONCATENATE(B85," CAPITAL REGION ",A85)</f>
        <v>34801 CAPITAL REGION ESD 113</v>
      </c>
      <c r="D85" s="286"/>
      <c r="E85" s="548"/>
      <c r="G85" s="552"/>
      <c r="M85" s="316"/>
      <c r="O85" s="2"/>
    </row>
    <row r="86" spans="1:17">
      <c r="A86" s="283" t="s">
        <v>194</v>
      </c>
      <c r="B86" s="285" t="s">
        <v>193</v>
      </c>
      <c r="C86" s="286" t="str">
        <f>CONCATENATE(B86," OLYMPIC ",A86)</f>
        <v>18801 OLYMPIC ESD 114</v>
      </c>
      <c r="D86" s="286"/>
      <c r="E86" s="548"/>
      <c r="G86" s="552"/>
      <c r="M86" s="316"/>
      <c r="O86" s="2"/>
    </row>
    <row r="87" spans="1:17">
      <c r="A87" s="283" t="s">
        <v>196</v>
      </c>
      <c r="B87" s="285" t="s">
        <v>195</v>
      </c>
      <c r="C87" s="286" t="str">
        <f>CONCATENATE(B87," PUGET SOUND ",A87)</f>
        <v>17801 PUGET SOUND ESD 121</v>
      </c>
      <c r="D87" s="286"/>
      <c r="E87" s="548"/>
      <c r="G87" s="552"/>
      <c r="M87" s="316"/>
      <c r="O87" s="2"/>
    </row>
    <row r="88" spans="1:17">
      <c r="A88" s="283" t="s">
        <v>198</v>
      </c>
      <c r="B88" s="285" t="s">
        <v>197</v>
      </c>
      <c r="C88" s="286" t="str">
        <f>CONCATENATE(B88," ",A88)</f>
        <v>11801 ESD 123</v>
      </c>
      <c r="D88" s="286"/>
      <c r="E88" s="548"/>
      <c r="G88" s="552"/>
      <c r="M88" s="316"/>
      <c r="O88" s="2"/>
    </row>
    <row r="89" spans="1:17">
      <c r="A89" s="283" t="s">
        <v>200</v>
      </c>
      <c r="B89" s="285" t="s">
        <v>199</v>
      </c>
      <c r="C89" s="286" t="str">
        <f>CONCATENATE(B89," ",A89)</f>
        <v>04801 ESD 171</v>
      </c>
      <c r="D89" s="286"/>
      <c r="E89" s="548"/>
      <c r="G89" s="552"/>
      <c r="M89" s="316"/>
      <c r="O89" s="2"/>
    </row>
    <row r="90" spans="1:17">
      <c r="A90" s="283" t="s">
        <v>202</v>
      </c>
      <c r="B90" s="283" t="s">
        <v>201</v>
      </c>
      <c r="C90" s="286" t="str">
        <f>CONCATENATE(B90," NORTHWEST ",A90)</f>
        <v>29801 NORTHWEST ESD 189</v>
      </c>
      <c r="D90" s="286"/>
      <c r="E90" s="548"/>
      <c r="G90" s="552"/>
      <c r="M90" s="316"/>
      <c r="O90" s="2"/>
    </row>
    <row r="91" spans="1:17">
      <c r="A91" s="283" t="s">
        <v>204</v>
      </c>
      <c r="B91" s="283" t="s">
        <v>203</v>
      </c>
      <c r="C91" s="283" t="str">
        <f t="shared" ref="C91:C117" si="4">CONCATENATE(B91," ",A91," SCHOOL DISTRICT")</f>
        <v>21036 EVALINE SCHOOL DISTRICT</v>
      </c>
      <c r="D91" s="283"/>
      <c r="E91" s="548"/>
      <c r="G91" s="552"/>
      <c r="M91" s="316"/>
      <c r="O91" s="2"/>
    </row>
    <row r="92" spans="1:17">
      <c r="A92" s="283" t="s">
        <v>206</v>
      </c>
      <c r="B92" s="283" t="s">
        <v>205</v>
      </c>
      <c r="C92" s="283" t="str">
        <f t="shared" si="4"/>
        <v>31002 EVERETT SCHOOL DISTRICT</v>
      </c>
      <c r="D92" s="283"/>
      <c r="E92" s="548">
        <v>593203.90999999992</v>
      </c>
      <c r="G92" s="552">
        <v>593203.90999999992</v>
      </c>
      <c r="L92" t="s">
        <v>2335</v>
      </c>
      <c r="M92" s="316">
        <v>31002</v>
      </c>
      <c r="N92" t="s">
        <v>205</v>
      </c>
      <c r="O92" s="2">
        <v>613503.38</v>
      </c>
      <c r="Q92" t="s">
        <v>935</v>
      </c>
    </row>
    <row r="93" spans="1:17">
      <c r="A93" s="283" t="s">
        <v>208</v>
      </c>
      <c r="B93" s="283" t="s">
        <v>207</v>
      </c>
      <c r="C93" s="283" t="str">
        <f t="shared" si="4"/>
        <v>06114 EVERGREEN (CLARK) SCHOOL DISTRICT</v>
      </c>
      <c r="D93" s="283"/>
      <c r="E93" s="548">
        <v>657600.89</v>
      </c>
      <c r="G93" s="552">
        <v>657600.89</v>
      </c>
      <c r="L93" t="s">
        <v>2336</v>
      </c>
      <c r="M93" s="316">
        <v>6114</v>
      </c>
      <c r="N93" t="s">
        <v>207</v>
      </c>
      <c r="O93" s="2">
        <v>696703.25</v>
      </c>
      <c r="Q93" t="s">
        <v>936</v>
      </c>
    </row>
    <row r="94" spans="1:17">
      <c r="A94" s="283" t="s">
        <v>210</v>
      </c>
      <c r="B94" s="283" t="s">
        <v>209</v>
      </c>
      <c r="C94" s="283" t="str">
        <f t="shared" si="4"/>
        <v>33205 EVERGREEN (STEVENS) SCHOOL DISTRICT</v>
      </c>
      <c r="D94" s="283"/>
      <c r="E94" s="548">
        <v>11132.83</v>
      </c>
      <c r="G94" s="552">
        <v>11132.83</v>
      </c>
      <c r="L94" t="s">
        <v>2337</v>
      </c>
      <c r="M94" s="316">
        <v>33205</v>
      </c>
      <c r="N94" t="s">
        <v>209</v>
      </c>
      <c r="O94" s="2">
        <v>10998.830000000002</v>
      </c>
      <c r="Q94" t="s">
        <v>2338</v>
      </c>
    </row>
    <row r="95" spans="1:17">
      <c r="A95" s="283" t="s">
        <v>212</v>
      </c>
      <c r="B95" s="283" t="s">
        <v>211</v>
      </c>
      <c r="C95" s="283" t="str">
        <f t="shared" si="4"/>
        <v>17210 FEDERAL WAY SCHOOL DISTRICT</v>
      </c>
      <c r="D95" s="283"/>
      <c r="E95" s="548">
        <v>614669.58000000007</v>
      </c>
      <c r="G95" s="552">
        <v>614669.58000000007</v>
      </c>
      <c r="L95" t="s">
        <v>2339</v>
      </c>
      <c r="M95" s="316">
        <v>17210</v>
      </c>
      <c r="N95" t="s">
        <v>211</v>
      </c>
      <c r="O95" s="2">
        <v>636419.89999999991</v>
      </c>
      <c r="Q95" t="s">
        <v>938</v>
      </c>
    </row>
    <row r="96" spans="1:17">
      <c r="A96" s="283" t="s">
        <v>214</v>
      </c>
      <c r="B96" s="283" t="s">
        <v>213</v>
      </c>
      <c r="C96" s="283" t="str">
        <f t="shared" si="4"/>
        <v>37502 FERNDALE SCHOOL DISTRICT</v>
      </c>
      <c r="D96" s="283"/>
      <c r="E96" s="548">
        <v>142570.1</v>
      </c>
      <c r="G96" s="552">
        <v>142570.1</v>
      </c>
      <c r="L96" t="s">
        <v>2340</v>
      </c>
      <c r="M96" s="316">
        <v>37502</v>
      </c>
      <c r="N96" t="s">
        <v>213</v>
      </c>
      <c r="O96" s="2">
        <v>145394.96000000002</v>
      </c>
      <c r="Q96" t="s">
        <v>939</v>
      </c>
    </row>
    <row r="97" spans="1:17">
      <c r="A97" s="283" t="s">
        <v>216</v>
      </c>
      <c r="B97" s="283" t="s">
        <v>215</v>
      </c>
      <c r="C97" s="283" t="str">
        <f t="shared" si="4"/>
        <v>27417 FIFE SCHOOL DISTRICT</v>
      </c>
      <c r="D97" s="283"/>
      <c r="E97" s="548">
        <v>123370.1</v>
      </c>
      <c r="G97" s="552">
        <v>123370.1</v>
      </c>
      <c r="L97" t="s">
        <v>2341</v>
      </c>
      <c r="M97" s="316">
        <v>27417</v>
      </c>
      <c r="N97" t="s">
        <v>215</v>
      </c>
      <c r="O97" s="2">
        <v>128168.58</v>
      </c>
      <c r="Q97" t="s">
        <v>940</v>
      </c>
    </row>
    <row r="98" spans="1:17">
      <c r="A98" s="283" t="s">
        <v>218</v>
      </c>
      <c r="B98" s="283" t="s">
        <v>217</v>
      </c>
      <c r="C98" s="283" t="str">
        <f t="shared" si="4"/>
        <v>03053 FINLEY SCHOOL DISTRICT</v>
      </c>
      <c r="D98" s="283"/>
      <c r="E98" s="548">
        <v>36926.490000000005</v>
      </c>
      <c r="G98" s="552">
        <v>36926.490000000005</v>
      </c>
      <c r="L98" t="s">
        <v>2342</v>
      </c>
      <c r="M98" s="316">
        <v>3053</v>
      </c>
      <c r="N98" t="s">
        <v>217</v>
      </c>
      <c r="O98" s="2">
        <v>37857.020000000004</v>
      </c>
      <c r="Q98" t="s">
        <v>941</v>
      </c>
    </row>
    <row r="99" spans="1:17">
      <c r="A99" s="283" t="s">
        <v>220</v>
      </c>
      <c r="B99" s="283" t="s">
        <v>219</v>
      </c>
      <c r="C99" s="283" t="str">
        <f t="shared" si="4"/>
        <v>27402 FRANKLIN PIERCE SCHOOL DISTRICT</v>
      </c>
      <c r="D99" s="283"/>
      <c r="E99" s="548">
        <v>230901.77000000002</v>
      </c>
      <c r="G99" s="552">
        <v>230901.77000000002</v>
      </c>
      <c r="L99" t="s">
        <v>2343</v>
      </c>
      <c r="M99" s="316">
        <v>27402</v>
      </c>
      <c r="N99" t="s">
        <v>219</v>
      </c>
      <c r="O99" s="2">
        <v>242969.90000000002</v>
      </c>
      <c r="Q99" t="s">
        <v>942</v>
      </c>
    </row>
    <row r="100" spans="1:17">
      <c r="A100" s="283" t="s">
        <v>222</v>
      </c>
      <c r="B100" s="283" t="s">
        <v>221</v>
      </c>
      <c r="C100" s="283" t="str">
        <f t="shared" si="4"/>
        <v>32358 FREEMAN SCHOOL DISTRICT</v>
      </c>
      <c r="D100" s="283"/>
      <c r="E100" s="548">
        <v>35967.94</v>
      </c>
      <c r="G100" s="552">
        <v>35967.94</v>
      </c>
      <c r="L100" t="s">
        <v>2344</v>
      </c>
      <c r="M100" s="316">
        <v>32358</v>
      </c>
      <c r="N100" t="s">
        <v>221</v>
      </c>
      <c r="O100" s="2">
        <v>37215.800000000003</v>
      </c>
      <c r="Q100" t="s">
        <v>943</v>
      </c>
    </row>
    <row r="101" spans="1:17">
      <c r="A101" s="283" t="s">
        <v>224</v>
      </c>
      <c r="B101" s="283" t="s">
        <v>223</v>
      </c>
      <c r="C101" s="283" t="str">
        <f t="shared" si="4"/>
        <v>38302 GARFIELD SCHOOL DISTRICT</v>
      </c>
      <c r="D101" s="283"/>
      <c r="E101" s="548">
        <v>13456.59</v>
      </c>
      <c r="G101" s="552">
        <v>13456.59</v>
      </c>
      <c r="L101" t="s">
        <v>2345</v>
      </c>
      <c r="M101" s="316">
        <v>38302</v>
      </c>
      <c r="N101" t="s">
        <v>223</v>
      </c>
      <c r="O101" s="2">
        <v>13533.77</v>
      </c>
      <c r="Q101" t="s">
        <v>944</v>
      </c>
    </row>
    <row r="102" spans="1:17">
      <c r="A102" s="283" t="s">
        <v>226</v>
      </c>
      <c r="B102" s="283" t="s">
        <v>225</v>
      </c>
      <c r="C102" s="283" t="str">
        <f t="shared" si="4"/>
        <v>20401 GLENWOOD SCHOOL DISTRICT</v>
      </c>
      <c r="D102" s="283"/>
      <c r="E102" s="548"/>
      <c r="G102" s="552"/>
      <c r="L102" t="s">
        <v>2346</v>
      </c>
      <c r="M102" s="316">
        <v>20401</v>
      </c>
      <c r="N102" t="s">
        <v>225</v>
      </c>
      <c r="O102" s="2">
        <v>11820.970000000001</v>
      </c>
      <c r="Q102" t="s">
        <v>945</v>
      </c>
    </row>
    <row r="103" spans="1:17">
      <c r="A103" s="283" t="s">
        <v>228</v>
      </c>
      <c r="B103" s="283" t="s">
        <v>227</v>
      </c>
      <c r="C103" s="283" t="str">
        <f t="shared" si="4"/>
        <v>20404 GOLDENDALE SCHOOL DISTRICT</v>
      </c>
      <c r="D103" s="283"/>
      <c r="E103" s="548">
        <v>34835.11</v>
      </c>
      <c r="G103" s="552">
        <v>34835.11</v>
      </c>
      <c r="L103" t="s">
        <v>2347</v>
      </c>
      <c r="M103" s="316">
        <v>20404</v>
      </c>
      <c r="N103" t="s">
        <v>227</v>
      </c>
      <c r="O103" s="2">
        <v>36296.339999999997</v>
      </c>
      <c r="Q103" t="s">
        <v>946</v>
      </c>
    </row>
    <row r="104" spans="1:17">
      <c r="A104" s="283" t="s">
        <v>230</v>
      </c>
      <c r="B104" s="283" t="s">
        <v>229</v>
      </c>
      <c r="C104" s="283" t="str">
        <f t="shared" si="4"/>
        <v>13301 GRAND COULEE DAM SCHOOL DISTRICT</v>
      </c>
      <c r="D104" s="283"/>
      <c r="E104" s="548">
        <v>31552.809999999998</v>
      </c>
      <c r="G104" s="552">
        <v>31552.809999999998</v>
      </c>
      <c r="L104" t="s">
        <v>2348</v>
      </c>
      <c r="M104" s="316">
        <v>13301</v>
      </c>
      <c r="N104" t="s">
        <v>229</v>
      </c>
      <c r="O104" s="2">
        <v>32516.9</v>
      </c>
      <c r="Q104" t="s">
        <v>947</v>
      </c>
    </row>
    <row r="105" spans="1:17">
      <c r="A105" s="283" t="s">
        <v>232</v>
      </c>
      <c r="B105" s="283" t="s">
        <v>231</v>
      </c>
      <c r="C105" s="283" t="str">
        <f t="shared" si="4"/>
        <v>39200 GRANDVIEW SCHOOL DISTRICT</v>
      </c>
      <c r="D105" s="283"/>
      <c r="E105" s="548">
        <v>114452.69</v>
      </c>
      <c r="G105" s="552">
        <v>114452.69</v>
      </c>
      <c r="L105" t="s">
        <v>2349</v>
      </c>
      <c r="M105" s="316">
        <v>39200</v>
      </c>
      <c r="N105" t="s">
        <v>231</v>
      </c>
      <c r="O105" s="2">
        <v>119330.22</v>
      </c>
      <c r="Q105" t="s">
        <v>948</v>
      </c>
    </row>
    <row r="106" spans="1:17">
      <c r="A106" s="283" t="s">
        <v>234</v>
      </c>
      <c r="B106" s="283" t="s">
        <v>233</v>
      </c>
      <c r="C106" s="283" t="str">
        <f t="shared" si="4"/>
        <v>39204 GRANGER SCHOOL DISTRICT</v>
      </c>
      <c r="D106" s="283"/>
      <c r="E106" s="548">
        <v>15880.47</v>
      </c>
      <c r="G106" s="552">
        <v>15880.47</v>
      </c>
      <c r="L106" t="s">
        <v>2350</v>
      </c>
      <c r="M106" s="316">
        <v>39204</v>
      </c>
      <c r="N106" t="s">
        <v>233</v>
      </c>
      <c r="O106" s="2">
        <v>56172.2</v>
      </c>
      <c r="Q106" t="s">
        <v>949</v>
      </c>
    </row>
    <row r="107" spans="1:17">
      <c r="A107" s="283" t="s">
        <v>236</v>
      </c>
      <c r="B107" s="283" t="s">
        <v>235</v>
      </c>
      <c r="C107" s="283" t="str">
        <f t="shared" si="4"/>
        <v>31332 GRANITE FALLS SCHOOL DISTRICT</v>
      </c>
      <c r="D107" s="283"/>
      <c r="E107" s="548">
        <v>82413.959999999992</v>
      </c>
      <c r="G107" s="552">
        <v>82413.959999999992</v>
      </c>
      <c r="L107" t="s">
        <v>2351</v>
      </c>
      <c r="M107" s="316">
        <v>31332</v>
      </c>
      <c r="N107" t="s">
        <v>235</v>
      </c>
      <c r="O107" s="2">
        <v>80769.61</v>
      </c>
      <c r="Q107" t="s">
        <v>950</v>
      </c>
    </row>
    <row r="108" spans="1:17">
      <c r="A108" s="283" t="s">
        <v>238</v>
      </c>
      <c r="B108" s="283" t="s">
        <v>237</v>
      </c>
      <c r="C108" s="283" t="str">
        <f t="shared" si="4"/>
        <v>23054 GRAPEVIEW SCHOOL DISTRICT</v>
      </c>
      <c r="D108" s="283"/>
      <c r="E108" s="548">
        <v>6747.49</v>
      </c>
      <c r="G108" s="552">
        <v>6747.49</v>
      </c>
      <c r="L108" t="s">
        <v>2352</v>
      </c>
      <c r="M108" s="316">
        <v>23054</v>
      </c>
      <c r="N108" t="s">
        <v>237</v>
      </c>
      <c r="O108" s="2">
        <v>16997.75</v>
      </c>
      <c r="Q108" t="s">
        <v>951</v>
      </c>
    </row>
    <row r="109" spans="1:17">
      <c r="A109" s="283" t="s">
        <v>240</v>
      </c>
      <c r="B109" s="283" t="s">
        <v>239</v>
      </c>
      <c r="C109" s="283" t="str">
        <f t="shared" si="4"/>
        <v>32312 GREAT NORTHERN SCHOOL DISTRICT</v>
      </c>
      <c r="D109" s="283"/>
      <c r="E109" s="548">
        <v>5764.95</v>
      </c>
      <c r="G109" s="552">
        <v>5764.95</v>
      </c>
      <c r="L109" t="s">
        <v>2353</v>
      </c>
      <c r="M109" s="316">
        <v>32312</v>
      </c>
      <c r="N109" t="s">
        <v>239</v>
      </c>
      <c r="O109" s="2">
        <v>14376.05</v>
      </c>
      <c r="Q109" t="s">
        <v>952</v>
      </c>
    </row>
    <row r="110" spans="1:17">
      <c r="A110" s="283" t="s">
        <v>242</v>
      </c>
      <c r="B110" s="283" t="s">
        <v>241</v>
      </c>
      <c r="C110" s="283" t="str">
        <f t="shared" si="4"/>
        <v>06103 GREEN MOUNTAIN SCHOOL DISTRICT</v>
      </c>
      <c r="D110" s="283"/>
      <c r="E110" s="548">
        <v>8759.16</v>
      </c>
      <c r="G110" s="552">
        <v>8759.16</v>
      </c>
      <c r="L110" t="s">
        <v>2354</v>
      </c>
      <c r="M110" s="316">
        <v>6103</v>
      </c>
      <c r="N110" t="s">
        <v>241</v>
      </c>
      <c r="O110" s="2">
        <v>14959.54</v>
      </c>
      <c r="Q110" t="s">
        <v>953</v>
      </c>
    </row>
    <row r="111" spans="1:17">
      <c r="A111" s="283" t="s">
        <v>244</v>
      </c>
      <c r="B111" s="283" t="s">
        <v>243</v>
      </c>
      <c r="C111" s="283" t="str">
        <f t="shared" si="4"/>
        <v>34324 GRIFFIN SCHOOL DISTRICT</v>
      </c>
      <c r="D111" s="283"/>
      <c r="E111" s="548">
        <v>27195.769999999997</v>
      </c>
      <c r="G111" s="552">
        <v>27195.769999999997</v>
      </c>
      <c r="L111" t="s">
        <v>2355</v>
      </c>
      <c r="M111" s="316">
        <v>34324</v>
      </c>
      <c r="N111" t="s">
        <v>243</v>
      </c>
      <c r="O111" s="2">
        <v>29847.620000000003</v>
      </c>
      <c r="Q111" t="s">
        <v>954</v>
      </c>
    </row>
    <row r="112" spans="1:17">
      <c r="A112" s="283" t="s">
        <v>246</v>
      </c>
      <c r="B112" s="283" t="s">
        <v>245</v>
      </c>
      <c r="C112" s="283" t="str">
        <f t="shared" si="4"/>
        <v>22204 HARRINGTON SCHOOL DISTRICT</v>
      </c>
      <c r="D112" s="283"/>
      <c r="E112" s="548">
        <v>14327.99</v>
      </c>
      <c r="G112" s="552">
        <v>14327.99</v>
      </c>
      <c r="L112" t="s">
        <v>2356</v>
      </c>
      <c r="M112" s="316">
        <v>22204</v>
      </c>
      <c r="N112" t="s">
        <v>245</v>
      </c>
      <c r="O112" s="2">
        <v>13781.86</v>
      </c>
      <c r="Q112" t="s">
        <v>955</v>
      </c>
    </row>
    <row r="113" spans="1:17">
      <c r="A113" s="283" t="s">
        <v>248</v>
      </c>
      <c r="B113" s="283" t="s">
        <v>247</v>
      </c>
      <c r="C113" s="283" t="str">
        <f t="shared" si="4"/>
        <v>39203 HIGHLAND SCHOOL DISTRICT</v>
      </c>
      <c r="D113" s="283"/>
      <c r="E113" s="548">
        <v>40847.82</v>
      </c>
      <c r="G113" s="552">
        <v>40847.82</v>
      </c>
      <c r="L113" t="s">
        <v>2357</v>
      </c>
      <c r="M113" s="316">
        <v>39203</v>
      </c>
      <c r="N113" t="s">
        <v>247</v>
      </c>
      <c r="O113" s="2">
        <v>42109.32</v>
      </c>
      <c r="Q113" t="s">
        <v>956</v>
      </c>
    </row>
    <row r="114" spans="1:17">
      <c r="A114" s="283" t="s">
        <v>250</v>
      </c>
      <c r="B114" s="283" t="s">
        <v>249</v>
      </c>
      <c r="C114" s="283" t="str">
        <f t="shared" si="4"/>
        <v>17401 HIGHLINE SCHOOL DISTRICT</v>
      </c>
      <c r="D114" s="283"/>
      <c r="E114" s="548">
        <v>133537.69</v>
      </c>
      <c r="G114" s="552">
        <v>133537.69</v>
      </c>
      <c r="L114" t="s">
        <v>2358</v>
      </c>
      <c r="M114" s="316">
        <v>17401</v>
      </c>
      <c r="N114" t="s">
        <v>249</v>
      </c>
      <c r="O114" s="2">
        <v>556196.82000000007</v>
      </c>
      <c r="Q114" t="s">
        <v>957</v>
      </c>
    </row>
    <row r="115" spans="1:17">
      <c r="A115" s="283" t="s">
        <v>252</v>
      </c>
      <c r="B115" s="283" t="s">
        <v>251</v>
      </c>
      <c r="C115" s="283" t="str">
        <f t="shared" si="4"/>
        <v>06098 HOCKINSON SCHOOL DISTRICT</v>
      </c>
      <c r="D115" s="283"/>
      <c r="E115" s="548">
        <v>68878.09</v>
      </c>
      <c r="G115" s="552">
        <v>68878.09</v>
      </c>
      <c r="L115" t="s">
        <v>2359</v>
      </c>
      <c r="M115" s="316">
        <v>6098</v>
      </c>
      <c r="N115" t="s">
        <v>251</v>
      </c>
      <c r="O115" s="2">
        <v>70735.820000000007</v>
      </c>
      <c r="Q115" t="s">
        <v>958</v>
      </c>
    </row>
    <row r="116" spans="1:17">
      <c r="A116" s="283" t="s">
        <v>254</v>
      </c>
      <c r="B116" s="283" t="s">
        <v>253</v>
      </c>
      <c r="C116" s="283" t="str">
        <f t="shared" si="4"/>
        <v>23404 HOOD CANAL SCHOOL DISTRICT</v>
      </c>
      <c r="D116" s="283"/>
      <c r="E116" s="548">
        <v>20021.190000000002</v>
      </c>
      <c r="G116" s="552">
        <v>20021.190000000002</v>
      </c>
      <c r="L116" t="s">
        <v>2360</v>
      </c>
      <c r="M116" s="316">
        <v>23404</v>
      </c>
      <c r="N116" t="s">
        <v>253</v>
      </c>
      <c r="O116" s="2">
        <v>20028.96</v>
      </c>
      <c r="Q116" t="s">
        <v>959</v>
      </c>
    </row>
    <row r="117" spans="1:17">
      <c r="A117" s="283" t="s">
        <v>256</v>
      </c>
      <c r="B117" s="283" t="s">
        <v>255</v>
      </c>
      <c r="C117" s="283" t="str">
        <f t="shared" si="4"/>
        <v>14028 HOQUIAM SCHOOL DISTRICT</v>
      </c>
      <c r="D117" s="283"/>
      <c r="E117" s="548">
        <v>57636.94</v>
      </c>
      <c r="G117" s="552">
        <v>57636.94</v>
      </c>
      <c r="L117" t="s">
        <v>2361</v>
      </c>
      <c r="M117" s="316">
        <v>14028</v>
      </c>
      <c r="N117" t="s">
        <v>255</v>
      </c>
      <c r="O117" s="2">
        <v>60478.770000000004</v>
      </c>
      <c r="Q117" t="s">
        <v>960</v>
      </c>
    </row>
    <row r="118" spans="1:17">
      <c r="A118" s="283" t="s">
        <v>258</v>
      </c>
      <c r="B118" s="354" t="s">
        <v>257</v>
      </c>
      <c r="C118" s="353" t="str">
        <f>CONCATENATE(B118," ",A118," CHARTER")</f>
        <v>17919 IMPACT BLACK RIVER CHARTER</v>
      </c>
      <c r="D118" s="353"/>
      <c r="E118" s="548">
        <v>7731.95</v>
      </c>
      <c r="G118" s="552">
        <v>7731.95</v>
      </c>
      <c r="L118" t="s">
        <v>2362</v>
      </c>
      <c r="M118" s="316">
        <v>27902</v>
      </c>
      <c r="N118" t="s">
        <v>259</v>
      </c>
      <c r="O118" s="2">
        <v>19001.239999999998</v>
      </c>
      <c r="Q118" t="s">
        <v>2363</v>
      </c>
    </row>
    <row r="119" spans="1:17">
      <c r="A119" s="283" t="s">
        <v>262</v>
      </c>
      <c r="B119" s="353" t="s">
        <v>261</v>
      </c>
      <c r="C119" s="353" t="str">
        <f>CONCATENATE(B119," ",A119," CHARTER")</f>
        <v>17911 IMPACT PUGET SOUND CHARTER</v>
      </c>
      <c r="D119" s="353"/>
      <c r="E119" s="548">
        <v>27747.67</v>
      </c>
      <c r="G119" s="552">
        <v>27747.67</v>
      </c>
      <c r="L119" t="s">
        <v>2364</v>
      </c>
      <c r="M119" s="316">
        <v>17911</v>
      </c>
      <c r="N119" t="s">
        <v>261</v>
      </c>
      <c r="O119" s="2">
        <v>28410.79</v>
      </c>
      <c r="Q119" t="s">
        <v>961</v>
      </c>
    </row>
    <row r="120" spans="1:17">
      <c r="A120" s="283" t="s">
        <v>264</v>
      </c>
      <c r="B120" s="353" t="s">
        <v>263</v>
      </c>
      <c r="C120" s="353" t="str">
        <f>CONCATENATE(B120," ",A120," CHARTER")</f>
        <v>17916 IMPACT SALISH SEA CHARTER</v>
      </c>
      <c r="D120" s="353"/>
      <c r="E120" s="548">
        <v>19817.86</v>
      </c>
      <c r="G120" s="552">
        <v>19817.86</v>
      </c>
      <c r="L120" t="s">
        <v>2365</v>
      </c>
      <c r="M120" s="316">
        <v>17916</v>
      </c>
      <c r="N120" t="s">
        <v>263</v>
      </c>
      <c r="O120" s="2">
        <v>19688.48</v>
      </c>
      <c r="Q120" t="s">
        <v>962</v>
      </c>
    </row>
    <row r="121" spans="1:17">
      <c r="A121" s="283" t="s">
        <v>963</v>
      </c>
      <c r="B121" s="353" t="s">
        <v>259</v>
      </c>
      <c r="C121" s="353" t="str">
        <f>CONCATENATE(B121," ",A121," CHARTER")</f>
        <v>27902 IMPACT TACOMA CHARTER</v>
      </c>
      <c r="D121" s="353"/>
      <c r="E121" s="548">
        <v>19556.439999999999</v>
      </c>
      <c r="G121" s="552">
        <v>19556.439999999999</v>
      </c>
      <c r="L121" t="s">
        <v>2366</v>
      </c>
      <c r="M121" s="316">
        <v>10070</v>
      </c>
      <c r="N121" t="s">
        <v>265</v>
      </c>
      <c r="O121" s="2">
        <v>16531.62</v>
      </c>
      <c r="Q121" t="s">
        <v>965</v>
      </c>
    </row>
    <row r="122" spans="1:17">
      <c r="A122" s="283" t="s">
        <v>266</v>
      </c>
      <c r="B122" s="283" t="s">
        <v>265</v>
      </c>
      <c r="C122" s="283" t="str">
        <f t="shared" ref="C122:C147" si="5">CONCATENATE(B122," ",A122," SCHOOL DISTRICT")</f>
        <v>10070 INCHELIUM SCHOOL DISTRICT</v>
      </c>
      <c r="D122" s="283"/>
      <c r="E122" s="548">
        <v>15838.43</v>
      </c>
      <c r="G122" s="552">
        <v>15838.43</v>
      </c>
      <c r="L122" t="s">
        <v>2367</v>
      </c>
      <c r="M122" s="316">
        <v>31063</v>
      </c>
      <c r="N122" t="s">
        <v>267</v>
      </c>
      <c r="O122" s="2">
        <v>10657.550000000001</v>
      </c>
      <c r="Q122" t="s">
        <v>966</v>
      </c>
    </row>
    <row r="123" spans="1:17">
      <c r="A123" s="283" t="s">
        <v>268</v>
      </c>
      <c r="B123" s="283" t="s">
        <v>267</v>
      </c>
      <c r="C123" s="283" t="str">
        <f t="shared" si="5"/>
        <v>31063 INDEX SCHOOL DISTRICT</v>
      </c>
      <c r="D123" s="283"/>
      <c r="E123" s="548">
        <v>10580.939999999999</v>
      </c>
      <c r="G123" s="552">
        <v>10580.939999999999</v>
      </c>
      <c r="L123" t="s">
        <v>2368</v>
      </c>
      <c r="M123" s="316">
        <v>17411</v>
      </c>
      <c r="N123" t="s">
        <v>269</v>
      </c>
      <c r="O123" s="2">
        <v>603853.73</v>
      </c>
      <c r="Q123" t="s">
        <v>967</v>
      </c>
    </row>
    <row r="124" spans="1:17">
      <c r="A124" s="283" t="s">
        <v>270</v>
      </c>
      <c r="B124" s="283" t="s">
        <v>269</v>
      </c>
      <c r="C124" s="283" t="str">
        <f t="shared" si="5"/>
        <v>17411 ISSAQUAH SCHOOL DISTRICT</v>
      </c>
      <c r="D124" s="283"/>
      <c r="E124" s="548">
        <v>574410.54999999993</v>
      </c>
      <c r="G124" s="552">
        <v>574410.54999999993</v>
      </c>
      <c r="L124" t="s">
        <v>2369</v>
      </c>
      <c r="M124" s="316">
        <v>11056</v>
      </c>
      <c r="N124" t="s">
        <v>271</v>
      </c>
      <c r="O124" s="2">
        <v>12137.130000000001</v>
      </c>
      <c r="Q124" t="s">
        <v>968</v>
      </c>
    </row>
    <row r="125" spans="1:17">
      <c r="A125" s="283" t="s">
        <v>272</v>
      </c>
      <c r="B125" s="283" t="s">
        <v>271</v>
      </c>
      <c r="C125" s="283" t="str">
        <f t="shared" si="5"/>
        <v>11056 KAHLOTUS SCHOOL DISTRICT</v>
      </c>
      <c r="D125" s="283"/>
      <c r="E125" s="548">
        <v>11539.5</v>
      </c>
      <c r="G125" s="552">
        <v>11539.5</v>
      </c>
      <c r="L125" t="s">
        <v>2370</v>
      </c>
      <c r="M125" s="316">
        <v>8402</v>
      </c>
      <c r="N125" t="s">
        <v>273</v>
      </c>
      <c r="O125" s="2">
        <v>44939.979999999996</v>
      </c>
      <c r="Q125" t="s">
        <v>969</v>
      </c>
    </row>
    <row r="126" spans="1:17">
      <c r="A126" s="283" t="s">
        <v>274</v>
      </c>
      <c r="B126" s="283" t="s">
        <v>273</v>
      </c>
      <c r="C126" s="283" t="str">
        <f t="shared" si="5"/>
        <v>08402 KALAMA SCHOOL DISTRICT</v>
      </c>
      <c r="D126" s="283"/>
      <c r="E126" s="548">
        <v>13471.38</v>
      </c>
      <c r="G126" s="552">
        <v>13471.38</v>
      </c>
      <c r="L126" t="s">
        <v>2371</v>
      </c>
      <c r="M126" s="316">
        <v>10003</v>
      </c>
      <c r="N126" t="s">
        <v>275</v>
      </c>
      <c r="O126" s="2">
        <v>11020.99</v>
      </c>
      <c r="Q126" t="s">
        <v>970</v>
      </c>
    </row>
    <row r="127" spans="1:17">
      <c r="A127" s="283" t="s">
        <v>276</v>
      </c>
      <c r="B127" s="283" t="s">
        <v>275</v>
      </c>
      <c r="C127" s="283" t="str">
        <f t="shared" si="5"/>
        <v>10003 KELLER SCHOOL DISTRICT</v>
      </c>
      <c r="D127" s="283"/>
      <c r="E127" s="548">
        <v>10987.59</v>
      </c>
      <c r="G127" s="552">
        <v>10987.59</v>
      </c>
      <c r="L127" t="s">
        <v>2372</v>
      </c>
      <c r="M127" s="316">
        <v>8458</v>
      </c>
      <c r="N127" t="s">
        <v>277</v>
      </c>
      <c r="O127" s="2">
        <v>153856.87</v>
      </c>
      <c r="Q127" t="s">
        <v>971</v>
      </c>
    </row>
    <row r="128" spans="1:17">
      <c r="A128" s="283" t="s">
        <v>278</v>
      </c>
      <c r="B128" s="283" t="s">
        <v>277</v>
      </c>
      <c r="C128" s="283" t="str">
        <f t="shared" si="5"/>
        <v>08458 KELSO SCHOOL DISTRICT</v>
      </c>
      <c r="D128" s="283"/>
      <c r="E128" s="548">
        <v>150151.35</v>
      </c>
      <c r="G128" s="552">
        <v>150151.35</v>
      </c>
      <c r="L128" t="s">
        <v>2373</v>
      </c>
      <c r="M128" s="316">
        <v>3017</v>
      </c>
      <c r="N128" t="s">
        <v>279</v>
      </c>
      <c r="O128" s="2">
        <v>567466.53</v>
      </c>
      <c r="Q128" t="s">
        <v>972</v>
      </c>
    </row>
    <row r="129" spans="1:17">
      <c r="A129" s="283" t="s">
        <v>280</v>
      </c>
      <c r="B129" s="283" t="s">
        <v>279</v>
      </c>
      <c r="C129" s="283" t="str">
        <f t="shared" si="5"/>
        <v>03017 KENNEWICK SCHOOL DISTRICT</v>
      </c>
      <c r="D129" s="283"/>
      <c r="E129" s="548">
        <v>549430.21</v>
      </c>
      <c r="G129" s="552">
        <v>549430.21</v>
      </c>
      <c r="L129" t="s">
        <v>2374</v>
      </c>
      <c r="M129" s="316">
        <v>17415</v>
      </c>
      <c r="N129" t="s">
        <v>281</v>
      </c>
      <c r="O129" s="2">
        <v>784651.4</v>
      </c>
      <c r="Q129" t="s">
        <v>973</v>
      </c>
    </row>
    <row r="130" spans="1:17">
      <c r="A130" s="283" t="s">
        <v>282</v>
      </c>
      <c r="B130" s="283" t="s">
        <v>281</v>
      </c>
      <c r="C130" s="283" t="str">
        <f t="shared" si="5"/>
        <v>17415 KENT SCHOOL DISTRICT</v>
      </c>
      <c r="D130" s="283"/>
      <c r="E130" s="548"/>
      <c r="G130" s="552"/>
      <c r="L130" t="s">
        <v>2375</v>
      </c>
      <c r="M130" s="316">
        <v>33212</v>
      </c>
      <c r="N130" t="s">
        <v>283</v>
      </c>
      <c r="O130" s="2">
        <v>36312.570000000007</v>
      </c>
      <c r="Q130" t="s">
        <v>974</v>
      </c>
    </row>
    <row r="131" spans="1:17">
      <c r="A131" s="283" t="s">
        <v>284</v>
      </c>
      <c r="B131" s="283" t="s">
        <v>283</v>
      </c>
      <c r="C131" s="283" t="str">
        <f t="shared" si="5"/>
        <v>33212 KETTLE FALLS SCHOOL DISTRICT</v>
      </c>
      <c r="D131" s="283"/>
      <c r="E131" s="548"/>
      <c r="G131" s="552"/>
      <c r="L131" t="s">
        <v>2376</v>
      </c>
      <c r="M131" s="316">
        <v>3052</v>
      </c>
      <c r="N131" t="s">
        <v>285</v>
      </c>
      <c r="O131" s="2">
        <v>51590.720000000001</v>
      </c>
      <c r="Q131" t="s">
        <v>975</v>
      </c>
    </row>
    <row r="132" spans="1:17">
      <c r="A132" s="283" t="s">
        <v>286</v>
      </c>
      <c r="B132" s="283" t="s">
        <v>285</v>
      </c>
      <c r="C132" s="283" t="str">
        <f t="shared" si="5"/>
        <v>03052 KIONA BENTON SCHOOL DISTRICT</v>
      </c>
      <c r="D132" s="283"/>
      <c r="E132" s="548">
        <v>49387.61</v>
      </c>
      <c r="G132" s="552">
        <v>49387.61</v>
      </c>
      <c r="L132" t="s">
        <v>2377</v>
      </c>
      <c r="M132" s="316">
        <v>19403</v>
      </c>
      <c r="N132" t="s">
        <v>287</v>
      </c>
      <c r="O132" s="2">
        <v>28194.81</v>
      </c>
      <c r="Q132" t="s">
        <v>976</v>
      </c>
    </row>
    <row r="133" spans="1:17">
      <c r="A133" s="283" t="s">
        <v>288</v>
      </c>
      <c r="B133" s="283" t="s">
        <v>287</v>
      </c>
      <c r="C133" s="283" t="str">
        <f t="shared" si="5"/>
        <v>19403 KITTITAS SCHOOL DISTRICT</v>
      </c>
      <c r="D133" s="283"/>
      <c r="E133" s="548">
        <v>27602.43</v>
      </c>
      <c r="G133" s="552">
        <v>27602.43</v>
      </c>
      <c r="L133" t="s">
        <v>2378</v>
      </c>
      <c r="M133" s="316">
        <v>20402</v>
      </c>
      <c r="N133" t="s">
        <v>289</v>
      </c>
      <c r="O133" s="2">
        <v>42118.729999999996</v>
      </c>
      <c r="Q133" t="s">
        <v>977</v>
      </c>
    </row>
    <row r="134" spans="1:17">
      <c r="A134" s="283" t="s">
        <v>290</v>
      </c>
      <c r="B134" s="283" t="s">
        <v>289</v>
      </c>
      <c r="C134" s="283" t="str">
        <f t="shared" si="5"/>
        <v>20402 KLICKITAT SCHOOL DISTRICT</v>
      </c>
      <c r="D134" s="283"/>
      <c r="E134" s="548">
        <v>12962.78</v>
      </c>
      <c r="G134" s="552">
        <v>12962.78</v>
      </c>
      <c r="L134" t="s">
        <v>2379</v>
      </c>
      <c r="M134" s="316">
        <v>29311</v>
      </c>
      <c r="N134" t="s">
        <v>291</v>
      </c>
      <c r="O134" s="2">
        <v>27154.28</v>
      </c>
      <c r="Q134" t="s">
        <v>978</v>
      </c>
    </row>
    <row r="135" spans="1:17">
      <c r="A135" s="283" t="s">
        <v>292</v>
      </c>
      <c r="B135" s="283" t="s">
        <v>291</v>
      </c>
      <c r="C135" s="283" t="str">
        <f t="shared" si="5"/>
        <v>29311 LA CONNER SCHOOL DISTRICT</v>
      </c>
      <c r="D135" s="283"/>
      <c r="E135" s="548">
        <v>25598.190000000002</v>
      </c>
      <c r="G135" s="552">
        <v>25598.190000000002</v>
      </c>
      <c r="L135" t="s">
        <v>2380</v>
      </c>
      <c r="M135" s="316">
        <v>6101</v>
      </c>
      <c r="N135" t="s">
        <v>293</v>
      </c>
      <c r="O135" s="2">
        <v>60921.39</v>
      </c>
      <c r="Q135" t="s">
        <v>979</v>
      </c>
    </row>
    <row r="136" spans="1:17">
      <c r="A136" s="283" t="s">
        <v>294</v>
      </c>
      <c r="B136" s="283" t="s">
        <v>293</v>
      </c>
      <c r="C136" s="283" t="str">
        <f t="shared" si="5"/>
        <v>06101 LACENTER SCHOOL DISTRICT</v>
      </c>
      <c r="D136" s="283"/>
      <c r="E136" s="548">
        <v>61238.75</v>
      </c>
      <c r="G136" s="552">
        <v>61238.75</v>
      </c>
      <c r="M136" s="316"/>
      <c r="O136" s="2"/>
    </row>
    <row r="137" spans="1:17">
      <c r="A137" s="283" t="s">
        <v>296</v>
      </c>
      <c r="B137" s="283" t="s">
        <v>295</v>
      </c>
      <c r="C137" s="283" t="str">
        <f t="shared" si="5"/>
        <v>38126 LACROSSE JOINT SCHOOL DISTRICT</v>
      </c>
      <c r="D137" s="283"/>
      <c r="E137" s="549"/>
      <c r="G137" s="303"/>
      <c r="L137" t="s">
        <v>2381</v>
      </c>
      <c r="M137" s="316">
        <v>4129</v>
      </c>
      <c r="N137" t="s">
        <v>297</v>
      </c>
      <c r="O137" s="2">
        <v>49844</v>
      </c>
      <c r="Q137" t="s">
        <v>981</v>
      </c>
    </row>
    <row r="138" spans="1:17">
      <c r="A138" s="283" t="s">
        <v>298</v>
      </c>
      <c r="B138" s="283" t="s">
        <v>297</v>
      </c>
      <c r="C138" s="283" t="str">
        <f t="shared" si="5"/>
        <v>04129 LAKE CHELAN SCHOOL DISTRICT</v>
      </c>
      <c r="D138" s="283"/>
      <c r="E138" s="548">
        <v>48661.440000000002</v>
      </c>
      <c r="G138" s="552">
        <v>48661.440000000002</v>
      </c>
      <c r="L138" t="s">
        <v>2382</v>
      </c>
      <c r="M138" s="316">
        <v>31004</v>
      </c>
      <c r="N138" t="s">
        <v>299</v>
      </c>
      <c r="O138" s="2">
        <v>304245.76000000001</v>
      </c>
      <c r="Q138" t="s">
        <v>982</v>
      </c>
    </row>
    <row r="139" spans="1:17">
      <c r="A139" s="283" t="s">
        <v>300</v>
      </c>
      <c r="B139" s="283" t="s">
        <v>299</v>
      </c>
      <c r="C139" s="283" t="str">
        <f t="shared" si="5"/>
        <v>31004 LAKE STEVENS SCHOOL DISTRICT</v>
      </c>
      <c r="D139" s="283"/>
      <c r="E139" s="548">
        <v>291609.81</v>
      </c>
      <c r="G139" s="552">
        <v>291609.81</v>
      </c>
      <c r="L139" t="s">
        <v>2383</v>
      </c>
      <c r="M139" s="316">
        <v>17414</v>
      </c>
      <c r="N139" t="s">
        <v>301</v>
      </c>
      <c r="O139" s="2">
        <v>918866.36</v>
      </c>
      <c r="Q139" t="s">
        <v>983</v>
      </c>
    </row>
    <row r="140" spans="1:17">
      <c r="A140" s="283" t="s">
        <v>302</v>
      </c>
      <c r="B140" s="283" t="s">
        <v>301</v>
      </c>
      <c r="C140" s="283" t="str">
        <f t="shared" si="5"/>
        <v>17414 LAKE WASHINGTON SCHOOL DISTRICT</v>
      </c>
      <c r="D140" s="283"/>
      <c r="E140" s="548">
        <v>221811.18</v>
      </c>
      <c r="G140" s="552">
        <v>221811.18</v>
      </c>
      <c r="L140" t="s">
        <v>2384</v>
      </c>
      <c r="M140" s="316">
        <v>31306</v>
      </c>
      <c r="N140" t="s">
        <v>303</v>
      </c>
      <c r="O140" s="2">
        <v>90536.97</v>
      </c>
      <c r="Q140" t="s">
        <v>984</v>
      </c>
    </row>
    <row r="141" spans="1:17">
      <c r="A141" s="283" t="s">
        <v>304</v>
      </c>
      <c r="B141" s="283" t="s">
        <v>303</v>
      </c>
      <c r="C141" s="283" t="str">
        <f t="shared" si="5"/>
        <v>31306 LAKEWOOD SCHOOL DISTRICT</v>
      </c>
      <c r="D141" s="283"/>
      <c r="E141" s="548">
        <v>87148.6</v>
      </c>
      <c r="G141" s="552">
        <v>87148.6</v>
      </c>
      <c r="L141" t="s">
        <v>2385</v>
      </c>
      <c r="M141" s="316">
        <v>38264</v>
      </c>
      <c r="N141" t="s">
        <v>305</v>
      </c>
      <c r="O141" s="2">
        <v>11041.89</v>
      </c>
      <c r="Q141" t="s">
        <v>985</v>
      </c>
    </row>
    <row r="142" spans="1:17">
      <c r="A142" s="283" t="s">
        <v>306</v>
      </c>
      <c r="B142" s="283" t="s">
        <v>305</v>
      </c>
      <c r="C142" s="283" t="str">
        <f t="shared" si="5"/>
        <v>38264 LAMONT SCHOOL DISTRICT</v>
      </c>
      <c r="D142" s="283"/>
      <c r="E142" s="548">
        <v>10871.41</v>
      </c>
      <c r="G142" s="552">
        <v>10871.41</v>
      </c>
      <c r="L142" t="s">
        <v>2386</v>
      </c>
      <c r="M142" s="316">
        <v>32362</v>
      </c>
      <c r="N142" t="s">
        <v>307</v>
      </c>
      <c r="O142" s="2">
        <v>28112.11</v>
      </c>
      <c r="Q142" t="s">
        <v>986</v>
      </c>
    </row>
    <row r="143" spans="1:17">
      <c r="A143" s="283" t="s">
        <v>308</v>
      </c>
      <c r="B143" s="283" t="s">
        <v>307</v>
      </c>
      <c r="C143" s="283" t="str">
        <f t="shared" si="5"/>
        <v>32362 LIBERTY SCHOOL DISTRICT</v>
      </c>
      <c r="D143" s="283"/>
      <c r="E143" s="548">
        <v>27311.96</v>
      </c>
      <c r="G143" s="552">
        <v>27311.96</v>
      </c>
      <c r="L143" t="s">
        <v>2387</v>
      </c>
      <c r="M143" s="316">
        <v>1158</v>
      </c>
      <c r="N143" t="s">
        <v>309</v>
      </c>
      <c r="O143" s="2">
        <v>16570</v>
      </c>
      <c r="Q143" t="s">
        <v>987</v>
      </c>
    </row>
    <row r="144" spans="1:17">
      <c r="A144" s="283" t="s">
        <v>310</v>
      </c>
      <c r="B144" s="283" t="s">
        <v>309</v>
      </c>
      <c r="C144" s="283" t="str">
        <f t="shared" si="5"/>
        <v>01158 LIND SCHOOL DISTRICT</v>
      </c>
      <c r="D144" s="283"/>
      <c r="E144" s="548">
        <v>16303.18</v>
      </c>
      <c r="G144" s="552">
        <v>16303.18</v>
      </c>
      <c r="L144" t="s">
        <v>2388</v>
      </c>
      <c r="M144" s="316">
        <v>8122</v>
      </c>
      <c r="N144" t="s">
        <v>311</v>
      </c>
      <c r="O144" s="2">
        <v>195946.82</v>
      </c>
      <c r="Q144" t="s">
        <v>988</v>
      </c>
    </row>
    <row r="145" spans="1:17">
      <c r="A145" s="283" t="s">
        <v>312</v>
      </c>
      <c r="B145" s="283" t="s">
        <v>311</v>
      </c>
      <c r="C145" s="283" t="str">
        <f t="shared" si="5"/>
        <v>08122 LONGVIEW SCHOOL DISTRICT</v>
      </c>
      <c r="D145" s="283"/>
      <c r="E145" s="548">
        <v>189742.29</v>
      </c>
      <c r="G145" s="552">
        <v>189742.29</v>
      </c>
      <c r="L145" t="s">
        <v>2389</v>
      </c>
      <c r="M145" s="316">
        <v>33183</v>
      </c>
      <c r="N145" t="s">
        <v>313</v>
      </c>
      <c r="O145" s="2">
        <v>14207.19</v>
      </c>
      <c r="Q145" t="s">
        <v>989</v>
      </c>
    </row>
    <row r="146" spans="1:17">
      <c r="A146" s="283" t="s">
        <v>314</v>
      </c>
      <c r="B146" s="283" t="s">
        <v>313</v>
      </c>
      <c r="C146" s="283" t="str">
        <f t="shared" si="5"/>
        <v>33183 LOON LAKE SCHOOL DISTRICT</v>
      </c>
      <c r="D146" s="283"/>
      <c r="E146" s="548">
        <v>14037.52</v>
      </c>
      <c r="G146" s="552">
        <v>14037.52</v>
      </c>
      <c r="L146" t="s">
        <v>2390</v>
      </c>
      <c r="M146" s="316">
        <v>28144</v>
      </c>
      <c r="N146" t="s">
        <v>315</v>
      </c>
      <c r="O146" s="2">
        <v>17631.54</v>
      </c>
      <c r="Q146" t="s">
        <v>990</v>
      </c>
    </row>
    <row r="147" spans="1:17">
      <c r="A147" s="283" t="s">
        <v>316</v>
      </c>
      <c r="B147" s="283" t="s">
        <v>315</v>
      </c>
      <c r="C147" s="283" t="str">
        <f t="shared" si="5"/>
        <v>28144 LOPEZ SCHOOL DISTRICT</v>
      </c>
      <c r="D147" s="283"/>
      <c r="E147" s="548">
        <v>10332.76</v>
      </c>
      <c r="G147" s="552">
        <v>10332.76</v>
      </c>
      <c r="L147" t="s">
        <v>2391</v>
      </c>
      <c r="M147" s="316">
        <v>32903</v>
      </c>
      <c r="N147" t="s">
        <v>317</v>
      </c>
      <c r="O147" s="2">
        <v>11067.36</v>
      </c>
      <c r="Q147" t="s">
        <v>991</v>
      </c>
    </row>
    <row r="148" spans="1:17">
      <c r="A148" s="283" t="s">
        <v>318</v>
      </c>
      <c r="B148" s="355" t="s">
        <v>317</v>
      </c>
      <c r="C148" s="353" t="str">
        <f>CONCATENATE(B148," ",A148," CHARTER")</f>
        <v>32903 LUMEN CHARTER</v>
      </c>
      <c r="D148" s="353"/>
      <c r="E148" s="548">
        <v>11016.65</v>
      </c>
      <c r="G148" s="552">
        <v>11016.65</v>
      </c>
      <c r="L148" t="s">
        <v>2392</v>
      </c>
      <c r="M148" s="316">
        <v>37903</v>
      </c>
      <c r="N148" t="s">
        <v>319</v>
      </c>
      <c r="O148" s="2">
        <v>22085.21</v>
      </c>
      <c r="Q148" t="s">
        <v>993</v>
      </c>
    </row>
    <row r="149" spans="1:17">
      <c r="A149" s="283" t="s">
        <v>992</v>
      </c>
      <c r="B149" s="283" t="s">
        <v>319</v>
      </c>
      <c r="C149" s="286" t="str">
        <f>CONCATENATE(B149," ",A149," TRIBAL COMPACT")</f>
        <v>37903 LUMMI TRIBAL COMPACT</v>
      </c>
      <c r="D149" s="286"/>
      <c r="E149" s="548">
        <v>21299.239999999998</v>
      </c>
      <c r="G149" s="552">
        <v>21299.239999999998</v>
      </c>
      <c r="M149" s="316"/>
      <c r="O149" s="2"/>
    </row>
    <row r="150" spans="1:17">
      <c r="A150" s="283" t="s">
        <v>322</v>
      </c>
      <c r="B150" s="283" t="s">
        <v>321</v>
      </c>
      <c r="C150" s="283" t="str">
        <f t="shared" ref="C150:C173" si="6">CONCATENATE(B150," ",A150," SCHOOL DISTRICT")</f>
        <v>20406 LYLE SCHOOL DISTRICT</v>
      </c>
      <c r="D150" s="283"/>
      <c r="E150" s="548"/>
      <c r="G150" s="552"/>
      <c r="L150" t="s">
        <v>2393</v>
      </c>
      <c r="M150" s="316">
        <v>37504</v>
      </c>
      <c r="N150" t="s">
        <v>323</v>
      </c>
      <c r="O150" s="2">
        <v>101926.5</v>
      </c>
      <c r="Q150" t="s">
        <v>995</v>
      </c>
    </row>
    <row r="151" spans="1:17">
      <c r="A151" s="283" t="s">
        <v>324</v>
      </c>
      <c r="B151" s="283" t="s">
        <v>323</v>
      </c>
      <c r="C151" s="283" t="str">
        <f t="shared" si="6"/>
        <v>37504 LYNDEN SCHOOL DISTRICT</v>
      </c>
      <c r="D151" s="283"/>
      <c r="E151" s="548">
        <v>99174</v>
      </c>
      <c r="G151" s="552">
        <v>99174</v>
      </c>
      <c r="L151" t="s">
        <v>2394</v>
      </c>
      <c r="M151" s="316">
        <v>39120</v>
      </c>
      <c r="N151" t="s">
        <v>325</v>
      </c>
      <c r="O151" s="2">
        <v>34448.65</v>
      </c>
      <c r="Q151" t="s">
        <v>996</v>
      </c>
    </row>
    <row r="152" spans="1:17">
      <c r="A152" s="283" t="s">
        <v>326</v>
      </c>
      <c r="B152" s="283" t="s">
        <v>325</v>
      </c>
      <c r="C152" s="283" t="str">
        <f t="shared" si="6"/>
        <v>39120 MABTON SCHOOL DISTRICT</v>
      </c>
      <c r="D152" s="283"/>
      <c r="E152" s="548"/>
      <c r="G152" s="552"/>
      <c r="L152" t="s">
        <v>2395</v>
      </c>
      <c r="M152" s="316">
        <v>9207</v>
      </c>
      <c r="N152" t="s">
        <v>327</v>
      </c>
      <c r="O152" s="2">
        <v>13122.7</v>
      </c>
      <c r="Q152" t="s">
        <v>997</v>
      </c>
    </row>
    <row r="153" spans="1:17">
      <c r="A153" s="283" t="s">
        <v>328</v>
      </c>
      <c r="B153" s="283" t="s">
        <v>327</v>
      </c>
      <c r="C153" s="283" t="str">
        <f t="shared" si="6"/>
        <v>09207 MANSFIELD SCHOOL DISTRICT</v>
      </c>
      <c r="D153" s="283"/>
      <c r="E153" s="548">
        <v>13049.93</v>
      </c>
      <c r="G153" s="552">
        <v>13049.93</v>
      </c>
      <c r="L153" t="s">
        <v>2396</v>
      </c>
      <c r="M153" s="316">
        <v>4019</v>
      </c>
      <c r="N153" t="s">
        <v>329</v>
      </c>
      <c r="O153" s="2">
        <v>29254.28</v>
      </c>
      <c r="Q153" t="s">
        <v>998</v>
      </c>
    </row>
    <row r="154" spans="1:17">
      <c r="A154" s="283" t="s">
        <v>330</v>
      </c>
      <c r="B154" s="283" t="s">
        <v>329</v>
      </c>
      <c r="C154" s="283" t="str">
        <f t="shared" si="6"/>
        <v>04019 MANSON SCHOOL DISTRICT</v>
      </c>
      <c r="D154" s="283"/>
      <c r="E154" s="548">
        <v>28067.18</v>
      </c>
      <c r="G154" s="552">
        <v>28067.18</v>
      </c>
      <c r="L154" t="s">
        <v>2397</v>
      </c>
      <c r="M154" s="316">
        <v>23311</v>
      </c>
      <c r="N154" t="s">
        <v>331</v>
      </c>
      <c r="O154" s="2">
        <v>15029.33</v>
      </c>
      <c r="Q154" t="s">
        <v>999</v>
      </c>
    </row>
    <row r="155" spans="1:17">
      <c r="A155" s="283" t="s">
        <v>332</v>
      </c>
      <c r="B155" s="283" t="s">
        <v>331</v>
      </c>
      <c r="C155" s="283" t="str">
        <f t="shared" si="6"/>
        <v>23311 MARY M KNIGHT SCHOOL DISTRICT</v>
      </c>
      <c r="D155" s="283"/>
      <c r="E155" s="548">
        <v>14850.829999999998</v>
      </c>
      <c r="G155" s="552">
        <v>14850.829999999998</v>
      </c>
      <c r="L155" t="s">
        <v>2398</v>
      </c>
      <c r="M155" s="316">
        <v>33207</v>
      </c>
      <c r="N155" t="s">
        <v>333</v>
      </c>
      <c r="O155" s="2">
        <v>23383.17</v>
      </c>
      <c r="Q155" t="s">
        <v>1000</v>
      </c>
    </row>
    <row r="156" spans="1:17">
      <c r="A156" s="283" t="s">
        <v>334</v>
      </c>
      <c r="B156" s="283" t="s">
        <v>333</v>
      </c>
      <c r="C156" s="283" t="str">
        <f t="shared" si="6"/>
        <v>33207 MARY WALKER SCHOOL DISTRICT</v>
      </c>
      <c r="D156" s="283"/>
      <c r="E156" s="548">
        <v>22490.17</v>
      </c>
      <c r="G156" s="552">
        <v>22490.17</v>
      </c>
      <c r="L156" t="s">
        <v>2399</v>
      </c>
      <c r="M156" s="316">
        <v>31025</v>
      </c>
      <c r="N156" t="s">
        <v>335</v>
      </c>
      <c r="O156" s="2">
        <v>316620.25</v>
      </c>
      <c r="Q156" t="s">
        <v>1001</v>
      </c>
    </row>
    <row r="157" spans="1:17">
      <c r="A157" s="283" t="s">
        <v>336</v>
      </c>
      <c r="B157" s="283" t="s">
        <v>335</v>
      </c>
      <c r="C157" s="283" t="str">
        <f t="shared" si="6"/>
        <v>31025 MARYSVILLE SCHOOL DISTRICT</v>
      </c>
      <c r="D157" s="283"/>
      <c r="E157" s="548">
        <v>294078.80000000005</v>
      </c>
      <c r="G157" s="552">
        <v>294078.80000000005</v>
      </c>
      <c r="L157" t="s">
        <v>2400</v>
      </c>
      <c r="M157" s="316">
        <v>14065</v>
      </c>
      <c r="N157" t="s">
        <v>337</v>
      </c>
      <c r="O157" s="2">
        <v>19077.760000000002</v>
      </c>
      <c r="Q157" t="s">
        <v>1002</v>
      </c>
    </row>
    <row r="158" spans="1:17">
      <c r="A158" s="283" t="s">
        <v>338</v>
      </c>
      <c r="B158" s="283" t="s">
        <v>337</v>
      </c>
      <c r="C158" s="283" t="str">
        <f t="shared" si="6"/>
        <v>14065 MC CLEARY SCHOOL DISTRICT</v>
      </c>
      <c r="D158" s="283"/>
      <c r="E158" s="548">
        <v>18888.349999999999</v>
      </c>
      <c r="G158" s="552">
        <v>18888.349999999999</v>
      </c>
      <c r="L158" t="s">
        <v>2401</v>
      </c>
      <c r="M158" s="316">
        <v>32354</v>
      </c>
      <c r="N158" t="s">
        <v>339</v>
      </c>
      <c r="O158" s="2">
        <v>328564.43</v>
      </c>
      <c r="Q158" t="s">
        <v>1003</v>
      </c>
    </row>
    <row r="159" spans="1:17">
      <c r="A159" s="283" t="s">
        <v>340</v>
      </c>
      <c r="B159" s="283" t="s">
        <v>339</v>
      </c>
      <c r="C159" s="283" t="str">
        <f t="shared" si="6"/>
        <v>32354 MEAD SCHOOL DISTRICT</v>
      </c>
      <c r="D159" s="283"/>
      <c r="E159" s="548">
        <v>314818.3</v>
      </c>
      <c r="G159" s="552">
        <v>314818.3</v>
      </c>
      <c r="L159" t="s">
        <v>2402</v>
      </c>
      <c r="M159" s="316">
        <v>32326</v>
      </c>
      <c r="N159" t="s">
        <v>341</v>
      </c>
      <c r="O159" s="2">
        <v>67503.7</v>
      </c>
      <c r="Q159" t="s">
        <v>1004</v>
      </c>
    </row>
    <row r="160" spans="1:17">
      <c r="A160" s="283" t="s">
        <v>342</v>
      </c>
      <c r="B160" s="283" t="s">
        <v>341</v>
      </c>
      <c r="C160" s="283" t="str">
        <f t="shared" si="6"/>
        <v>32326 MEDICAL LAKE SCHOOL DISTRICT</v>
      </c>
      <c r="D160" s="283"/>
      <c r="E160" s="548">
        <v>65421.51</v>
      </c>
      <c r="G160" s="552">
        <v>65421.51</v>
      </c>
      <c r="L160" t="s">
        <v>2403</v>
      </c>
      <c r="M160" s="316">
        <v>17400</v>
      </c>
      <c r="N160" t="s">
        <v>343</v>
      </c>
      <c r="O160" s="2">
        <v>86315.16</v>
      </c>
      <c r="Q160" t="s">
        <v>1005</v>
      </c>
    </row>
    <row r="161" spans="1:17">
      <c r="A161" s="283" t="s">
        <v>344</v>
      </c>
      <c r="B161" s="283" t="s">
        <v>343</v>
      </c>
      <c r="C161" s="283" t="str">
        <f t="shared" si="6"/>
        <v>17400 MERCER ISLAND SCHOOL DISTRICT</v>
      </c>
      <c r="D161" s="283"/>
      <c r="E161" s="548">
        <v>83082.03</v>
      </c>
      <c r="G161" s="552">
        <v>83082.03</v>
      </c>
      <c r="L161" t="s">
        <v>2404</v>
      </c>
      <c r="M161" s="316">
        <v>37505</v>
      </c>
      <c r="N161" t="s">
        <v>345</v>
      </c>
      <c r="O161" s="2">
        <v>73575.820000000007</v>
      </c>
      <c r="Q161" t="s">
        <v>1006</v>
      </c>
    </row>
    <row r="162" spans="1:17">
      <c r="A162" s="283" t="s">
        <v>346</v>
      </c>
      <c r="B162" s="283" t="s">
        <v>345</v>
      </c>
      <c r="C162" s="283" t="str">
        <f t="shared" si="6"/>
        <v>37505 MERIDIAN SCHOOL DISTRICT</v>
      </c>
      <c r="D162" s="283"/>
      <c r="E162" s="548">
        <v>61209.710000000006</v>
      </c>
      <c r="G162" s="552">
        <v>61209.710000000006</v>
      </c>
      <c r="L162" t="s">
        <v>2405</v>
      </c>
      <c r="M162" s="316">
        <v>24350</v>
      </c>
      <c r="N162" t="s">
        <v>347</v>
      </c>
      <c r="O162" s="2">
        <v>31870.2</v>
      </c>
      <c r="Q162" t="s">
        <v>1007</v>
      </c>
    </row>
    <row r="163" spans="1:17">
      <c r="A163" s="283" t="s">
        <v>348</v>
      </c>
      <c r="B163" s="283" t="s">
        <v>347</v>
      </c>
      <c r="C163" s="283" t="str">
        <f t="shared" si="6"/>
        <v>24350 METHOW VALLEY SCHOOL DISTRICT</v>
      </c>
      <c r="D163" s="283"/>
      <c r="E163" s="548">
        <v>31088.059999999998</v>
      </c>
      <c r="G163" s="552">
        <v>31088.059999999998</v>
      </c>
      <c r="L163" t="s">
        <v>2406</v>
      </c>
      <c r="M163" s="316">
        <v>30031</v>
      </c>
      <c r="N163" t="s">
        <v>349</v>
      </c>
      <c r="O163" s="2">
        <v>11911.2</v>
      </c>
      <c r="Q163" t="s">
        <v>1008</v>
      </c>
    </row>
    <row r="164" spans="1:17">
      <c r="A164" s="283" t="s">
        <v>350</v>
      </c>
      <c r="B164" s="283" t="s">
        <v>349</v>
      </c>
      <c r="C164" s="283" t="str">
        <f t="shared" si="6"/>
        <v>30031 MILL A SCHOOL DISTRICT</v>
      </c>
      <c r="D164" s="283"/>
      <c r="E164" s="548">
        <v>12062.34</v>
      </c>
      <c r="G164" s="552">
        <v>12062.34</v>
      </c>
      <c r="L164" t="s">
        <v>2407</v>
      </c>
      <c r="M164" s="316">
        <v>31103</v>
      </c>
      <c r="N164" t="s">
        <v>351</v>
      </c>
      <c r="O164" s="2">
        <v>156383.92000000001</v>
      </c>
      <c r="Q164" t="s">
        <v>1009</v>
      </c>
    </row>
    <row r="165" spans="1:17">
      <c r="A165" s="283" t="s">
        <v>352</v>
      </c>
      <c r="B165" s="283" t="s">
        <v>351</v>
      </c>
      <c r="C165" s="283" t="str">
        <f t="shared" si="6"/>
        <v>31103 MONROE SCHOOL DISTRICT</v>
      </c>
      <c r="D165" s="283"/>
      <c r="E165" s="548">
        <v>151923.21000000002</v>
      </c>
      <c r="G165" s="552">
        <v>151923.21000000002</v>
      </c>
      <c r="L165" t="s">
        <v>2408</v>
      </c>
      <c r="M165" s="316">
        <v>14066</v>
      </c>
      <c r="N165" t="s">
        <v>353</v>
      </c>
      <c r="O165" s="2">
        <v>52538.05</v>
      </c>
      <c r="Q165" t="s">
        <v>1010</v>
      </c>
    </row>
    <row r="166" spans="1:17">
      <c r="A166" s="283" t="s">
        <v>354</v>
      </c>
      <c r="B166" s="283" t="s">
        <v>353</v>
      </c>
      <c r="C166" s="283" t="str">
        <f t="shared" si="6"/>
        <v>14066 MONTESANO SCHOOL DISTRICT</v>
      </c>
      <c r="D166" s="283"/>
      <c r="E166" s="548">
        <v>51711.369999999995</v>
      </c>
      <c r="G166" s="552">
        <v>51711.369999999995</v>
      </c>
      <c r="L166" t="s">
        <v>2409</v>
      </c>
      <c r="M166" s="316">
        <v>21214</v>
      </c>
      <c r="N166" t="s">
        <v>355</v>
      </c>
      <c r="O166" s="2">
        <v>22285.67</v>
      </c>
      <c r="Q166" t="s">
        <v>1011</v>
      </c>
    </row>
    <row r="167" spans="1:17">
      <c r="A167" s="283" t="s">
        <v>356</v>
      </c>
      <c r="B167" s="283" t="s">
        <v>355</v>
      </c>
      <c r="C167" s="283" t="str">
        <f t="shared" si="6"/>
        <v>21214 MORTON SCHOOL DISTRICT</v>
      </c>
      <c r="D167" s="283"/>
      <c r="E167" s="548">
        <v>8013.16</v>
      </c>
      <c r="G167" s="552">
        <v>8013.16</v>
      </c>
      <c r="L167" t="s">
        <v>2410</v>
      </c>
      <c r="M167" s="316">
        <v>13161</v>
      </c>
      <c r="N167" t="s">
        <v>357</v>
      </c>
      <c r="O167" s="2">
        <v>262527.08</v>
      </c>
      <c r="Q167" t="s">
        <v>1012</v>
      </c>
    </row>
    <row r="168" spans="1:17">
      <c r="A168" s="283" t="s">
        <v>358</v>
      </c>
      <c r="B168" s="283" t="s">
        <v>357</v>
      </c>
      <c r="C168" s="283" t="str">
        <f t="shared" si="6"/>
        <v>13161 MOSES LAKE SCHOOL DISTRICT</v>
      </c>
      <c r="D168" s="283"/>
      <c r="E168" s="548">
        <v>258118.73</v>
      </c>
      <c r="G168" s="552">
        <v>258118.73</v>
      </c>
      <c r="L168" t="s">
        <v>2411</v>
      </c>
      <c r="M168" s="316">
        <v>21206</v>
      </c>
      <c r="N168" t="s">
        <v>359</v>
      </c>
      <c r="O168" s="2">
        <v>28211.489999999998</v>
      </c>
      <c r="Q168" t="s">
        <v>1013</v>
      </c>
    </row>
    <row r="169" spans="1:17">
      <c r="A169" s="283" t="s">
        <v>360</v>
      </c>
      <c r="B169" s="283" t="s">
        <v>359</v>
      </c>
      <c r="C169" s="283" t="str">
        <f t="shared" si="6"/>
        <v>21206 MOSSYROCK SCHOOL DISTRICT</v>
      </c>
      <c r="D169" s="283"/>
      <c r="E169" s="548">
        <v>27950.989999999998</v>
      </c>
      <c r="G169" s="552">
        <v>27950.989999999998</v>
      </c>
      <c r="L169" t="s">
        <v>2412</v>
      </c>
      <c r="M169" s="316">
        <v>39209</v>
      </c>
      <c r="N169" t="s">
        <v>361</v>
      </c>
      <c r="O169" s="2">
        <v>36003.39</v>
      </c>
      <c r="Q169" t="s">
        <v>1014</v>
      </c>
    </row>
    <row r="170" spans="1:17">
      <c r="A170" s="283" t="s">
        <v>362</v>
      </c>
      <c r="B170" s="283" t="s">
        <v>361</v>
      </c>
      <c r="C170" s="283" t="str">
        <f t="shared" si="6"/>
        <v>39209 MOUNT ADAMS SCHOOL DISTRICT</v>
      </c>
      <c r="D170" s="283"/>
      <c r="E170" s="550">
        <v>35735.56</v>
      </c>
      <c r="G170" s="553">
        <v>35735.56</v>
      </c>
      <c r="L170" t="s">
        <v>2413</v>
      </c>
      <c r="M170" s="316">
        <v>37507</v>
      </c>
      <c r="N170" t="s">
        <v>363</v>
      </c>
      <c r="O170" s="2">
        <v>59562.18</v>
      </c>
      <c r="Q170" t="s">
        <v>1015</v>
      </c>
    </row>
    <row r="171" spans="1:17">
      <c r="A171" s="283" t="s">
        <v>364</v>
      </c>
      <c r="B171" s="283" t="s">
        <v>363</v>
      </c>
      <c r="C171" s="283" t="str">
        <f t="shared" si="6"/>
        <v>37507 MOUNT BAKER SCHOOL DISTRICT</v>
      </c>
      <c r="D171" s="283"/>
      <c r="E171" s="548">
        <v>58159.78</v>
      </c>
      <c r="G171" s="552">
        <v>58159.78</v>
      </c>
      <c r="M171" s="316"/>
      <c r="O171" s="2"/>
    </row>
    <row r="172" spans="1:17">
      <c r="A172" s="283" t="s">
        <v>366</v>
      </c>
      <c r="B172" s="283" t="s">
        <v>365</v>
      </c>
      <c r="C172" s="283" t="str">
        <f t="shared" si="6"/>
        <v>30029 MOUNT PLEASANT SCHOOL DISTRICT</v>
      </c>
      <c r="D172" s="283"/>
      <c r="E172" s="548"/>
      <c r="G172" s="552"/>
      <c r="L172" t="s">
        <v>2414</v>
      </c>
      <c r="M172" s="316">
        <v>29320</v>
      </c>
      <c r="N172" t="s">
        <v>367</v>
      </c>
      <c r="O172" s="2">
        <v>189531.01</v>
      </c>
      <c r="Q172" t="s">
        <v>1017</v>
      </c>
    </row>
    <row r="173" spans="1:17">
      <c r="A173" s="283" t="s">
        <v>368</v>
      </c>
      <c r="B173" s="283" t="s">
        <v>367</v>
      </c>
      <c r="C173" s="283" t="str">
        <f t="shared" si="6"/>
        <v>29320 MT VERNON SCHOOL DISTRICT</v>
      </c>
      <c r="D173" s="283"/>
      <c r="E173" s="548">
        <v>183177.69</v>
      </c>
      <c r="G173" s="552">
        <v>183177.69</v>
      </c>
      <c r="M173" s="316"/>
      <c r="O173" s="2"/>
    </row>
    <row r="174" spans="1:17">
      <c r="A174" s="283" t="s">
        <v>1018</v>
      </c>
      <c r="B174" s="283" t="s">
        <v>369</v>
      </c>
      <c r="C174" s="286" t="str">
        <f>CONCATENATE(B174," ",A174," TRIBAL COMPACT")</f>
        <v>17903 MUCKLESHOOT TRIBAL COMPACT</v>
      </c>
      <c r="D174" s="286"/>
      <c r="E174" s="548"/>
      <c r="G174" s="552"/>
      <c r="L174" t="s">
        <v>2415</v>
      </c>
      <c r="M174" s="316">
        <v>31006</v>
      </c>
      <c r="N174" t="s">
        <v>371</v>
      </c>
      <c r="O174" s="2">
        <v>462628.47</v>
      </c>
      <c r="Q174" t="s">
        <v>1020</v>
      </c>
    </row>
    <row r="175" spans="1:17">
      <c r="A175" s="283" t="s">
        <v>372</v>
      </c>
      <c r="B175" s="283" t="s">
        <v>371</v>
      </c>
      <c r="C175" s="283" t="str">
        <f t="shared" ref="C175:C216" si="7">CONCATENATE(B175," ",A175," SCHOOL DISTRICT")</f>
        <v>31006 MUKILTEO SCHOOL DISTRICT</v>
      </c>
      <c r="D175" s="283"/>
      <c r="E175" s="548">
        <v>447766.01999999996</v>
      </c>
      <c r="G175" s="552">
        <v>447766.01999999996</v>
      </c>
      <c r="L175" t="s">
        <v>2416</v>
      </c>
      <c r="M175" s="316">
        <v>39003</v>
      </c>
      <c r="N175" t="s">
        <v>373</v>
      </c>
      <c r="O175" s="2">
        <v>49929.21</v>
      </c>
      <c r="Q175" t="s">
        <v>1021</v>
      </c>
    </row>
    <row r="176" spans="1:17">
      <c r="A176" s="283" t="s">
        <v>374</v>
      </c>
      <c r="B176" s="283" t="s">
        <v>373</v>
      </c>
      <c r="C176" s="283" t="str">
        <f t="shared" si="7"/>
        <v>39003 NACHES VALLEY SCHOOL DISTRICT</v>
      </c>
      <c r="D176" s="283"/>
      <c r="E176" s="548">
        <v>48893.82</v>
      </c>
      <c r="G176" s="552">
        <v>48893.82</v>
      </c>
      <c r="L176" t="s">
        <v>2417</v>
      </c>
      <c r="M176" s="316">
        <v>21014</v>
      </c>
      <c r="N176" t="s">
        <v>375</v>
      </c>
      <c r="O176" s="2">
        <v>33722.92</v>
      </c>
      <c r="Q176" t="s">
        <v>1022</v>
      </c>
    </row>
    <row r="177" spans="1:17">
      <c r="A177" s="283" t="s">
        <v>376</v>
      </c>
      <c r="B177" s="283" t="s">
        <v>375</v>
      </c>
      <c r="C177" s="283" t="str">
        <f t="shared" si="7"/>
        <v>21014 NAPAVINE SCHOOL DISTRICT</v>
      </c>
      <c r="D177" s="283"/>
      <c r="E177" s="548">
        <v>33034.199999999997</v>
      </c>
      <c r="G177" s="552">
        <v>33034.199999999997</v>
      </c>
      <c r="L177" t="s">
        <v>2418</v>
      </c>
      <c r="M177" s="316">
        <v>25155</v>
      </c>
      <c r="N177" t="s">
        <v>377</v>
      </c>
      <c r="O177" s="2">
        <v>19408.64</v>
      </c>
      <c r="Q177" t="s">
        <v>1023</v>
      </c>
    </row>
    <row r="178" spans="1:17">
      <c r="A178" s="283" t="s">
        <v>378</v>
      </c>
      <c r="B178" s="283" t="s">
        <v>377</v>
      </c>
      <c r="C178" s="283" t="str">
        <f t="shared" si="7"/>
        <v>25155 NASELLE GRAYS RIVER SCHOOL DISTRICT</v>
      </c>
      <c r="D178" s="283"/>
      <c r="E178" s="548">
        <v>18946.45</v>
      </c>
      <c r="G178" s="552">
        <v>18946.45</v>
      </c>
      <c r="L178" t="s">
        <v>2419</v>
      </c>
      <c r="M178" s="316">
        <v>24014</v>
      </c>
      <c r="N178" t="s">
        <v>379</v>
      </c>
      <c r="O178" s="2">
        <v>14013.36</v>
      </c>
      <c r="Q178" t="s">
        <v>1024</v>
      </c>
    </row>
    <row r="179" spans="1:17">
      <c r="A179" s="283" t="s">
        <v>380</v>
      </c>
      <c r="B179" s="283" t="s">
        <v>379</v>
      </c>
      <c r="C179" s="283" t="str">
        <f t="shared" si="7"/>
        <v>24014 NESPELEM SCHOOL DISTRICT</v>
      </c>
      <c r="D179" s="283"/>
      <c r="E179" s="548">
        <v>13747.05</v>
      </c>
      <c r="G179" s="552">
        <v>13747.05</v>
      </c>
      <c r="L179" t="s">
        <v>2420</v>
      </c>
      <c r="M179" s="316">
        <v>26056</v>
      </c>
      <c r="N179" t="s">
        <v>381</v>
      </c>
      <c r="O179" s="2">
        <v>41875.760000000002</v>
      </c>
      <c r="Q179" t="s">
        <v>1025</v>
      </c>
    </row>
    <row r="180" spans="1:17">
      <c r="A180" s="283" t="s">
        <v>382</v>
      </c>
      <c r="B180" s="283" t="s">
        <v>381</v>
      </c>
      <c r="C180" s="283" t="str">
        <f t="shared" si="7"/>
        <v>26056 NEWPORT SCHOOL DISTRICT</v>
      </c>
      <c r="D180" s="283"/>
      <c r="E180" s="548">
        <v>41283.520000000004</v>
      </c>
      <c r="G180" s="552">
        <v>41283.520000000004</v>
      </c>
      <c r="L180" t="s">
        <v>2421</v>
      </c>
      <c r="M180" s="316">
        <v>32325</v>
      </c>
      <c r="N180" t="s">
        <v>383</v>
      </c>
      <c r="O180" s="2">
        <v>49179.369999999995</v>
      </c>
      <c r="Q180" t="s">
        <v>1026</v>
      </c>
    </row>
    <row r="181" spans="1:17">
      <c r="A181" s="283" t="s">
        <v>384</v>
      </c>
      <c r="B181" s="283" t="s">
        <v>383</v>
      </c>
      <c r="C181" s="283" t="str">
        <f t="shared" si="7"/>
        <v>32325 NINE MILE FALLS SCHOOL DISTRICT</v>
      </c>
      <c r="D181" s="283"/>
      <c r="E181" s="548">
        <v>47877.17</v>
      </c>
      <c r="G181" s="552">
        <v>47877.17</v>
      </c>
      <c r="L181" t="s">
        <v>2422</v>
      </c>
      <c r="M181" s="316">
        <v>37506</v>
      </c>
      <c r="N181" t="s">
        <v>385</v>
      </c>
      <c r="O181" s="2">
        <v>67866.69</v>
      </c>
      <c r="Q181" t="s">
        <v>1027</v>
      </c>
    </row>
    <row r="182" spans="1:17">
      <c r="A182" s="283" t="s">
        <v>386</v>
      </c>
      <c r="B182" s="283" t="s">
        <v>385</v>
      </c>
      <c r="C182" s="283" t="str">
        <f t="shared" si="7"/>
        <v>37506 NOOKSACK VALLEY SCHOOL DISTRICT</v>
      </c>
      <c r="D182" s="283"/>
      <c r="E182" s="548">
        <v>66205.78</v>
      </c>
      <c r="G182" s="552">
        <v>66205.78</v>
      </c>
      <c r="L182" t="s">
        <v>2423</v>
      </c>
      <c r="M182" s="316">
        <v>14064</v>
      </c>
      <c r="N182" t="s">
        <v>387</v>
      </c>
      <c r="O182" s="2">
        <v>31142.17</v>
      </c>
      <c r="Q182" t="s">
        <v>1028</v>
      </c>
    </row>
    <row r="183" spans="1:17">
      <c r="A183" s="283" t="s">
        <v>388</v>
      </c>
      <c r="B183" s="283" t="s">
        <v>387</v>
      </c>
      <c r="C183" s="283" t="str">
        <f t="shared" si="7"/>
        <v>14064 NORTH BEACH SCHOOL DISTRICT</v>
      </c>
      <c r="D183" s="283"/>
      <c r="E183" s="548">
        <v>29200</v>
      </c>
      <c r="G183" s="552">
        <v>29200</v>
      </c>
      <c r="L183" t="s">
        <v>2424</v>
      </c>
      <c r="M183" s="316">
        <v>11051</v>
      </c>
      <c r="N183" t="s">
        <v>389</v>
      </c>
      <c r="O183" s="2">
        <v>70905.180000000008</v>
      </c>
      <c r="Q183" t="s">
        <v>1029</v>
      </c>
    </row>
    <row r="184" spans="1:17">
      <c r="A184" s="283" t="s">
        <v>390</v>
      </c>
      <c r="B184" s="283" t="s">
        <v>389</v>
      </c>
      <c r="C184" s="283" t="str">
        <f t="shared" si="7"/>
        <v>11051 NORTH FRANKLIN SCHOOL DISTRICT</v>
      </c>
      <c r="D184" s="283"/>
      <c r="E184" s="548">
        <v>67251.47</v>
      </c>
      <c r="G184" s="552">
        <v>67251.47</v>
      </c>
      <c r="L184" t="s">
        <v>2425</v>
      </c>
      <c r="M184" s="316">
        <v>18400</v>
      </c>
      <c r="N184" t="s">
        <v>391</v>
      </c>
      <c r="O184" s="2">
        <v>170642.43</v>
      </c>
      <c r="Q184" t="s">
        <v>1030</v>
      </c>
    </row>
    <row r="185" spans="1:17">
      <c r="A185" s="283" t="s">
        <v>392</v>
      </c>
      <c r="B185" s="283" t="s">
        <v>391</v>
      </c>
      <c r="C185" s="283" t="str">
        <f t="shared" si="7"/>
        <v>18400 NORTH KITSAP SCHOOL DISTRICT</v>
      </c>
      <c r="D185" s="283"/>
      <c r="E185" s="548">
        <v>163629.12</v>
      </c>
      <c r="G185" s="552">
        <v>163629.12</v>
      </c>
      <c r="L185" t="s">
        <v>2426</v>
      </c>
      <c r="M185" s="316">
        <v>23403</v>
      </c>
      <c r="N185" t="s">
        <v>393</v>
      </c>
      <c r="O185" s="2">
        <v>74731.399999999994</v>
      </c>
      <c r="Q185" t="s">
        <v>1031</v>
      </c>
    </row>
    <row r="186" spans="1:17">
      <c r="A186" s="283" t="s">
        <v>394</v>
      </c>
      <c r="B186" s="283" t="s">
        <v>393</v>
      </c>
      <c r="C186" s="283" t="str">
        <f t="shared" si="7"/>
        <v>23403 NORTH MASON SCHOOL DISTRICT</v>
      </c>
      <c r="D186" s="283"/>
      <c r="E186" s="548">
        <v>75239.37</v>
      </c>
      <c r="G186" s="552">
        <v>75239.37</v>
      </c>
      <c r="L186" t="s">
        <v>2427</v>
      </c>
      <c r="M186" s="316">
        <v>25200</v>
      </c>
      <c r="N186" t="s">
        <v>395</v>
      </c>
      <c r="O186" s="2">
        <v>12534.94</v>
      </c>
      <c r="Q186" t="s">
        <v>1032</v>
      </c>
    </row>
    <row r="187" spans="1:17">
      <c r="A187" s="283" t="s">
        <v>396</v>
      </c>
      <c r="B187" s="283" t="s">
        <v>395</v>
      </c>
      <c r="C187" s="283" t="str">
        <f t="shared" si="7"/>
        <v>25200 NORTH RIVER SCHOOL DISTRICT</v>
      </c>
      <c r="D187" s="283"/>
      <c r="E187" s="548">
        <v>12323.76</v>
      </c>
      <c r="G187" s="552">
        <v>12323.76</v>
      </c>
      <c r="L187" t="s">
        <v>2428</v>
      </c>
      <c r="M187" s="316">
        <v>34003</v>
      </c>
      <c r="N187" t="s">
        <v>397</v>
      </c>
      <c r="O187" s="2">
        <v>455467.13</v>
      </c>
      <c r="Q187" t="s">
        <v>1033</v>
      </c>
    </row>
    <row r="188" spans="1:17">
      <c r="A188" s="283" t="s">
        <v>398</v>
      </c>
      <c r="B188" s="283" t="s">
        <v>397</v>
      </c>
      <c r="C188" s="283" t="str">
        <f t="shared" si="7"/>
        <v>34003 NORTH THURSTON SCHOOL DISTRICT</v>
      </c>
      <c r="D188" s="283"/>
      <c r="E188" s="548">
        <v>439516.69</v>
      </c>
      <c r="G188" s="552">
        <v>439516.69</v>
      </c>
      <c r="L188" t="s">
        <v>2429</v>
      </c>
      <c r="M188" s="316">
        <v>33211</v>
      </c>
      <c r="N188" t="s">
        <v>399</v>
      </c>
      <c r="O188" s="2">
        <v>15037.67</v>
      </c>
      <c r="Q188" t="s">
        <v>1034</v>
      </c>
    </row>
    <row r="189" spans="1:17">
      <c r="A189" s="283" t="s">
        <v>400</v>
      </c>
      <c r="B189" s="283" t="s">
        <v>399</v>
      </c>
      <c r="C189" s="283" t="str">
        <f t="shared" si="7"/>
        <v>33211 NORTHPORT SCHOOL DISTRICT</v>
      </c>
      <c r="D189" s="283"/>
      <c r="E189" s="548">
        <v>15025.12</v>
      </c>
      <c r="G189" s="552">
        <v>15025.12</v>
      </c>
      <c r="L189" t="s">
        <v>2430</v>
      </c>
      <c r="M189" s="316">
        <v>17417</v>
      </c>
      <c r="N189" t="s">
        <v>401</v>
      </c>
      <c r="O189" s="2">
        <v>691956.02</v>
      </c>
      <c r="Q189" t="s">
        <v>1035</v>
      </c>
    </row>
    <row r="190" spans="1:17">
      <c r="A190" s="283" t="s">
        <v>402</v>
      </c>
      <c r="B190" s="283" t="s">
        <v>401</v>
      </c>
      <c r="C190" s="283" t="str">
        <f t="shared" si="7"/>
        <v>17417 NORTHSHORE SCHOOL DISTRICT</v>
      </c>
      <c r="D190" s="283"/>
      <c r="E190" s="548">
        <v>660912.24</v>
      </c>
      <c r="G190" s="552">
        <v>660912.24</v>
      </c>
      <c r="L190" t="s">
        <v>2431</v>
      </c>
      <c r="M190" s="316">
        <v>15201</v>
      </c>
      <c r="N190" t="s">
        <v>403</v>
      </c>
      <c r="O190" s="2">
        <v>188401.65000000002</v>
      </c>
      <c r="Q190" t="s">
        <v>1036</v>
      </c>
    </row>
    <row r="191" spans="1:17">
      <c r="A191" s="283" t="s">
        <v>404</v>
      </c>
      <c r="B191" s="283" t="s">
        <v>403</v>
      </c>
      <c r="C191" s="283" t="str">
        <f t="shared" si="7"/>
        <v>15201 OAK HARBOR SCHOOL DISTRICT</v>
      </c>
      <c r="D191" s="283"/>
      <c r="E191" s="548">
        <v>179953.49</v>
      </c>
      <c r="G191" s="552">
        <v>179953.49</v>
      </c>
      <c r="M191" s="316"/>
      <c r="O191" s="2"/>
    </row>
    <row r="192" spans="1:17">
      <c r="A192" s="283" t="s">
        <v>406</v>
      </c>
      <c r="B192" s="283" t="s">
        <v>405</v>
      </c>
      <c r="C192" s="283" t="str">
        <f t="shared" si="7"/>
        <v>38324 OAKESDALE SCHOOL DISTRICT</v>
      </c>
      <c r="D192" s="283"/>
      <c r="E192" s="548"/>
      <c r="G192" s="552"/>
      <c r="L192" t="s">
        <v>2432</v>
      </c>
      <c r="M192" s="316">
        <v>14400</v>
      </c>
      <c r="N192" t="s">
        <v>407</v>
      </c>
      <c r="O192" s="2">
        <v>21442.28</v>
      </c>
      <c r="Q192" t="s">
        <v>1038</v>
      </c>
    </row>
    <row r="193" spans="1:17">
      <c r="A193" s="283" t="s">
        <v>408</v>
      </c>
      <c r="B193" s="283" t="s">
        <v>407</v>
      </c>
      <c r="C193" s="283" t="str">
        <f t="shared" si="7"/>
        <v>14400 OAKVILLE SCHOOL DISTRICT</v>
      </c>
      <c r="D193" s="283"/>
      <c r="E193" s="548">
        <v>20747.36</v>
      </c>
      <c r="G193" s="552">
        <v>20747.36</v>
      </c>
      <c r="L193" t="s">
        <v>2433</v>
      </c>
      <c r="M193" s="316">
        <v>25101</v>
      </c>
      <c r="N193" t="s">
        <v>409</v>
      </c>
      <c r="O193" s="2">
        <v>42695.93</v>
      </c>
      <c r="Q193" t="s">
        <v>1039</v>
      </c>
    </row>
    <row r="194" spans="1:17">
      <c r="A194" s="283" t="s">
        <v>410</v>
      </c>
      <c r="B194" s="283" t="s">
        <v>409</v>
      </c>
      <c r="C194" s="283" t="str">
        <f t="shared" si="7"/>
        <v>25101 OCEAN BEACH SCHOOL DISTRICT</v>
      </c>
      <c r="D194" s="283"/>
      <c r="E194" s="548">
        <v>28079.5</v>
      </c>
      <c r="G194" s="552">
        <v>28079.5</v>
      </c>
      <c r="L194" t="s">
        <v>2434</v>
      </c>
      <c r="M194" s="316">
        <v>14172</v>
      </c>
      <c r="N194" t="s">
        <v>411</v>
      </c>
      <c r="O194" s="2">
        <v>26478.690000000002</v>
      </c>
      <c r="Q194" t="s">
        <v>1040</v>
      </c>
    </row>
    <row r="195" spans="1:17">
      <c r="A195" s="283" t="s">
        <v>412</v>
      </c>
      <c r="B195" s="283" t="s">
        <v>411</v>
      </c>
      <c r="C195" s="283" t="str">
        <f t="shared" si="7"/>
        <v>14172 OCOSTA SCHOOL DISTRICT</v>
      </c>
      <c r="D195" s="283"/>
      <c r="E195" s="548"/>
      <c r="G195" s="552"/>
      <c r="L195" t="s">
        <v>2435</v>
      </c>
      <c r="M195" s="316">
        <v>22105</v>
      </c>
      <c r="N195" t="s">
        <v>413</v>
      </c>
      <c r="O195" s="2">
        <v>16969.769999999997</v>
      </c>
      <c r="Q195" t="s">
        <v>1041</v>
      </c>
    </row>
    <row r="196" spans="1:17">
      <c r="A196" s="283" t="s">
        <v>414</v>
      </c>
      <c r="B196" s="283" t="s">
        <v>413</v>
      </c>
      <c r="C196" s="283" t="str">
        <f t="shared" si="7"/>
        <v>22105 ODESSA SCHOOL DISTRICT</v>
      </c>
      <c r="D196" s="283"/>
      <c r="E196" s="548">
        <v>16971.260000000002</v>
      </c>
      <c r="G196" s="552">
        <v>16971.260000000002</v>
      </c>
      <c r="L196" t="s">
        <v>2436</v>
      </c>
      <c r="M196" s="316">
        <v>24105</v>
      </c>
      <c r="N196" t="s">
        <v>415</v>
      </c>
      <c r="O196" s="2">
        <v>41062.76</v>
      </c>
      <c r="Q196" t="s">
        <v>1042</v>
      </c>
    </row>
    <row r="197" spans="1:17">
      <c r="A197" s="283" t="s">
        <v>416</v>
      </c>
      <c r="B197" s="283" t="s">
        <v>415</v>
      </c>
      <c r="C197" s="283" t="str">
        <f t="shared" si="7"/>
        <v>24105 OKANOGAN SCHOOL DISTRICT</v>
      </c>
      <c r="D197" s="283"/>
      <c r="E197" s="548">
        <v>40993.050000000003</v>
      </c>
      <c r="G197" s="552">
        <v>40993.050000000003</v>
      </c>
      <c r="L197" t="s">
        <v>2437</v>
      </c>
      <c r="M197" s="316">
        <v>34111</v>
      </c>
      <c r="N197" t="s">
        <v>417</v>
      </c>
      <c r="O197" s="2">
        <v>309702.38</v>
      </c>
      <c r="Q197" t="s">
        <v>1043</v>
      </c>
    </row>
    <row r="198" spans="1:17">
      <c r="A198" s="283" t="s">
        <v>418</v>
      </c>
      <c r="B198" s="283" t="s">
        <v>417</v>
      </c>
      <c r="C198" s="283" t="str">
        <f t="shared" si="7"/>
        <v>34111 OLYMPIA SCHOOL DISTRICT</v>
      </c>
      <c r="D198" s="283"/>
      <c r="E198" s="548">
        <v>291232.2</v>
      </c>
      <c r="G198" s="552">
        <v>291232.2</v>
      </c>
      <c r="L198" t="s">
        <v>2438</v>
      </c>
      <c r="M198" s="316">
        <v>24019</v>
      </c>
      <c r="N198" t="s">
        <v>419</v>
      </c>
      <c r="O198" s="2">
        <v>56655.210000000006</v>
      </c>
      <c r="Q198" t="s">
        <v>1044</v>
      </c>
    </row>
    <row r="199" spans="1:17">
      <c r="A199" s="283" t="s">
        <v>420</v>
      </c>
      <c r="B199" s="283" t="s">
        <v>419</v>
      </c>
      <c r="C199" s="283" t="str">
        <f t="shared" si="7"/>
        <v>24019 OMAK SCHOOL DISTRICT</v>
      </c>
      <c r="D199" s="283"/>
      <c r="E199" s="548">
        <v>53425.14</v>
      </c>
      <c r="G199" s="552">
        <v>53425.14</v>
      </c>
      <c r="L199" t="s">
        <v>2439</v>
      </c>
      <c r="M199" s="316">
        <v>21300</v>
      </c>
      <c r="N199" t="s">
        <v>421</v>
      </c>
      <c r="O199" s="2">
        <v>35282.79</v>
      </c>
      <c r="Q199" t="s">
        <v>1045</v>
      </c>
    </row>
    <row r="200" spans="1:17">
      <c r="A200" s="283" t="s">
        <v>422</v>
      </c>
      <c r="B200" s="283" t="s">
        <v>421</v>
      </c>
      <c r="C200" s="283" t="str">
        <f t="shared" si="7"/>
        <v>21300 ONALASKA SCHOOL DISTRICT</v>
      </c>
      <c r="D200" s="283"/>
      <c r="E200" s="548">
        <v>34777.020000000004</v>
      </c>
      <c r="G200" s="552">
        <v>34777.020000000004</v>
      </c>
      <c r="L200" t="s">
        <v>2440</v>
      </c>
      <c r="M200" s="316">
        <v>33030</v>
      </c>
      <c r="N200" t="s">
        <v>423</v>
      </c>
      <c r="O200" s="2">
        <v>11449.19</v>
      </c>
      <c r="Q200" t="s">
        <v>1046</v>
      </c>
    </row>
    <row r="201" spans="1:17">
      <c r="A201" s="283" t="s">
        <v>424</v>
      </c>
      <c r="B201" s="285" t="s">
        <v>423</v>
      </c>
      <c r="C201" s="283" t="str">
        <f t="shared" si="7"/>
        <v>33030 ONION CREEK SCHOOL DISTRICT</v>
      </c>
      <c r="D201" s="283"/>
      <c r="E201" s="548">
        <v>11365.2</v>
      </c>
      <c r="G201" s="552">
        <v>11365.2</v>
      </c>
      <c r="L201" t="s">
        <v>2441</v>
      </c>
      <c r="M201" s="316">
        <v>28137</v>
      </c>
      <c r="N201" t="s">
        <v>425</v>
      </c>
      <c r="O201" s="2">
        <v>22675.480000000003</v>
      </c>
      <c r="Q201" t="s">
        <v>1047</v>
      </c>
    </row>
    <row r="202" spans="1:17">
      <c r="A202" s="283" t="s">
        <v>426</v>
      </c>
      <c r="B202" s="283" t="s">
        <v>425</v>
      </c>
      <c r="C202" s="283" t="str">
        <f t="shared" si="7"/>
        <v>28137 ORCAS SCHOOL DISTRICT</v>
      </c>
      <c r="D202" s="283"/>
      <c r="E202" s="548">
        <v>21967.32</v>
      </c>
      <c r="G202" s="552">
        <v>21967.32</v>
      </c>
      <c r="M202" s="316"/>
      <c r="O202" s="2"/>
    </row>
    <row r="203" spans="1:17">
      <c r="A203" s="283" t="s">
        <v>428</v>
      </c>
      <c r="B203" s="283" t="s">
        <v>427</v>
      </c>
      <c r="C203" s="283" t="str">
        <f t="shared" si="7"/>
        <v>32123 ORCHARD PRAIRIE SCHOOL DISTRICT</v>
      </c>
      <c r="D203" s="283"/>
      <c r="E203" s="548"/>
      <c r="G203" s="552"/>
      <c r="L203" t="s">
        <v>2442</v>
      </c>
      <c r="M203" s="316">
        <v>10065</v>
      </c>
      <c r="N203" t="s">
        <v>429</v>
      </c>
      <c r="O203" s="2">
        <v>11261.19</v>
      </c>
      <c r="Q203" t="s">
        <v>1049</v>
      </c>
    </row>
    <row r="204" spans="1:17">
      <c r="A204" s="283" t="s">
        <v>430</v>
      </c>
      <c r="B204" s="283" t="s">
        <v>429</v>
      </c>
      <c r="C204" s="283" t="str">
        <f t="shared" si="7"/>
        <v>10065 ORIENT SCHOOL DISTRICT</v>
      </c>
      <c r="D204" s="283"/>
      <c r="E204" s="548">
        <v>11307.11</v>
      </c>
      <c r="G204" s="552">
        <v>11307.11</v>
      </c>
      <c r="L204" t="s">
        <v>2443</v>
      </c>
      <c r="M204" s="316">
        <v>9013</v>
      </c>
      <c r="N204" t="s">
        <v>431</v>
      </c>
      <c r="O204" s="2">
        <v>15092.83</v>
      </c>
      <c r="Q204" t="s">
        <v>1050</v>
      </c>
    </row>
    <row r="205" spans="1:17">
      <c r="A205" s="283" t="s">
        <v>432</v>
      </c>
      <c r="B205" s="283" t="s">
        <v>431</v>
      </c>
      <c r="C205" s="283" t="str">
        <f t="shared" si="7"/>
        <v>09013 ORONDO SCHOOL DISTRICT</v>
      </c>
      <c r="D205" s="283"/>
      <c r="E205" s="548">
        <v>14850.829999999998</v>
      </c>
      <c r="G205" s="552">
        <v>14850.829999999998</v>
      </c>
      <c r="L205" t="s">
        <v>2444</v>
      </c>
      <c r="M205" s="316">
        <v>24410</v>
      </c>
      <c r="N205" t="s">
        <v>433</v>
      </c>
      <c r="O205" s="2">
        <v>25540.85</v>
      </c>
      <c r="Q205" t="s">
        <v>1051</v>
      </c>
    </row>
    <row r="206" spans="1:17">
      <c r="A206" s="283" t="s">
        <v>434</v>
      </c>
      <c r="B206" s="283" t="s">
        <v>433</v>
      </c>
      <c r="C206" s="283" t="str">
        <f t="shared" si="7"/>
        <v>24410 OROVILLE SCHOOL DISTRICT</v>
      </c>
      <c r="D206" s="283"/>
      <c r="E206" s="548">
        <v>24726.78</v>
      </c>
      <c r="G206" s="552">
        <v>24726.78</v>
      </c>
      <c r="L206" t="s">
        <v>2445</v>
      </c>
      <c r="M206" s="316">
        <v>27344</v>
      </c>
      <c r="N206" t="s">
        <v>435</v>
      </c>
      <c r="O206" s="2">
        <v>97025.040000000008</v>
      </c>
      <c r="Q206" t="s">
        <v>1052</v>
      </c>
    </row>
    <row r="207" spans="1:17">
      <c r="A207" s="283" t="s">
        <v>436</v>
      </c>
      <c r="B207" s="283" t="s">
        <v>435</v>
      </c>
      <c r="C207" s="283" t="str">
        <f t="shared" si="7"/>
        <v>27344 ORTING SCHOOL DISTRICT</v>
      </c>
      <c r="D207" s="283"/>
      <c r="E207" s="548">
        <v>98651.18</v>
      </c>
      <c r="G207" s="552">
        <v>98651.18</v>
      </c>
      <c r="L207" t="s">
        <v>2446</v>
      </c>
      <c r="M207" s="316">
        <v>1147</v>
      </c>
      <c r="N207" t="s">
        <v>437</v>
      </c>
      <c r="O207" s="2">
        <v>152343.57</v>
      </c>
      <c r="Q207" t="s">
        <v>1053</v>
      </c>
    </row>
    <row r="208" spans="1:17">
      <c r="A208" s="283" t="s">
        <v>438</v>
      </c>
      <c r="B208" s="283" t="s">
        <v>437</v>
      </c>
      <c r="C208" s="283" t="str">
        <f t="shared" si="7"/>
        <v>01147 OTHELLO SCHOOL DISTRICT</v>
      </c>
      <c r="D208" s="283"/>
      <c r="E208" s="548">
        <v>146230.02000000002</v>
      </c>
      <c r="G208" s="552">
        <v>146230.02000000002</v>
      </c>
      <c r="L208" t="s">
        <v>2447</v>
      </c>
      <c r="M208" s="316">
        <v>9102</v>
      </c>
      <c r="N208" t="s">
        <v>439</v>
      </c>
      <c r="O208" s="2">
        <v>10729.39</v>
      </c>
      <c r="Q208" t="s">
        <v>1054</v>
      </c>
    </row>
    <row r="209" spans="1:17">
      <c r="A209" s="283" t="s">
        <v>440</v>
      </c>
      <c r="B209" s="283" t="s">
        <v>439</v>
      </c>
      <c r="C209" s="283" t="str">
        <f t="shared" si="7"/>
        <v>09102 PALISADES SCHOOL DISTRICT</v>
      </c>
      <c r="D209" s="283"/>
      <c r="E209" s="548">
        <v>10755.220000000001</v>
      </c>
      <c r="G209" s="552">
        <v>10755.220000000001</v>
      </c>
      <c r="L209" t="s">
        <v>2448</v>
      </c>
      <c r="M209" s="316">
        <v>38301</v>
      </c>
      <c r="N209" t="s">
        <v>441</v>
      </c>
      <c r="O209" s="2">
        <v>15202.71</v>
      </c>
      <c r="Q209" t="s">
        <v>1055</v>
      </c>
    </row>
    <row r="210" spans="1:17">
      <c r="A210" s="283" t="s">
        <v>442</v>
      </c>
      <c r="B210" s="283" t="s">
        <v>441</v>
      </c>
      <c r="C210" s="283" t="str">
        <f t="shared" si="7"/>
        <v>38301 PALOUSE SCHOOL DISTRICT</v>
      </c>
      <c r="D210" s="283"/>
      <c r="E210" s="548">
        <v>14879.880000000001</v>
      </c>
      <c r="G210" s="552">
        <v>14879.880000000001</v>
      </c>
      <c r="L210" t="s">
        <v>2449</v>
      </c>
      <c r="M210" s="316">
        <v>11001</v>
      </c>
      <c r="N210" t="s">
        <v>445</v>
      </c>
      <c r="O210" s="2">
        <v>628215.34</v>
      </c>
      <c r="Q210" t="s">
        <v>1056</v>
      </c>
    </row>
    <row r="211" spans="1:17">
      <c r="A211" s="283" t="s">
        <v>444</v>
      </c>
      <c r="B211" s="285" t="s">
        <v>443</v>
      </c>
      <c r="C211" s="283" t="str">
        <f t="shared" si="7"/>
        <v>24915 PASCHAL SHERMAN SCHOOL DISTRICT</v>
      </c>
      <c r="D211" s="283"/>
      <c r="E211" s="548"/>
      <c r="G211" s="552"/>
      <c r="L211" t="s">
        <v>2450</v>
      </c>
      <c r="M211" s="316">
        <v>24122</v>
      </c>
      <c r="N211" t="s">
        <v>447</v>
      </c>
      <c r="O211" s="2">
        <v>18428.2</v>
      </c>
      <c r="Q211" t="s">
        <v>1057</v>
      </c>
    </row>
    <row r="212" spans="1:17">
      <c r="A212" s="283" t="s">
        <v>446</v>
      </c>
      <c r="B212" s="283" t="s">
        <v>445</v>
      </c>
      <c r="C212" s="283" t="str">
        <f t="shared" si="7"/>
        <v>11001 PASCO SCHOOL DISTRICT</v>
      </c>
      <c r="D212" s="283"/>
      <c r="E212" s="548">
        <v>649496.81999999995</v>
      </c>
      <c r="G212" s="552">
        <v>649496.81999999995</v>
      </c>
      <c r="L212" t="s">
        <v>2451</v>
      </c>
      <c r="M212" s="316">
        <v>3050</v>
      </c>
      <c r="N212" t="s">
        <v>449</v>
      </c>
      <c r="O212" s="2">
        <v>14331.69</v>
      </c>
      <c r="Q212" t="s">
        <v>1058</v>
      </c>
    </row>
    <row r="213" spans="1:17">
      <c r="A213" s="283" t="s">
        <v>448</v>
      </c>
      <c r="B213" s="283" t="s">
        <v>447</v>
      </c>
      <c r="C213" s="283" t="str">
        <f t="shared" si="7"/>
        <v>24122 PATEROS SCHOOL DISTRICT</v>
      </c>
      <c r="D213" s="283"/>
      <c r="E213" s="548">
        <v>17755.52</v>
      </c>
      <c r="G213" s="552">
        <v>17755.52</v>
      </c>
      <c r="L213" t="s">
        <v>2452</v>
      </c>
      <c r="M213" s="316">
        <v>21301</v>
      </c>
      <c r="N213" t="s">
        <v>451</v>
      </c>
      <c r="O213" s="2">
        <v>18126.560000000001</v>
      </c>
      <c r="Q213" t="s">
        <v>1059</v>
      </c>
    </row>
    <row r="214" spans="1:17">
      <c r="A214" s="283" t="s">
        <v>450</v>
      </c>
      <c r="B214" s="283" t="s">
        <v>449</v>
      </c>
      <c r="C214" s="283" t="str">
        <f t="shared" si="7"/>
        <v>03050 PATERSON SCHOOL DISTRICT</v>
      </c>
      <c r="D214" s="283"/>
      <c r="E214" s="548">
        <v>14095.619999999999</v>
      </c>
      <c r="G214" s="552">
        <v>14095.619999999999</v>
      </c>
      <c r="L214" t="s">
        <v>2453</v>
      </c>
      <c r="M214" s="316">
        <v>27401</v>
      </c>
      <c r="N214" t="s">
        <v>453</v>
      </c>
      <c r="O214" s="2">
        <v>251928.49</v>
      </c>
      <c r="Q214" t="s">
        <v>1060</v>
      </c>
    </row>
    <row r="215" spans="1:17">
      <c r="A215" s="283" t="s">
        <v>452</v>
      </c>
      <c r="B215" s="283" t="s">
        <v>451</v>
      </c>
      <c r="C215" s="283" t="str">
        <f t="shared" si="7"/>
        <v>21301 PE ELL SCHOOL DISTRICT</v>
      </c>
      <c r="D215" s="283"/>
      <c r="E215" s="548">
        <v>17755.52</v>
      </c>
      <c r="G215" s="552">
        <v>17755.52</v>
      </c>
      <c r="L215" t="s">
        <v>2454</v>
      </c>
      <c r="M215" s="316">
        <v>4901</v>
      </c>
      <c r="N215" t="s">
        <v>455</v>
      </c>
      <c r="O215" s="2">
        <v>14236.78</v>
      </c>
      <c r="Q215" t="s">
        <v>1061</v>
      </c>
    </row>
    <row r="216" spans="1:17">
      <c r="A216" s="283" t="s">
        <v>454</v>
      </c>
      <c r="B216" s="283" t="s">
        <v>453</v>
      </c>
      <c r="C216" s="283" t="str">
        <f t="shared" si="7"/>
        <v>27401 PENINSULA SCHOOL DISTRICT</v>
      </c>
      <c r="D216" s="283"/>
      <c r="E216" s="548">
        <v>245483.32</v>
      </c>
      <c r="G216" s="552">
        <v>245483.32</v>
      </c>
      <c r="L216" t="s">
        <v>2455</v>
      </c>
      <c r="M216" s="316">
        <v>23402</v>
      </c>
      <c r="N216" t="s">
        <v>457</v>
      </c>
      <c r="O216" s="2">
        <v>31645.43</v>
      </c>
      <c r="Q216" t="s">
        <v>1062</v>
      </c>
    </row>
    <row r="217" spans="1:17">
      <c r="A217" s="283" t="s">
        <v>456</v>
      </c>
      <c r="B217" s="353" t="s">
        <v>455</v>
      </c>
      <c r="C217" s="353" t="str">
        <f>CONCATENATE(B217," ",A217," CHARTER")</f>
        <v>04901 PINNACLES PREP CHARTER</v>
      </c>
      <c r="D217" s="353"/>
      <c r="E217" s="548">
        <v>14821.79</v>
      </c>
      <c r="G217" s="552">
        <v>14821.79</v>
      </c>
      <c r="L217" t="s">
        <v>2456</v>
      </c>
      <c r="M217" s="316">
        <v>12110</v>
      </c>
      <c r="N217" t="s">
        <v>459</v>
      </c>
      <c r="O217" s="2">
        <v>20756.75</v>
      </c>
      <c r="Q217" t="s">
        <v>1063</v>
      </c>
    </row>
    <row r="218" spans="1:17">
      <c r="A218" s="283" t="s">
        <v>458</v>
      </c>
      <c r="B218" s="283" t="s">
        <v>457</v>
      </c>
      <c r="C218" s="283" t="str">
        <f t="shared" ref="C218:C225" si="8">CONCATENATE(B218," ",A218," SCHOOL DISTRICT")</f>
        <v>23402 PIONEER SCHOOL DISTRICT</v>
      </c>
      <c r="D218" s="283"/>
      <c r="E218" s="548">
        <v>31059.01</v>
      </c>
      <c r="G218" s="552">
        <v>31059.01</v>
      </c>
      <c r="L218" t="s">
        <v>2457</v>
      </c>
      <c r="M218" s="316">
        <v>5121</v>
      </c>
      <c r="N218" t="s">
        <v>461</v>
      </c>
      <c r="O218" s="2">
        <v>110062.55</v>
      </c>
      <c r="Q218" t="s">
        <v>1064</v>
      </c>
    </row>
    <row r="219" spans="1:17">
      <c r="A219" s="283" t="s">
        <v>460</v>
      </c>
      <c r="B219" s="283" t="s">
        <v>459</v>
      </c>
      <c r="C219" s="283" t="str">
        <f t="shared" si="8"/>
        <v>12110 POMEROY SCHOOL DISTRICT</v>
      </c>
      <c r="D219" s="283"/>
      <c r="E219" s="548">
        <v>7495.39</v>
      </c>
      <c r="G219" s="552">
        <v>7495.39</v>
      </c>
      <c r="L219" t="s">
        <v>2458</v>
      </c>
      <c r="M219" s="316">
        <v>16050</v>
      </c>
      <c r="N219" t="s">
        <v>463</v>
      </c>
      <c r="O219" s="2">
        <v>47229.39</v>
      </c>
      <c r="Q219" t="s">
        <v>1065</v>
      </c>
    </row>
    <row r="220" spans="1:17">
      <c r="A220" s="283" t="s">
        <v>462</v>
      </c>
      <c r="B220" s="283" t="s">
        <v>461</v>
      </c>
      <c r="C220" s="283" t="str">
        <f t="shared" si="8"/>
        <v>05121 PORT ANGELES SCHOOL DISTRICT</v>
      </c>
      <c r="D220" s="283"/>
      <c r="E220" s="548"/>
      <c r="G220" s="552"/>
      <c r="L220" t="s">
        <v>2459</v>
      </c>
      <c r="M220" s="316">
        <v>36402</v>
      </c>
      <c r="N220" t="s">
        <v>465</v>
      </c>
      <c r="O220" s="2">
        <v>18048.43</v>
      </c>
      <c r="Q220" t="s">
        <v>1066</v>
      </c>
    </row>
    <row r="221" spans="1:17">
      <c r="A221" s="283" t="s">
        <v>464</v>
      </c>
      <c r="B221" s="283" t="s">
        <v>463</v>
      </c>
      <c r="C221" s="283" t="str">
        <f t="shared" si="8"/>
        <v>16050 PORT TOWNSEND SCHOOL DISTRICT</v>
      </c>
      <c r="D221" s="283"/>
      <c r="E221" s="548">
        <v>50491.39</v>
      </c>
      <c r="G221" s="552">
        <v>50491.39</v>
      </c>
      <c r="L221" t="s">
        <v>2460</v>
      </c>
      <c r="M221" s="316">
        <v>32907</v>
      </c>
      <c r="N221" t="s">
        <v>467</v>
      </c>
      <c r="O221" s="2">
        <v>27552.080000000002</v>
      </c>
      <c r="Q221" t="s">
        <v>1068</v>
      </c>
    </row>
    <row r="222" spans="1:17">
      <c r="A222" s="283" t="s">
        <v>466</v>
      </c>
      <c r="B222" s="283" t="s">
        <v>465</v>
      </c>
      <c r="C222" s="283" t="str">
        <f t="shared" si="8"/>
        <v>36402 PRESCOTT SCHOOL DISTRICT</v>
      </c>
      <c r="D222" s="283"/>
      <c r="E222" s="548">
        <v>17726.48</v>
      </c>
      <c r="G222" s="552">
        <v>17726.48</v>
      </c>
      <c r="L222" t="s">
        <v>2461</v>
      </c>
      <c r="M222" s="316">
        <v>3116</v>
      </c>
      <c r="N222" t="s">
        <v>469</v>
      </c>
      <c r="O222" s="2">
        <v>87408.9</v>
      </c>
      <c r="Q222" t="s">
        <v>1069</v>
      </c>
    </row>
    <row r="223" spans="1:17">
      <c r="A223" s="283" t="s">
        <v>1067</v>
      </c>
      <c r="B223" s="283" t="s">
        <v>467</v>
      </c>
      <c r="C223" s="283" t="str">
        <f t="shared" si="8"/>
        <v>32907 PRIDE PREP SCHOOL DISTRICT</v>
      </c>
      <c r="D223" s="283"/>
      <c r="E223" s="548">
        <v>24842.98</v>
      </c>
      <c r="G223" s="552">
        <v>24842.98</v>
      </c>
      <c r="L223" t="s">
        <v>2462</v>
      </c>
      <c r="M223" s="316">
        <v>38267</v>
      </c>
      <c r="N223" t="s">
        <v>471</v>
      </c>
      <c r="O223" s="2">
        <v>92140.25</v>
      </c>
      <c r="Q223" t="s">
        <v>1070</v>
      </c>
    </row>
    <row r="224" spans="1:17">
      <c r="A224" s="283" t="s">
        <v>470</v>
      </c>
      <c r="B224" s="283" t="s">
        <v>469</v>
      </c>
      <c r="C224" s="283" t="str">
        <f t="shared" si="8"/>
        <v>03116 PROSSER SCHOOL DISTRICT</v>
      </c>
      <c r="D224" s="283"/>
      <c r="E224" s="548">
        <v>77853.59</v>
      </c>
      <c r="G224" s="552">
        <v>77853.59</v>
      </c>
      <c r="L224" t="s">
        <v>2463</v>
      </c>
      <c r="M224" s="316">
        <v>38901</v>
      </c>
      <c r="N224" t="s">
        <v>473</v>
      </c>
      <c r="O224" s="2">
        <v>12580.86</v>
      </c>
      <c r="Q224" t="s">
        <v>2464</v>
      </c>
    </row>
    <row r="225" spans="1:17">
      <c r="A225" s="283" t="s">
        <v>472</v>
      </c>
      <c r="B225" s="283" t="s">
        <v>471</v>
      </c>
      <c r="C225" s="283" t="str">
        <f t="shared" si="8"/>
        <v>38267 PULLMAN SCHOOL DISTRICT</v>
      </c>
      <c r="D225" s="283"/>
      <c r="E225" s="548">
        <v>24646.69</v>
      </c>
      <c r="G225" s="552">
        <v>24646.69</v>
      </c>
      <c r="L225" t="s">
        <v>2465</v>
      </c>
      <c r="M225" s="316">
        <v>27003</v>
      </c>
      <c r="N225" t="s">
        <v>475</v>
      </c>
      <c r="O225" s="2">
        <v>689167.43</v>
      </c>
      <c r="Q225" t="s">
        <v>1072</v>
      </c>
    </row>
    <row r="226" spans="1:17">
      <c r="A226" s="283" t="s">
        <v>474</v>
      </c>
      <c r="B226" s="353" t="s">
        <v>473</v>
      </c>
      <c r="C226" s="353" t="str">
        <f>CONCATENATE(B226," ",A226," CHARTER")</f>
        <v>38901 PULLMAN COMMUNITY MONTESSORI CHARTER</v>
      </c>
      <c r="D226" s="353"/>
      <c r="E226" s="548">
        <v>7054.43</v>
      </c>
      <c r="G226" s="552">
        <v>7054.43</v>
      </c>
      <c r="L226" t="s">
        <v>2466</v>
      </c>
      <c r="M226" s="316">
        <v>16020</v>
      </c>
      <c r="N226" t="s">
        <v>477</v>
      </c>
      <c r="O226" s="2">
        <v>11395.73</v>
      </c>
      <c r="Q226" t="s">
        <v>1073</v>
      </c>
    </row>
    <row r="227" spans="1:17">
      <c r="A227" s="283" t="s">
        <v>476</v>
      </c>
      <c r="B227" s="283" t="s">
        <v>475</v>
      </c>
      <c r="C227" s="283" t="str">
        <f>CONCATENATE(B227," ",A227," SCHOOL DISTRICT")</f>
        <v>27003 PUYALLUP SCHOOL DISTRICT</v>
      </c>
      <c r="D227" s="283"/>
      <c r="E227" s="548">
        <v>668493.51</v>
      </c>
      <c r="G227" s="552">
        <v>668493.51</v>
      </c>
      <c r="L227" t="s">
        <v>2467</v>
      </c>
      <c r="M227" s="316">
        <v>16048</v>
      </c>
      <c r="N227" t="s">
        <v>479</v>
      </c>
      <c r="O227" s="2">
        <v>16975.599999999999</v>
      </c>
      <c r="Q227" t="s">
        <v>1074</v>
      </c>
    </row>
    <row r="228" spans="1:17">
      <c r="A228" s="283" t="s">
        <v>478</v>
      </c>
      <c r="B228" s="283" t="s">
        <v>477</v>
      </c>
      <c r="C228" s="283" t="str">
        <f>CONCATENATE(B228," ",A228," SCHOOL DISTRICT")</f>
        <v>16020 QUEETS-CLEARWATER SCHOOL DISTRICT</v>
      </c>
      <c r="D228" s="283"/>
      <c r="E228" s="548">
        <v>11132.83</v>
      </c>
      <c r="G228" s="552">
        <v>11132.83</v>
      </c>
      <c r="L228" t="s">
        <v>2468</v>
      </c>
      <c r="M228" s="316">
        <v>5903</v>
      </c>
      <c r="N228" t="s">
        <v>481</v>
      </c>
      <c r="O228" s="2">
        <v>13981.16</v>
      </c>
      <c r="Q228" t="s">
        <v>1076</v>
      </c>
    </row>
    <row r="229" spans="1:17">
      <c r="A229" s="283" t="s">
        <v>480</v>
      </c>
      <c r="B229" s="283" t="s">
        <v>479</v>
      </c>
      <c r="C229" s="283" t="str">
        <f>CONCATENATE(B229," ",A229," SCHOOL DISTRICT")</f>
        <v>16048 QUILCENE SCHOOL DISTRICT</v>
      </c>
      <c r="D229" s="283"/>
      <c r="E229" s="548">
        <v>17203.64</v>
      </c>
      <c r="G229" s="552">
        <v>17203.64</v>
      </c>
      <c r="L229" t="s">
        <v>2469</v>
      </c>
      <c r="M229" s="316">
        <v>5402</v>
      </c>
      <c r="N229" t="s">
        <v>483</v>
      </c>
      <c r="O229" s="2">
        <v>39802.58</v>
      </c>
      <c r="Q229" t="s">
        <v>1077</v>
      </c>
    </row>
    <row r="230" spans="1:17">
      <c r="A230" s="283" t="s">
        <v>1075</v>
      </c>
      <c r="B230" s="283" t="s">
        <v>481</v>
      </c>
      <c r="C230" s="286" t="str">
        <f>CONCATENATE(B230," ",A230," TRIBAL COMPACT")</f>
        <v>05903 QUILEUTE TRIBAL COMPACT</v>
      </c>
      <c r="D230" s="286"/>
      <c r="E230" s="548">
        <v>14124.66</v>
      </c>
      <c r="G230" s="552">
        <v>14124.66</v>
      </c>
      <c r="L230" t="s">
        <v>2470</v>
      </c>
      <c r="M230" s="316">
        <v>14097</v>
      </c>
      <c r="N230" t="s">
        <v>485</v>
      </c>
      <c r="O230" s="2">
        <v>15739.080000000002</v>
      </c>
      <c r="Q230" t="s">
        <v>1078</v>
      </c>
    </row>
    <row r="231" spans="1:17">
      <c r="A231" s="283" t="s">
        <v>484</v>
      </c>
      <c r="B231" s="283" t="s">
        <v>483</v>
      </c>
      <c r="C231" s="283" t="str">
        <f>CONCATENATE(B231," ",A231," SCHOOL DISTRICT")</f>
        <v>05402 QUILLAYUTE VALLEY SCHOOL DISTRICT</v>
      </c>
      <c r="D231" s="283"/>
      <c r="E231" s="548">
        <v>37826.949999999997</v>
      </c>
      <c r="G231" s="552">
        <v>37826.949999999997</v>
      </c>
      <c r="L231" t="s">
        <v>2471</v>
      </c>
      <c r="M231" s="316">
        <v>13144</v>
      </c>
      <c r="N231" t="s">
        <v>487</v>
      </c>
      <c r="O231" s="2">
        <v>107617.70000000001</v>
      </c>
      <c r="Q231" t="s">
        <v>1079</v>
      </c>
    </row>
    <row r="232" spans="1:17">
      <c r="A232" s="283" t="s">
        <v>486</v>
      </c>
      <c r="B232" s="283" t="s">
        <v>485</v>
      </c>
      <c r="C232" s="283" t="str">
        <f>CONCATENATE(B232," ",A232," SCHOOL DISTRICT")</f>
        <v>14097 QUINAULT SCHOOL DISTRICT</v>
      </c>
      <c r="D232" s="283"/>
      <c r="E232" s="548">
        <v>6409.5</v>
      </c>
      <c r="G232" s="552">
        <v>6409.5</v>
      </c>
      <c r="L232" t="s">
        <v>2472</v>
      </c>
      <c r="M232" s="316">
        <v>34307</v>
      </c>
      <c r="N232" t="s">
        <v>489</v>
      </c>
      <c r="O232" s="2">
        <v>37410.880000000005</v>
      </c>
      <c r="Q232" t="s">
        <v>1080</v>
      </c>
    </row>
    <row r="233" spans="1:17">
      <c r="A233" s="283" t="s">
        <v>488</v>
      </c>
      <c r="B233" s="283" t="s">
        <v>487</v>
      </c>
      <c r="C233" s="283" t="str">
        <f>CONCATENATE(B233," ",A233," SCHOOL DISTRICT")</f>
        <v>13144 QUINCY SCHOOL DISTRICT</v>
      </c>
      <c r="D233" s="283"/>
      <c r="E233" s="548">
        <v>102979.16</v>
      </c>
      <c r="G233" s="552">
        <v>102979.16</v>
      </c>
      <c r="L233" t="s">
        <v>2473</v>
      </c>
      <c r="M233" s="316">
        <v>17908</v>
      </c>
      <c r="N233" t="s">
        <v>491</v>
      </c>
      <c r="O233" s="2">
        <v>20183.150000000001</v>
      </c>
      <c r="Q233" t="s">
        <v>1082</v>
      </c>
    </row>
    <row r="234" spans="1:17">
      <c r="A234" s="283" t="s">
        <v>490</v>
      </c>
      <c r="B234" s="283" t="s">
        <v>489</v>
      </c>
      <c r="C234" s="283" t="str">
        <f>CONCATENATE(B234," ",A234," SCHOOL DISTRICT")</f>
        <v>34307 RAINIER SCHOOL DISTRICT</v>
      </c>
      <c r="D234" s="283"/>
      <c r="E234" s="548">
        <v>36229.360000000001</v>
      </c>
      <c r="G234" s="552">
        <v>36229.360000000001</v>
      </c>
      <c r="M234" s="316"/>
      <c r="O234" s="2"/>
    </row>
    <row r="235" spans="1:17">
      <c r="A235" s="283" t="s">
        <v>1081</v>
      </c>
      <c r="B235" s="283" t="s">
        <v>491</v>
      </c>
      <c r="C235" s="286" t="str">
        <f>CONCATENATE(B235," ",A235," CHARTER")</f>
        <v>17908 RAINIER PREP CHARTER</v>
      </c>
      <c r="D235" s="286"/>
      <c r="E235" s="548"/>
      <c r="G235" s="552"/>
      <c r="L235" t="s">
        <v>2474</v>
      </c>
      <c r="M235" s="316">
        <v>25116</v>
      </c>
      <c r="N235" t="s">
        <v>495</v>
      </c>
      <c r="O235" s="2">
        <v>25835.760000000002</v>
      </c>
      <c r="Q235" t="s">
        <v>1084</v>
      </c>
    </row>
    <row r="236" spans="1:17">
      <c r="A236" s="283" t="s">
        <v>494</v>
      </c>
      <c r="B236" s="283" t="s">
        <v>493</v>
      </c>
      <c r="C236" s="286" t="str">
        <f>CONCATENATE(B236," ",A236," CHARTER")</f>
        <v>17910 RAINIER VALLEY LEADERSHIP ACADEMY CHARTER</v>
      </c>
      <c r="D236" s="286"/>
      <c r="E236" s="548"/>
      <c r="G236" s="552"/>
      <c r="L236" t="s">
        <v>2475</v>
      </c>
      <c r="M236" s="316">
        <v>22009</v>
      </c>
      <c r="N236" t="s">
        <v>497</v>
      </c>
      <c r="O236" s="2">
        <v>32938.82</v>
      </c>
      <c r="Q236" t="s">
        <v>1085</v>
      </c>
    </row>
    <row r="237" spans="1:17">
      <c r="A237" s="283" t="s">
        <v>496</v>
      </c>
      <c r="B237" s="283" t="s">
        <v>495</v>
      </c>
      <c r="C237" s="283" t="str">
        <f t="shared" ref="C237:C270" si="9">CONCATENATE(B237," ",A237," SCHOOL DISTRICT")</f>
        <v>25116 RAYMOND SCHOOL DISTRICT</v>
      </c>
      <c r="D237" s="283"/>
      <c r="E237" s="548"/>
      <c r="G237" s="552"/>
      <c r="L237" t="s">
        <v>2476</v>
      </c>
      <c r="M237" s="316">
        <v>17403</v>
      </c>
      <c r="N237" t="s">
        <v>499</v>
      </c>
      <c r="O237" s="2">
        <v>470664.89</v>
      </c>
      <c r="Q237" t="s">
        <v>1086</v>
      </c>
    </row>
    <row r="238" spans="1:17">
      <c r="A238" s="283" t="s">
        <v>498</v>
      </c>
      <c r="B238" s="283" t="s">
        <v>497</v>
      </c>
      <c r="C238" s="283" t="str">
        <f t="shared" si="9"/>
        <v>22009 REARDAN SCHOOL DISTRICT</v>
      </c>
      <c r="D238" s="283"/>
      <c r="E238" s="548">
        <v>32075.65</v>
      </c>
      <c r="G238" s="552">
        <v>32075.65</v>
      </c>
      <c r="L238" t="s">
        <v>2477</v>
      </c>
      <c r="M238" s="316">
        <v>10309</v>
      </c>
      <c r="N238" t="s">
        <v>501</v>
      </c>
      <c r="O238" s="2">
        <v>19678.89</v>
      </c>
      <c r="Q238" t="s">
        <v>1087</v>
      </c>
    </row>
    <row r="239" spans="1:17">
      <c r="A239" s="283" t="s">
        <v>500</v>
      </c>
      <c r="B239" s="283" t="s">
        <v>499</v>
      </c>
      <c r="C239" s="283" t="str">
        <f t="shared" si="9"/>
        <v>17403 RENTON SCHOOL DISTRICT</v>
      </c>
      <c r="D239" s="283"/>
      <c r="E239" s="548">
        <v>455202.03</v>
      </c>
      <c r="G239" s="552">
        <v>455202.03</v>
      </c>
      <c r="L239" t="s">
        <v>2478</v>
      </c>
      <c r="M239" s="316">
        <v>3400</v>
      </c>
      <c r="N239" t="s">
        <v>503</v>
      </c>
      <c r="O239" s="2">
        <v>428441.85</v>
      </c>
      <c r="Q239" t="s">
        <v>1088</v>
      </c>
    </row>
    <row r="240" spans="1:17">
      <c r="A240" s="283" t="s">
        <v>502</v>
      </c>
      <c r="B240" s="283" t="s">
        <v>501</v>
      </c>
      <c r="C240" s="283" t="str">
        <f t="shared" si="9"/>
        <v>10309 REPUBLIC SCHOOL DISTRICT</v>
      </c>
      <c r="D240" s="283"/>
      <c r="E240" s="548">
        <v>19672.62</v>
      </c>
      <c r="G240" s="552">
        <v>19672.62</v>
      </c>
      <c r="L240" t="s">
        <v>2479</v>
      </c>
      <c r="M240" s="316">
        <v>6122</v>
      </c>
      <c r="N240" t="s">
        <v>505</v>
      </c>
      <c r="O240" s="2">
        <v>122575.16</v>
      </c>
      <c r="Q240" t="s">
        <v>1089</v>
      </c>
    </row>
    <row r="241" spans="1:17">
      <c r="A241" s="283" t="s">
        <v>504</v>
      </c>
      <c r="B241" s="283" t="s">
        <v>503</v>
      </c>
      <c r="C241" s="283" t="str">
        <f t="shared" si="9"/>
        <v>03400 RICHLAND SCHOOL DISTRICT</v>
      </c>
      <c r="D241" s="283"/>
      <c r="E241" s="548">
        <v>413548.74</v>
      </c>
      <c r="G241" s="552">
        <v>413548.74</v>
      </c>
      <c r="L241" t="s">
        <v>2480</v>
      </c>
      <c r="M241" s="316">
        <v>1160</v>
      </c>
      <c r="N241" t="s">
        <v>507</v>
      </c>
      <c r="O241" s="2">
        <v>21831.190000000002</v>
      </c>
      <c r="Q241" t="s">
        <v>1090</v>
      </c>
    </row>
    <row r="242" spans="1:17">
      <c r="A242" s="283" t="s">
        <v>506</v>
      </c>
      <c r="B242" s="283" t="s">
        <v>505</v>
      </c>
      <c r="C242" s="283" t="str">
        <f t="shared" si="9"/>
        <v>06122 RIDGEFIELD SCHOOL DISTRICT</v>
      </c>
      <c r="D242" s="283"/>
      <c r="E242" s="548">
        <v>119448.76000000001</v>
      </c>
      <c r="G242" s="552">
        <v>119448.76000000001</v>
      </c>
      <c r="L242" t="s">
        <v>2481</v>
      </c>
      <c r="M242" s="316">
        <v>32416</v>
      </c>
      <c r="N242" t="s">
        <v>509</v>
      </c>
      <c r="O242" s="2">
        <v>57220.270000000004</v>
      </c>
      <c r="Q242" t="s">
        <v>1091</v>
      </c>
    </row>
    <row r="243" spans="1:17">
      <c r="A243" s="283" t="s">
        <v>508</v>
      </c>
      <c r="B243" s="283" t="s">
        <v>507</v>
      </c>
      <c r="C243" s="283" t="str">
        <f t="shared" si="9"/>
        <v>01160 RITZVILLE SCHOOL DISTRICT</v>
      </c>
      <c r="D243" s="283"/>
      <c r="E243" s="548">
        <v>21299.239999999998</v>
      </c>
      <c r="G243" s="552">
        <v>21299.239999999998</v>
      </c>
      <c r="L243" t="s">
        <v>2482</v>
      </c>
      <c r="M243" s="316">
        <v>17407</v>
      </c>
      <c r="N243" t="s">
        <v>511</v>
      </c>
      <c r="O243" s="2">
        <v>105889.98000000001</v>
      </c>
      <c r="Q243" t="s">
        <v>1092</v>
      </c>
    </row>
    <row r="244" spans="1:17">
      <c r="A244" s="283" t="s">
        <v>510</v>
      </c>
      <c r="B244" s="283" t="s">
        <v>509</v>
      </c>
      <c r="C244" s="283" t="str">
        <f t="shared" si="9"/>
        <v>32416 RIVERSIDE SCHOOL DISTRICT</v>
      </c>
      <c r="D244" s="283"/>
      <c r="E244" s="548">
        <v>39444.410000000003</v>
      </c>
      <c r="G244" s="552">
        <v>39444.410000000003</v>
      </c>
      <c r="L244" t="s">
        <v>2483</v>
      </c>
      <c r="M244" s="316">
        <v>34401</v>
      </c>
      <c r="N244" t="s">
        <v>513</v>
      </c>
      <c r="O244" s="2">
        <v>74988.58</v>
      </c>
      <c r="Q244" t="s">
        <v>1093</v>
      </c>
    </row>
    <row r="245" spans="1:17">
      <c r="A245" s="283" t="s">
        <v>512</v>
      </c>
      <c r="B245" s="283" t="s">
        <v>511</v>
      </c>
      <c r="C245" s="283" t="str">
        <f t="shared" si="9"/>
        <v>17407 RIVERVIEW SCHOOL DISTRICT</v>
      </c>
      <c r="D245" s="283"/>
      <c r="E245" s="548">
        <v>104751.01999999999</v>
      </c>
      <c r="G245" s="552">
        <v>104751.01999999999</v>
      </c>
      <c r="M245" s="316"/>
      <c r="O245" s="2"/>
    </row>
    <row r="246" spans="1:17">
      <c r="A246" s="283" t="s">
        <v>514</v>
      </c>
      <c r="B246" s="283" t="s">
        <v>513</v>
      </c>
      <c r="C246" s="283" t="str">
        <f t="shared" si="9"/>
        <v>34401 ROCHESTER SCHOOL DISTRICT</v>
      </c>
      <c r="D246" s="283"/>
      <c r="E246" s="548">
        <v>72596.100000000006</v>
      </c>
      <c r="G246" s="552">
        <v>72596.100000000006</v>
      </c>
      <c r="L246" t="s">
        <v>2484</v>
      </c>
      <c r="M246" s="316">
        <v>38320</v>
      </c>
      <c r="N246" t="s">
        <v>519</v>
      </c>
      <c r="O246" s="2">
        <v>15231.95</v>
      </c>
      <c r="Q246" t="s">
        <v>1095</v>
      </c>
    </row>
    <row r="247" spans="1:17">
      <c r="A247" s="283" t="s">
        <v>518</v>
      </c>
      <c r="B247" s="283" t="s">
        <v>517</v>
      </c>
      <c r="C247" s="283" t="str">
        <f t="shared" si="9"/>
        <v>20403 ROOSEVELT SCHOOL DISTRICT</v>
      </c>
      <c r="D247" s="283"/>
      <c r="E247" s="548"/>
      <c r="G247" s="552"/>
      <c r="L247" t="s">
        <v>2485</v>
      </c>
      <c r="M247" s="316">
        <v>13160</v>
      </c>
      <c r="N247" t="s">
        <v>521</v>
      </c>
      <c r="O247" s="2">
        <v>61844.91</v>
      </c>
      <c r="Q247" t="s">
        <v>1096</v>
      </c>
    </row>
    <row r="248" spans="1:17">
      <c r="A248" s="283" t="s">
        <v>516</v>
      </c>
      <c r="B248" s="285" t="s">
        <v>515</v>
      </c>
      <c r="C248" s="283" t="str">
        <f>CONCATENATE(B248," ",A248," SCHOOL DISTRICT")</f>
        <v>06901 ROOTED VANCOUVER SCHOOL DISTRICT</v>
      </c>
      <c r="D248" s="283"/>
      <c r="E248" s="548">
        <v>5546.39</v>
      </c>
      <c r="G248" s="552">
        <v>5546.39</v>
      </c>
      <c r="L248" t="s">
        <v>2486</v>
      </c>
      <c r="M248" s="316">
        <v>28149</v>
      </c>
      <c r="N248" t="s">
        <v>523</v>
      </c>
      <c r="O248" s="2">
        <v>34065.11</v>
      </c>
      <c r="Q248" t="s">
        <v>1097</v>
      </c>
    </row>
    <row r="249" spans="1:17">
      <c r="A249" s="283" t="s">
        <v>520</v>
      </c>
      <c r="B249" s="283" t="s">
        <v>519</v>
      </c>
      <c r="C249" s="283" t="str">
        <f t="shared" si="9"/>
        <v>38320 ROSALIA SCHOOL DISTRICT</v>
      </c>
      <c r="D249" s="283"/>
      <c r="E249" s="548">
        <v>6222.52</v>
      </c>
      <c r="G249" s="552">
        <v>6222.52</v>
      </c>
      <c r="L249" t="s">
        <v>2487</v>
      </c>
      <c r="M249" s="316">
        <v>14104</v>
      </c>
      <c r="N249" t="s">
        <v>525</v>
      </c>
      <c r="O249" s="2">
        <v>11617.54</v>
      </c>
      <c r="Q249" t="s">
        <v>1098</v>
      </c>
    </row>
    <row r="250" spans="1:17">
      <c r="A250" s="283" t="s">
        <v>522</v>
      </c>
      <c r="B250" s="283" t="s">
        <v>521</v>
      </c>
      <c r="C250" s="283" t="str">
        <f t="shared" si="9"/>
        <v>13160 ROYAL SCHOOL DISTRICT</v>
      </c>
      <c r="D250" s="283"/>
      <c r="E250" s="548">
        <v>41848.519999999997</v>
      </c>
      <c r="G250" s="552">
        <v>41848.519999999997</v>
      </c>
      <c r="L250" t="s">
        <v>2488</v>
      </c>
      <c r="M250" s="316">
        <v>17001</v>
      </c>
      <c r="N250" t="s">
        <v>527</v>
      </c>
      <c r="O250" s="2">
        <v>1586828.9900000002</v>
      </c>
      <c r="Q250" t="s">
        <v>1099</v>
      </c>
    </row>
    <row r="251" spans="1:17">
      <c r="A251" s="283" t="s">
        <v>524</v>
      </c>
      <c r="B251" s="283" t="s">
        <v>523</v>
      </c>
      <c r="C251" s="283" t="str">
        <f t="shared" si="9"/>
        <v>28149 SAN JUAN SCHOOL DISTRICT</v>
      </c>
      <c r="D251" s="283"/>
      <c r="E251" s="548">
        <v>32830.870000000003</v>
      </c>
      <c r="G251" s="552">
        <v>32830.870000000003</v>
      </c>
      <c r="L251" t="s">
        <v>2489</v>
      </c>
      <c r="M251" s="316">
        <v>29101</v>
      </c>
      <c r="N251" t="s">
        <v>529</v>
      </c>
      <c r="O251" s="2">
        <v>142933.47</v>
      </c>
      <c r="Q251" t="s">
        <v>1100</v>
      </c>
    </row>
    <row r="252" spans="1:17">
      <c r="A252" s="283" t="s">
        <v>526</v>
      </c>
      <c r="B252" s="283" t="s">
        <v>525</v>
      </c>
      <c r="C252" s="283" t="str">
        <f t="shared" si="9"/>
        <v>14104 SATSOP SCHOOL DISTRICT</v>
      </c>
      <c r="D252" s="283"/>
      <c r="E252" s="548"/>
      <c r="G252" s="552"/>
      <c r="L252" t="s">
        <v>2490</v>
      </c>
      <c r="M252" s="316">
        <v>39119</v>
      </c>
      <c r="N252" t="s">
        <v>531</v>
      </c>
      <c r="O252" s="2">
        <v>129196.40000000001</v>
      </c>
      <c r="Q252" t="s">
        <v>1101</v>
      </c>
    </row>
    <row r="253" spans="1:17">
      <c r="A253" s="283" t="s">
        <v>528</v>
      </c>
      <c r="B253" s="283" t="s">
        <v>527</v>
      </c>
      <c r="C253" s="283" t="str">
        <f t="shared" si="9"/>
        <v>17001 SEATTLE SCHOOL DISTRICT</v>
      </c>
      <c r="D253" s="283"/>
      <c r="E253" s="548">
        <v>1512653.8900000001</v>
      </c>
      <c r="G253" s="552">
        <v>1512653.8900000001</v>
      </c>
      <c r="L253" t="s">
        <v>2491</v>
      </c>
      <c r="M253" s="316">
        <v>26070</v>
      </c>
      <c r="N253" t="s">
        <v>533</v>
      </c>
      <c r="O253" s="2">
        <v>17716.29</v>
      </c>
      <c r="Q253" t="s">
        <v>1102</v>
      </c>
    </row>
    <row r="254" spans="1:17">
      <c r="A254" s="283" t="s">
        <v>530</v>
      </c>
      <c r="B254" s="283" t="s">
        <v>529</v>
      </c>
      <c r="C254" s="283" t="str">
        <f t="shared" si="9"/>
        <v>29101 SEDRO WOOLLEY SCHOOL DISTRICT</v>
      </c>
      <c r="D254" s="283"/>
      <c r="E254" s="548">
        <v>37066.11</v>
      </c>
      <c r="G254" s="552">
        <v>37066.11</v>
      </c>
      <c r="L254" t="s">
        <v>2492</v>
      </c>
      <c r="M254" s="316">
        <v>5323</v>
      </c>
      <c r="N254" t="s">
        <v>535</v>
      </c>
      <c r="O254" s="2">
        <v>87391.66</v>
      </c>
      <c r="Q254" t="s">
        <v>1103</v>
      </c>
    </row>
    <row r="255" spans="1:17">
      <c r="A255" s="283" t="s">
        <v>532</v>
      </c>
      <c r="B255" s="283" t="s">
        <v>531</v>
      </c>
      <c r="C255" s="283" t="str">
        <f t="shared" si="9"/>
        <v>39119 SELAH SCHOOL DISTRICT</v>
      </c>
      <c r="D255" s="283"/>
      <c r="E255" s="548">
        <v>122731.06</v>
      </c>
      <c r="G255" s="552">
        <v>122731.06</v>
      </c>
      <c r="M255" s="316"/>
      <c r="O255" s="2"/>
    </row>
    <row r="256" spans="1:17">
      <c r="A256" s="283" t="s">
        <v>534</v>
      </c>
      <c r="B256" s="283" t="s">
        <v>533</v>
      </c>
      <c r="C256" s="283" t="str">
        <f t="shared" si="9"/>
        <v>26070 SELKIRK SCHOOL DISTRICT</v>
      </c>
      <c r="D256" s="283"/>
      <c r="E256" s="548">
        <v>17697.43</v>
      </c>
      <c r="G256" s="552">
        <v>17697.43</v>
      </c>
      <c r="L256" t="s">
        <v>2493</v>
      </c>
      <c r="M256" s="316">
        <v>23309</v>
      </c>
      <c r="N256" t="s">
        <v>539</v>
      </c>
      <c r="O256" s="2">
        <v>72885.78</v>
      </c>
      <c r="Q256" t="s">
        <v>1105</v>
      </c>
    </row>
    <row r="257" spans="1:17">
      <c r="A257" s="283" t="s">
        <v>536</v>
      </c>
      <c r="B257" s="283" t="s">
        <v>535</v>
      </c>
      <c r="C257" s="283" t="str">
        <f t="shared" si="9"/>
        <v>05323 SEQUIM SCHOOL DISTRICT</v>
      </c>
      <c r="D257" s="283"/>
      <c r="E257" s="548">
        <v>84621.52</v>
      </c>
      <c r="G257" s="552">
        <v>84621.52</v>
      </c>
      <c r="L257" t="s">
        <v>2494</v>
      </c>
      <c r="M257" s="316">
        <v>17412</v>
      </c>
      <c r="N257" t="s">
        <v>541</v>
      </c>
      <c r="O257" s="2">
        <v>294649.11</v>
      </c>
      <c r="Q257" t="s">
        <v>1106</v>
      </c>
    </row>
    <row r="258" spans="1:17">
      <c r="A258" s="283" t="s">
        <v>538</v>
      </c>
      <c r="B258" s="283" t="s">
        <v>537</v>
      </c>
      <c r="C258" s="283" t="str">
        <f t="shared" si="9"/>
        <v>28010 SHAW SCHOOL DISTRICT</v>
      </c>
      <c r="D258" s="283"/>
      <c r="E258" s="548"/>
      <c r="G258" s="552"/>
      <c r="L258" t="s">
        <v>2495</v>
      </c>
      <c r="M258" s="316">
        <v>30002</v>
      </c>
      <c r="N258" t="s">
        <v>543</v>
      </c>
      <c r="O258" s="2">
        <v>12035.7</v>
      </c>
      <c r="Q258" t="s">
        <v>1107</v>
      </c>
    </row>
    <row r="259" spans="1:17">
      <c r="A259" s="283" t="s">
        <v>540</v>
      </c>
      <c r="B259" s="283" t="s">
        <v>539</v>
      </c>
      <c r="C259" s="283" t="str">
        <f t="shared" si="9"/>
        <v>23309 SHELTON SCHOOL DISTRICT</v>
      </c>
      <c r="D259" s="283"/>
      <c r="E259" s="548">
        <v>136063.59999999998</v>
      </c>
      <c r="G259" s="552">
        <v>136063.59999999998</v>
      </c>
      <c r="L259" t="s">
        <v>2496</v>
      </c>
      <c r="M259" s="316">
        <v>17404</v>
      </c>
      <c r="N259" t="s">
        <v>545</v>
      </c>
      <c r="O259" s="2">
        <v>11206.48</v>
      </c>
      <c r="Q259" t="s">
        <v>1108</v>
      </c>
    </row>
    <row r="260" spans="1:17">
      <c r="A260" s="283" t="s">
        <v>542</v>
      </c>
      <c r="B260" s="283" t="s">
        <v>541</v>
      </c>
      <c r="C260" s="283" t="str">
        <f t="shared" si="9"/>
        <v>17412 SHORELINE SCHOOL DISTRICT</v>
      </c>
      <c r="D260" s="283"/>
      <c r="E260" s="548">
        <v>282605.27</v>
      </c>
      <c r="G260" s="552">
        <v>282605.27</v>
      </c>
      <c r="L260" t="s">
        <v>2497</v>
      </c>
      <c r="M260" s="316">
        <v>31201</v>
      </c>
      <c r="N260" t="s">
        <v>547</v>
      </c>
      <c r="O260" s="2">
        <v>286841.58</v>
      </c>
      <c r="Q260" t="s">
        <v>1109</v>
      </c>
    </row>
    <row r="261" spans="1:17">
      <c r="A261" s="283" t="s">
        <v>544</v>
      </c>
      <c r="B261" s="285" t="s">
        <v>543</v>
      </c>
      <c r="C261" s="283" t="str">
        <f t="shared" si="9"/>
        <v>30002 SKAMANIA SCHOOL DISTRICT</v>
      </c>
      <c r="D261" s="283"/>
      <c r="E261" s="548">
        <v>12120.43</v>
      </c>
      <c r="G261" s="552">
        <v>12120.43</v>
      </c>
      <c r="L261" t="s">
        <v>2498</v>
      </c>
      <c r="M261" s="316">
        <v>17410</v>
      </c>
      <c r="N261" t="s">
        <v>549</v>
      </c>
      <c r="O261" s="2">
        <v>214926.39</v>
      </c>
      <c r="Q261" t="s">
        <v>1110</v>
      </c>
    </row>
    <row r="262" spans="1:17">
      <c r="A262" s="283" t="s">
        <v>546</v>
      </c>
      <c r="B262" s="283" t="s">
        <v>545</v>
      </c>
      <c r="C262" s="283" t="str">
        <f t="shared" si="9"/>
        <v>17404 SKYKOMISH SCHOOL DISTRICT</v>
      </c>
      <c r="D262" s="283"/>
      <c r="E262" s="548">
        <v>11103.78</v>
      </c>
      <c r="G262" s="552">
        <v>11103.78</v>
      </c>
      <c r="L262" t="s">
        <v>2499</v>
      </c>
      <c r="M262" s="316">
        <v>13156</v>
      </c>
      <c r="N262" t="s">
        <v>551</v>
      </c>
      <c r="O262" s="2">
        <v>25749.4</v>
      </c>
      <c r="Q262" t="s">
        <v>1111</v>
      </c>
    </row>
    <row r="263" spans="1:17">
      <c r="A263" s="283" t="s">
        <v>548</v>
      </c>
      <c r="B263" s="283" t="s">
        <v>547</v>
      </c>
      <c r="C263" s="283" t="str">
        <f t="shared" si="9"/>
        <v>31201 SNOHOMISH SCHOOL DISTRICT</v>
      </c>
      <c r="D263" s="283"/>
      <c r="E263" s="548">
        <v>279526.3</v>
      </c>
      <c r="G263" s="552">
        <v>279526.3</v>
      </c>
      <c r="L263" t="s">
        <v>2500</v>
      </c>
      <c r="M263" s="316">
        <v>25118</v>
      </c>
      <c r="N263" t="s">
        <v>553</v>
      </c>
      <c r="O263" s="2">
        <v>26106.010000000002</v>
      </c>
      <c r="Q263" t="s">
        <v>1112</v>
      </c>
    </row>
    <row r="264" spans="1:17">
      <c r="A264" s="283" t="s">
        <v>550</v>
      </c>
      <c r="B264" s="283" t="s">
        <v>549</v>
      </c>
      <c r="C264" s="283" t="str">
        <f t="shared" si="9"/>
        <v>17410 SNOQUALMIE VALLEY SCHOOL DISTRICT</v>
      </c>
      <c r="D264" s="283"/>
      <c r="E264" s="548">
        <v>205718.1</v>
      </c>
      <c r="G264" s="552">
        <v>205718.1</v>
      </c>
      <c r="L264" t="s">
        <v>2501</v>
      </c>
      <c r="M264" s="316">
        <v>18402</v>
      </c>
      <c r="N264" t="s">
        <v>555</v>
      </c>
      <c r="O264" s="2">
        <v>288473.2</v>
      </c>
      <c r="Q264" t="s">
        <v>1113</v>
      </c>
    </row>
    <row r="265" spans="1:17">
      <c r="A265" s="283" t="s">
        <v>552</v>
      </c>
      <c r="B265" s="283" t="s">
        <v>551</v>
      </c>
      <c r="C265" s="283" t="str">
        <f t="shared" si="9"/>
        <v>13156 SOAP LAKE SCHOOL DISTRICT</v>
      </c>
      <c r="D265" s="283"/>
      <c r="E265" s="548">
        <v>15556.25</v>
      </c>
      <c r="G265" s="552">
        <v>15556.25</v>
      </c>
      <c r="L265" t="s">
        <v>2502</v>
      </c>
      <c r="M265" s="316">
        <v>15206</v>
      </c>
      <c r="N265" t="s">
        <v>557</v>
      </c>
      <c r="O265" s="2">
        <v>46386.75</v>
      </c>
      <c r="Q265" t="s">
        <v>1114</v>
      </c>
    </row>
    <row r="266" spans="1:17">
      <c r="A266" s="283" t="s">
        <v>554</v>
      </c>
      <c r="B266" s="283" t="s">
        <v>553</v>
      </c>
      <c r="C266" s="283" t="str">
        <f t="shared" si="9"/>
        <v>25118 SOUTH BEND SCHOOL DISTRICT</v>
      </c>
      <c r="D266" s="283"/>
      <c r="E266" s="548">
        <v>25975.8</v>
      </c>
      <c r="G266" s="552">
        <v>25975.8</v>
      </c>
      <c r="L266" t="s">
        <v>2503</v>
      </c>
      <c r="M266" s="316">
        <v>23042</v>
      </c>
      <c r="N266" t="s">
        <v>559</v>
      </c>
      <c r="O266" s="2">
        <v>15995.6</v>
      </c>
      <c r="Q266" t="s">
        <v>1115</v>
      </c>
    </row>
    <row r="267" spans="1:17">
      <c r="A267" s="283" t="s">
        <v>556</v>
      </c>
      <c r="B267" s="283" t="s">
        <v>555</v>
      </c>
      <c r="C267" s="283" t="str">
        <f t="shared" si="9"/>
        <v>18402 SOUTH KITSAP SCHOOL DISTRICT</v>
      </c>
      <c r="D267" s="283"/>
      <c r="E267" s="548">
        <v>279671.53999999998</v>
      </c>
      <c r="G267" s="552">
        <v>279671.53999999998</v>
      </c>
      <c r="L267" t="s">
        <v>2504</v>
      </c>
      <c r="M267" s="316">
        <v>32081</v>
      </c>
      <c r="N267" t="s">
        <v>561</v>
      </c>
      <c r="O267" s="2">
        <v>892356.54</v>
      </c>
      <c r="Q267" t="s">
        <v>1116</v>
      </c>
    </row>
    <row r="268" spans="1:17">
      <c r="A268" s="283" t="s">
        <v>558</v>
      </c>
      <c r="B268" s="283" t="s">
        <v>557</v>
      </c>
      <c r="C268" s="283" t="str">
        <f t="shared" si="9"/>
        <v>15206 SOUTH WHIDBEY SCHOOL DISTRICT</v>
      </c>
      <c r="D268" s="283"/>
      <c r="E268" s="548">
        <v>44536.78</v>
      </c>
      <c r="G268" s="552">
        <v>44536.78</v>
      </c>
      <c r="L268" t="s">
        <v>2505</v>
      </c>
      <c r="M268" s="316">
        <v>32901</v>
      </c>
      <c r="N268" t="s">
        <v>563</v>
      </c>
      <c r="O268" s="2">
        <v>31526.760000000002</v>
      </c>
      <c r="Q268" t="s">
        <v>1118</v>
      </c>
    </row>
    <row r="269" spans="1:17">
      <c r="A269" s="283" t="s">
        <v>560</v>
      </c>
      <c r="B269" s="283" t="s">
        <v>559</v>
      </c>
      <c r="C269" s="283" t="str">
        <f t="shared" si="9"/>
        <v>23042 SOUTHSIDE SCHOOL DISTRICT</v>
      </c>
      <c r="D269" s="283"/>
      <c r="E269" s="548">
        <v>15635.099999999999</v>
      </c>
      <c r="G269" s="552">
        <v>15635.099999999999</v>
      </c>
      <c r="L269" t="s">
        <v>2506</v>
      </c>
      <c r="M269" s="316">
        <v>22008</v>
      </c>
      <c r="N269" t="s">
        <v>565</v>
      </c>
      <c r="O269" s="2">
        <v>12137.23</v>
      </c>
      <c r="Q269" t="s">
        <v>1119</v>
      </c>
    </row>
    <row r="270" spans="1:17">
      <c r="A270" s="283" t="s">
        <v>562</v>
      </c>
      <c r="B270" s="283" t="s">
        <v>561</v>
      </c>
      <c r="C270" s="283" t="str">
        <f t="shared" si="9"/>
        <v>32081 SPOKANE SCHOOL DISTRICT</v>
      </c>
      <c r="D270" s="283"/>
      <c r="E270" s="548">
        <v>842339.27</v>
      </c>
      <c r="G270" s="552">
        <v>842339.27</v>
      </c>
      <c r="L270" t="s">
        <v>2507</v>
      </c>
      <c r="M270" s="316">
        <v>38322</v>
      </c>
      <c r="N270" t="s">
        <v>567</v>
      </c>
      <c r="O270" s="2">
        <v>14321.64</v>
      </c>
      <c r="Q270" t="s">
        <v>1120</v>
      </c>
    </row>
    <row r="271" spans="1:17">
      <c r="A271" s="283" t="s">
        <v>1117</v>
      </c>
      <c r="B271" s="283" t="s">
        <v>563</v>
      </c>
      <c r="C271" s="286" t="str">
        <f>CONCATENATE(B271," ",A271," CHARTER")</f>
        <v>32901 SPOKANE INT'L CHARTER</v>
      </c>
      <c r="D271" s="286"/>
      <c r="E271" s="548">
        <v>31320.43</v>
      </c>
      <c r="G271" s="552">
        <v>31320.43</v>
      </c>
      <c r="L271" t="s">
        <v>2508</v>
      </c>
      <c r="M271" s="316">
        <v>31401</v>
      </c>
      <c r="N271" t="s">
        <v>569</v>
      </c>
      <c r="O271" s="2">
        <v>147103.39000000001</v>
      </c>
      <c r="Q271" t="s">
        <v>1121</v>
      </c>
    </row>
    <row r="272" spans="1:17">
      <c r="A272" s="283" t="s">
        <v>566</v>
      </c>
      <c r="B272" s="283" t="s">
        <v>565</v>
      </c>
      <c r="C272" s="283" t="str">
        <f t="shared" ref="C272:C282" si="10">CONCATENATE(B272," ",A272," SCHOOL DISTRICT")</f>
        <v>22008 SPRAGUE SCHOOL DISTRICT</v>
      </c>
      <c r="D272" s="283"/>
      <c r="E272" s="548">
        <v>6486.18</v>
      </c>
      <c r="G272" s="552">
        <v>6486.18</v>
      </c>
      <c r="M272" s="316"/>
      <c r="O272" s="2"/>
    </row>
    <row r="273" spans="1:17">
      <c r="A273" s="283" t="s">
        <v>568</v>
      </c>
      <c r="B273" s="283" t="s">
        <v>567</v>
      </c>
      <c r="C273" s="283" t="str">
        <f t="shared" si="10"/>
        <v>38322 ST JOHN SCHOOL DISTRICT</v>
      </c>
      <c r="D273" s="283"/>
      <c r="E273" s="548">
        <v>14327.99</v>
      </c>
      <c r="G273" s="552">
        <v>14327.99</v>
      </c>
      <c r="L273" t="s">
        <v>2509</v>
      </c>
      <c r="M273" s="316">
        <v>7035</v>
      </c>
      <c r="N273" t="s">
        <v>573</v>
      </c>
      <c r="O273" s="2">
        <v>10782.04</v>
      </c>
      <c r="Q273" t="s">
        <v>1123</v>
      </c>
    </row>
    <row r="274" spans="1:17">
      <c r="A274" s="283" t="s">
        <v>570</v>
      </c>
      <c r="B274" s="283" t="s">
        <v>569</v>
      </c>
      <c r="C274" s="283" t="str">
        <f t="shared" si="10"/>
        <v>31401 STANWOOD SCHOOL DISTRICT</v>
      </c>
      <c r="D274" s="283"/>
      <c r="E274" s="548">
        <v>149192.81</v>
      </c>
      <c r="G274" s="552">
        <v>149192.81</v>
      </c>
      <c r="M274" s="316"/>
      <c r="O274" s="2"/>
    </row>
    <row r="275" spans="1:17">
      <c r="A275" s="283" t="s">
        <v>572</v>
      </c>
      <c r="B275" s="283" t="s">
        <v>571</v>
      </c>
      <c r="C275" s="283" t="str">
        <f t="shared" si="10"/>
        <v>11054 STAR SCHOOL DISTRICT</v>
      </c>
      <c r="D275" s="283"/>
      <c r="E275" s="548"/>
      <c r="G275" s="552"/>
      <c r="L275" t="s">
        <v>2510</v>
      </c>
      <c r="M275" s="316">
        <v>27001</v>
      </c>
      <c r="N275" t="s">
        <v>577</v>
      </c>
      <c r="O275" s="2">
        <v>104343.32</v>
      </c>
      <c r="Q275" t="s">
        <v>1125</v>
      </c>
    </row>
    <row r="276" spans="1:17">
      <c r="A276" s="283" t="s">
        <v>574</v>
      </c>
      <c r="B276" s="283" t="s">
        <v>573</v>
      </c>
      <c r="C276" s="283" t="str">
        <f t="shared" si="10"/>
        <v>07035 STARBUCK SCHOOL DISTRICT</v>
      </c>
      <c r="D276" s="283"/>
      <c r="E276" s="548">
        <v>10639.560000000001</v>
      </c>
      <c r="G276" s="552">
        <v>10639.560000000001</v>
      </c>
      <c r="M276" s="316"/>
      <c r="O276" s="2"/>
    </row>
    <row r="277" spans="1:17">
      <c r="A277" s="283" t="s">
        <v>576</v>
      </c>
      <c r="B277" s="283" t="s">
        <v>575</v>
      </c>
      <c r="C277" s="283" t="str">
        <f t="shared" si="10"/>
        <v>04069 STEHEKIN SCHOOL DISTRICT</v>
      </c>
      <c r="D277" s="283"/>
      <c r="E277" s="548"/>
      <c r="G277" s="552"/>
      <c r="L277" t="s">
        <v>2511</v>
      </c>
      <c r="M277" s="316">
        <v>30303</v>
      </c>
      <c r="N277" t="s">
        <v>581</v>
      </c>
      <c r="O277" s="2">
        <v>35053.899999999994</v>
      </c>
      <c r="Q277" t="s">
        <v>1127</v>
      </c>
    </row>
    <row r="278" spans="1:17">
      <c r="A278" s="283" t="s">
        <v>578</v>
      </c>
      <c r="B278" s="283" t="s">
        <v>577</v>
      </c>
      <c r="C278" s="283" t="str">
        <f t="shared" si="10"/>
        <v>27001 STEILACOOM HIST. SCHOOL DISTRICT</v>
      </c>
      <c r="D278" s="283"/>
      <c r="E278" s="548">
        <v>27314.67</v>
      </c>
      <c r="G278" s="552">
        <v>27314.67</v>
      </c>
      <c r="L278" t="s">
        <v>2512</v>
      </c>
      <c r="M278" s="316">
        <v>31311</v>
      </c>
      <c r="N278" t="s">
        <v>583</v>
      </c>
      <c r="O278" s="2">
        <v>70748.84</v>
      </c>
      <c r="Q278" t="s">
        <v>1128</v>
      </c>
    </row>
    <row r="279" spans="1:17">
      <c r="A279" s="283" t="s">
        <v>580</v>
      </c>
      <c r="B279" s="283" t="s">
        <v>579</v>
      </c>
      <c r="C279" s="283" t="str">
        <f t="shared" si="10"/>
        <v>38304 STEPTOE SCHOOL DISTRICT</v>
      </c>
      <c r="D279" s="283"/>
      <c r="E279" s="548"/>
      <c r="G279" s="552"/>
      <c r="L279" t="s">
        <v>2513</v>
      </c>
      <c r="M279" s="316">
        <v>33202</v>
      </c>
      <c r="N279" t="s">
        <v>585</v>
      </c>
      <c r="O279" s="2">
        <v>12529.91</v>
      </c>
      <c r="Q279" t="s">
        <v>1129</v>
      </c>
    </row>
    <row r="280" spans="1:17">
      <c r="A280" s="283" t="s">
        <v>582</v>
      </c>
      <c r="B280" s="283" t="s">
        <v>581</v>
      </c>
      <c r="C280" s="283" t="str">
        <f t="shared" si="10"/>
        <v>30303 STEVENSON-CARSON SCHOOL DISTRICT</v>
      </c>
      <c r="D280" s="283"/>
      <c r="E280" s="548">
        <v>34196.080000000002</v>
      </c>
      <c r="G280" s="552">
        <v>34196.080000000002</v>
      </c>
      <c r="L280" t="s">
        <v>2514</v>
      </c>
      <c r="M280" s="316">
        <v>17905</v>
      </c>
      <c r="N280" t="s">
        <v>587</v>
      </c>
      <c r="O280" s="2">
        <v>24373.21</v>
      </c>
      <c r="Q280" t="s">
        <v>1131</v>
      </c>
    </row>
    <row r="281" spans="1:17">
      <c r="A281" s="283" t="s">
        <v>584</v>
      </c>
      <c r="B281" s="283" t="s">
        <v>583</v>
      </c>
      <c r="C281" s="283" t="str">
        <f t="shared" si="10"/>
        <v>31311 SULTAN SCHOOL DISTRICT</v>
      </c>
      <c r="D281" s="283"/>
      <c r="E281" s="548">
        <v>68210.009999999995</v>
      </c>
      <c r="G281" s="552">
        <v>68210.009999999995</v>
      </c>
      <c r="L281" t="s">
        <v>2515</v>
      </c>
      <c r="M281" s="316">
        <v>27905</v>
      </c>
      <c r="N281" t="s">
        <v>589</v>
      </c>
      <c r="O281" s="2">
        <v>15550.27</v>
      </c>
      <c r="Q281" t="s">
        <v>1133</v>
      </c>
    </row>
    <row r="282" spans="1:17">
      <c r="A282" s="283" t="s">
        <v>586</v>
      </c>
      <c r="B282" s="283" t="s">
        <v>585</v>
      </c>
      <c r="C282" s="283" t="str">
        <f t="shared" si="10"/>
        <v>33202 SUMMIT VALLEY SCHOOL DISTRICT</v>
      </c>
      <c r="D282" s="283"/>
      <c r="E282" s="548">
        <v>12439.95</v>
      </c>
      <c r="G282" s="552">
        <v>12439.95</v>
      </c>
      <c r="L282" t="s">
        <v>2516</v>
      </c>
      <c r="M282" s="316">
        <v>17902</v>
      </c>
      <c r="N282" t="s">
        <v>591</v>
      </c>
      <c r="O282" s="2">
        <v>18510.54</v>
      </c>
      <c r="Q282" t="s">
        <v>1135</v>
      </c>
    </row>
    <row r="283" spans="1:17">
      <c r="A283" s="283" t="s">
        <v>1130</v>
      </c>
      <c r="B283" s="353" t="s">
        <v>587</v>
      </c>
      <c r="C283" s="353" t="str">
        <f>CONCATENATE(B283," ",A283," CHARTER")</f>
        <v>17905 SUMMIT: ATLAS CHARTER</v>
      </c>
      <c r="D283" s="353"/>
      <c r="E283" s="548">
        <v>23826.33</v>
      </c>
      <c r="G283" s="552">
        <v>23826.33</v>
      </c>
      <c r="L283" t="s">
        <v>2517</v>
      </c>
      <c r="M283" s="316">
        <v>27320</v>
      </c>
      <c r="N283" t="s">
        <v>593</v>
      </c>
      <c r="O283" s="2">
        <v>318669.26</v>
      </c>
      <c r="Q283" t="s">
        <v>1137</v>
      </c>
    </row>
    <row r="284" spans="1:17">
      <c r="A284" s="283" t="s">
        <v>1132</v>
      </c>
      <c r="B284" s="353" t="s">
        <v>589</v>
      </c>
      <c r="C284" s="353" t="str">
        <f>CONCATENATE(B284," ",A284," CHARTER")</f>
        <v>27905 SUMMIT: OLYMPUS CHARTER</v>
      </c>
      <c r="D284" s="353"/>
      <c r="E284" s="548">
        <v>6308.82</v>
      </c>
      <c r="G284" s="552">
        <v>6308.82</v>
      </c>
      <c r="L284" t="s">
        <v>2518</v>
      </c>
      <c r="M284" s="316">
        <v>39201</v>
      </c>
      <c r="N284" t="s">
        <v>595</v>
      </c>
      <c r="O284" s="2">
        <v>207041.14</v>
      </c>
      <c r="Q284" t="s">
        <v>1138</v>
      </c>
    </row>
    <row r="285" spans="1:17">
      <c r="A285" s="283" t="s">
        <v>1134</v>
      </c>
      <c r="B285" s="353" t="s">
        <v>591</v>
      </c>
      <c r="C285" s="353" t="str">
        <f>CONCATENATE(B285," ",A285," CHARTER")</f>
        <v>17902 SUMMIT: SIERRA CHARTER</v>
      </c>
      <c r="D285" s="353"/>
      <c r="E285" s="548">
        <v>17319.82</v>
      </c>
      <c r="G285" s="552">
        <v>17319.82</v>
      </c>
      <c r="M285" s="316"/>
      <c r="O285" s="2"/>
    </row>
    <row r="286" spans="1:17">
      <c r="A286" s="283" t="s">
        <v>1136</v>
      </c>
      <c r="B286" s="283" t="s">
        <v>593</v>
      </c>
      <c r="C286" s="283" t="str">
        <f>CONCATENATE(B286," ",A286," SCHOOL DISTRICT")</f>
        <v>27320 SUMNER SCHOOL DISTRICT</v>
      </c>
      <c r="D286" s="283"/>
      <c r="E286" s="548">
        <v>308311.78000000003</v>
      </c>
      <c r="G286" s="552">
        <v>308311.78000000003</v>
      </c>
      <c r="L286" t="s">
        <v>2519</v>
      </c>
      <c r="M286" s="316">
        <v>27010</v>
      </c>
      <c r="N286" t="s">
        <v>599</v>
      </c>
      <c r="O286" s="2">
        <v>858022.23</v>
      </c>
      <c r="Q286" t="s">
        <v>1141</v>
      </c>
    </row>
    <row r="287" spans="1:17">
      <c r="A287" s="283" t="s">
        <v>596</v>
      </c>
      <c r="B287" s="283" t="s">
        <v>595</v>
      </c>
      <c r="C287" s="283" t="str">
        <f>CONCATENATE(B287," ",A287," SCHOOL DISTRICT")</f>
        <v>39201 SUNNYSIDE SCHOOL DISTRICT</v>
      </c>
      <c r="D287" s="283"/>
      <c r="E287" s="548">
        <v>195319.3</v>
      </c>
      <c r="G287" s="552">
        <v>195319.3</v>
      </c>
      <c r="L287" t="s">
        <v>2520</v>
      </c>
      <c r="M287" s="316">
        <v>14077</v>
      </c>
      <c r="N287" t="s">
        <v>601</v>
      </c>
      <c r="O287" s="2">
        <v>15018.48</v>
      </c>
      <c r="Q287" t="s">
        <v>1142</v>
      </c>
    </row>
    <row r="288" spans="1:17">
      <c r="A288" s="283" t="s">
        <v>1139</v>
      </c>
      <c r="B288" s="283" t="s">
        <v>597</v>
      </c>
      <c r="C288" s="286" t="str">
        <f>CONCATENATE(B288," ",A288," TRIBAL COMPACT")</f>
        <v>18902 SUQUAMISH TRIBAL COMPACT</v>
      </c>
      <c r="D288" s="286"/>
      <c r="E288" s="548"/>
      <c r="G288" s="552"/>
      <c r="L288" t="s">
        <v>2521</v>
      </c>
      <c r="M288" s="316">
        <v>17409</v>
      </c>
      <c r="N288" t="s">
        <v>603</v>
      </c>
      <c r="O288" s="2">
        <v>280353.07</v>
      </c>
      <c r="Q288" t="s">
        <v>1143</v>
      </c>
    </row>
    <row r="289" spans="1:17">
      <c r="A289" s="283" t="s">
        <v>600</v>
      </c>
      <c r="B289" s="283" t="s">
        <v>599</v>
      </c>
      <c r="C289" s="283" t="str">
        <f t="shared" ref="C289:C307" si="11">CONCATENATE(B289," ",A289," SCHOOL DISTRICT")</f>
        <v>27010 TACOMA SCHOOL DISTRICT</v>
      </c>
      <c r="D289" s="283"/>
      <c r="E289" s="548">
        <v>841845.48</v>
      </c>
      <c r="G289" s="552">
        <v>841845.48</v>
      </c>
      <c r="L289" t="s">
        <v>2522</v>
      </c>
      <c r="M289" s="316">
        <v>38265</v>
      </c>
      <c r="N289" t="s">
        <v>605</v>
      </c>
      <c r="O289" s="2">
        <v>17012.02</v>
      </c>
      <c r="Q289" t="s">
        <v>1144</v>
      </c>
    </row>
    <row r="290" spans="1:17">
      <c r="A290" s="283" t="s">
        <v>602</v>
      </c>
      <c r="B290" s="283" t="s">
        <v>601</v>
      </c>
      <c r="C290" s="283" t="str">
        <f t="shared" si="11"/>
        <v>14077 TAHOLAH SCHOOL DISTRICT</v>
      </c>
      <c r="D290" s="283"/>
      <c r="E290" s="548">
        <v>8562.4599999999991</v>
      </c>
      <c r="G290" s="552">
        <v>8562.4599999999991</v>
      </c>
      <c r="L290" t="s">
        <v>2523</v>
      </c>
      <c r="M290" s="316">
        <v>34402</v>
      </c>
      <c r="N290" t="s">
        <v>607</v>
      </c>
      <c r="O290" s="2">
        <v>48261.979999999996</v>
      </c>
      <c r="Q290" t="s">
        <v>1145</v>
      </c>
    </row>
    <row r="291" spans="1:17">
      <c r="A291" s="283" t="s">
        <v>604</v>
      </c>
      <c r="B291" s="283" t="s">
        <v>603</v>
      </c>
      <c r="C291" s="283" t="str">
        <f t="shared" si="11"/>
        <v>17409 TAHOMA SCHOOL DISTRICT</v>
      </c>
      <c r="D291" s="283"/>
      <c r="E291" s="548">
        <v>274704.51</v>
      </c>
      <c r="G291" s="552">
        <v>274704.51</v>
      </c>
      <c r="L291" t="s">
        <v>2524</v>
      </c>
      <c r="M291" s="316">
        <v>19400</v>
      </c>
      <c r="N291" t="s">
        <v>609</v>
      </c>
      <c r="O291" s="2">
        <v>17617.27</v>
      </c>
      <c r="Q291" t="s">
        <v>1146</v>
      </c>
    </row>
    <row r="292" spans="1:17">
      <c r="A292" s="283" t="s">
        <v>606</v>
      </c>
      <c r="B292" s="283" t="s">
        <v>605</v>
      </c>
      <c r="C292" s="283" t="str">
        <f t="shared" si="11"/>
        <v>38265 TEKOA SCHOOL DISTRICT</v>
      </c>
      <c r="D292" s="283"/>
      <c r="E292" s="548">
        <v>16157.95</v>
      </c>
      <c r="G292" s="552">
        <v>16157.95</v>
      </c>
      <c r="L292" t="s">
        <v>2525</v>
      </c>
      <c r="M292" s="316">
        <v>21237</v>
      </c>
      <c r="N292" t="s">
        <v>611</v>
      </c>
      <c r="O292" s="2">
        <v>34771.899999999994</v>
      </c>
      <c r="Q292" t="s">
        <v>1147</v>
      </c>
    </row>
    <row r="293" spans="1:17">
      <c r="A293" s="283" t="s">
        <v>608</v>
      </c>
      <c r="B293" s="283" t="s">
        <v>607</v>
      </c>
      <c r="C293" s="283" t="str">
        <f t="shared" si="11"/>
        <v>34402 TENINO SCHOOL DISTRICT</v>
      </c>
      <c r="D293" s="283"/>
      <c r="E293" s="548">
        <v>14176.13</v>
      </c>
      <c r="G293" s="552">
        <v>14176.13</v>
      </c>
      <c r="L293" t="s">
        <v>2526</v>
      </c>
      <c r="M293" s="316">
        <v>24404</v>
      </c>
      <c r="N293" t="s">
        <v>613</v>
      </c>
      <c r="O293" s="2">
        <v>43793.340000000004</v>
      </c>
      <c r="Q293" t="s">
        <v>1148</v>
      </c>
    </row>
    <row r="294" spans="1:17">
      <c r="A294" s="283" t="s">
        <v>610</v>
      </c>
      <c r="B294" s="283" t="s">
        <v>609</v>
      </c>
      <c r="C294" s="283" t="str">
        <f t="shared" si="11"/>
        <v>19400 THORP SCHOOL DISTRICT</v>
      </c>
      <c r="D294" s="283"/>
      <c r="E294" s="548"/>
      <c r="G294" s="552"/>
      <c r="L294" t="s">
        <v>2527</v>
      </c>
      <c r="M294" s="316">
        <v>39202</v>
      </c>
      <c r="N294" t="s">
        <v>615</v>
      </c>
      <c r="O294" s="2">
        <v>127908.84</v>
      </c>
      <c r="Q294" t="s">
        <v>1149</v>
      </c>
    </row>
    <row r="295" spans="1:17">
      <c r="A295" s="283" t="s">
        <v>612</v>
      </c>
      <c r="B295" s="283" t="s">
        <v>611</v>
      </c>
      <c r="C295" s="283" t="str">
        <f t="shared" si="11"/>
        <v>21237 TOLEDO SCHOOL DISTRICT</v>
      </c>
      <c r="D295" s="283"/>
      <c r="E295" s="548">
        <v>34108.94</v>
      </c>
      <c r="G295" s="552">
        <v>34108.94</v>
      </c>
      <c r="L295" t="s">
        <v>2528</v>
      </c>
      <c r="M295" s="316">
        <v>36300</v>
      </c>
      <c r="N295" t="s">
        <v>617</v>
      </c>
      <c r="O295" s="2">
        <v>16603.82</v>
      </c>
      <c r="Q295" t="s">
        <v>1150</v>
      </c>
    </row>
    <row r="296" spans="1:17">
      <c r="A296" s="283" t="s">
        <v>614</v>
      </c>
      <c r="B296" s="283" t="s">
        <v>613</v>
      </c>
      <c r="C296" s="283" t="str">
        <f t="shared" si="11"/>
        <v>24404 TONASKET SCHOOL DISTRICT</v>
      </c>
      <c r="D296" s="283"/>
      <c r="E296" s="548">
        <v>42096.84</v>
      </c>
      <c r="G296" s="552">
        <v>42096.84</v>
      </c>
      <c r="M296" s="316"/>
      <c r="O296" s="2"/>
    </row>
    <row r="297" spans="1:17">
      <c r="A297" s="283" t="s">
        <v>616</v>
      </c>
      <c r="B297" s="283" t="s">
        <v>615</v>
      </c>
      <c r="C297" s="283" t="str">
        <f t="shared" si="11"/>
        <v>39202 TOPPENISH SCHOOL DISTRICT</v>
      </c>
      <c r="D297" s="283"/>
      <c r="E297" s="548">
        <v>122033.94</v>
      </c>
      <c r="G297" s="552">
        <v>122033.94</v>
      </c>
      <c r="M297" s="316"/>
      <c r="O297" s="2"/>
    </row>
    <row r="298" spans="1:17">
      <c r="A298" s="283" t="s">
        <v>618</v>
      </c>
      <c r="B298" s="283" t="s">
        <v>617</v>
      </c>
      <c r="C298" s="283" t="str">
        <f t="shared" si="11"/>
        <v>36300 TOUCHET SCHOOL DISTRICT</v>
      </c>
      <c r="D298" s="283"/>
      <c r="E298" s="548">
        <v>16622.689999999999</v>
      </c>
      <c r="G298" s="552">
        <v>16622.689999999999</v>
      </c>
      <c r="L298" t="s">
        <v>2529</v>
      </c>
      <c r="M298" s="316">
        <v>17406</v>
      </c>
      <c r="N298" t="s">
        <v>623</v>
      </c>
      <c r="O298" s="2">
        <v>90201.459999999992</v>
      </c>
      <c r="Q298" t="s">
        <v>1154</v>
      </c>
    </row>
    <row r="299" spans="1:17">
      <c r="A299" s="283" t="s">
        <v>620</v>
      </c>
      <c r="B299" s="283" t="s">
        <v>619</v>
      </c>
      <c r="C299" s="283" t="str">
        <f t="shared" si="11"/>
        <v>08130 TOUTLE LAKE SCHOOL DISTRICT</v>
      </c>
      <c r="D299" s="283"/>
      <c r="E299" s="548"/>
      <c r="G299" s="552"/>
      <c r="L299" t="s">
        <v>2530</v>
      </c>
      <c r="M299" s="316">
        <v>34033</v>
      </c>
      <c r="N299" t="s">
        <v>625</v>
      </c>
      <c r="O299" s="2">
        <v>185370.74</v>
      </c>
      <c r="Q299" t="s">
        <v>1155</v>
      </c>
    </row>
    <row r="300" spans="1:17">
      <c r="A300" s="283" t="s">
        <v>622</v>
      </c>
      <c r="B300" s="283" t="s">
        <v>621</v>
      </c>
      <c r="C300" s="283" t="str">
        <f t="shared" si="11"/>
        <v>20400 TROUT LAKE SCHOOL DISTRICT</v>
      </c>
      <c r="D300" s="283"/>
      <c r="E300" s="548"/>
      <c r="G300" s="552"/>
      <c r="L300" t="s">
        <v>2531</v>
      </c>
      <c r="M300" s="316">
        <v>39002</v>
      </c>
      <c r="N300" t="s">
        <v>627</v>
      </c>
      <c r="O300" s="2">
        <v>27940.440000000002</v>
      </c>
      <c r="Q300" t="s">
        <v>1156</v>
      </c>
    </row>
    <row r="301" spans="1:17">
      <c r="A301" s="283" t="s">
        <v>1153</v>
      </c>
      <c r="B301" s="283" t="s">
        <v>623</v>
      </c>
      <c r="C301" s="283" t="str">
        <f t="shared" si="11"/>
        <v>17406 TUKWILA SCHOOL DISTRICT</v>
      </c>
      <c r="D301" s="283"/>
      <c r="E301" s="548">
        <v>82791.56</v>
      </c>
      <c r="G301" s="552">
        <v>82791.56</v>
      </c>
      <c r="L301" t="s">
        <v>2532</v>
      </c>
      <c r="M301" s="316">
        <v>27083</v>
      </c>
      <c r="N301" t="s">
        <v>629</v>
      </c>
      <c r="O301" s="2">
        <v>180077.8</v>
      </c>
      <c r="Q301" t="s">
        <v>1157</v>
      </c>
    </row>
    <row r="302" spans="1:17">
      <c r="A302" s="283" t="s">
        <v>626</v>
      </c>
      <c r="B302" s="283" t="s">
        <v>625</v>
      </c>
      <c r="C302" s="283" t="str">
        <f t="shared" si="11"/>
        <v>34033 TUMWATER SCHOOL DISTRICT</v>
      </c>
      <c r="D302" s="283"/>
      <c r="E302" s="548">
        <v>186866.65</v>
      </c>
      <c r="G302" s="552">
        <v>186866.65</v>
      </c>
      <c r="L302" t="s">
        <v>2533</v>
      </c>
      <c r="M302" s="316">
        <v>33070</v>
      </c>
      <c r="N302" t="s">
        <v>631</v>
      </c>
      <c r="O302" s="2">
        <v>17723.48</v>
      </c>
      <c r="Q302" t="s">
        <v>1158</v>
      </c>
    </row>
    <row r="303" spans="1:17">
      <c r="A303" s="283" t="s">
        <v>628</v>
      </c>
      <c r="B303" s="283" t="s">
        <v>627</v>
      </c>
      <c r="C303" s="283" t="str">
        <f t="shared" si="11"/>
        <v>39002 UNION GAP SCHOOL DISTRICT</v>
      </c>
      <c r="D303" s="283"/>
      <c r="E303" s="548">
        <v>26876.26</v>
      </c>
      <c r="G303" s="552">
        <v>26876.26</v>
      </c>
      <c r="L303" t="s">
        <v>2534</v>
      </c>
      <c r="M303" s="316">
        <v>6037</v>
      </c>
      <c r="N303" t="s">
        <v>633</v>
      </c>
      <c r="O303" s="2">
        <v>642500.81000000006</v>
      </c>
      <c r="Q303" t="s">
        <v>1159</v>
      </c>
    </row>
    <row r="304" spans="1:17">
      <c r="A304" s="283" t="s">
        <v>630</v>
      </c>
      <c r="B304" s="283" t="s">
        <v>629</v>
      </c>
      <c r="C304" s="283" t="str">
        <f t="shared" si="11"/>
        <v>27083 UNIVERSITY PLACE SCHOOL DISTRICT</v>
      </c>
      <c r="D304" s="283"/>
      <c r="E304" s="548">
        <v>172691.76</v>
      </c>
      <c r="G304" s="552">
        <v>172691.76</v>
      </c>
      <c r="L304" t="s">
        <v>2535</v>
      </c>
      <c r="M304" s="316">
        <v>17402</v>
      </c>
      <c r="N304" t="s">
        <v>635</v>
      </c>
      <c r="O304" s="2">
        <v>56893.25</v>
      </c>
      <c r="Q304" t="s">
        <v>1160</v>
      </c>
    </row>
    <row r="305" spans="1:17">
      <c r="A305" s="283" t="s">
        <v>632</v>
      </c>
      <c r="B305" s="283" t="s">
        <v>631</v>
      </c>
      <c r="C305" s="283" t="str">
        <f t="shared" si="11"/>
        <v>33070 VALLEY SCHOOL DISTRICT</v>
      </c>
      <c r="D305" s="283"/>
      <c r="E305" s="548">
        <v>16796.98</v>
      </c>
      <c r="G305" s="552">
        <v>16796.98</v>
      </c>
      <c r="L305" t="s">
        <v>2536</v>
      </c>
      <c r="M305" s="316">
        <v>34901</v>
      </c>
      <c r="N305" t="s">
        <v>637</v>
      </c>
      <c r="O305" s="2">
        <v>7127.38</v>
      </c>
      <c r="Q305" t="s">
        <v>1161</v>
      </c>
    </row>
    <row r="306" spans="1:17">
      <c r="A306" s="283" t="s">
        <v>634</v>
      </c>
      <c r="B306" s="283" t="s">
        <v>633</v>
      </c>
      <c r="C306" s="283" t="str">
        <f t="shared" si="11"/>
        <v>06037 VANCOUVER SCHOOL DISTRICT</v>
      </c>
      <c r="D306" s="283"/>
      <c r="E306" s="548">
        <v>622192.72</v>
      </c>
      <c r="G306" s="552">
        <v>622192.72</v>
      </c>
      <c r="L306" t="s">
        <v>2537</v>
      </c>
      <c r="M306" s="316">
        <v>35200</v>
      </c>
      <c r="N306" t="s">
        <v>639</v>
      </c>
      <c r="O306" s="2">
        <v>23205.67</v>
      </c>
      <c r="Q306" t="s">
        <v>1162</v>
      </c>
    </row>
    <row r="307" spans="1:17">
      <c r="A307" s="283" t="s">
        <v>636</v>
      </c>
      <c r="B307" s="283" t="s">
        <v>635</v>
      </c>
      <c r="C307" s="283" t="str">
        <f t="shared" si="11"/>
        <v>17402 VASHON ISLAND SCHOOL DISTRICT</v>
      </c>
      <c r="D307" s="283"/>
      <c r="E307" s="548">
        <v>54528.92</v>
      </c>
      <c r="G307" s="552">
        <v>54528.92</v>
      </c>
      <c r="L307" t="s">
        <v>2538</v>
      </c>
      <c r="M307" s="316">
        <v>13073</v>
      </c>
      <c r="N307" t="s">
        <v>641</v>
      </c>
      <c r="O307" s="2">
        <v>85607.37</v>
      </c>
      <c r="Q307" t="s">
        <v>1163</v>
      </c>
    </row>
    <row r="308" spans="1:17">
      <c r="A308" s="283" t="s">
        <v>638</v>
      </c>
      <c r="B308" s="283" t="s">
        <v>637</v>
      </c>
      <c r="C308" s="286" t="str">
        <f>CONCATENATE(B308," ",A308," TRIBAL COMPACT")</f>
        <v>34901 WA HE LUT TRIBAL COMPACT</v>
      </c>
      <c r="D308" s="286"/>
      <c r="E308" s="548">
        <v>17797.18</v>
      </c>
      <c r="G308" s="552">
        <v>17797.18</v>
      </c>
      <c r="L308" t="s">
        <v>2539</v>
      </c>
      <c r="M308" s="316">
        <v>36401</v>
      </c>
      <c r="N308" t="s">
        <v>643</v>
      </c>
      <c r="O308" s="2">
        <v>16895.310000000001</v>
      </c>
      <c r="Q308" t="s">
        <v>1164</v>
      </c>
    </row>
    <row r="309" spans="1:17">
      <c r="A309" s="283" t="s">
        <v>640</v>
      </c>
      <c r="B309" s="285" t="s">
        <v>639</v>
      </c>
      <c r="C309" s="283" t="str">
        <f t="shared" ref="C309:C321" si="12">CONCATENATE(B309," ",A309," SCHOOL DISTRICT")</f>
        <v>35200 WAHKIAKUM SCHOOL DISTRICT</v>
      </c>
      <c r="D309" s="283"/>
      <c r="E309" s="548">
        <v>21822.1</v>
      </c>
      <c r="G309" s="552">
        <v>21822.1</v>
      </c>
      <c r="L309" t="s">
        <v>2540</v>
      </c>
      <c r="M309" s="316">
        <v>36140</v>
      </c>
      <c r="N309" t="s">
        <v>645</v>
      </c>
      <c r="O309" s="2">
        <v>177528.24</v>
      </c>
      <c r="Q309" t="s">
        <v>1165</v>
      </c>
    </row>
    <row r="310" spans="1:17">
      <c r="A310" s="283" t="s">
        <v>642</v>
      </c>
      <c r="B310" s="283" t="s">
        <v>641</v>
      </c>
      <c r="C310" s="283" t="str">
        <f t="shared" si="12"/>
        <v>13073 WAHLUKE SCHOOL DISTRICT</v>
      </c>
      <c r="D310" s="283"/>
      <c r="E310" s="548">
        <v>60425.78</v>
      </c>
      <c r="G310" s="552">
        <v>60425.78</v>
      </c>
      <c r="L310" t="s">
        <v>2541</v>
      </c>
      <c r="M310" s="316">
        <v>39207</v>
      </c>
      <c r="N310" t="s">
        <v>647</v>
      </c>
      <c r="O310" s="2">
        <v>108059.81</v>
      </c>
      <c r="Q310" t="s">
        <v>1166</v>
      </c>
    </row>
    <row r="311" spans="1:17">
      <c r="A311" s="283" t="s">
        <v>644</v>
      </c>
      <c r="B311" s="283" t="s">
        <v>643</v>
      </c>
      <c r="C311" s="283" t="str">
        <f t="shared" si="12"/>
        <v>36401 WAITSBURG SCHOOL DISTRICT</v>
      </c>
      <c r="D311" s="283"/>
      <c r="E311" s="548">
        <v>17958.849999999999</v>
      </c>
      <c r="G311" s="552">
        <v>17958.849999999999</v>
      </c>
      <c r="L311" t="s">
        <v>2542</v>
      </c>
      <c r="M311" s="316">
        <v>13146</v>
      </c>
      <c r="N311" t="s">
        <v>649</v>
      </c>
      <c r="O311" s="2">
        <v>37134.36</v>
      </c>
      <c r="Q311" t="s">
        <v>1167</v>
      </c>
    </row>
    <row r="312" spans="1:17">
      <c r="A312" s="283" t="s">
        <v>646</v>
      </c>
      <c r="B312" s="283" t="s">
        <v>645</v>
      </c>
      <c r="C312" s="283" t="str">
        <f t="shared" si="12"/>
        <v>36140 WALLA WALLA SCHOOL DISTRICT</v>
      </c>
      <c r="D312" s="283"/>
      <c r="E312" s="548">
        <v>170338.96</v>
      </c>
      <c r="G312" s="552">
        <v>170338.96</v>
      </c>
      <c r="L312" t="s">
        <v>2543</v>
      </c>
      <c r="M312" s="316">
        <v>6112</v>
      </c>
      <c r="N312" t="s">
        <v>651</v>
      </c>
      <c r="O312" s="2">
        <v>93155.31</v>
      </c>
      <c r="Q312" t="s">
        <v>1168</v>
      </c>
    </row>
    <row r="313" spans="1:17">
      <c r="A313" s="283" t="s">
        <v>648</v>
      </c>
      <c r="B313" s="283" t="s">
        <v>647</v>
      </c>
      <c r="C313" s="283" t="str">
        <f t="shared" si="12"/>
        <v>39207 WAPATO SCHOOL DISTRICT</v>
      </c>
      <c r="D313" s="283"/>
      <c r="E313" s="548">
        <v>74172.94</v>
      </c>
      <c r="G313" s="552">
        <v>74172.94</v>
      </c>
      <c r="L313" t="s">
        <v>2544</v>
      </c>
      <c r="M313" s="316">
        <v>1109</v>
      </c>
      <c r="N313" t="s">
        <v>653</v>
      </c>
      <c r="O313" s="2">
        <v>12389.99</v>
      </c>
      <c r="Q313" t="s">
        <v>1169</v>
      </c>
    </row>
    <row r="314" spans="1:17">
      <c r="A314" s="283" t="s">
        <v>650</v>
      </c>
      <c r="B314" s="283" t="s">
        <v>649</v>
      </c>
      <c r="C314" s="283" t="str">
        <f t="shared" si="12"/>
        <v>13146 WARDEN SCHOOL DISTRICT</v>
      </c>
      <c r="D314" s="283"/>
      <c r="E314" s="548">
        <v>35648.43</v>
      </c>
      <c r="G314" s="552">
        <v>35648.43</v>
      </c>
      <c r="L314" t="s">
        <v>2545</v>
      </c>
      <c r="M314" s="316">
        <v>9209</v>
      </c>
      <c r="N314" t="s">
        <v>655</v>
      </c>
      <c r="O314" s="2">
        <v>17898.46</v>
      </c>
      <c r="Q314" t="s">
        <v>1170</v>
      </c>
    </row>
    <row r="315" spans="1:17">
      <c r="A315" s="283" t="s">
        <v>652</v>
      </c>
      <c r="B315" s="283" t="s">
        <v>651</v>
      </c>
      <c r="C315" s="283" t="str">
        <f t="shared" si="12"/>
        <v>06112 WASHOUGAL SCHOOL DISTRICT</v>
      </c>
      <c r="D315" s="283"/>
      <c r="E315" s="548">
        <v>91215.17</v>
      </c>
      <c r="G315" s="552">
        <v>91215.17</v>
      </c>
      <c r="L315" t="s">
        <v>2546</v>
      </c>
      <c r="M315" s="316">
        <v>33049</v>
      </c>
      <c r="N315" t="s">
        <v>657</v>
      </c>
      <c r="O315" s="2">
        <v>21004.940000000002</v>
      </c>
      <c r="Q315" t="s">
        <v>1171</v>
      </c>
    </row>
    <row r="316" spans="1:17">
      <c r="A316" s="283" t="s">
        <v>654</v>
      </c>
      <c r="B316" s="283" t="s">
        <v>653</v>
      </c>
      <c r="C316" s="283" t="str">
        <f t="shared" si="12"/>
        <v>01109 WASHTUCNA SCHOOL DISTRICT</v>
      </c>
      <c r="D316" s="283"/>
      <c r="E316" s="548">
        <v>12004.24</v>
      </c>
      <c r="G316" s="552">
        <v>12004.24</v>
      </c>
      <c r="L316" t="s">
        <v>2547</v>
      </c>
      <c r="M316" s="316">
        <v>4246</v>
      </c>
      <c r="N316" t="s">
        <v>659</v>
      </c>
      <c r="O316" s="2">
        <v>222009.15000000002</v>
      </c>
      <c r="Q316" t="s">
        <v>1172</v>
      </c>
    </row>
    <row r="317" spans="1:17">
      <c r="A317" s="283" t="s">
        <v>656</v>
      </c>
      <c r="B317" s="283" t="s">
        <v>655</v>
      </c>
      <c r="C317" s="283" t="str">
        <f t="shared" si="12"/>
        <v>09209 WATERVILLE SCHOOL DISTRICT</v>
      </c>
      <c r="D317" s="283"/>
      <c r="E317" s="548">
        <v>17523.150000000001</v>
      </c>
      <c r="G317" s="552">
        <v>17523.150000000001</v>
      </c>
      <c r="L317" t="s">
        <v>2548</v>
      </c>
      <c r="M317" s="316">
        <v>32363</v>
      </c>
      <c r="N317" t="s">
        <v>661</v>
      </c>
      <c r="O317" s="2">
        <v>116879.34</v>
      </c>
      <c r="Q317" t="s">
        <v>2549</v>
      </c>
    </row>
    <row r="318" spans="1:17">
      <c r="A318" s="283" t="s">
        <v>658</v>
      </c>
      <c r="B318" s="283" t="s">
        <v>657</v>
      </c>
      <c r="C318" s="283" t="str">
        <f t="shared" si="12"/>
        <v>33049 WELLPINIT SCHOOL DISTRICT</v>
      </c>
      <c r="D318" s="283"/>
      <c r="E318" s="548">
        <v>19846.91</v>
      </c>
      <c r="G318" s="552">
        <v>19846.91</v>
      </c>
      <c r="L318" t="s">
        <v>2550</v>
      </c>
      <c r="M318" s="316">
        <v>39208</v>
      </c>
      <c r="N318" t="s">
        <v>663</v>
      </c>
      <c r="O318" s="2">
        <v>167975.36</v>
      </c>
      <c r="Q318" t="s">
        <v>2551</v>
      </c>
    </row>
    <row r="319" spans="1:17">
      <c r="A319" s="283" t="s">
        <v>660</v>
      </c>
      <c r="B319" s="283" t="s">
        <v>659</v>
      </c>
      <c r="C319" s="283" t="str">
        <f t="shared" si="12"/>
        <v>04246 WENATCHEE SCHOOL DISTRICT</v>
      </c>
      <c r="D319" s="283"/>
      <c r="E319" s="548">
        <v>215216.43</v>
      </c>
      <c r="G319" s="552">
        <v>215216.43</v>
      </c>
      <c r="M319" s="316"/>
      <c r="O319" s="2"/>
    </row>
    <row r="320" spans="1:17">
      <c r="A320" s="283" t="s">
        <v>662</v>
      </c>
      <c r="B320" s="283" t="s">
        <v>661</v>
      </c>
      <c r="C320" s="283" t="str">
        <f t="shared" si="12"/>
        <v>32363 WEST VALLEY (SPOKANE) SCHOOL DISTRICT</v>
      </c>
      <c r="D320" s="283"/>
      <c r="E320" s="548">
        <v>111286.58</v>
      </c>
      <c r="G320" s="552">
        <v>111286.58</v>
      </c>
      <c r="L320" t="s">
        <v>2552</v>
      </c>
      <c r="M320" s="316">
        <v>21303</v>
      </c>
      <c r="N320" t="s">
        <v>667</v>
      </c>
      <c r="O320" s="2">
        <v>21530</v>
      </c>
      <c r="Q320" t="s">
        <v>1176</v>
      </c>
    </row>
    <row r="321" spans="1:17">
      <c r="A321" s="283" t="s">
        <v>664</v>
      </c>
      <c r="B321" s="283" t="s">
        <v>663</v>
      </c>
      <c r="C321" s="283" t="str">
        <f t="shared" si="12"/>
        <v>39208 WEST VALLEY (YAKIMA) SCHOOL DISTRICT</v>
      </c>
      <c r="D321" s="283"/>
      <c r="E321" s="548">
        <v>162525.32999999999</v>
      </c>
      <c r="G321" s="552">
        <v>162525.32999999999</v>
      </c>
      <c r="L321" t="s">
        <v>2553</v>
      </c>
      <c r="M321" s="316">
        <v>27416</v>
      </c>
      <c r="N321" t="s">
        <v>669</v>
      </c>
      <c r="O321" s="2">
        <v>145086.88</v>
      </c>
      <c r="Q321" t="s">
        <v>1177</v>
      </c>
    </row>
    <row r="322" spans="1:17">
      <c r="A322" s="283" t="s">
        <v>666</v>
      </c>
      <c r="B322" s="354" t="s">
        <v>665</v>
      </c>
      <c r="C322" s="353" t="str">
        <f>CONCATENATE(B322," ",A322," CHARTER")</f>
        <v>37902 WHATCOM INTERGENERATIONAL CHARTER</v>
      </c>
      <c r="D322" s="353"/>
      <c r="E322" s="548"/>
      <c r="G322" s="552"/>
      <c r="L322" t="s">
        <v>2554</v>
      </c>
      <c r="M322" s="316">
        <v>20405</v>
      </c>
      <c r="N322" t="s">
        <v>671</v>
      </c>
      <c r="O322" s="2">
        <v>44018.92</v>
      </c>
      <c r="Q322" t="s">
        <v>1178</v>
      </c>
    </row>
    <row r="323" spans="1:17">
      <c r="A323" s="283" t="s">
        <v>668</v>
      </c>
      <c r="B323" s="283" t="s">
        <v>667</v>
      </c>
      <c r="C323" s="283" t="str">
        <f>CONCATENATE(B323," ",A323," SCHOOL DISTRICT")</f>
        <v>21303 WHITE PASS SCHOOL DISTRICT</v>
      </c>
      <c r="D323" s="283"/>
      <c r="E323" s="548">
        <v>20921.64</v>
      </c>
      <c r="G323" s="552">
        <v>20921.64</v>
      </c>
      <c r="L323" t="s">
        <v>2555</v>
      </c>
      <c r="M323" s="316">
        <v>17917</v>
      </c>
      <c r="N323" t="s">
        <v>673</v>
      </c>
      <c r="O323" s="2">
        <v>13784.37</v>
      </c>
      <c r="Q323" t="s">
        <v>1179</v>
      </c>
    </row>
    <row r="324" spans="1:17">
      <c r="A324" s="283" t="s">
        <v>670</v>
      </c>
      <c r="B324" s="283" t="s">
        <v>669</v>
      </c>
      <c r="C324" s="283" t="str">
        <f>CONCATENATE(B324," ",A324," SCHOOL DISTRICT")</f>
        <v>27416 WHITE RIVER SCHOOL DISTRICT</v>
      </c>
      <c r="D324" s="283"/>
      <c r="E324" s="548">
        <v>147362.85</v>
      </c>
      <c r="G324" s="552">
        <v>147362.85</v>
      </c>
      <c r="L324" t="s">
        <v>2556</v>
      </c>
      <c r="M324" s="316">
        <v>22200</v>
      </c>
      <c r="N324" t="s">
        <v>675</v>
      </c>
      <c r="O324" s="2">
        <v>16798.099999999999</v>
      </c>
      <c r="Q324" t="s">
        <v>1180</v>
      </c>
    </row>
    <row r="325" spans="1:17">
      <c r="A325" s="283" t="s">
        <v>672</v>
      </c>
      <c r="B325" s="283" t="s">
        <v>671</v>
      </c>
      <c r="C325" s="283" t="str">
        <f>CONCATENATE(B325," ",A325," SCHOOL DISTRICT")</f>
        <v>20405 WHITE SALMON SCHOOL DISTRICT</v>
      </c>
      <c r="D325" s="283"/>
      <c r="E325" s="548">
        <v>42387.3</v>
      </c>
      <c r="G325" s="552">
        <v>42387.3</v>
      </c>
      <c r="L325" t="s">
        <v>2557</v>
      </c>
      <c r="M325" s="316">
        <v>25160</v>
      </c>
      <c r="N325" t="s">
        <v>677</v>
      </c>
      <c r="O325" s="2">
        <v>21895.15</v>
      </c>
      <c r="Q325" t="s">
        <v>1181</v>
      </c>
    </row>
    <row r="326" spans="1:17">
      <c r="A326" s="283" t="s">
        <v>674</v>
      </c>
      <c r="B326" s="353" t="s">
        <v>673</v>
      </c>
      <c r="C326" s="353" t="str">
        <f>CONCATENATE(B326," ",A326," CHARTER")</f>
        <v>17917 WHY NOT YOU CHARTER</v>
      </c>
      <c r="D326" s="353"/>
      <c r="E326" s="548">
        <v>14269.900000000001</v>
      </c>
      <c r="G326" s="552">
        <v>14269.900000000001</v>
      </c>
      <c r="L326" t="s">
        <v>2558</v>
      </c>
      <c r="M326" s="316">
        <v>13167</v>
      </c>
      <c r="N326" t="s">
        <v>679</v>
      </c>
      <c r="O326" s="2">
        <v>13875.5</v>
      </c>
      <c r="Q326" t="s">
        <v>1182</v>
      </c>
    </row>
    <row r="327" spans="1:17">
      <c r="A327" s="283" t="s">
        <v>676</v>
      </c>
      <c r="B327" s="283" t="s">
        <v>675</v>
      </c>
      <c r="C327" s="283" t="str">
        <f t="shared" ref="C327:C337" si="13">CONCATENATE(B327," ",A327," SCHOOL DISTRICT")</f>
        <v>22200 WILBUR SCHOOL DISTRICT</v>
      </c>
      <c r="D327" s="283"/>
      <c r="E327" s="548">
        <v>16535.560000000001</v>
      </c>
      <c r="G327" s="552">
        <v>16535.560000000001</v>
      </c>
      <c r="L327" t="s">
        <v>2559</v>
      </c>
      <c r="M327" s="316">
        <v>21232</v>
      </c>
      <c r="N327" t="s">
        <v>681</v>
      </c>
      <c r="O327" s="2">
        <v>33998.639999999999</v>
      </c>
      <c r="Q327" t="s">
        <v>1183</v>
      </c>
    </row>
    <row r="328" spans="1:17">
      <c r="A328" s="283" t="s">
        <v>678</v>
      </c>
      <c r="B328" s="283" t="s">
        <v>677</v>
      </c>
      <c r="C328" s="283" t="str">
        <f t="shared" si="13"/>
        <v>25160 WILLAPA VALLEY SCHOOL DISTRICT</v>
      </c>
      <c r="D328" s="283"/>
      <c r="E328" s="548">
        <v>20921.64</v>
      </c>
      <c r="G328" s="552">
        <v>20921.64</v>
      </c>
      <c r="L328" t="s">
        <v>2560</v>
      </c>
      <c r="M328" s="316">
        <v>14117</v>
      </c>
      <c r="N328" t="s">
        <v>683</v>
      </c>
      <c r="O328" s="2">
        <v>14819.619999999999</v>
      </c>
      <c r="Q328" t="s">
        <v>1184</v>
      </c>
    </row>
    <row r="329" spans="1:17">
      <c r="A329" s="283" t="s">
        <v>680</v>
      </c>
      <c r="B329" s="283" t="s">
        <v>679</v>
      </c>
      <c r="C329" s="283" t="str">
        <f t="shared" si="13"/>
        <v>13167 WILSON CREEK SCHOOL DISTRICT</v>
      </c>
      <c r="D329" s="283"/>
      <c r="E329" s="548">
        <v>13630.869999999999</v>
      </c>
      <c r="G329" s="552">
        <v>13630.869999999999</v>
      </c>
      <c r="L329" t="s">
        <v>2561</v>
      </c>
      <c r="M329" s="316">
        <v>20094</v>
      </c>
      <c r="N329" t="s">
        <v>685</v>
      </c>
      <c r="O329" s="2">
        <v>11917.48</v>
      </c>
      <c r="Q329" t="s">
        <v>1185</v>
      </c>
    </row>
    <row r="330" spans="1:17">
      <c r="A330" s="283" t="s">
        <v>682</v>
      </c>
      <c r="B330" s="283" t="s">
        <v>681</v>
      </c>
      <c r="C330" s="283" t="str">
        <f t="shared" si="13"/>
        <v>21232 WINLOCK SCHOOL DISTRICT</v>
      </c>
      <c r="D330" s="283"/>
      <c r="E330" s="548">
        <v>33266.58</v>
      </c>
      <c r="G330" s="552">
        <v>33266.58</v>
      </c>
      <c r="L330" t="s">
        <v>2562</v>
      </c>
      <c r="M330" s="316">
        <v>8404</v>
      </c>
      <c r="N330" t="s">
        <v>687</v>
      </c>
      <c r="O330" s="2">
        <v>83516.160000000003</v>
      </c>
      <c r="Q330" t="s">
        <v>1186</v>
      </c>
    </row>
    <row r="331" spans="1:17">
      <c r="A331" s="283" t="s">
        <v>684</v>
      </c>
      <c r="B331" s="283" t="s">
        <v>683</v>
      </c>
      <c r="C331" s="283" t="str">
        <f t="shared" si="13"/>
        <v>14117 WISHKAH VALLEY SCHOOL DISTRICT</v>
      </c>
      <c r="D331" s="283"/>
      <c r="E331" s="548">
        <v>14560.369999999999</v>
      </c>
      <c r="G331" s="552">
        <v>14560.369999999999</v>
      </c>
      <c r="M331" s="316"/>
      <c r="O331" s="2"/>
    </row>
    <row r="332" spans="1:17">
      <c r="A332" s="283" t="s">
        <v>686</v>
      </c>
      <c r="B332" s="283" t="s">
        <v>685</v>
      </c>
      <c r="C332" s="283" t="str">
        <f t="shared" si="13"/>
        <v>20094 WISHRAM SCHOOL DISTRICT</v>
      </c>
      <c r="D332" s="283"/>
      <c r="E332" s="548">
        <v>11917.1</v>
      </c>
      <c r="G332" s="552">
        <v>11917.1</v>
      </c>
      <c r="L332" t="s">
        <v>2563</v>
      </c>
      <c r="M332" s="316">
        <v>39007</v>
      </c>
      <c r="N332" t="s">
        <v>691</v>
      </c>
      <c r="O332" s="2">
        <v>481024.28</v>
      </c>
      <c r="Q332" t="s">
        <v>1189</v>
      </c>
    </row>
    <row r="333" spans="1:17">
      <c r="A333" s="283" t="s">
        <v>688</v>
      </c>
      <c r="B333" s="283" t="s">
        <v>687</v>
      </c>
      <c r="C333" s="283" t="str">
        <f t="shared" si="13"/>
        <v>08404 WOODLAND SCHOOL DISTRICT</v>
      </c>
      <c r="D333" s="283"/>
      <c r="E333" s="548">
        <v>80990.649999999994</v>
      </c>
      <c r="G333" s="552">
        <v>80990.649999999994</v>
      </c>
      <c r="L333" t="s">
        <v>2564</v>
      </c>
      <c r="M333" s="316">
        <v>34002</v>
      </c>
      <c r="N333" t="s">
        <v>693</v>
      </c>
      <c r="O333" s="2">
        <v>178257.59</v>
      </c>
      <c r="Q333" t="s">
        <v>1190</v>
      </c>
    </row>
    <row r="334" spans="1:17">
      <c r="A334" s="283" t="s">
        <v>1187</v>
      </c>
      <c r="B334" s="283" t="s">
        <v>689</v>
      </c>
      <c r="C334" s="283" t="str">
        <f t="shared" si="13"/>
        <v>39901 YAKAMA SCHOOL DISTRICT</v>
      </c>
      <c r="D334" s="283"/>
      <c r="E334" s="548"/>
      <c r="G334" s="552"/>
      <c r="L334" t="s">
        <v>2565</v>
      </c>
      <c r="M334" s="316">
        <v>39205</v>
      </c>
      <c r="N334" t="s">
        <v>695</v>
      </c>
      <c r="O334" s="2">
        <v>47856.740000000005</v>
      </c>
      <c r="Q334" t="s">
        <v>1191</v>
      </c>
    </row>
    <row r="335" spans="1:17">
      <c r="A335" s="283" t="s">
        <v>692</v>
      </c>
      <c r="B335" s="283" t="s">
        <v>691</v>
      </c>
      <c r="C335" s="283" t="str">
        <f t="shared" si="13"/>
        <v>39007 YAKIMA SCHOOL DISTRICT</v>
      </c>
      <c r="D335" s="283"/>
      <c r="E335" s="548">
        <v>447301.26999999996</v>
      </c>
      <c r="G335" s="552">
        <v>447301.26999999996</v>
      </c>
    </row>
    <row r="336" spans="1:17">
      <c r="A336" s="283" t="s">
        <v>694</v>
      </c>
      <c r="B336" s="283" t="s">
        <v>693</v>
      </c>
      <c r="C336" s="283" t="str">
        <f t="shared" si="13"/>
        <v>34002 YELM SCHOOL DISTRICT</v>
      </c>
      <c r="D336" s="283"/>
      <c r="E336" s="548">
        <v>176235.47999999998</v>
      </c>
      <c r="G336" s="552">
        <v>176235.47999999998</v>
      </c>
    </row>
    <row r="337" spans="1:7" ht="15" thickBot="1">
      <c r="A337" s="283" t="s">
        <v>696</v>
      </c>
      <c r="B337" s="283" t="s">
        <v>695</v>
      </c>
      <c r="C337" s="283" t="str">
        <f t="shared" si="13"/>
        <v>39205 ZILLAH SCHOOL DISTRICT</v>
      </c>
      <c r="D337" s="283"/>
      <c r="E337" s="551">
        <v>46889.58</v>
      </c>
      <c r="G337" s="554">
        <v>46889.58</v>
      </c>
    </row>
    <row r="338" spans="1:7" ht="15.6" thickTop="1" thickBot="1">
      <c r="A338" s="74">
        <f>COUNTA(DISNAME)</f>
        <v>331</v>
      </c>
      <c r="B338" s="74"/>
      <c r="C338" s="74"/>
      <c r="D338" s="74"/>
      <c r="E338" s="543"/>
      <c r="G338" s="183"/>
    </row>
    <row r="339" spans="1:7" ht="15" thickTop="1">
      <c r="A339" s="183"/>
      <c r="B339" s="183"/>
      <c r="C339" s="183"/>
      <c r="D339" s="183"/>
      <c r="G339" s="183"/>
    </row>
    <row r="340" spans="1:7">
      <c r="B340" s="455" t="s">
        <v>2078</v>
      </c>
      <c r="C340" s="455" t="s">
        <v>2079</v>
      </c>
      <c r="E340" s="545">
        <v>5467.44</v>
      </c>
      <c r="G340" s="183"/>
    </row>
    <row r="341" spans="1:7">
      <c r="G341" s="183"/>
    </row>
    <row r="342" spans="1:7">
      <c r="G342" s="183"/>
    </row>
    <row r="343" spans="1:7">
      <c r="G343" s="18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F351C-DB8C-4310-825C-DE88B05D1B65}">
  <dimension ref="B2:K31"/>
  <sheetViews>
    <sheetView workbookViewId="0">
      <selection activeCell="H15" sqref="H15:K18"/>
    </sheetView>
  </sheetViews>
  <sheetFormatPr defaultRowHeight="14.45"/>
  <cols>
    <col min="7" max="7" width="13.85546875" customWidth="1"/>
  </cols>
  <sheetData>
    <row r="2" spans="2:11" ht="31.15">
      <c r="B2" s="258" t="s">
        <v>2566</v>
      </c>
      <c r="C2" s="259"/>
      <c r="D2" s="259"/>
      <c r="E2" s="259"/>
      <c r="F2" s="259"/>
      <c r="G2" s="260" t="s">
        <v>2567</v>
      </c>
      <c r="H2" s="259"/>
      <c r="I2" s="259"/>
      <c r="J2" s="259"/>
      <c r="K2" s="36"/>
    </row>
    <row r="3" spans="2:11">
      <c r="B3" s="37"/>
      <c r="G3" s="261">
        <v>0</v>
      </c>
      <c r="H3" s="251" t="s">
        <v>2568</v>
      </c>
      <c r="K3" s="241"/>
    </row>
    <row r="4" spans="2:11">
      <c r="B4" s="262" t="s">
        <v>2569</v>
      </c>
      <c r="C4" s="248"/>
      <c r="D4" s="248"/>
      <c r="E4" s="263"/>
      <c r="F4" s="248"/>
      <c r="G4" s="256">
        <v>107153.72</v>
      </c>
      <c r="K4" s="241"/>
    </row>
    <row r="5" spans="2:11">
      <c r="B5" s="264" t="s">
        <v>2229</v>
      </c>
      <c r="C5" s="248"/>
      <c r="D5" s="248"/>
      <c r="E5" s="248"/>
      <c r="F5" s="248"/>
      <c r="G5" s="312">
        <v>68000</v>
      </c>
      <c r="K5" s="241"/>
    </row>
    <row r="6" spans="2:11">
      <c r="B6" s="264" t="s">
        <v>2249</v>
      </c>
      <c r="C6" s="248"/>
      <c r="D6" s="248"/>
      <c r="E6" s="248"/>
      <c r="F6" s="248"/>
      <c r="G6" s="256">
        <v>39153.72</v>
      </c>
      <c r="H6" s="254"/>
      <c r="I6" s="254"/>
      <c r="J6" s="254"/>
      <c r="K6" s="255"/>
    </row>
    <row r="7" spans="2:11">
      <c r="B7" s="37"/>
      <c r="G7" s="254"/>
      <c r="K7" s="241"/>
    </row>
    <row r="8" spans="2:11">
      <c r="B8" s="37" t="s">
        <v>722</v>
      </c>
      <c r="G8" s="267">
        <v>39153.72</v>
      </c>
      <c r="K8" s="241"/>
    </row>
    <row r="9" spans="2:11">
      <c r="B9" s="41"/>
      <c r="C9" s="265"/>
      <c r="D9" s="265"/>
      <c r="E9" s="265"/>
      <c r="F9" s="265"/>
      <c r="G9" s="265"/>
      <c r="H9" s="265"/>
      <c r="I9" s="265"/>
      <c r="J9" s="265"/>
      <c r="K9" s="266"/>
    </row>
    <row r="11" spans="2:11" ht="31.15">
      <c r="B11" s="664" t="s">
        <v>2570</v>
      </c>
      <c r="C11" s="665"/>
      <c r="D11" s="665"/>
      <c r="E11" s="665"/>
      <c r="F11" s="253"/>
      <c r="G11" s="260" t="s">
        <v>2567</v>
      </c>
      <c r="H11" s="259"/>
      <c r="I11" s="259"/>
      <c r="J11" s="259"/>
      <c r="K11" s="36"/>
    </row>
    <row r="12" spans="2:11">
      <c r="B12" s="37"/>
      <c r="G12" s="261">
        <v>0</v>
      </c>
      <c r="H12" s="251" t="s">
        <v>2568</v>
      </c>
      <c r="K12" s="241"/>
    </row>
    <row r="13" spans="2:11">
      <c r="B13" s="262" t="s">
        <v>2569</v>
      </c>
      <c r="C13" s="248"/>
      <c r="D13" s="248"/>
      <c r="E13" s="263"/>
      <c r="F13" s="248"/>
      <c r="G13" s="256">
        <v>107153.72</v>
      </c>
      <c r="K13" s="241"/>
    </row>
    <row r="14" spans="2:11">
      <c r="B14" s="264" t="s">
        <v>2229</v>
      </c>
      <c r="C14" s="248"/>
      <c r="D14" s="248"/>
      <c r="E14" s="248"/>
      <c r="F14" s="248"/>
      <c r="G14" s="312">
        <v>268000</v>
      </c>
      <c r="K14" s="241"/>
    </row>
    <row r="15" spans="2:11" ht="15" customHeight="1">
      <c r="B15" s="264" t="s">
        <v>2249</v>
      </c>
      <c r="C15" s="248"/>
      <c r="D15" s="248"/>
      <c r="E15" s="248"/>
      <c r="F15" s="248"/>
      <c r="G15" s="256">
        <v>-160846.28</v>
      </c>
      <c r="H15" s="657" t="s">
        <v>2571</v>
      </c>
      <c r="I15" s="658"/>
      <c r="J15" s="658"/>
      <c r="K15" s="659"/>
    </row>
    <row r="16" spans="2:11">
      <c r="B16" s="37"/>
      <c r="G16" s="654" t="s">
        <v>2572</v>
      </c>
      <c r="H16" s="660"/>
      <c r="I16" s="660"/>
      <c r="J16" s="660"/>
      <c r="K16" s="661"/>
    </row>
    <row r="17" spans="2:11">
      <c r="B17" s="666" t="s">
        <v>2573</v>
      </c>
      <c r="C17" s="634"/>
      <c r="D17" s="634"/>
      <c r="E17" s="634"/>
      <c r="G17" s="655"/>
      <c r="H17" s="660"/>
      <c r="I17" s="660"/>
      <c r="J17" s="660"/>
      <c r="K17" s="661"/>
    </row>
    <row r="18" spans="2:11">
      <c r="B18" s="666"/>
      <c r="C18" s="634"/>
      <c r="D18" s="634"/>
      <c r="E18" s="634"/>
      <c r="G18" s="655"/>
      <c r="H18" s="662"/>
      <c r="I18" s="662"/>
      <c r="J18" s="662"/>
      <c r="K18" s="663"/>
    </row>
    <row r="19" spans="2:11">
      <c r="B19" s="37"/>
      <c r="G19" s="656"/>
      <c r="K19" s="241"/>
    </row>
    <row r="20" spans="2:11">
      <c r="B20" s="37"/>
      <c r="G20" s="247"/>
      <c r="K20" s="241"/>
    </row>
    <row r="21" spans="2:11">
      <c r="B21" s="37" t="s">
        <v>722</v>
      </c>
      <c r="G21" s="267">
        <v>0</v>
      </c>
      <c r="K21" s="241"/>
    </row>
    <row r="22" spans="2:11">
      <c r="B22" s="41"/>
      <c r="C22" s="265"/>
      <c r="D22" s="265"/>
      <c r="E22" s="265"/>
      <c r="F22" s="265"/>
      <c r="G22" s="265"/>
      <c r="H22" s="265"/>
      <c r="I22" s="265"/>
      <c r="J22" s="265"/>
      <c r="K22" s="266"/>
    </row>
    <row r="24" spans="2:11" ht="31.15">
      <c r="B24" s="258" t="s">
        <v>2574</v>
      </c>
      <c r="C24" s="259"/>
      <c r="D24" s="259"/>
      <c r="E24" s="259"/>
      <c r="F24" s="259"/>
      <c r="G24" s="260" t="s">
        <v>2567</v>
      </c>
      <c r="H24" s="259"/>
      <c r="I24" s="259"/>
      <c r="J24" s="259"/>
      <c r="K24" s="36"/>
    </row>
    <row r="25" spans="2:11">
      <c r="B25" s="37"/>
      <c r="G25" s="261">
        <v>39153.72</v>
      </c>
      <c r="H25" s="251" t="s">
        <v>2568</v>
      </c>
      <c r="K25" s="241"/>
    </row>
    <row r="26" spans="2:11">
      <c r="B26" s="262" t="s">
        <v>2569</v>
      </c>
      <c r="C26" s="248"/>
      <c r="D26" s="248"/>
      <c r="E26" s="263"/>
      <c r="F26" s="248"/>
      <c r="G26" s="256">
        <v>120000</v>
      </c>
      <c r="K26" s="241"/>
    </row>
    <row r="27" spans="2:11">
      <c r="B27" s="264" t="s">
        <v>2229</v>
      </c>
      <c r="C27" s="248"/>
      <c r="D27" s="248"/>
      <c r="E27" s="248"/>
      <c r="F27" s="248"/>
      <c r="G27" s="312">
        <v>159153.72</v>
      </c>
      <c r="K27" s="241"/>
    </row>
    <row r="28" spans="2:11">
      <c r="B28" s="264" t="s">
        <v>2249</v>
      </c>
      <c r="C28" s="248"/>
      <c r="D28" s="248"/>
      <c r="E28" s="248"/>
      <c r="F28" s="248"/>
      <c r="G28" s="256">
        <v>0</v>
      </c>
      <c r="H28" s="254"/>
      <c r="K28" s="241"/>
    </row>
    <row r="29" spans="2:11">
      <c r="B29" s="37"/>
      <c r="G29" s="254"/>
      <c r="K29" s="241"/>
    </row>
    <row r="30" spans="2:11">
      <c r="B30" s="37" t="s">
        <v>722</v>
      </c>
      <c r="G30" s="257">
        <v>0</v>
      </c>
      <c r="K30" s="241"/>
    </row>
    <row r="31" spans="2:11">
      <c r="B31" s="41"/>
      <c r="C31" s="265"/>
      <c r="D31" s="265"/>
      <c r="E31" s="265"/>
      <c r="F31" s="265"/>
      <c r="G31" s="265"/>
      <c r="H31" s="265"/>
      <c r="I31" s="265"/>
      <c r="J31" s="265"/>
      <c r="K31" s="266"/>
    </row>
  </sheetData>
  <mergeCells count="4">
    <mergeCell ref="G16:G19"/>
    <mergeCell ref="H15:K18"/>
    <mergeCell ref="B11:E11"/>
    <mergeCell ref="B17:E18"/>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E1FF"/>
  </sheetPr>
  <dimension ref="A2:AU365"/>
  <sheetViews>
    <sheetView workbookViewId="0">
      <pane ySplit="6" topLeftCell="A7" activePane="bottomLeft" state="frozen"/>
      <selection pane="bottomLeft" activeCell="M5" sqref="M5"/>
    </sheetView>
  </sheetViews>
  <sheetFormatPr defaultColWidth="9.140625" defaultRowHeight="14.45"/>
  <cols>
    <col min="1" max="1" width="6.42578125" style="45" bestFit="1" customWidth="1"/>
    <col min="2" max="2" width="18.85546875" style="45" bestFit="1" customWidth="1"/>
    <col min="3" max="4" width="13.28515625" style="45" bestFit="1" customWidth="1"/>
    <col min="5" max="5" width="14.140625" style="45" bestFit="1" customWidth="1"/>
    <col min="6" max="6" width="13.28515625" style="45" bestFit="1" customWidth="1"/>
    <col min="7" max="7" width="12.7109375" style="45" customWidth="1"/>
    <col min="8" max="8" width="4" style="45" customWidth="1"/>
    <col min="9" max="9" width="8.85546875"/>
    <col min="10" max="10" width="9.140625" style="45"/>
    <col min="11" max="11" width="38.42578125" style="45" bestFit="1" customWidth="1"/>
    <col min="12" max="12" width="12.28515625" style="45" bestFit="1" customWidth="1"/>
    <col min="13" max="15" width="9.140625" style="45"/>
    <col min="16" max="16" width="6.42578125" style="45" bestFit="1" customWidth="1"/>
    <col min="17" max="17" width="35.85546875" style="45" bestFit="1" customWidth="1"/>
    <col min="18" max="20" width="10.5703125" style="45" bestFit="1" customWidth="1"/>
    <col min="21" max="21" width="10.28515625" style="45" bestFit="1" customWidth="1"/>
    <col min="22" max="22" width="14.28515625" style="45" bestFit="1" customWidth="1"/>
    <col min="23" max="27" width="9.140625" style="45"/>
    <col min="29" max="29" width="32.28515625" bestFit="1" customWidth="1"/>
    <col min="30" max="33" width="13.28515625" bestFit="1" customWidth="1"/>
    <col min="34" max="34" width="14.28515625" bestFit="1" customWidth="1"/>
    <col min="36" max="36" width="15.28515625" bestFit="1" customWidth="1"/>
    <col min="39" max="40" width="13.28515625" bestFit="1" customWidth="1"/>
    <col min="41" max="41" width="13.28515625" style="45" bestFit="1" customWidth="1"/>
    <col min="42" max="42" width="13.5703125" style="45" bestFit="1" customWidth="1"/>
    <col min="43" max="43" width="11.85546875" style="45" bestFit="1" customWidth="1"/>
    <col min="44" max="44" width="9.140625" style="45"/>
    <col min="45" max="45" width="10.5703125" style="45" bestFit="1" customWidth="1"/>
    <col min="46" max="46" width="12.42578125" style="45" bestFit="1" customWidth="1"/>
    <col min="47" max="47" width="11.85546875" style="45" bestFit="1" customWidth="1"/>
    <col min="48" max="16384" width="9.140625" style="45"/>
  </cols>
  <sheetData>
    <row r="2" spans="1:47">
      <c r="AM2" s="459" t="s">
        <v>2575</v>
      </c>
    </row>
    <row r="3" spans="1:47">
      <c r="C3" s="45" t="s">
        <v>2576</v>
      </c>
      <c r="R3" s="45" t="s">
        <v>2577</v>
      </c>
      <c r="AD3" t="s">
        <v>2578</v>
      </c>
      <c r="AE3" t="s">
        <v>2578</v>
      </c>
      <c r="AM3" s="459" t="s">
        <v>2579</v>
      </c>
    </row>
    <row r="4" spans="1:47">
      <c r="AD4" t="s">
        <v>2580</v>
      </c>
      <c r="AE4" t="s">
        <v>2581</v>
      </c>
      <c r="AM4" s="667" t="s">
        <v>2582</v>
      </c>
      <c r="AN4" s="667"/>
      <c r="AO4" s="667"/>
      <c r="AP4" s="667"/>
    </row>
    <row r="5" spans="1:47">
      <c r="AE5" t="s">
        <v>2583</v>
      </c>
      <c r="AQ5" s="45" t="s">
        <v>2584</v>
      </c>
      <c r="AT5" s="45" t="s">
        <v>2585</v>
      </c>
      <c r="AU5" s="45" t="s">
        <v>2584</v>
      </c>
    </row>
    <row r="6" spans="1:47" s="72" customFormat="1" ht="15.6">
      <c r="A6" s="71" t="s">
        <v>25</v>
      </c>
      <c r="B6" s="71" t="s">
        <v>2261</v>
      </c>
      <c r="C6" s="70" t="s">
        <v>2586</v>
      </c>
      <c r="D6" s="70" t="s">
        <v>2587</v>
      </c>
      <c r="E6" s="70" t="s">
        <v>2588</v>
      </c>
      <c r="F6" s="70" t="s">
        <v>775</v>
      </c>
      <c r="G6" s="78" t="s">
        <v>2589</v>
      </c>
      <c r="P6" s="71" t="s">
        <v>25</v>
      </c>
      <c r="Q6" s="71" t="s">
        <v>2261</v>
      </c>
      <c r="R6" s="70" t="s">
        <v>2590</v>
      </c>
      <c r="S6" s="70" t="s">
        <v>2586</v>
      </c>
      <c r="T6" s="70" t="s">
        <v>2587</v>
      </c>
      <c r="U6" s="70" t="s">
        <v>2588</v>
      </c>
      <c r="V6" s="78" t="s">
        <v>2589</v>
      </c>
      <c r="AB6" t="s">
        <v>25</v>
      </c>
      <c r="AC6" t="s">
        <v>2261</v>
      </c>
      <c r="AD6" t="s">
        <v>2590</v>
      </c>
      <c r="AE6" t="s">
        <v>2586</v>
      </c>
      <c r="AF6" t="s">
        <v>2587</v>
      </c>
      <c r="AG6" t="s">
        <v>2588</v>
      </c>
      <c r="AH6" t="s">
        <v>2589</v>
      </c>
      <c r="AI6"/>
      <c r="AJ6"/>
      <c r="AK6"/>
      <c r="AL6"/>
      <c r="AM6" t="s">
        <v>2586</v>
      </c>
      <c r="AN6" t="s">
        <v>2587</v>
      </c>
      <c r="AO6" t="s">
        <v>2588</v>
      </c>
      <c r="AS6" s="72" t="s">
        <v>2591</v>
      </c>
      <c r="AT6" s="72" t="s">
        <v>2592</v>
      </c>
    </row>
    <row r="7" spans="1:47">
      <c r="A7" t="s">
        <v>31</v>
      </c>
      <c r="B7" t="s">
        <v>2593</v>
      </c>
      <c r="C7" s="468">
        <v>-280906.08</v>
      </c>
      <c r="D7" s="468">
        <v>34224.225940000062</v>
      </c>
      <c r="E7" s="473">
        <v>-444868.54173117736</v>
      </c>
      <c r="F7" s="474">
        <v>-318946.78542409418</v>
      </c>
      <c r="G7" s="450">
        <f>SUM(C7:F7)</f>
        <v>-1010497.1812152715</v>
      </c>
      <c r="I7" s="67">
        <f>+J7-A7</f>
        <v>0</v>
      </c>
      <c r="J7" s="58" t="s">
        <v>31</v>
      </c>
      <c r="K7" t="s">
        <v>32</v>
      </c>
      <c r="L7" s="448">
        <v>-318946.78542409418</v>
      </c>
      <c r="M7" s="67" t="s">
        <v>2591</v>
      </c>
      <c r="N7" s="317"/>
      <c r="P7" t="s">
        <v>31</v>
      </c>
      <c r="Q7" t="s">
        <v>2593</v>
      </c>
      <c r="R7" s="211">
        <v>-636876.06999999995</v>
      </c>
      <c r="S7" s="211">
        <v>-280906.08</v>
      </c>
      <c r="T7" s="211">
        <v>34224.225940000062</v>
      </c>
      <c r="U7" s="274">
        <v>-444868.54173117736</v>
      </c>
      <c r="V7" s="79">
        <f t="shared" ref="V7:V17" si="0">SUM(R7:U7)</f>
        <v>-1328426.4657911772</v>
      </c>
      <c r="Z7" s="172">
        <f>+AB7-P7</f>
        <v>0</v>
      </c>
      <c r="AB7" t="s">
        <v>31</v>
      </c>
      <c r="AC7" t="s">
        <v>2593</v>
      </c>
      <c r="AD7" s="464">
        <v>-636876.06999999995</v>
      </c>
      <c r="AE7" s="464">
        <v>-280906.08</v>
      </c>
      <c r="AF7" s="464">
        <v>34224.225940000062</v>
      </c>
      <c r="AG7" s="464">
        <v>-444868.54173117736</v>
      </c>
      <c r="AH7" s="464">
        <v>-1328426.4657911772</v>
      </c>
      <c r="AJ7" s="464">
        <f>SUM(AE7:AG7)</f>
        <v>-691550.39579117729</v>
      </c>
      <c r="AM7" s="464">
        <f>+AE7</f>
        <v>-280906.08</v>
      </c>
      <c r="AN7" s="464">
        <v>34224.225940000062</v>
      </c>
      <c r="AO7" s="464">
        <v>-444868.54173117736</v>
      </c>
      <c r="AP7" s="317">
        <f>SUM(AM7:AO7)</f>
        <v>-691550.39579117729</v>
      </c>
      <c r="AQ7" s="317">
        <f>+AP7-AJ7</f>
        <v>0</v>
      </c>
      <c r="AS7" s="475">
        <v>-318946.78542409418</v>
      </c>
      <c r="AT7" s="174">
        <f>+AS7+AP7</f>
        <v>-1010497.1812152715</v>
      </c>
      <c r="AU7" s="174">
        <f>+AT7-G7</f>
        <v>0</v>
      </c>
    </row>
    <row r="8" spans="1:47">
      <c r="A8" t="s">
        <v>35</v>
      </c>
      <c r="B8" t="s">
        <v>2594</v>
      </c>
      <c r="C8" s="468">
        <v>-57960.15</v>
      </c>
      <c r="D8" s="468">
        <v>-51948.342023999969</v>
      </c>
      <c r="E8" s="473">
        <v>-41419.432485000056</v>
      </c>
      <c r="F8" s="474">
        <v>-111591.10373800012</v>
      </c>
      <c r="G8" s="450">
        <f t="shared" ref="G8:G71" si="1">SUM(C8:F8)</f>
        <v>-262919.02824700018</v>
      </c>
      <c r="I8" s="67">
        <f t="shared" ref="I8:I71" si="2">+J8-A8</f>
        <v>0</v>
      </c>
      <c r="J8" s="58" t="s">
        <v>35</v>
      </c>
      <c r="K8" t="s">
        <v>36</v>
      </c>
      <c r="L8" s="448">
        <v>-111591.10373800012</v>
      </c>
      <c r="M8" s="67" t="s">
        <v>2591</v>
      </c>
      <c r="N8" s="317"/>
      <c r="P8" t="s">
        <v>35</v>
      </c>
      <c r="Q8" t="s">
        <v>2594</v>
      </c>
      <c r="R8" s="211">
        <v>-86102.080000000002</v>
      </c>
      <c r="S8" s="211">
        <v>-57960.15</v>
      </c>
      <c r="T8" s="211">
        <v>-51948.342023999969</v>
      </c>
      <c r="U8" s="274">
        <v>-41419.432485000056</v>
      </c>
      <c r="V8" s="79">
        <f t="shared" si="0"/>
        <v>-237430.00450900005</v>
      </c>
      <c r="Z8" s="172">
        <f t="shared" ref="Z8:Z71" si="3">+AB8-P8</f>
        <v>0</v>
      </c>
      <c r="AB8" t="s">
        <v>35</v>
      </c>
      <c r="AC8" t="s">
        <v>2594</v>
      </c>
      <c r="AD8" s="464">
        <v>-86102.080000000002</v>
      </c>
      <c r="AE8" s="464">
        <v>-57960.15</v>
      </c>
      <c r="AF8" s="464">
        <v>-51948.342023999969</v>
      </c>
      <c r="AG8" s="464">
        <v>-41419.432485000056</v>
      </c>
      <c r="AH8" s="464">
        <v>-237430.00450900005</v>
      </c>
      <c r="AJ8" s="464">
        <f t="shared" ref="AJ8:AJ71" si="4">SUM(AE8:AG8)</f>
        <v>-151327.92450900003</v>
      </c>
      <c r="AM8" s="464">
        <f t="shared" ref="AM8:AM70" si="5">+AE8</f>
        <v>-57960.15</v>
      </c>
      <c r="AN8" s="464">
        <v>-51948.342023999969</v>
      </c>
      <c r="AO8" s="464">
        <v>-41419.432485000056</v>
      </c>
      <c r="AP8" s="317">
        <f t="shared" ref="AP8:AP71" si="6">SUM(AM8:AO8)</f>
        <v>-151327.92450900003</v>
      </c>
      <c r="AQ8" s="317">
        <f t="shared" ref="AQ8:AQ70" si="7">+AP8-AJ8</f>
        <v>0</v>
      </c>
      <c r="AS8" s="475">
        <v>-111591.10373800012</v>
      </c>
      <c r="AT8" s="174">
        <f t="shared" ref="AT8:AT71" si="8">+AS8+AP8</f>
        <v>-262919.02824700018</v>
      </c>
      <c r="AU8" s="174">
        <f t="shared" ref="AU8:AU71" si="9">+AT8-G8</f>
        <v>0</v>
      </c>
    </row>
    <row r="9" spans="1:47">
      <c r="A9" t="s">
        <v>37</v>
      </c>
      <c r="B9" t="s">
        <v>2595</v>
      </c>
      <c r="C9" s="468">
        <v>-48001.13</v>
      </c>
      <c r="D9" s="468">
        <v>-106802.44998599999</v>
      </c>
      <c r="E9" s="473">
        <v>-101999.44892000002</v>
      </c>
      <c r="F9" s="474">
        <v>-101494.22172</v>
      </c>
      <c r="G9" s="450">
        <f t="shared" si="1"/>
        <v>-358297.25062599999</v>
      </c>
      <c r="I9" s="67">
        <f t="shared" si="2"/>
        <v>0</v>
      </c>
      <c r="J9" s="58" t="s">
        <v>37</v>
      </c>
      <c r="K9" t="s">
        <v>38</v>
      </c>
      <c r="L9" s="448">
        <v>-101494.22172</v>
      </c>
      <c r="M9" s="67" t="s">
        <v>2591</v>
      </c>
      <c r="N9" s="317"/>
      <c r="P9" t="s">
        <v>37</v>
      </c>
      <c r="Q9" t="s">
        <v>2595</v>
      </c>
      <c r="R9" s="211">
        <v>-77510.17</v>
      </c>
      <c r="S9" s="211">
        <v>-48001.13</v>
      </c>
      <c r="T9" s="211">
        <v>-106802.44998599999</v>
      </c>
      <c r="U9" s="274">
        <v>-101999.44892000002</v>
      </c>
      <c r="V9" s="79">
        <f t="shared" si="0"/>
        <v>-334313.19890600001</v>
      </c>
      <c r="Z9" s="172">
        <f t="shared" si="3"/>
        <v>0</v>
      </c>
      <c r="AB9" t="s">
        <v>37</v>
      </c>
      <c r="AC9" t="s">
        <v>2595</v>
      </c>
      <c r="AD9" s="464">
        <v>-77510.17</v>
      </c>
      <c r="AE9" s="464">
        <v>-48001.13</v>
      </c>
      <c r="AF9" s="464">
        <v>-106802.44998599999</v>
      </c>
      <c r="AG9" s="464">
        <v>-101999.44892000002</v>
      </c>
      <c r="AH9" s="464">
        <v>-334313.19890600001</v>
      </c>
      <c r="AJ9" s="464">
        <f t="shared" si="4"/>
        <v>-256803.02890600002</v>
      </c>
      <c r="AM9" s="464">
        <f t="shared" si="5"/>
        <v>-48001.13</v>
      </c>
      <c r="AN9" s="464">
        <v>-106802.44998599999</v>
      </c>
      <c r="AO9" s="464">
        <v>-101999.44892000002</v>
      </c>
      <c r="AP9" s="317">
        <f t="shared" si="6"/>
        <v>-256803.02890600002</v>
      </c>
      <c r="AQ9" s="317">
        <f t="shared" si="7"/>
        <v>0</v>
      </c>
      <c r="AS9" s="475">
        <v>-101494.22172</v>
      </c>
      <c r="AT9" s="174">
        <f t="shared" si="8"/>
        <v>-358297.25062599999</v>
      </c>
      <c r="AU9" s="174">
        <f t="shared" si="9"/>
        <v>0</v>
      </c>
    </row>
    <row r="10" spans="1:47">
      <c r="A10" t="s">
        <v>41</v>
      </c>
      <c r="B10" t="s">
        <v>2596</v>
      </c>
      <c r="C10" s="468">
        <v>-367275.29</v>
      </c>
      <c r="D10" s="468">
        <v>-389288.57905899989</v>
      </c>
      <c r="E10" s="473">
        <v>-131293.15502931387</v>
      </c>
      <c r="F10" s="474">
        <v>-460910.32963999989</v>
      </c>
      <c r="G10" s="450">
        <f t="shared" si="1"/>
        <v>-1348767.3537283137</v>
      </c>
      <c r="I10" s="67">
        <f t="shared" si="2"/>
        <v>0</v>
      </c>
      <c r="J10" s="58" t="s">
        <v>41</v>
      </c>
      <c r="K10" t="s">
        <v>42</v>
      </c>
      <c r="L10" s="448">
        <v>-460910.32963999989</v>
      </c>
      <c r="M10" s="67" t="s">
        <v>2591</v>
      </c>
      <c r="N10" s="317"/>
      <c r="P10" t="s">
        <v>41</v>
      </c>
      <c r="Q10" t="s">
        <v>2596</v>
      </c>
      <c r="R10" s="211">
        <v>-243297.15</v>
      </c>
      <c r="S10" s="211">
        <v>-367275.29</v>
      </c>
      <c r="T10" s="211">
        <v>-389288.57905899989</v>
      </c>
      <c r="U10" s="274">
        <v>-131293.15502931387</v>
      </c>
      <c r="V10" s="79">
        <f t="shared" si="0"/>
        <v>-1131154.1740883137</v>
      </c>
      <c r="Z10" s="172">
        <f t="shared" si="3"/>
        <v>0</v>
      </c>
      <c r="AB10" t="s">
        <v>41</v>
      </c>
      <c r="AC10" t="s">
        <v>2596</v>
      </c>
      <c r="AD10" s="464">
        <v>-243297.15</v>
      </c>
      <c r="AE10" s="464">
        <v>-367275.29</v>
      </c>
      <c r="AF10" s="464">
        <v>-389288.57905899989</v>
      </c>
      <c r="AG10" s="464">
        <v>-131293.15502931387</v>
      </c>
      <c r="AH10" s="464">
        <v>-1131154.1740883137</v>
      </c>
      <c r="AJ10" s="464">
        <f t="shared" si="4"/>
        <v>-887857.0240883138</v>
      </c>
      <c r="AM10" s="464">
        <f t="shared" si="5"/>
        <v>-367275.29</v>
      </c>
      <c r="AN10" s="464">
        <v>-389288.57905899989</v>
      </c>
      <c r="AO10" s="464">
        <v>-131293.15502931387</v>
      </c>
      <c r="AP10" s="317">
        <f t="shared" si="6"/>
        <v>-887857.0240883138</v>
      </c>
      <c r="AQ10" s="317">
        <f t="shared" si="7"/>
        <v>0</v>
      </c>
      <c r="AS10" s="475">
        <v>-460910.32963999989</v>
      </c>
      <c r="AT10" s="174">
        <f t="shared" si="8"/>
        <v>-1348767.3537283137</v>
      </c>
      <c r="AU10" s="174">
        <f t="shared" si="9"/>
        <v>0</v>
      </c>
    </row>
    <row r="11" spans="1:47">
      <c r="A11" t="s">
        <v>43</v>
      </c>
      <c r="B11" t="s">
        <v>2597</v>
      </c>
      <c r="C11" s="468">
        <v>-256026.8</v>
      </c>
      <c r="D11" s="468">
        <v>-736299.98532673914</v>
      </c>
      <c r="E11" s="473">
        <v>-81253.465135879349</v>
      </c>
      <c r="F11" s="474">
        <v>-512503.66440453095</v>
      </c>
      <c r="G11" s="450">
        <f t="shared" si="1"/>
        <v>-1586083.9148671494</v>
      </c>
      <c r="I11" s="67">
        <f t="shared" si="2"/>
        <v>0</v>
      </c>
      <c r="J11" s="58" t="s">
        <v>43</v>
      </c>
      <c r="K11" t="s">
        <v>44</v>
      </c>
      <c r="L11" s="448">
        <v>-512503.66440453095</v>
      </c>
      <c r="M11" s="67" t="s">
        <v>2591</v>
      </c>
      <c r="N11" s="317"/>
      <c r="P11" t="s">
        <v>43</v>
      </c>
      <c r="Q11" t="s">
        <v>2597</v>
      </c>
      <c r="R11" s="211">
        <v>-195187.55</v>
      </c>
      <c r="S11" s="211">
        <v>-256026.8</v>
      </c>
      <c r="T11" s="211">
        <v>-736299.98532673914</v>
      </c>
      <c r="U11" s="274">
        <v>-81253.465135879349</v>
      </c>
      <c r="V11" s="79">
        <f t="shared" si="0"/>
        <v>-1268767.8004626185</v>
      </c>
      <c r="Z11" s="172">
        <f t="shared" si="3"/>
        <v>0</v>
      </c>
      <c r="AB11" t="s">
        <v>43</v>
      </c>
      <c r="AC11" t="s">
        <v>2597</v>
      </c>
      <c r="AD11" s="464">
        <v>-195187.55</v>
      </c>
      <c r="AE11" s="464">
        <v>-256026.8</v>
      </c>
      <c r="AF11" s="464">
        <v>-736299.98532673914</v>
      </c>
      <c r="AG11" s="464">
        <v>-81253.465135879349</v>
      </c>
      <c r="AH11" s="464">
        <v>-1268767.8004626185</v>
      </c>
      <c r="AJ11" s="464">
        <f t="shared" si="4"/>
        <v>-1073580.2504626184</v>
      </c>
      <c r="AM11" s="464">
        <f t="shared" si="5"/>
        <v>-256026.8</v>
      </c>
      <c r="AN11" s="464">
        <v>-736299.98532673914</v>
      </c>
      <c r="AO11" s="464">
        <v>-81253.465135879349</v>
      </c>
      <c r="AP11" s="317">
        <f t="shared" si="6"/>
        <v>-1073580.2504626184</v>
      </c>
      <c r="AQ11" s="317">
        <f t="shared" si="7"/>
        <v>0</v>
      </c>
      <c r="AS11" s="475">
        <v>-512503.66440453095</v>
      </c>
      <c r="AT11" s="174">
        <f t="shared" si="8"/>
        <v>-1586083.9148671494</v>
      </c>
      <c r="AU11" s="174">
        <f t="shared" si="9"/>
        <v>0</v>
      </c>
    </row>
    <row r="12" spans="1:47">
      <c r="A12" t="s">
        <v>45</v>
      </c>
      <c r="B12" t="s">
        <v>853</v>
      </c>
      <c r="C12" s="468">
        <v>-31371.86</v>
      </c>
      <c r="D12" s="468">
        <v>0</v>
      </c>
      <c r="E12" s="473">
        <v>29822.099217000032</v>
      </c>
      <c r="F12" s="474">
        <v>-99253.636775000094</v>
      </c>
      <c r="G12" s="450">
        <f t="shared" si="1"/>
        <v>-100803.39755800006</v>
      </c>
      <c r="I12" s="67">
        <f t="shared" si="2"/>
        <v>0</v>
      </c>
      <c r="J12" s="58" t="s">
        <v>45</v>
      </c>
      <c r="K12" t="s">
        <v>853</v>
      </c>
      <c r="L12" s="448">
        <v>-99253.636775000094</v>
      </c>
      <c r="M12" s="67" t="s">
        <v>2591</v>
      </c>
      <c r="N12" s="317"/>
      <c r="P12" t="s">
        <v>45</v>
      </c>
      <c r="Q12" t="s">
        <v>853</v>
      </c>
      <c r="R12" s="211">
        <v>-61687.5</v>
      </c>
      <c r="S12" s="211">
        <v>-31371.86</v>
      </c>
      <c r="T12" s="211">
        <v>16402.223467000025</v>
      </c>
      <c r="U12" s="274">
        <v>75107.375750000007</v>
      </c>
      <c r="V12" s="79">
        <f t="shared" si="0"/>
        <v>-1549.7607829999761</v>
      </c>
      <c r="Z12" s="172">
        <f t="shared" si="3"/>
        <v>0</v>
      </c>
      <c r="AB12" t="s">
        <v>45</v>
      </c>
      <c r="AC12" t="s">
        <v>853</v>
      </c>
      <c r="AD12" s="464">
        <v>0</v>
      </c>
      <c r="AE12" s="464">
        <v>-31371.86</v>
      </c>
      <c r="AF12" s="464">
        <v>0</v>
      </c>
      <c r="AG12" s="464">
        <v>29822.099217000032</v>
      </c>
      <c r="AH12" s="464">
        <v>-1549.7607829999688</v>
      </c>
      <c r="AJ12" s="464">
        <f t="shared" si="4"/>
        <v>-1549.7607829999688</v>
      </c>
      <c r="AM12" s="464">
        <f t="shared" si="5"/>
        <v>-31371.86</v>
      </c>
      <c r="AN12" s="464">
        <v>0</v>
      </c>
      <c r="AO12" s="464">
        <v>29822.099217000032</v>
      </c>
      <c r="AP12" s="317">
        <f t="shared" si="6"/>
        <v>-1549.7607829999688</v>
      </c>
      <c r="AQ12" s="317">
        <f t="shared" si="7"/>
        <v>0</v>
      </c>
      <c r="AS12" s="475">
        <v>-99253.636775000094</v>
      </c>
      <c r="AT12" s="174">
        <f t="shared" si="8"/>
        <v>-100803.39755800006</v>
      </c>
      <c r="AU12" s="174">
        <f t="shared" si="9"/>
        <v>0</v>
      </c>
    </row>
    <row r="13" spans="1:47">
      <c r="A13" t="s">
        <v>47</v>
      </c>
      <c r="B13" t="s">
        <v>2598</v>
      </c>
      <c r="C13" s="468">
        <v>3623542.8099999996</v>
      </c>
      <c r="D13" s="468">
        <v>-1168565.5193309174</v>
      </c>
      <c r="E13" s="473">
        <v>637508.56965284795</v>
      </c>
      <c r="F13" s="474">
        <v>399997.81597703416</v>
      </c>
      <c r="G13" s="450">
        <f t="shared" si="1"/>
        <v>3492483.6762989643</v>
      </c>
      <c r="I13" s="67">
        <f t="shared" si="2"/>
        <v>0</v>
      </c>
      <c r="J13" s="58" t="s">
        <v>47</v>
      </c>
      <c r="K13" t="s">
        <v>48</v>
      </c>
      <c r="L13" s="448">
        <v>399997.81597703416</v>
      </c>
      <c r="M13" s="67" t="s">
        <v>2591</v>
      </c>
      <c r="N13" s="317"/>
      <c r="P13" t="s">
        <v>47</v>
      </c>
      <c r="Q13" t="s">
        <v>2598</v>
      </c>
      <c r="R13" s="211">
        <v>4140813.34</v>
      </c>
      <c r="S13" s="211">
        <v>-517270.53</v>
      </c>
      <c r="T13" s="211">
        <v>-1168565.5193309174</v>
      </c>
      <c r="U13" s="274">
        <v>637508.56965284795</v>
      </c>
      <c r="V13" s="79">
        <f t="shared" si="0"/>
        <v>3092485.8603219301</v>
      </c>
      <c r="Z13" s="172">
        <f t="shared" si="3"/>
        <v>0</v>
      </c>
      <c r="AB13" t="s">
        <v>47</v>
      </c>
      <c r="AC13" t="s">
        <v>2598</v>
      </c>
      <c r="AD13" s="464">
        <v>4140813.34</v>
      </c>
      <c r="AE13" s="464">
        <v>-517270.53</v>
      </c>
      <c r="AF13" s="464">
        <v>-1168565.5193309174</v>
      </c>
      <c r="AG13" s="464">
        <v>637508.56965284795</v>
      </c>
      <c r="AH13" s="464">
        <v>3092485.8603219301</v>
      </c>
      <c r="AJ13" s="464">
        <f t="shared" si="4"/>
        <v>-1048327.4796780695</v>
      </c>
      <c r="AM13" s="465">
        <f>+AD13+AE13</f>
        <v>3623542.8099999996</v>
      </c>
      <c r="AN13" s="464">
        <v>-1168565.5193309174</v>
      </c>
      <c r="AO13" s="464">
        <v>637508.56965284795</v>
      </c>
      <c r="AP13" s="317">
        <f t="shared" si="6"/>
        <v>3092485.8603219301</v>
      </c>
      <c r="AQ13" s="466">
        <f>+AP13-AH13</f>
        <v>0</v>
      </c>
      <c r="AS13" s="475">
        <v>399997.81597703416</v>
      </c>
      <c r="AT13" s="174">
        <f t="shared" si="8"/>
        <v>3492483.6762989643</v>
      </c>
      <c r="AU13" s="174">
        <f t="shared" si="9"/>
        <v>0</v>
      </c>
    </row>
    <row r="14" spans="1:47">
      <c r="A14" t="s">
        <v>49</v>
      </c>
      <c r="B14" t="s">
        <v>2599</v>
      </c>
      <c r="C14" s="468">
        <v>-244913.61</v>
      </c>
      <c r="D14" s="468">
        <v>-193907.50370900019</v>
      </c>
      <c r="E14" s="473">
        <v>0</v>
      </c>
      <c r="F14" s="474">
        <v>-354900.01656785631</v>
      </c>
      <c r="G14" s="450">
        <f t="shared" si="1"/>
        <v>-793721.13027685648</v>
      </c>
      <c r="I14" s="67">
        <f t="shared" si="2"/>
        <v>0</v>
      </c>
      <c r="J14" s="58" t="s">
        <v>49</v>
      </c>
      <c r="K14" t="s">
        <v>2599</v>
      </c>
      <c r="L14" s="448">
        <v>-354900.01656785631</v>
      </c>
      <c r="M14" s="67" t="s">
        <v>2591</v>
      </c>
      <c r="N14" s="317"/>
      <c r="P14" t="s">
        <v>49</v>
      </c>
      <c r="Q14" t="s">
        <v>2599</v>
      </c>
      <c r="R14" s="211">
        <v>-210632</v>
      </c>
      <c r="S14" s="211">
        <v>-244913.61</v>
      </c>
      <c r="T14" s="211">
        <v>-193907.50370900019</v>
      </c>
      <c r="U14" s="274">
        <v>170506.04760399973</v>
      </c>
      <c r="V14" s="79">
        <f t="shared" si="0"/>
        <v>-478947.06610500044</v>
      </c>
      <c r="Z14" s="172">
        <f t="shared" si="3"/>
        <v>0</v>
      </c>
      <c r="AB14" t="s">
        <v>49</v>
      </c>
      <c r="AC14" t="s">
        <v>2599</v>
      </c>
      <c r="AD14" s="464">
        <v>-40125.95239600027</v>
      </c>
      <c r="AE14" s="464">
        <v>-244913.61</v>
      </c>
      <c r="AF14" s="464">
        <v>-193907.50370900019</v>
      </c>
      <c r="AG14" s="464">
        <v>0</v>
      </c>
      <c r="AH14" s="464">
        <v>-478947.06610500044</v>
      </c>
      <c r="AJ14" s="464">
        <f t="shared" si="4"/>
        <v>-438821.11370900017</v>
      </c>
      <c r="AM14" s="464">
        <f t="shared" si="5"/>
        <v>-244913.61</v>
      </c>
      <c r="AN14" s="464">
        <v>-193907.50370900019</v>
      </c>
      <c r="AO14" s="464">
        <v>0</v>
      </c>
      <c r="AP14" s="317">
        <f t="shared" si="6"/>
        <v>-438821.11370900017</v>
      </c>
      <c r="AQ14" s="317">
        <f t="shared" si="7"/>
        <v>0</v>
      </c>
      <c r="AS14" s="475">
        <v>-354900.01656785631</v>
      </c>
      <c r="AT14" s="174">
        <f t="shared" si="8"/>
        <v>-793721.13027685648</v>
      </c>
      <c r="AU14" s="174">
        <f t="shared" si="9"/>
        <v>0</v>
      </c>
    </row>
    <row r="15" spans="1:47">
      <c r="A15" t="s">
        <v>51</v>
      </c>
      <c r="B15" t="s">
        <v>2600</v>
      </c>
      <c r="C15" s="468">
        <v>-208995.77</v>
      </c>
      <c r="D15" s="468">
        <v>-44740.500618999446</v>
      </c>
      <c r="E15" s="473">
        <v>0</v>
      </c>
      <c r="F15" s="474">
        <v>48604.876800000027</v>
      </c>
      <c r="G15" s="450">
        <f t="shared" si="1"/>
        <v>-205131.39381899941</v>
      </c>
      <c r="I15" s="67">
        <f t="shared" si="2"/>
        <v>0</v>
      </c>
      <c r="J15" s="58" t="s">
        <v>51</v>
      </c>
      <c r="K15" t="s">
        <v>52</v>
      </c>
      <c r="L15" s="448">
        <v>48604.876800000027</v>
      </c>
      <c r="M15" s="67" t="s">
        <v>2591</v>
      </c>
      <c r="N15" s="317"/>
      <c r="P15" t="s">
        <v>51</v>
      </c>
      <c r="Q15" t="s">
        <v>2600</v>
      </c>
      <c r="R15" s="211">
        <v>-240651.93</v>
      </c>
      <c r="S15" s="211">
        <v>-208995.77</v>
      </c>
      <c r="T15" s="211">
        <v>-44740.500618999446</v>
      </c>
      <c r="U15" s="274">
        <v>194544.66013300046</v>
      </c>
      <c r="V15" s="79">
        <f t="shared" si="0"/>
        <v>-299843.54048599896</v>
      </c>
      <c r="Z15" s="172">
        <f t="shared" si="3"/>
        <v>0</v>
      </c>
      <c r="AB15" t="s">
        <v>51</v>
      </c>
      <c r="AC15" t="s">
        <v>2600</v>
      </c>
      <c r="AD15" s="464">
        <v>-46107.26986699953</v>
      </c>
      <c r="AE15" s="464">
        <v>-208995.77</v>
      </c>
      <c r="AF15" s="464">
        <v>-44740.500618999446</v>
      </c>
      <c r="AG15" s="464">
        <v>0</v>
      </c>
      <c r="AH15" s="464">
        <v>-299843.54048599896</v>
      </c>
      <c r="AJ15" s="464">
        <f t="shared" si="4"/>
        <v>-253736.27061899944</v>
      </c>
      <c r="AM15" s="464">
        <f t="shared" si="5"/>
        <v>-208995.77</v>
      </c>
      <c r="AN15" s="464">
        <v>-44740.500618999446</v>
      </c>
      <c r="AO15" s="464">
        <v>0</v>
      </c>
      <c r="AP15" s="317">
        <f t="shared" si="6"/>
        <v>-253736.27061899944</v>
      </c>
      <c r="AQ15" s="317">
        <f t="shared" si="7"/>
        <v>0</v>
      </c>
      <c r="AS15" s="475">
        <v>48604.876800000027</v>
      </c>
      <c r="AT15" s="174">
        <f t="shared" si="8"/>
        <v>-205131.39381899941</v>
      </c>
      <c r="AU15" s="174">
        <f t="shared" si="9"/>
        <v>0</v>
      </c>
    </row>
    <row r="16" spans="1:47">
      <c r="A16" t="s">
        <v>53</v>
      </c>
      <c r="B16" t="s">
        <v>2601</v>
      </c>
      <c r="C16" s="468">
        <v>-1727270.97</v>
      </c>
      <c r="D16" s="468">
        <v>-998247.79710200033</v>
      </c>
      <c r="E16" s="473">
        <v>1487596.4925759993</v>
      </c>
      <c r="F16" s="474">
        <v>572836.95679799886</v>
      </c>
      <c r="G16" s="450">
        <f t="shared" si="1"/>
        <v>-665085.31772800209</v>
      </c>
      <c r="I16" s="67">
        <f t="shared" si="2"/>
        <v>0</v>
      </c>
      <c r="J16" s="58" t="s">
        <v>53</v>
      </c>
      <c r="K16" t="s">
        <v>54</v>
      </c>
      <c r="L16" s="448">
        <v>572836.95679799886</v>
      </c>
      <c r="M16" s="67" t="s">
        <v>2591</v>
      </c>
      <c r="N16" s="317"/>
      <c r="P16" t="s">
        <v>53</v>
      </c>
      <c r="Q16" t="s">
        <v>2601</v>
      </c>
      <c r="R16" s="211">
        <v>-389057.21</v>
      </c>
      <c r="S16" s="211">
        <v>-1727270.97</v>
      </c>
      <c r="T16" s="211">
        <v>-998247.79710200033</v>
      </c>
      <c r="U16" s="274">
        <v>1876653.7025759993</v>
      </c>
      <c r="V16" s="79">
        <f t="shared" si="0"/>
        <v>-1237922.274526001</v>
      </c>
      <c r="Z16" s="172">
        <f t="shared" si="3"/>
        <v>0</v>
      </c>
      <c r="AB16" t="s">
        <v>53</v>
      </c>
      <c r="AC16" t="s">
        <v>2601</v>
      </c>
      <c r="AD16" s="464">
        <v>0</v>
      </c>
      <c r="AE16" s="464">
        <v>-1727270.97</v>
      </c>
      <c r="AF16" s="464">
        <v>-998247.79710200033</v>
      </c>
      <c r="AG16" s="464">
        <v>1487596.4925759993</v>
      </c>
      <c r="AH16" s="464">
        <v>-1237922.274526001</v>
      </c>
      <c r="AJ16" s="464">
        <f t="shared" si="4"/>
        <v>-1237922.274526001</v>
      </c>
      <c r="AM16" s="464">
        <f t="shared" si="5"/>
        <v>-1727270.97</v>
      </c>
      <c r="AN16" s="464">
        <v>-998247.79710200033</v>
      </c>
      <c r="AO16" s="464">
        <v>1487596.4925759993</v>
      </c>
      <c r="AP16" s="317">
        <f t="shared" si="6"/>
        <v>-1237922.274526001</v>
      </c>
      <c r="AQ16" s="317">
        <f t="shared" si="7"/>
        <v>0</v>
      </c>
      <c r="AS16" s="475">
        <v>572836.95679799886</v>
      </c>
      <c r="AT16" s="174">
        <f t="shared" si="8"/>
        <v>-665085.31772800209</v>
      </c>
      <c r="AU16" s="174">
        <f t="shared" si="9"/>
        <v>0</v>
      </c>
    </row>
    <row r="17" spans="1:47">
      <c r="A17" t="s">
        <v>55</v>
      </c>
      <c r="B17" t="s">
        <v>2602</v>
      </c>
      <c r="C17" s="468">
        <v>-845323.2</v>
      </c>
      <c r="D17" s="468">
        <v>830071.1410371525</v>
      </c>
      <c r="E17" s="473">
        <v>-143425.52645809762</v>
      </c>
      <c r="F17" s="474">
        <v>-1112933.7532594283</v>
      </c>
      <c r="G17" s="450">
        <f t="shared" si="1"/>
        <v>-1271611.3386803735</v>
      </c>
      <c r="I17" s="67">
        <f t="shared" si="2"/>
        <v>0</v>
      </c>
      <c r="J17" s="58" t="s">
        <v>55</v>
      </c>
      <c r="K17" t="s">
        <v>56</v>
      </c>
      <c r="L17" s="448">
        <v>-1112933.7532594283</v>
      </c>
      <c r="M17" s="67" t="s">
        <v>2591</v>
      </c>
      <c r="N17" s="317"/>
      <c r="P17" t="s">
        <v>55</v>
      </c>
      <c r="Q17" t="s">
        <v>2602</v>
      </c>
      <c r="R17" s="211">
        <v>-760323.67</v>
      </c>
      <c r="S17" s="211">
        <v>-845323.2</v>
      </c>
      <c r="T17" s="211">
        <v>1590394.8110371525</v>
      </c>
      <c r="U17" s="274">
        <v>-143425.52645809762</v>
      </c>
      <c r="V17" s="79">
        <f t="shared" si="0"/>
        <v>-158677.58542094519</v>
      </c>
      <c r="Z17" s="172">
        <f t="shared" si="3"/>
        <v>0</v>
      </c>
      <c r="AB17" t="s">
        <v>55</v>
      </c>
      <c r="AC17" t="s">
        <v>2602</v>
      </c>
      <c r="AD17" s="464">
        <v>0</v>
      </c>
      <c r="AE17" s="464">
        <v>-845323.2</v>
      </c>
      <c r="AF17" s="464">
        <v>830071.1410371525</v>
      </c>
      <c r="AG17" s="464">
        <v>-143425.52645809762</v>
      </c>
      <c r="AH17" s="464">
        <v>-158677.58542094508</v>
      </c>
      <c r="AJ17" s="464">
        <f t="shared" si="4"/>
        <v>-158677.58542094508</v>
      </c>
      <c r="AM17" s="464">
        <f t="shared" si="5"/>
        <v>-845323.2</v>
      </c>
      <c r="AN17" s="464">
        <v>830071.1410371525</v>
      </c>
      <c r="AO17" s="464">
        <v>-143425.52645809762</v>
      </c>
      <c r="AP17" s="317">
        <f t="shared" si="6"/>
        <v>-158677.58542094508</v>
      </c>
      <c r="AQ17" s="317">
        <f t="shared" si="7"/>
        <v>0</v>
      </c>
      <c r="AS17" s="475">
        <v>-1112933.7532594283</v>
      </c>
      <c r="AT17" s="174">
        <f t="shared" si="8"/>
        <v>-1271611.3386803735</v>
      </c>
      <c r="AU17" s="174">
        <f t="shared" si="9"/>
        <v>0</v>
      </c>
    </row>
    <row r="18" spans="1:47">
      <c r="A18" s="436" t="s">
        <v>57</v>
      </c>
      <c r="B18" s="437" t="s">
        <v>58</v>
      </c>
      <c r="C18" s="478">
        <v>0</v>
      </c>
      <c r="D18" s="467"/>
      <c r="E18" s="473"/>
      <c r="F18" s="474"/>
      <c r="G18" s="450">
        <f t="shared" si="1"/>
        <v>0</v>
      </c>
      <c r="I18" s="67">
        <f t="shared" si="2"/>
        <v>0</v>
      </c>
      <c r="J18" s="436" t="s">
        <v>57</v>
      </c>
      <c r="K18" s="437" t="s">
        <v>58</v>
      </c>
      <c r="L18" s="448"/>
      <c r="M18" s="67"/>
      <c r="N18" s="317"/>
      <c r="P18" s="291" t="s">
        <v>57</v>
      </c>
      <c r="Q18" s="292" t="s">
        <v>58</v>
      </c>
      <c r="R18" s="211"/>
      <c r="S18" s="211"/>
      <c r="T18" s="211"/>
      <c r="U18" s="274"/>
      <c r="V18" s="79"/>
      <c r="Z18" s="172">
        <f t="shared" si="3"/>
        <v>0</v>
      </c>
      <c r="AB18" t="s">
        <v>57</v>
      </c>
      <c r="AC18" t="s">
        <v>58</v>
      </c>
      <c r="AD18" s="464"/>
      <c r="AE18" s="464"/>
      <c r="AF18" s="464"/>
      <c r="AG18" s="464"/>
      <c r="AH18" s="464"/>
      <c r="AJ18" s="464">
        <f t="shared" si="4"/>
        <v>0</v>
      </c>
      <c r="AM18" s="464">
        <f t="shared" si="5"/>
        <v>0</v>
      </c>
      <c r="AN18" s="464"/>
      <c r="AO18" s="464"/>
      <c r="AP18" s="317">
        <f t="shared" si="6"/>
        <v>0</v>
      </c>
      <c r="AQ18" s="317">
        <f t="shared" si="7"/>
        <v>0</v>
      </c>
      <c r="AS18" s="475"/>
      <c r="AT18" s="174">
        <f t="shared" si="8"/>
        <v>0</v>
      </c>
      <c r="AU18" s="174">
        <f t="shared" si="9"/>
        <v>0</v>
      </c>
    </row>
    <row r="19" spans="1:47">
      <c r="A19" t="s">
        <v>59</v>
      </c>
      <c r="B19" t="s">
        <v>2603</v>
      </c>
      <c r="C19" s="479">
        <v>-1373573.03</v>
      </c>
      <c r="D19" s="468">
        <v>82001.862648997689</v>
      </c>
      <c r="E19" s="473">
        <v>1376813.2352220006</v>
      </c>
      <c r="F19" s="474">
        <v>621145.9529533399</v>
      </c>
      <c r="G19" s="450">
        <f t="shared" si="1"/>
        <v>706388.02082433819</v>
      </c>
      <c r="I19" s="67">
        <f t="shared" si="2"/>
        <v>0</v>
      </c>
      <c r="J19" t="s">
        <v>59</v>
      </c>
      <c r="K19" t="s">
        <v>2603</v>
      </c>
      <c r="L19" s="448">
        <v>621145.9529533399</v>
      </c>
      <c r="M19" s="67" t="s">
        <v>2591</v>
      </c>
      <c r="N19" s="317"/>
      <c r="P19" t="s">
        <v>59</v>
      </c>
      <c r="Q19" t="s">
        <v>2603</v>
      </c>
      <c r="R19" s="211">
        <v>-61290.12</v>
      </c>
      <c r="S19" s="211">
        <v>-1373573.03</v>
      </c>
      <c r="T19" s="211">
        <v>143291.98264899768</v>
      </c>
      <c r="U19" s="274">
        <v>1376813.2352220006</v>
      </c>
      <c r="V19" s="79">
        <f>SUM(R19:U19)</f>
        <v>85242.067870998289</v>
      </c>
      <c r="Z19" s="172">
        <f t="shared" si="3"/>
        <v>0</v>
      </c>
      <c r="AB19" t="s">
        <v>59</v>
      </c>
      <c r="AC19" t="s">
        <v>2603</v>
      </c>
      <c r="AD19" s="464">
        <v>0</v>
      </c>
      <c r="AE19" s="464">
        <v>-1373573.03</v>
      </c>
      <c r="AF19" s="464">
        <v>82001.862648997689</v>
      </c>
      <c r="AG19" s="464">
        <v>1376813.2352220006</v>
      </c>
      <c r="AH19" s="464">
        <v>85242.067870998289</v>
      </c>
      <c r="AJ19" s="464">
        <f t="shared" si="4"/>
        <v>85242.067870998289</v>
      </c>
      <c r="AM19" s="464">
        <f t="shared" si="5"/>
        <v>-1373573.03</v>
      </c>
      <c r="AN19" s="464">
        <v>82001.862648997689</v>
      </c>
      <c r="AO19" s="464">
        <v>1376813.2352220006</v>
      </c>
      <c r="AP19" s="317">
        <f t="shared" si="6"/>
        <v>85242.067870998289</v>
      </c>
      <c r="AQ19" s="317">
        <f t="shared" si="7"/>
        <v>0</v>
      </c>
      <c r="AS19" s="475">
        <v>621145.9529533399</v>
      </c>
      <c r="AT19" s="174">
        <f t="shared" si="8"/>
        <v>706388.02082433819</v>
      </c>
      <c r="AU19" s="174">
        <f t="shared" si="9"/>
        <v>0</v>
      </c>
    </row>
    <row r="20" spans="1:47">
      <c r="A20" s="436" t="s">
        <v>61</v>
      </c>
      <c r="B20" s="437" t="s">
        <v>62</v>
      </c>
      <c r="C20" s="478">
        <v>0</v>
      </c>
      <c r="D20" s="467"/>
      <c r="E20" s="473"/>
      <c r="F20" s="474"/>
      <c r="G20" s="450">
        <f t="shared" si="1"/>
        <v>0</v>
      </c>
      <c r="I20" s="67">
        <f t="shared" si="2"/>
        <v>0</v>
      </c>
      <c r="J20" s="436" t="s">
        <v>61</v>
      </c>
      <c r="K20" s="437" t="s">
        <v>62</v>
      </c>
      <c r="L20" s="448"/>
      <c r="M20" s="67"/>
      <c r="N20" s="317"/>
      <c r="P20" s="291" t="s">
        <v>61</v>
      </c>
      <c r="Q20" s="292" t="s">
        <v>62</v>
      </c>
      <c r="R20" s="211"/>
      <c r="S20" s="211"/>
      <c r="T20" s="211"/>
      <c r="U20" s="274"/>
      <c r="V20" s="79"/>
      <c r="Z20" s="172">
        <f t="shared" si="3"/>
        <v>0</v>
      </c>
      <c r="AB20" t="s">
        <v>61</v>
      </c>
      <c r="AC20" t="s">
        <v>62</v>
      </c>
      <c r="AD20" s="464"/>
      <c r="AE20" s="464"/>
      <c r="AF20" s="464"/>
      <c r="AG20" s="464"/>
      <c r="AH20" s="464"/>
      <c r="AJ20" s="464">
        <f t="shared" si="4"/>
        <v>0</v>
      </c>
      <c r="AM20" s="464">
        <f t="shared" si="5"/>
        <v>0</v>
      </c>
      <c r="AN20" s="464"/>
      <c r="AO20" s="464"/>
      <c r="AP20" s="317">
        <f t="shared" si="6"/>
        <v>0</v>
      </c>
      <c r="AQ20" s="317">
        <f t="shared" si="7"/>
        <v>0</v>
      </c>
      <c r="AS20" s="475"/>
      <c r="AT20" s="174">
        <f t="shared" si="8"/>
        <v>0</v>
      </c>
      <c r="AU20" s="174">
        <f t="shared" si="9"/>
        <v>0</v>
      </c>
    </row>
    <row r="21" spans="1:47">
      <c r="A21" t="s">
        <v>63</v>
      </c>
      <c r="B21" t="s">
        <v>2604</v>
      </c>
      <c r="C21" s="468">
        <v>-299896.39</v>
      </c>
      <c r="D21" s="468">
        <v>-47193.066253736579</v>
      </c>
      <c r="E21" s="473">
        <v>-3243.4571209957357</v>
      </c>
      <c r="F21" s="474">
        <v>-481840.2227842799</v>
      </c>
      <c r="G21" s="450">
        <f t="shared" si="1"/>
        <v>-832173.13615901221</v>
      </c>
      <c r="I21" s="67">
        <f t="shared" si="2"/>
        <v>0</v>
      </c>
      <c r="J21" s="58" t="s">
        <v>63</v>
      </c>
      <c r="K21" t="s">
        <v>64</v>
      </c>
      <c r="L21" s="448">
        <v>-481840.2227842799</v>
      </c>
      <c r="M21" s="67" t="s">
        <v>2591</v>
      </c>
      <c r="N21" s="317"/>
      <c r="P21" t="s">
        <v>63</v>
      </c>
      <c r="Q21" t="s">
        <v>2604</v>
      </c>
      <c r="R21" s="211">
        <v>-260208.85</v>
      </c>
      <c r="S21" s="211">
        <v>-299896.39</v>
      </c>
      <c r="T21" s="211">
        <v>-47193.066253736579</v>
      </c>
      <c r="U21" s="274">
        <v>-3243.4571209957357</v>
      </c>
      <c r="V21" s="79">
        <f t="shared" ref="V21:V41" si="10">SUM(R21:U21)</f>
        <v>-610541.76337473234</v>
      </c>
      <c r="Z21" s="172">
        <f t="shared" si="3"/>
        <v>0</v>
      </c>
      <c r="AB21" t="s">
        <v>63</v>
      </c>
      <c r="AC21" t="s">
        <v>2604</v>
      </c>
      <c r="AD21" s="464">
        <v>-260208.85</v>
      </c>
      <c r="AE21" s="464">
        <v>-299896.39</v>
      </c>
      <c r="AF21" s="464">
        <v>-47193.066253736579</v>
      </c>
      <c r="AG21" s="464">
        <v>-3243.4571209957357</v>
      </c>
      <c r="AH21" s="464">
        <v>-610541.76337473234</v>
      </c>
      <c r="AJ21" s="464">
        <f t="shared" si="4"/>
        <v>-350332.91337473231</v>
      </c>
      <c r="AM21" s="464">
        <f t="shared" si="5"/>
        <v>-299896.39</v>
      </c>
      <c r="AN21" s="464">
        <v>-47193.066253736579</v>
      </c>
      <c r="AO21" s="464">
        <v>-3243.4571209957357</v>
      </c>
      <c r="AP21" s="317">
        <f t="shared" si="6"/>
        <v>-350332.91337473231</v>
      </c>
      <c r="AQ21" s="317">
        <f t="shared" si="7"/>
        <v>0</v>
      </c>
      <c r="AS21" s="475">
        <v>-481840.2227842799</v>
      </c>
      <c r="AT21" s="174">
        <f t="shared" si="8"/>
        <v>-832173.13615901221</v>
      </c>
      <c r="AU21" s="174">
        <f t="shared" si="9"/>
        <v>0</v>
      </c>
    </row>
    <row r="22" spans="1:47">
      <c r="A22" t="s">
        <v>65</v>
      </c>
      <c r="B22" t="s">
        <v>2605</v>
      </c>
      <c r="C22" s="468">
        <v>-52898.53</v>
      </c>
      <c r="D22" s="468">
        <v>-27608.338987999985</v>
      </c>
      <c r="E22" s="473">
        <v>-22595.906256000002</v>
      </c>
      <c r="F22" s="474">
        <v>-42427.794690000024</v>
      </c>
      <c r="G22" s="450">
        <f t="shared" si="1"/>
        <v>-145530.56993400003</v>
      </c>
      <c r="I22" s="67">
        <f t="shared" si="2"/>
        <v>0</v>
      </c>
      <c r="J22" s="58" t="s">
        <v>65</v>
      </c>
      <c r="K22" t="s">
        <v>66</v>
      </c>
      <c r="L22" s="448">
        <v>-42427.794690000024</v>
      </c>
      <c r="M22" s="67" t="s">
        <v>2591</v>
      </c>
      <c r="N22" s="317"/>
      <c r="P22" t="s">
        <v>65</v>
      </c>
      <c r="Q22" t="s">
        <v>2605</v>
      </c>
      <c r="R22" s="211">
        <v>-58234.74</v>
      </c>
      <c r="S22" s="211">
        <v>-52898.53</v>
      </c>
      <c r="T22" s="211">
        <v>-27608.338987999985</v>
      </c>
      <c r="U22" s="274">
        <v>-22595.906256000002</v>
      </c>
      <c r="V22" s="79">
        <f t="shared" si="10"/>
        <v>-161337.51524399995</v>
      </c>
      <c r="Z22" s="172">
        <f t="shared" si="3"/>
        <v>0</v>
      </c>
      <c r="AB22" t="s">
        <v>65</v>
      </c>
      <c r="AC22" t="s">
        <v>2605</v>
      </c>
      <c r="AD22" s="464">
        <v>-58234.74</v>
      </c>
      <c r="AE22" s="464">
        <v>-52898.53</v>
      </c>
      <c r="AF22" s="464">
        <v>-27608.338987999985</v>
      </c>
      <c r="AG22" s="464">
        <v>-22595.906256000002</v>
      </c>
      <c r="AH22" s="464">
        <v>-161337.51524399995</v>
      </c>
      <c r="AJ22" s="464">
        <f t="shared" si="4"/>
        <v>-103102.77524399999</v>
      </c>
      <c r="AM22" s="464">
        <f t="shared" si="5"/>
        <v>-52898.53</v>
      </c>
      <c r="AN22" s="464">
        <v>-27608.338987999985</v>
      </c>
      <c r="AO22" s="464">
        <v>-22595.906256000002</v>
      </c>
      <c r="AP22" s="317">
        <f t="shared" si="6"/>
        <v>-103102.77524399999</v>
      </c>
      <c r="AQ22" s="317">
        <f t="shared" si="7"/>
        <v>0</v>
      </c>
      <c r="AS22" s="475">
        <v>-42427.794690000024</v>
      </c>
      <c r="AT22" s="174">
        <f t="shared" si="8"/>
        <v>-145530.56993400003</v>
      </c>
      <c r="AU22" s="174">
        <f t="shared" si="9"/>
        <v>0</v>
      </c>
    </row>
    <row r="23" spans="1:47">
      <c r="A23" t="s">
        <v>67</v>
      </c>
      <c r="B23" t="s">
        <v>2606</v>
      </c>
      <c r="C23" s="468">
        <v>-197563.86999999959</v>
      </c>
      <c r="D23" s="468">
        <v>352110.03695376858</v>
      </c>
      <c r="E23" s="473">
        <v>436977.8823302323</v>
      </c>
      <c r="F23" s="474">
        <v>471291.78035767551</v>
      </c>
      <c r="G23" s="450">
        <f t="shared" si="1"/>
        <v>1062815.829641677</v>
      </c>
      <c r="I23" s="67">
        <f t="shared" si="2"/>
        <v>0</v>
      </c>
      <c r="J23" s="58" t="s">
        <v>67</v>
      </c>
      <c r="K23" t="s">
        <v>68</v>
      </c>
      <c r="L23" s="448">
        <v>471291.78035767551</v>
      </c>
      <c r="M23" s="67" t="s">
        <v>2591</v>
      </c>
      <c r="N23" s="317"/>
      <c r="P23" t="s">
        <v>67</v>
      </c>
      <c r="Q23" t="s">
        <v>2606</v>
      </c>
      <c r="R23" s="211">
        <v>43729.960000000399</v>
      </c>
      <c r="S23" s="211">
        <v>-241293.83</v>
      </c>
      <c r="T23" s="211">
        <v>352110.03695376858</v>
      </c>
      <c r="U23" s="274">
        <v>436977.8823302323</v>
      </c>
      <c r="V23" s="79">
        <f t="shared" si="10"/>
        <v>591524.04928400135</v>
      </c>
      <c r="Z23" s="172">
        <f t="shared" si="3"/>
        <v>0</v>
      </c>
      <c r="AB23" t="s">
        <v>67</v>
      </c>
      <c r="AC23" t="s">
        <v>2606</v>
      </c>
      <c r="AD23" s="464">
        <v>43729.960000000399</v>
      </c>
      <c r="AE23" s="464">
        <v>-241293.83</v>
      </c>
      <c r="AF23" s="464">
        <v>352110.03695376858</v>
      </c>
      <c r="AG23" s="464">
        <v>436977.8823302323</v>
      </c>
      <c r="AH23" s="464">
        <v>591524.04928400135</v>
      </c>
      <c r="AJ23" s="464">
        <f t="shared" si="4"/>
        <v>547794.08928400092</v>
      </c>
      <c r="AM23" s="465">
        <f>+AD23+AE23</f>
        <v>-197563.86999999959</v>
      </c>
      <c r="AN23" s="464">
        <v>352110.03695376858</v>
      </c>
      <c r="AO23" s="464">
        <v>436977.8823302323</v>
      </c>
      <c r="AP23" s="317">
        <f t="shared" si="6"/>
        <v>591524.04928400135</v>
      </c>
      <c r="AQ23" s="466">
        <f>+AP23-AH23</f>
        <v>0</v>
      </c>
      <c r="AS23" s="475">
        <v>471291.78035767551</v>
      </c>
      <c r="AT23" s="174">
        <f t="shared" si="8"/>
        <v>1062815.829641677</v>
      </c>
      <c r="AU23" s="174">
        <f t="shared" si="9"/>
        <v>0</v>
      </c>
    </row>
    <row r="24" spans="1:47">
      <c r="A24" t="s">
        <v>69</v>
      </c>
      <c r="B24" t="s">
        <v>2607</v>
      </c>
      <c r="C24" s="468">
        <v>-159195.19</v>
      </c>
      <c r="D24" s="468">
        <v>0</v>
      </c>
      <c r="E24" s="473">
        <v>-31440.944186000037</v>
      </c>
      <c r="F24" s="474">
        <v>-42737.506611999968</v>
      </c>
      <c r="G24" s="450">
        <f t="shared" si="1"/>
        <v>-233373.64079800001</v>
      </c>
      <c r="I24" s="67">
        <f t="shared" si="2"/>
        <v>0</v>
      </c>
      <c r="J24" s="58" t="s">
        <v>69</v>
      </c>
      <c r="K24" t="s">
        <v>70</v>
      </c>
      <c r="L24" s="448">
        <v>-42737.506611999968</v>
      </c>
      <c r="M24" s="67" t="s">
        <v>2591</v>
      </c>
      <c r="N24" s="317"/>
      <c r="P24" t="s">
        <v>69</v>
      </c>
      <c r="Q24" t="s">
        <v>2607</v>
      </c>
      <c r="R24" s="211">
        <v>-103835.11</v>
      </c>
      <c r="S24" s="211">
        <v>-159195.19</v>
      </c>
      <c r="T24" s="211">
        <v>8548.9251999999397</v>
      </c>
      <c r="U24" s="274">
        <v>-31440.944186000037</v>
      </c>
      <c r="V24" s="79">
        <f t="shared" si="10"/>
        <v>-285922.31898600009</v>
      </c>
      <c r="Z24" s="172">
        <f t="shared" si="3"/>
        <v>0</v>
      </c>
      <c r="AB24" t="s">
        <v>69</v>
      </c>
      <c r="AC24" t="s">
        <v>2607</v>
      </c>
      <c r="AD24" s="464">
        <v>-95286.184800000061</v>
      </c>
      <c r="AE24" s="464">
        <v>-159195.19</v>
      </c>
      <c r="AF24" s="464">
        <v>0</v>
      </c>
      <c r="AG24" s="464">
        <v>-31440.944186000037</v>
      </c>
      <c r="AH24" s="464">
        <v>-285922.31898600009</v>
      </c>
      <c r="AJ24" s="464">
        <f t="shared" si="4"/>
        <v>-190636.13418600004</v>
      </c>
      <c r="AM24" s="464">
        <f t="shared" si="5"/>
        <v>-159195.19</v>
      </c>
      <c r="AN24" s="464">
        <v>0</v>
      </c>
      <c r="AO24" s="464">
        <v>-31440.944186000037</v>
      </c>
      <c r="AP24" s="317">
        <f t="shared" si="6"/>
        <v>-190636.13418600004</v>
      </c>
      <c r="AQ24" s="317">
        <f t="shared" si="7"/>
        <v>0</v>
      </c>
      <c r="AS24" s="475">
        <v>-42737.506611999968</v>
      </c>
      <c r="AT24" s="174">
        <f t="shared" si="8"/>
        <v>-233373.64079800001</v>
      </c>
      <c r="AU24" s="174">
        <f t="shared" si="9"/>
        <v>0</v>
      </c>
    </row>
    <row r="25" spans="1:47">
      <c r="A25" t="s">
        <v>71</v>
      </c>
      <c r="B25" t="s">
        <v>2608</v>
      </c>
      <c r="C25" s="468">
        <v>-184809.25</v>
      </c>
      <c r="D25" s="468">
        <v>-34468.716718000207</v>
      </c>
      <c r="E25" s="473">
        <v>-89531.784245999996</v>
      </c>
      <c r="F25" s="474">
        <v>-74295.125986999963</v>
      </c>
      <c r="G25" s="450">
        <f t="shared" si="1"/>
        <v>-383104.87695100019</v>
      </c>
      <c r="I25" s="67">
        <f t="shared" si="2"/>
        <v>0</v>
      </c>
      <c r="J25" s="58" t="s">
        <v>71</v>
      </c>
      <c r="K25" t="s">
        <v>72</v>
      </c>
      <c r="L25" s="448">
        <v>-74295.125986999963</v>
      </c>
      <c r="M25" s="67" t="s">
        <v>2591</v>
      </c>
      <c r="N25" s="317"/>
      <c r="P25" t="s">
        <v>71</v>
      </c>
      <c r="Q25" t="s">
        <v>2608</v>
      </c>
      <c r="R25" s="211">
        <v>-307411.34000000003</v>
      </c>
      <c r="S25" s="211">
        <v>-184809.25</v>
      </c>
      <c r="T25" s="211">
        <v>-34468.716718000207</v>
      </c>
      <c r="U25" s="274">
        <v>-89531.784245999996</v>
      </c>
      <c r="V25" s="79">
        <f t="shared" si="10"/>
        <v>-616221.09096400021</v>
      </c>
      <c r="Z25" s="172">
        <f t="shared" si="3"/>
        <v>0</v>
      </c>
      <c r="AB25" t="s">
        <v>71</v>
      </c>
      <c r="AC25" t="s">
        <v>2608</v>
      </c>
      <c r="AD25" s="464">
        <v>-307411.34000000003</v>
      </c>
      <c r="AE25" s="464">
        <v>-184809.25</v>
      </c>
      <c r="AF25" s="464">
        <v>-34468.716718000207</v>
      </c>
      <c r="AG25" s="464">
        <v>-89531.784245999996</v>
      </c>
      <c r="AH25" s="464">
        <v>-616221.09096400021</v>
      </c>
      <c r="AJ25" s="464">
        <f t="shared" si="4"/>
        <v>-308809.75096400024</v>
      </c>
      <c r="AM25" s="464">
        <f t="shared" si="5"/>
        <v>-184809.25</v>
      </c>
      <c r="AN25" s="464">
        <v>-34468.716718000207</v>
      </c>
      <c r="AO25" s="464">
        <v>-89531.784245999996</v>
      </c>
      <c r="AP25" s="317">
        <f t="shared" si="6"/>
        <v>-308809.75096400024</v>
      </c>
      <c r="AQ25" s="317">
        <f t="shared" si="7"/>
        <v>0</v>
      </c>
      <c r="AS25" s="475">
        <v>-74295.125986999963</v>
      </c>
      <c r="AT25" s="174">
        <f t="shared" si="8"/>
        <v>-383104.87695100019</v>
      </c>
      <c r="AU25" s="174">
        <f t="shared" si="9"/>
        <v>0</v>
      </c>
    </row>
    <row r="26" spans="1:47">
      <c r="A26" t="s">
        <v>73</v>
      </c>
      <c r="B26" t="s">
        <v>2609</v>
      </c>
      <c r="C26" s="468">
        <v>-53832.42</v>
      </c>
      <c r="D26" s="468">
        <v>-42479.859096</v>
      </c>
      <c r="E26" s="473">
        <v>-45466.955079999985</v>
      </c>
      <c r="F26" s="474">
        <v>-50645.156239999997</v>
      </c>
      <c r="G26" s="450">
        <f t="shared" si="1"/>
        <v>-192424.39041599998</v>
      </c>
      <c r="I26" s="67">
        <f t="shared" si="2"/>
        <v>0</v>
      </c>
      <c r="J26" s="58" t="s">
        <v>73</v>
      </c>
      <c r="K26" t="s">
        <v>74</v>
      </c>
      <c r="L26" s="448">
        <v>-50645.156239999997</v>
      </c>
      <c r="M26" s="67" t="s">
        <v>2591</v>
      </c>
      <c r="N26" s="317"/>
      <c r="P26" t="s">
        <v>73</v>
      </c>
      <c r="Q26" t="s">
        <v>2609</v>
      </c>
      <c r="R26" s="211">
        <v>-50319.49</v>
      </c>
      <c r="S26" s="211">
        <v>-53832.42</v>
      </c>
      <c r="T26" s="211">
        <v>-42479.859096</v>
      </c>
      <c r="U26" s="274">
        <v>-45466.955079999985</v>
      </c>
      <c r="V26" s="79">
        <f t="shared" si="10"/>
        <v>-192098.72417599999</v>
      </c>
      <c r="Z26" s="172">
        <f t="shared" si="3"/>
        <v>0</v>
      </c>
      <c r="AB26" t="s">
        <v>73</v>
      </c>
      <c r="AC26" t="s">
        <v>2609</v>
      </c>
      <c r="AD26" s="464">
        <v>-50319.49</v>
      </c>
      <c r="AE26" s="464">
        <v>-53832.42</v>
      </c>
      <c r="AF26" s="464">
        <v>-42479.859096</v>
      </c>
      <c r="AG26" s="464">
        <v>-45466.955079999985</v>
      </c>
      <c r="AH26" s="464">
        <v>-192098.72417599999</v>
      </c>
      <c r="AJ26" s="464">
        <f t="shared" si="4"/>
        <v>-141779.234176</v>
      </c>
      <c r="AM26" s="464">
        <f t="shared" si="5"/>
        <v>-53832.42</v>
      </c>
      <c r="AN26" s="464">
        <v>-42479.859096</v>
      </c>
      <c r="AO26" s="464">
        <v>-45466.955079999985</v>
      </c>
      <c r="AP26" s="317">
        <f t="shared" si="6"/>
        <v>-141779.234176</v>
      </c>
      <c r="AQ26" s="317">
        <f t="shared" si="7"/>
        <v>0</v>
      </c>
      <c r="AS26" s="475">
        <v>-50645.156239999997</v>
      </c>
      <c r="AT26" s="174">
        <f t="shared" si="8"/>
        <v>-192424.39041599998</v>
      </c>
      <c r="AU26" s="174">
        <f t="shared" si="9"/>
        <v>0</v>
      </c>
    </row>
    <row r="27" spans="1:47">
      <c r="A27" t="s">
        <v>75</v>
      </c>
      <c r="B27" t="s">
        <v>2610</v>
      </c>
      <c r="C27" s="468">
        <v>-608592.59</v>
      </c>
      <c r="D27" s="468">
        <v>609740.44378200034</v>
      </c>
      <c r="E27" s="473">
        <v>560962.43865600019</v>
      </c>
      <c r="F27" s="474">
        <v>-22376.025209999818</v>
      </c>
      <c r="G27" s="450">
        <f t="shared" si="1"/>
        <v>539734.2672280008</v>
      </c>
      <c r="I27" s="67">
        <f t="shared" si="2"/>
        <v>0</v>
      </c>
      <c r="J27" s="58" t="s">
        <v>75</v>
      </c>
      <c r="K27" t="s">
        <v>2610</v>
      </c>
      <c r="L27" s="448">
        <v>-22376.025209999818</v>
      </c>
      <c r="M27" s="67" t="s">
        <v>2591</v>
      </c>
      <c r="N27" s="317"/>
      <c r="P27" t="s">
        <v>75</v>
      </c>
      <c r="Q27" t="s">
        <v>2610</v>
      </c>
      <c r="R27" s="211">
        <v>-409365.68</v>
      </c>
      <c r="S27" s="211">
        <v>-608592.59</v>
      </c>
      <c r="T27" s="211">
        <v>1019106.1237820004</v>
      </c>
      <c r="U27" s="274">
        <v>560962.43865600019</v>
      </c>
      <c r="V27" s="79">
        <f t="shared" si="10"/>
        <v>562110.29243800056</v>
      </c>
      <c r="Z27" s="172">
        <f t="shared" si="3"/>
        <v>0</v>
      </c>
      <c r="AB27" t="s">
        <v>75</v>
      </c>
      <c r="AC27" t="s">
        <v>2610</v>
      </c>
      <c r="AD27" s="464">
        <v>0</v>
      </c>
      <c r="AE27" s="464">
        <v>-608592.59</v>
      </c>
      <c r="AF27" s="464">
        <v>609740.44378200034</v>
      </c>
      <c r="AG27" s="464">
        <v>560962.43865600019</v>
      </c>
      <c r="AH27" s="464">
        <v>562110.29243800056</v>
      </c>
      <c r="AJ27" s="464">
        <f t="shared" si="4"/>
        <v>562110.29243800056</v>
      </c>
      <c r="AM27" s="464">
        <f t="shared" si="5"/>
        <v>-608592.59</v>
      </c>
      <c r="AN27" s="464">
        <v>609740.44378200034</v>
      </c>
      <c r="AO27" s="464">
        <v>560962.43865600019</v>
      </c>
      <c r="AP27" s="317">
        <f t="shared" si="6"/>
        <v>562110.29243800056</v>
      </c>
      <c r="AQ27" s="317">
        <f t="shared" si="7"/>
        <v>0</v>
      </c>
      <c r="AS27" s="475">
        <v>-22376.025209999818</v>
      </c>
      <c r="AT27" s="174">
        <f t="shared" si="8"/>
        <v>539734.2672280008</v>
      </c>
      <c r="AU27" s="174">
        <f t="shared" si="9"/>
        <v>0</v>
      </c>
    </row>
    <row r="28" spans="1:47">
      <c r="A28" t="s">
        <v>77</v>
      </c>
      <c r="B28" t="s">
        <v>2611</v>
      </c>
      <c r="C28" s="468">
        <v>-750646.63</v>
      </c>
      <c r="D28" s="468">
        <v>-597158.61749999993</v>
      </c>
      <c r="E28" s="473">
        <v>-125466.61699999915</v>
      </c>
      <c r="F28" s="474">
        <v>-755052.23769600014</v>
      </c>
      <c r="G28" s="450">
        <f t="shared" si="1"/>
        <v>-2228324.1021959996</v>
      </c>
      <c r="I28" s="67">
        <f t="shared" si="2"/>
        <v>0</v>
      </c>
      <c r="J28" s="58" t="s">
        <v>77</v>
      </c>
      <c r="K28" t="s">
        <v>78</v>
      </c>
      <c r="L28" s="448">
        <v>-755052.23769600014</v>
      </c>
      <c r="M28" s="67" t="s">
        <v>2591</v>
      </c>
      <c r="N28" s="317"/>
      <c r="P28" t="s">
        <v>77</v>
      </c>
      <c r="Q28" t="s">
        <v>2611</v>
      </c>
      <c r="R28" s="211">
        <v>-447982.62</v>
      </c>
      <c r="S28" s="211">
        <v>-750646.63</v>
      </c>
      <c r="T28" s="211">
        <v>-597158.61749999993</v>
      </c>
      <c r="U28" s="274">
        <v>-125466.61699999915</v>
      </c>
      <c r="V28" s="79">
        <f t="shared" si="10"/>
        <v>-1921254.4844999991</v>
      </c>
      <c r="Z28" s="172">
        <f t="shared" si="3"/>
        <v>0</v>
      </c>
      <c r="AB28" t="s">
        <v>77</v>
      </c>
      <c r="AC28" t="s">
        <v>2611</v>
      </c>
      <c r="AD28" s="464">
        <v>-447982.62</v>
      </c>
      <c r="AE28" s="464">
        <v>-750646.63</v>
      </c>
      <c r="AF28" s="464">
        <v>-597158.61749999993</v>
      </c>
      <c r="AG28" s="464">
        <v>-125466.61699999915</v>
      </c>
      <c r="AH28" s="464">
        <v>-1921254.4844999991</v>
      </c>
      <c r="AJ28" s="464">
        <f t="shared" si="4"/>
        <v>-1473271.8644999992</v>
      </c>
      <c r="AM28" s="464">
        <f t="shared" si="5"/>
        <v>-750646.63</v>
      </c>
      <c r="AN28" s="464">
        <v>-597158.61749999993</v>
      </c>
      <c r="AO28" s="464">
        <v>-125466.61699999915</v>
      </c>
      <c r="AP28" s="317">
        <f t="shared" si="6"/>
        <v>-1473271.8644999992</v>
      </c>
      <c r="AQ28" s="317">
        <f t="shared" si="7"/>
        <v>0</v>
      </c>
      <c r="AS28" s="475">
        <v>-755052.23769600014</v>
      </c>
      <c r="AT28" s="174">
        <f t="shared" si="8"/>
        <v>-2228324.1021959996</v>
      </c>
      <c r="AU28" s="174">
        <f t="shared" si="9"/>
        <v>0</v>
      </c>
    </row>
    <row r="29" spans="1:47">
      <c r="A29" t="s">
        <v>79</v>
      </c>
      <c r="B29" t="s">
        <v>2612</v>
      </c>
      <c r="C29" s="468">
        <v>-286191.28000000003</v>
      </c>
      <c r="D29" s="468">
        <v>-482117.58991999994</v>
      </c>
      <c r="E29" s="473">
        <v>-330947.09558500012</v>
      </c>
      <c r="F29" s="474">
        <v>-329463.94672000001</v>
      </c>
      <c r="G29" s="450">
        <f t="shared" si="1"/>
        <v>-1428719.9122250001</v>
      </c>
      <c r="I29" s="67">
        <f t="shared" si="2"/>
        <v>0</v>
      </c>
      <c r="J29" s="58" t="s">
        <v>79</v>
      </c>
      <c r="K29" t="s">
        <v>80</v>
      </c>
      <c r="L29" s="448">
        <v>-329463.94672000001</v>
      </c>
      <c r="M29" s="67" t="s">
        <v>2591</v>
      </c>
      <c r="N29" s="317"/>
      <c r="P29" t="s">
        <v>79</v>
      </c>
      <c r="Q29" t="s">
        <v>2612</v>
      </c>
      <c r="R29" s="211">
        <v>-352297.55</v>
      </c>
      <c r="S29" s="211">
        <v>-286191.28000000003</v>
      </c>
      <c r="T29" s="211">
        <v>-482117.58991999994</v>
      </c>
      <c r="U29" s="274">
        <v>-330947.09558500012</v>
      </c>
      <c r="V29" s="79">
        <f t="shared" si="10"/>
        <v>-1451553.515505</v>
      </c>
      <c r="Z29" s="172">
        <f t="shared" si="3"/>
        <v>0</v>
      </c>
      <c r="AB29" t="s">
        <v>79</v>
      </c>
      <c r="AC29" t="s">
        <v>2612</v>
      </c>
      <c r="AD29" s="464">
        <v>-352297.55</v>
      </c>
      <c r="AE29" s="464">
        <v>-286191.28000000003</v>
      </c>
      <c r="AF29" s="464">
        <v>-482117.58991999994</v>
      </c>
      <c r="AG29" s="464">
        <v>-330947.09558500012</v>
      </c>
      <c r="AH29" s="464">
        <v>-1451553.515505</v>
      </c>
      <c r="AJ29" s="464">
        <f t="shared" si="4"/>
        <v>-1099255.9655050002</v>
      </c>
      <c r="AM29" s="464">
        <f t="shared" si="5"/>
        <v>-286191.28000000003</v>
      </c>
      <c r="AN29" s="464">
        <v>-482117.58991999994</v>
      </c>
      <c r="AO29" s="464">
        <v>-330947.09558500012</v>
      </c>
      <c r="AP29" s="317">
        <f t="shared" si="6"/>
        <v>-1099255.9655050002</v>
      </c>
      <c r="AQ29" s="317">
        <f t="shared" si="7"/>
        <v>0</v>
      </c>
      <c r="AS29" s="475">
        <v>-329463.94672000001</v>
      </c>
      <c r="AT29" s="174">
        <f t="shared" si="8"/>
        <v>-1428719.9122250001</v>
      </c>
      <c r="AU29" s="174">
        <f t="shared" si="9"/>
        <v>0</v>
      </c>
    </row>
    <row r="30" spans="1:47">
      <c r="A30" t="s">
        <v>81</v>
      </c>
      <c r="B30" t="s">
        <v>2613</v>
      </c>
      <c r="C30" s="468">
        <v>-21493.85</v>
      </c>
      <c r="D30" s="468">
        <v>0</v>
      </c>
      <c r="E30" s="473">
        <v>0</v>
      </c>
      <c r="F30" s="474">
        <v>8130.9188039999881</v>
      </c>
      <c r="G30" s="450">
        <f t="shared" si="1"/>
        <v>-13362.93119600001</v>
      </c>
      <c r="I30" s="67">
        <f t="shared" si="2"/>
        <v>0</v>
      </c>
      <c r="J30" s="58" t="s">
        <v>81</v>
      </c>
      <c r="K30" t="s">
        <v>82</v>
      </c>
      <c r="L30" s="448">
        <v>8130.9188039999881</v>
      </c>
      <c r="M30" s="67" t="s">
        <v>2591</v>
      </c>
      <c r="N30" s="317"/>
      <c r="P30" t="s">
        <v>81</v>
      </c>
      <c r="Q30" t="s">
        <v>2613</v>
      </c>
      <c r="R30" s="211">
        <v>-39473.82</v>
      </c>
      <c r="S30" s="211">
        <v>-21493.85</v>
      </c>
      <c r="T30" s="211">
        <v>1646.523612</v>
      </c>
      <c r="U30" s="274">
        <v>5063.1016799999925</v>
      </c>
      <c r="V30" s="79">
        <f t="shared" si="10"/>
        <v>-54258.044708000009</v>
      </c>
      <c r="Z30" s="172">
        <f t="shared" si="3"/>
        <v>0</v>
      </c>
      <c r="AB30" t="s">
        <v>81</v>
      </c>
      <c r="AC30" t="s">
        <v>2613</v>
      </c>
      <c r="AD30" s="464">
        <v>-32764.19470800001</v>
      </c>
      <c r="AE30" s="464">
        <v>-21493.85</v>
      </c>
      <c r="AF30" s="464">
        <v>0</v>
      </c>
      <c r="AG30" s="464">
        <v>0</v>
      </c>
      <c r="AH30" s="464">
        <v>-54258.044708000009</v>
      </c>
      <c r="AJ30" s="464">
        <f t="shared" si="4"/>
        <v>-21493.85</v>
      </c>
      <c r="AM30" s="464">
        <f t="shared" si="5"/>
        <v>-21493.85</v>
      </c>
      <c r="AN30" s="464">
        <v>0</v>
      </c>
      <c r="AO30" s="464">
        <v>0</v>
      </c>
      <c r="AP30" s="317">
        <f t="shared" si="6"/>
        <v>-21493.85</v>
      </c>
      <c r="AQ30" s="317">
        <f t="shared" si="7"/>
        <v>0</v>
      </c>
      <c r="AS30" s="475">
        <v>8130.9188039999881</v>
      </c>
      <c r="AT30" s="174">
        <f t="shared" si="8"/>
        <v>-13362.93119600001</v>
      </c>
      <c r="AU30" s="174">
        <f t="shared" si="9"/>
        <v>0</v>
      </c>
    </row>
    <row r="31" spans="1:47">
      <c r="A31" t="s">
        <v>83</v>
      </c>
      <c r="B31" t="s">
        <v>2614</v>
      </c>
      <c r="C31" s="468">
        <v>-207326.57</v>
      </c>
      <c r="D31" s="468">
        <v>-195571.98435199997</v>
      </c>
      <c r="E31" s="473">
        <v>-187654.91392400005</v>
      </c>
      <c r="F31" s="474">
        <v>-231324.54075199986</v>
      </c>
      <c r="G31" s="450">
        <f t="shared" si="1"/>
        <v>-821878.00902799994</v>
      </c>
      <c r="I31" s="67">
        <f t="shared" si="2"/>
        <v>0</v>
      </c>
      <c r="J31" s="58" t="s">
        <v>83</v>
      </c>
      <c r="K31" t="s">
        <v>84</v>
      </c>
      <c r="L31" s="448">
        <v>-231324.54075199986</v>
      </c>
      <c r="M31" s="67" t="s">
        <v>2591</v>
      </c>
      <c r="N31" s="317"/>
      <c r="P31" t="s">
        <v>83</v>
      </c>
      <c r="Q31" t="s">
        <v>2614</v>
      </c>
      <c r="R31" s="211">
        <v>-254238.46</v>
      </c>
      <c r="S31" s="211">
        <v>-207326.57</v>
      </c>
      <c r="T31" s="211">
        <v>-195571.98435199997</v>
      </c>
      <c r="U31" s="274">
        <v>-187654.91392400005</v>
      </c>
      <c r="V31" s="79">
        <f t="shared" si="10"/>
        <v>-844791.92827600008</v>
      </c>
      <c r="Z31" s="172">
        <f t="shared" si="3"/>
        <v>0</v>
      </c>
      <c r="AB31" t="s">
        <v>83</v>
      </c>
      <c r="AC31" t="s">
        <v>2614</v>
      </c>
      <c r="AD31" s="464">
        <v>-254238.46</v>
      </c>
      <c r="AE31" s="464">
        <v>-207326.57</v>
      </c>
      <c r="AF31" s="464">
        <v>-195571.98435199997</v>
      </c>
      <c r="AG31" s="464">
        <v>-187654.91392400005</v>
      </c>
      <c r="AH31" s="464">
        <v>-844791.92827600008</v>
      </c>
      <c r="AJ31" s="464">
        <f t="shared" si="4"/>
        <v>-590553.46827600012</v>
      </c>
      <c r="AM31" s="464">
        <f t="shared" si="5"/>
        <v>-207326.57</v>
      </c>
      <c r="AN31" s="464">
        <v>-195571.98435199997</v>
      </c>
      <c r="AO31" s="464">
        <v>-187654.91392400005</v>
      </c>
      <c r="AP31" s="317">
        <f t="shared" si="6"/>
        <v>-590553.46827600012</v>
      </c>
      <c r="AQ31" s="317">
        <f t="shared" si="7"/>
        <v>0</v>
      </c>
      <c r="AS31" s="475">
        <v>-231324.54075199986</v>
      </c>
      <c r="AT31" s="174">
        <f t="shared" si="8"/>
        <v>-821878.00902799994</v>
      </c>
      <c r="AU31" s="174">
        <f t="shared" si="9"/>
        <v>0</v>
      </c>
    </row>
    <row r="32" spans="1:47">
      <c r="A32" t="s">
        <v>85</v>
      </c>
      <c r="B32" t="s">
        <v>2615</v>
      </c>
      <c r="C32" s="468">
        <v>-70205.77</v>
      </c>
      <c r="D32" s="468">
        <v>0</v>
      </c>
      <c r="E32" s="473">
        <v>-84436.187971999869</v>
      </c>
      <c r="F32" s="474">
        <v>-194675.31038400007</v>
      </c>
      <c r="G32" s="450">
        <f t="shared" si="1"/>
        <v>-349317.26835599996</v>
      </c>
      <c r="I32" s="67">
        <f t="shared" si="2"/>
        <v>0</v>
      </c>
      <c r="J32" s="58" t="s">
        <v>85</v>
      </c>
      <c r="K32" t="s">
        <v>86</v>
      </c>
      <c r="L32" s="448">
        <v>-194675.31038400007</v>
      </c>
      <c r="M32" s="67" t="s">
        <v>2591</v>
      </c>
      <c r="N32" s="317"/>
      <c r="P32" t="s">
        <v>85</v>
      </c>
      <c r="Q32" t="s">
        <v>2615</v>
      </c>
      <c r="R32" s="211">
        <v>-152316.95000000001</v>
      </c>
      <c r="S32" s="211">
        <v>-70205.77</v>
      </c>
      <c r="T32" s="211">
        <v>33300.400728000131</v>
      </c>
      <c r="U32" s="274">
        <v>-84436.187971999869</v>
      </c>
      <c r="V32" s="79">
        <f t="shared" si="10"/>
        <v>-273658.50724399975</v>
      </c>
      <c r="Z32" s="172">
        <f t="shared" si="3"/>
        <v>0</v>
      </c>
      <c r="AB32" t="s">
        <v>85</v>
      </c>
      <c r="AC32" t="s">
        <v>2615</v>
      </c>
      <c r="AD32" s="464">
        <v>-119016.54927199989</v>
      </c>
      <c r="AE32" s="464">
        <v>-70205.77</v>
      </c>
      <c r="AF32" s="464">
        <v>0</v>
      </c>
      <c r="AG32" s="464">
        <v>-84436.187971999869</v>
      </c>
      <c r="AH32" s="464">
        <v>-273658.50724399975</v>
      </c>
      <c r="AJ32" s="464">
        <f t="shared" si="4"/>
        <v>-154641.95797199989</v>
      </c>
      <c r="AM32" s="464">
        <f t="shared" si="5"/>
        <v>-70205.77</v>
      </c>
      <c r="AN32" s="464">
        <v>0</v>
      </c>
      <c r="AO32" s="464">
        <v>-84436.187971999869</v>
      </c>
      <c r="AP32" s="317">
        <f t="shared" si="6"/>
        <v>-154641.95797199989</v>
      </c>
      <c r="AQ32" s="317">
        <f t="shared" si="7"/>
        <v>0</v>
      </c>
      <c r="AS32" s="475">
        <v>-194675.31038400007</v>
      </c>
      <c r="AT32" s="174">
        <f t="shared" si="8"/>
        <v>-349317.26835599996</v>
      </c>
      <c r="AU32" s="174">
        <f t="shared" si="9"/>
        <v>0</v>
      </c>
    </row>
    <row r="33" spans="1:47">
      <c r="A33" t="s">
        <v>87</v>
      </c>
      <c r="B33" t="s">
        <v>2616</v>
      </c>
      <c r="C33" s="468">
        <v>-128129.53</v>
      </c>
      <c r="D33" s="468">
        <v>-207275.61330099992</v>
      </c>
      <c r="E33" s="473">
        <v>-83655.406346000032</v>
      </c>
      <c r="F33" s="474">
        <v>-273378.89721599978</v>
      </c>
      <c r="G33" s="450">
        <f t="shared" si="1"/>
        <v>-692439.4468629997</v>
      </c>
      <c r="I33" s="67">
        <f t="shared" si="2"/>
        <v>0</v>
      </c>
      <c r="J33" s="58" t="s">
        <v>87</v>
      </c>
      <c r="K33" t="s">
        <v>88</v>
      </c>
      <c r="L33" s="448">
        <v>-273378.89721599978</v>
      </c>
      <c r="M33" s="67" t="s">
        <v>2591</v>
      </c>
      <c r="N33" s="317"/>
      <c r="P33" t="s">
        <v>87</v>
      </c>
      <c r="Q33" t="s">
        <v>2616</v>
      </c>
      <c r="R33" s="211">
        <v>-185153.13</v>
      </c>
      <c r="S33" s="211">
        <v>-128129.53</v>
      </c>
      <c r="T33" s="211">
        <v>-207275.61330099992</v>
      </c>
      <c r="U33" s="274">
        <v>-83655.406346000032</v>
      </c>
      <c r="V33" s="79">
        <f t="shared" si="10"/>
        <v>-604213.67964700004</v>
      </c>
      <c r="Z33" s="172">
        <f t="shared" si="3"/>
        <v>0</v>
      </c>
      <c r="AB33" t="s">
        <v>87</v>
      </c>
      <c r="AC33" t="s">
        <v>2616</v>
      </c>
      <c r="AD33" s="464">
        <v>-185153.13</v>
      </c>
      <c r="AE33" s="464">
        <v>-128129.53</v>
      </c>
      <c r="AF33" s="464">
        <v>-207275.61330099992</v>
      </c>
      <c r="AG33" s="464">
        <v>-83655.406346000032</v>
      </c>
      <c r="AH33" s="464">
        <v>-604213.67964700004</v>
      </c>
      <c r="AJ33" s="464">
        <f t="shared" si="4"/>
        <v>-419060.54964699992</v>
      </c>
      <c r="AM33" s="464">
        <f t="shared" si="5"/>
        <v>-128129.53</v>
      </c>
      <c r="AN33" s="464">
        <v>-207275.61330099992</v>
      </c>
      <c r="AO33" s="464">
        <v>-83655.406346000032</v>
      </c>
      <c r="AP33" s="317">
        <f t="shared" si="6"/>
        <v>-419060.54964699992</v>
      </c>
      <c r="AQ33" s="317">
        <f t="shared" si="7"/>
        <v>0</v>
      </c>
      <c r="AS33" s="475">
        <v>-273378.89721599978</v>
      </c>
      <c r="AT33" s="174">
        <f t="shared" si="8"/>
        <v>-692439.4468629997</v>
      </c>
      <c r="AU33" s="174">
        <f t="shared" si="9"/>
        <v>0</v>
      </c>
    </row>
    <row r="34" spans="1:47">
      <c r="A34" t="s">
        <v>89</v>
      </c>
      <c r="B34" t="s">
        <v>2617</v>
      </c>
      <c r="C34" s="468">
        <v>0</v>
      </c>
      <c r="D34" s="468">
        <v>-43384.610000000015</v>
      </c>
      <c r="E34" s="473">
        <v>-130405.96000000002</v>
      </c>
      <c r="F34" s="474">
        <v>-149926.76800000004</v>
      </c>
      <c r="G34" s="450">
        <f t="shared" si="1"/>
        <v>-323717.33800000011</v>
      </c>
      <c r="I34" s="67">
        <f t="shared" si="2"/>
        <v>0</v>
      </c>
      <c r="J34" s="58" t="s">
        <v>89</v>
      </c>
      <c r="K34" t="s">
        <v>2617</v>
      </c>
      <c r="L34" s="448">
        <v>-149926.76800000004</v>
      </c>
      <c r="M34" s="67" t="s">
        <v>2591</v>
      </c>
      <c r="N34" s="317"/>
      <c r="P34" t="s">
        <v>89</v>
      </c>
      <c r="Q34" t="s">
        <v>2617</v>
      </c>
      <c r="R34" s="211"/>
      <c r="S34" s="211"/>
      <c r="T34" s="211">
        <v>-43384.610000000015</v>
      </c>
      <c r="U34" s="274">
        <v>-130405.96000000002</v>
      </c>
      <c r="V34" s="79">
        <f t="shared" si="10"/>
        <v>-173790.57000000004</v>
      </c>
      <c r="Z34" s="172">
        <f t="shared" si="3"/>
        <v>0</v>
      </c>
      <c r="AB34" t="s">
        <v>89</v>
      </c>
      <c r="AC34" t="s">
        <v>2617</v>
      </c>
      <c r="AD34" s="464">
        <v>0</v>
      </c>
      <c r="AE34" s="464"/>
      <c r="AF34" s="464">
        <v>-43384.610000000015</v>
      </c>
      <c r="AG34" s="464">
        <v>-130405.96000000002</v>
      </c>
      <c r="AH34" s="464">
        <v>-173790.57000000004</v>
      </c>
      <c r="AJ34" s="464">
        <f t="shared" si="4"/>
        <v>-173790.57000000004</v>
      </c>
      <c r="AM34" s="464">
        <f t="shared" si="5"/>
        <v>0</v>
      </c>
      <c r="AN34" s="464">
        <v>-43384.610000000015</v>
      </c>
      <c r="AO34" s="464">
        <v>-130405.96000000002</v>
      </c>
      <c r="AP34" s="317">
        <f t="shared" si="6"/>
        <v>-173790.57000000004</v>
      </c>
      <c r="AQ34" s="317">
        <f t="shared" si="7"/>
        <v>0</v>
      </c>
      <c r="AS34" s="475">
        <v>-149926.76800000004</v>
      </c>
      <c r="AT34" s="174">
        <f t="shared" si="8"/>
        <v>-323717.33800000011</v>
      </c>
      <c r="AU34" s="174">
        <f t="shared" si="9"/>
        <v>0</v>
      </c>
    </row>
    <row r="35" spans="1:47">
      <c r="A35" t="s">
        <v>91</v>
      </c>
      <c r="B35" t="s">
        <v>2618</v>
      </c>
      <c r="C35" s="468">
        <v>-40912.629999999997</v>
      </c>
      <c r="D35" s="468">
        <v>-40523.409775999986</v>
      </c>
      <c r="E35" s="473">
        <v>-22730.686418000005</v>
      </c>
      <c r="F35" s="474">
        <v>-24730.957110000007</v>
      </c>
      <c r="G35" s="450">
        <f t="shared" si="1"/>
        <v>-128897.68330399999</v>
      </c>
      <c r="I35" s="67">
        <f t="shared" si="2"/>
        <v>0</v>
      </c>
      <c r="J35" s="58" t="s">
        <v>91</v>
      </c>
      <c r="K35" t="s">
        <v>92</v>
      </c>
      <c r="L35" s="448">
        <v>-24730.957110000007</v>
      </c>
      <c r="M35" s="67" t="s">
        <v>2591</v>
      </c>
      <c r="N35" s="317"/>
      <c r="P35" t="s">
        <v>91</v>
      </c>
      <c r="Q35" t="s">
        <v>2618</v>
      </c>
      <c r="R35" s="211">
        <v>-33096.379999999997</v>
      </c>
      <c r="S35" s="211">
        <v>-40912.629999999997</v>
      </c>
      <c r="T35" s="211">
        <v>-40523.409775999986</v>
      </c>
      <c r="U35" s="274">
        <v>-22730.686418000005</v>
      </c>
      <c r="V35" s="79">
        <f t="shared" si="10"/>
        <v>-137263.10619399999</v>
      </c>
      <c r="Z35" s="172">
        <f t="shared" si="3"/>
        <v>0</v>
      </c>
      <c r="AB35" t="s">
        <v>91</v>
      </c>
      <c r="AC35" t="s">
        <v>2618</v>
      </c>
      <c r="AD35" s="464">
        <v>-33096.379999999997</v>
      </c>
      <c r="AE35" s="464">
        <v>-40912.629999999997</v>
      </c>
      <c r="AF35" s="464">
        <v>-40523.409775999986</v>
      </c>
      <c r="AG35" s="464">
        <v>-22730.686418000005</v>
      </c>
      <c r="AH35" s="464">
        <v>-137263.10619399999</v>
      </c>
      <c r="AJ35" s="464">
        <f t="shared" si="4"/>
        <v>-104166.72619399999</v>
      </c>
      <c r="AM35" s="464">
        <f t="shared" si="5"/>
        <v>-40912.629999999997</v>
      </c>
      <c r="AN35" s="464">
        <v>-40523.409775999986</v>
      </c>
      <c r="AO35" s="464">
        <v>-22730.686418000005</v>
      </c>
      <c r="AP35" s="317">
        <f t="shared" si="6"/>
        <v>-104166.72619399999</v>
      </c>
      <c r="AQ35" s="317">
        <f t="shared" si="7"/>
        <v>0</v>
      </c>
      <c r="AS35" s="475">
        <v>-24730.957110000007</v>
      </c>
      <c r="AT35" s="174">
        <f t="shared" si="8"/>
        <v>-128897.68330399999</v>
      </c>
      <c r="AU35" s="174">
        <f t="shared" si="9"/>
        <v>0</v>
      </c>
    </row>
    <row r="36" spans="1:47">
      <c r="A36" t="s">
        <v>93</v>
      </c>
      <c r="B36" t="s">
        <v>2619</v>
      </c>
      <c r="C36" s="468">
        <v>-931076.5</v>
      </c>
      <c r="D36" s="468">
        <v>0</v>
      </c>
      <c r="E36" s="473">
        <v>0</v>
      </c>
      <c r="F36" s="474">
        <v>-625100.37693264801</v>
      </c>
      <c r="G36" s="450">
        <f t="shared" si="1"/>
        <v>-1556176.876932648</v>
      </c>
      <c r="I36" s="67">
        <f t="shared" si="2"/>
        <v>0</v>
      </c>
      <c r="J36" s="58" t="s">
        <v>93</v>
      </c>
      <c r="K36" t="s">
        <v>94</v>
      </c>
      <c r="L36" s="448">
        <v>-625100.37693264801</v>
      </c>
      <c r="M36" s="67" t="s">
        <v>2591</v>
      </c>
      <c r="N36" s="317"/>
      <c r="P36" t="s">
        <v>93</v>
      </c>
      <c r="Q36" t="s">
        <v>2619</v>
      </c>
      <c r="R36" s="211">
        <v>-1170294.6200000001</v>
      </c>
      <c r="S36" s="211">
        <v>-931076.5</v>
      </c>
      <c r="T36" s="211">
        <v>37736.491105026915</v>
      </c>
      <c r="U36" s="274">
        <v>584662.87111486122</v>
      </c>
      <c r="V36" s="79">
        <f t="shared" si="10"/>
        <v>-1478971.7577801119</v>
      </c>
      <c r="Z36" s="172">
        <f t="shared" si="3"/>
        <v>0</v>
      </c>
      <c r="AB36" t="s">
        <v>93</v>
      </c>
      <c r="AC36" t="s">
        <v>2619</v>
      </c>
      <c r="AD36" s="464">
        <v>-547895.25778011186</v>
      </c>
      <c r="AE36" s="464">
        <v>-931076.5</v>
      </c>
      <c r="AF36" s="464">
        <v>0</v>
      </c>
      <c r="AG36" s="464">
        <v>0</v>
      </c>
      <c r="AH36" s="464">
        <v>-1478971.7577801119</v>
      </c>
      <c r="AJ36" s="464">
        <f t="shared" si="4"/>
        <v>-931076.5</v>
      </c>
      <c r="AM36" s="464">
        <f t="shared" si="5"/>
        <v>-931076.5</v>
      </c>
      <c r="AN36" s="464">
        <v>0</v>
      </c>
      <c r="AO36" s="464">
        <v>0</v>
      </c>
      <c r="AP36" s="317">
        <f t="shared" si="6"/>
        <v>-931076.5</v>
      </c>
      <c r="AQ36" s="317">
        <f t="shared" si="7"/>
        <v>0</v>
      </c>
      <c r="AS36" s="475">
        <v>-625100.37693264801</v>
      </c>
      <c r="AT36" s="174">
        <f t="shared" si="8"/>
        <v>-1556176.876932648</v>
      </c>
      <c r="AU36" s="174">
        <f t="shared" si="9"/>
        <v>0</v>
      </c>
    </row>
    <row r="37" spans="1:47">
      <c r="A37" t="s">
        <v>95</v>
      </c>
      <c r="B37" t="s">
        <v>2620</v>
      </c>
      <c r="C37" s="468">
        <v>-1736495.04</v>
      </c>
      <c r="D37" s="468">
        <v>-768268.2621469656</v>
      </c>
      <c r="E37" s="473">
        <v>-512179.25181511603</v>
      </c>
      <c r="F37" s="474">
        <v>-1622309.0394115387</v>
      </c>
      <c r="G37" s="450">
        <f t="shared" si="1"/>
        <v>-4639251.5933736209</v>
      </c>
      <c r="I37" s="67">
        <f t="shared" si="2"/>
        <v>0</v>
      </c>
      <c r="J37" s="58" t="s">
        <v>95</v>
      </c>
      <c r="K37" t="s">
        <v>96</v>
      </c>
      <c r="L37" s="448">
        <v>-1622309.0394115387</v>
      </c>
      <c r="M37" s="67" t="s">
        <v>2591</v>
      </c>
      <c r="N37" s="317"/>
      <c r="P37" t="s">
        <v>95</v>
      </c>
      <c r="Q37" t="s">
        <v>2620</v>
      </c>
      <c r="R37" s="211">
        <v>-1403428.1</v>
      </c>
      <c r="S37" s="211">
        <v>-1736495.04</v>
      </c>
      <c r="T37" s="211">
        <v>-768268.2621469656</v>
      </c>
      <c r="U37" s="274">
        <v>-512179.25181511603</v>
      </c>
      <c r="V37" s="79">
        <f t="shared" si="10"/>
        <v>-4420370.6539620813</v>
      </c>
      <c r="Z37" s="172">
        <f t="shared" si="3"/>
        <v>0</v>
      </c>
      <c r="AB37" t="s">
        <v>95</v>
      </c>
      <c r="AC37" t="s">
        <v>2620</v>
      </c>
      <c r="AD37" s="464">
        <v>-1403428.1</v>
      </c>
      <c r="AE37" s="464">
        <v>-1736495.04</v>
      </c>
      <c r="AF37" s="464">
        <v>-768268.2621469656</v>
      </c>
      <c r="AG37" s="464">
        <v>-512179.25181511603</v>
      </c>
      <c r="AH37" s="464">
        <v>-4420370.6539620813</v>
      </c>
      <c r="AJ37" s="464">
        <f t="shared" si="4"/>
        <v>-3016942.5539620817</v>
      </c>
      <c r="AM37" s="464">
        <f t="shared" si="5"/>
        <v>-1736495.04</v>
      </c>
      <c r="AN37" s="464">
        <v>-768268.2621469656</v>
      </c>
      <c r="AO37" s="464">
        <v>-512179.25181511603</v>
      </c>
      <c r="AP37" s="317">
        <f t="shared" si="6"/>
        <v>-3016942.5539620817</v>
      </c>
      <c r="AQ37" s="317">
        <f t="shared" si="7"/>
        <v>0</v>
      </c>
      <c r="AS37" s="475">
        <v>-1622309.0394115387</v>
      </c>
      <c r="AT37" s="174">
        <f t="shared" si="8"/>
        <v>-4639251.5933736209</v>
      </c>
      <c r="AU37" s="174">
        <f t="shared" si="9"/>
        <v>0</v>
      </c>
    </row>
    <row r="38" spans="1:47">
      <c r="A38" t="s">
        <v>97</v>
      </c>
      <c r="B38" t="s">
        <v>2621</v>
      </c>
      <c r="C38" s="468">
        <v>-377334.31</v>
      </c>
      <c r="D38" s="468">
        <v>-84571.894191999891</v>
      </c>
      <c r="E38" s="473">
        <v>-380414.14929200034</v>
      </c>
      <c r="F38" s="474">
        <v>-86713.760662000335</v>
      </c>
      <c r="G38" s="450">
        <f t="shared" si="1"/>
        <v>-929034.11414600047</v>
      </c>
      <c r="I38" s="67">
        <f t="shared" si="2"/>
        <v>0</v>
      </c>
      <c r="J38" s="58" t="s">
        <v>97</v>
      </c>
      <c r="K38" t="s">
        <v>98</v>
      </c>
      <c r="L38" s="448">
        <v>-86713.760662000335</v>
      </c>
      <c r="M38" s="67" t="s">
        <v>2591</v>
      </c>
      <c r="N38" s="317"/>
      <c r="P38" t="s">
        <v>97</v>
      </c>
      <c r="Q38" t="s">
        <v>2621</v>
      </c>
      <c r="R38" s="211">
        <v>-437692.2</v>
      </c>
      <c r="S38" s="211">
        <v>-377334.31</v>
      </c>
      <c r="T38" s="211">
        <v>-84571.894191999891</v>
      </c>
      <c r="U38" s="274">
        <v>-380414.14929200034</v>
      </c>
      <c r="V38" s="79">
        <f t="shared" si="10"/>
        <v>-1280012.5534840003</v>
      </c>
      <c r="Z38" s="172">
        <f t="shared" si="3"/>
        <v>0</v>
      </c>
      <c r="AB38" t="s">
        <v>97</v>
      </c>
      <c r="AC38" t="s">
        <v>2621</v>
      </c>
      <c r="AD38" s="464">
        <v>-437692.2</v>
      </c>
      <c r="AE38" s="464">
        <v>-377334.31</v>
      </c>
      <c r="AF38" s="464">
        <v>-84571.894191999891</v>
      </c>
      <c r="AG38" s="464">
        <v>-380414.14929200034</v>
      </c>
      <c r="AH38" s="464">
        <v>-1280012.5534840003</v>
      </c>
      <c r="AJ38" s="464">
        <f t="shared" si="4"/>
        <v>-842320.3534840002</v>
      </c>
      <c r="AM38" s="464">
        <f t="shared" si="5"/>
        <v>-377334.31</v>
      </c>
      <c r="AN38" s="464">
        <v>-84571.894191999891</v>
      </c>
      <c r="AO38" s="464">
        <v>-380414.14929200034</v>
      </c>
      <c r="AP38" s="317">
        <f t="shared" si="6"/>
        <v>-842320.3534840002</v>
      </c>
      <c r="AQ38" s="317">
        <f t="shared" si="7"/>
        <v>0</v>
      </c>
      <c r="AS38" s="475">
        <v>-86713.760662000335</v>
      </c>
      <c r="AT38" s="174">
        <f t="shared" si="8"/>
        <v>-929034.11414600047</v>
      </c>
      <c r="AU38" s="174">
        <f t="shared" si="9"/>
        <v>0</v>
      </c>
    </row>
    <row r="39" spans="1:47">
      <c r="A39" t="s">
        <v>99</v>
      </c>
      <c r="B39" t="s">
        <v>2622</v>
      </c>
      <c r="C39" s="468">
        <v>-217487.89</v>
      </c>
      <c r="D39" s="468">
        <v>-9375.60752399989</v>
      </c>
      <c r="E39" s="473">
        <v>0</v>
      </c>
      <c r="F39" s="474">
        <v>-40433.247279999923</v>
      </c>
      <c r="G39" s="450">
        <f t="shared" si="1"/>
        <v>-267296.74480399978</v>
      </c>
      <c r="I39" s="67">
        <f t="shared" si="2"/>
        <v>0</v>
      </c>
      <c r="J39" s="58" t="s">
        <v>99</v>
      </c>
      <c r="K39" t="s">
        <v>100</v>
      </c>
      <c r="L39" s="448">
        <v>-40433.247279999923</v>
      </c>
      <c r="M39" s="67" t="s">
        <v>2591</v>
      </c>
      <c r="N39" s="317"/>
      <c r="P39" t="s">
        <v>99</v>
      </c>
      <c r="Q39" t="s">
        <v>2622</v>
      </c>
      <c r="R39" s="211">
        <v>-206126.02</v>
      </c>
      <c r="S39" s="211">
        <v>-217487.89</v>
      </c>
      <c r="T39" s="211">
        <v>-9375.60752399989</v>
      </c>
      <c r="U39" s="274">
        <v>103291.47607000009</v>
      </c>
      <c r="V39" s="79">
        <f t="shared" si="10"/>
        <v>-329698.04145399982</v>
      </c>
      <c r="Z39" s="172">
        <f t="shared" si="3"/>
        <v>0</v>
      </c>
      <c r="AB39" t="s">
        <v>99</v>
      </c>
      <c r="AC39" t="s">
        <v>2622</v>
      </c>
      <c r="AD39" s="464">
        <v>-102834.5439299999</v>
      </c>
      <c r="AE39" s="464">
        <v>-217487.89</v>
      </c>
      <c r="AF39" s="464">
        <v>-9375.60752399989</v>
      </c>
      <c r="AG39" s="464">
        <v>0</v>
      </c>
      <c r="AH39" s="464">
        <v>-329698.04145399982</v>
      </c>
      <c r="AJ39" s="464">
        <f t="shared" si="4"/>
        <v>-226863.49752399989</v>
      </c>
      <c r="AM39" s="464">
        <f t="shared" si="5"/>
        <v>-217487.89</v>
      </c>
      <c r="AN39" s="464">
        <v>-9375.60752399989</v>
      </c>
      <c r="AO39" s="464">
        <v>0</v>
      </c>
      <c r="AP39" s="317">
        <f t="shared" si="6"/>
        <v>-226863.49752399989</v>
      </c>
      <c r="AQ39" s="317">
        <f t="shared" si="7"/>
        <v>0</v>
      </c>
      <c r="AS39" s="475">
        <v>-40433.247279999923</v>
      </c>
      <c r="AT39" s="174">
        <f t="shared" si="8"/>
        <v>-267296.74480399978</v>
      </c>
      <c r="AU39" s="174">
        <f t="shared" si="9"/>
        <v>0</v>
      </c>
    </row>
    <row r="40" spans="1:47">
      <c r="A40" t="s">
        <v>101</v>
      </c>
      <c r="B40" t="s">
        <v>2623</v>
      </c>
      <c r="C40" s="468">
        <v>-643208.19999999995</v>
      </c>
      <c r="D40" s="468">
        <v>-709933.112035</v>
      </c>
      <c r="E40" s="473">
        <v>-14194.510954023339</v>
      </c>
      <c r="F40" s="474">
        <v>-547470.411867243</v>
      </c>
      <c r="G40" s="450">
        <f t="shared" si="1"/>
        <v>-1914806.2348562663</v>
      </c>
      <c r="I40" s="67">
        <f t="shared" si="2"/>
        <v>0</v>
      </c>
      <c r="J40" s="58" t="s">
        <v>101</v>
      </c>
      <c r="K40" t="s">
        <v>102</v>
      </c>
      <c r="L40" s="448">
        <v>-547470.411867243</v>
      </c>
      <c r="M40" s="67" t="s">
        <v>2591</v>
      </c>
      <c r="N40" s="317"/>
      <c r="P40" t="s">
        <v>101</v>
      </c>
      <c r="Q40" t="s">
        <v>2623</v>
      </c>
      <c r="R40" s="211">
        <v>-492145.03</v>
      </c>
      <c r="S40" s="211">
        <v>-643208.19999999995</v>
      </c>
      <c r="T40" s="211">
        <v>-709933.112035</v>
      </c>
      <c r="U40" s="274">
        <v>-14194.510954023339</v>
      </c>
      <c r="V40" s="79">
        <f t="shared" si="10"/>
        <v>-1859480.8529890233</v>
      </c>
      <c r="Z40" s="172">
        <f t="shared" si="3"/>
        <v>0</v>
      </c>
      <c r="AB40" t="s">
        <v>101</v>
      </c>
      <c r="AC40" t="s">
        <v>2623</v>
      </c>
      <c r="AD40" s="464">
        <v>-492145.03</v>
      </c>
      <c r="AE40" s="464">
        <v>-643208.19999999995</v>
      </c>
      <c r="AF40" s="464">
        <v>-709933.112035</v>
      </c>
      <c r="AG40" s="464">
        <v>-14194.510954023339</v>
      </c>
      <c r="AH40" s="464">
        <v>-1859480.8529890233</v>
      </c>
      <c r="AJ40" s="464">
        <f t="shared" si="4"/>
        <v>-1367335.8229890233</v>
      </c>
      <c r="AM40" s="464">
        <f t="shared" si="5"/>
        <v>-643208.19999999995</v>
      </c>
      <c r="AN40" s="464">
        <v>-709933.112035</v>
      </c>
      <c r="AO40" s="464">
        <v>-14194.510954023339</v>
      </c>
      <c r="AP40" s="317">
        <f t="shared" si="6"/>
        <v>-1367335.8229890233</v>
      </c>
      <c r="AQ40" s="317">
        <f t="shared" si="7"/>
        <v>0</v>
      </c>
      <c r="AS40" s="475">
        <v>-547470.411867243</v>
      </c>
      <c r="AT40" s="174">
        <f t="shared" si="8"/>
        <v>-1914806.2348562663</v>
      </c>
      <c r="AU40" s="174">
        <f t="shared" si="9"/>
        <v>0</v>
      </c>
    </row>
    <row r="41" spans="1:47">
      <c r="A41" t="s">
        <v>103</v>
      </c>
      <c r="B41" t="s">
        <v>2624</v>
      </c>
      <c r="C41" s="468">
        <v>-4469.66</v>
      </c>
      <c r="D41" s="468">
        <v>-20405.357927999979</v>
      </c>
      <c r="E41" s="473">
        <v>-16929.178593769262</v>
      </c>
      <c r="F41" s="474">
        <v>-19203.389098937558</v>
      </c>
      <c r="G41" s="450">
        <f t="shared" si="1"/>
        <v>-61007.585620706799</v>
      </c>
      <c r="I41" s="67">
        <f t="shared" si="2"/>
        <v>0</v>
      </c>
      <c r="J41" s="149" t="s">
        <v>103</v>
      </c>
      <c r="K41" t="s">
        <v>104</v>
      </c>
      <c r="L41" s="448">
        <v>-19203.389098937558</v>
      </c>
      <c r="M41" s="67" t="s">
        <v>2591</v>
      </c>
      <c r="N41" s="317"/>
      <c r="P41" t="s">
        <v>103</v>
      </c>
      <c r="Q41" t="s">
        <v>2624</v>
      </c>
      <c r="R41" s="211">
        <v>-72329.070000000007</v>
      </c>
      <c r="S41" s="211">
        <v>-4469.66</v>
      </c>
      <c r="T41" s="211">
        <v>-20405.357927999979</v>
      </c>
      <c r="U41" s="274">
        <v>-16929.178593769262</v>
      </c>
      <c r="V41" s="79">
        <f t="shared" si="10"/>
        <v>-114133.26652176926</v>
      </c>
      <c r="Z41" s="172">
        <f t="shared" si="3"/>
        <v>0</v>
      </c>
      <c r="AB41" t="s">
        <v>103</v>
      </c>
      <c r="AC41" t="s">
        <v>2624</v>
      </c>
      <c r="AD41" s="464">
        <v>-72329.070000000007</v>
      </c>
      <c r="AE41" s="464">
        <v>-4469.66</v>
      </c>
      <c r="AF41" s="464">
        <v>-20405.357927999979</v>
      </c>
      <c r="AG41" s="464">
        <v>-16929.178593769262</v>
      </c>
      <c r="AH41" s="464">
        <v>-114133.26652176926</v>
      </c>
      <c r="AJ41" s="464">
        <f t="shared" si="4"/>
        <v>-41804.196521769241</v>
      </c>
      <c r="AM41" s="464">
        <f t="shared" si="5"/>
        <v>-4469.66</v>
      </c>
      <c r="AN41" s="464">
        <v>-20405.357927999979</v>
      </c>
      <c r="AO41" s="464">
        <v>-16929.178593769262</v>
      </c>
      <c r="AP41" s="317">
        <f t="shared" si="6"/>
        <v>-41804.196521769241</v>
      </c>
      <c r="AQ41" s="317">
        <f t="shared" si="7"/>
        <v>0</v>
      </c>
      <c r="AS41" s="475">
        <v>-19203.389098937558</v>
      </c>
      <c r="AT41" s="174">
        <f t="shared" si="8"/>
        <v>-61007.585620706799</v>
      </c>
      <c r="AU41" s="174">
        <f t="shared" si="9"/>
        <v>0</v>
      </c>
    </row>
    <row r="42" spans="1:47">
      <c r="A42" s="438" t="s">
        <v>105</v>
      </c>
      <c r="B42" s="439" t="s">
        <v>106</v>
      </c>
      <c r="C42" s="477">
        <v>0</v>
      </c>
      <c r="D42" s="469"/>
      <c r="E42" s="473"/>
      <c r="F42" s="474">
        <v>-28700.056000000041</v>
      </c>
      <c r="G42" s="450">
        <f t="shared" si="1"/>
        <v>-28700.056000000041</v>
      </c>
      <c r="I42" s="67">
        <f t="shared" si="2"/>
        <v>0</v>
      </c>
      <c r="J42" s="284" t="s">
        <v>105</v>
      </c>
      <c r="K42" t="s">
        <v>106</v>
      </c>
      <c r="L42" s="448">
        <v>-28700.056000000041</v>
      </c>
      <c r="M42" s="67" t="s">
        <v>2591</v>
      </c>
      <c r="N42" s="317"/>
      <c r="P42" s="293" t="s">
        <v>105</v>
      </c>
      <c r="Q42" s="289" t="s">
        <v>106</v>
      </c>
      <c r="R42" s="211"/>
      <c r="S42" s="211"/>
      <c r="T42" s="211"/>
      <c r="U42" s="274"/>
      <c r="V42" s="79"/>
      <c r="Z42" s="172">
        <f t="shared" si="3"/>
        <v>0</v>
      </c>
      <c r="AB42" t="s">
        <v>105</v>
      </c>
      <c r="AC42" t="s">
        <v>106</v>
      </c>
      <c r="AD42" s="464"/>
      <c r="AE42" s="464"/>
      <c r="AF42" s="464"/>
      <c r="AG42" s="464"/>
      <c r="AH42" s="464"/>
      <c r="AJ42" s="464">
        <f t="shared" si="4"/>
        <v>0</v>
      </c>
      <c r="AM42" s="464">
        <f t="shared" si="5"/>
        <v>0</v>
      </c>
      <c r="AN42" s="464"/>
      <c r="AO42" s="464"/>
      <c r="AP42" s="317">
        <f t="shared" si="6"/>
        <v>0</v>
      </c>
      <c r="AQ42" s="317">
        <f t="shared" si="7"/>
        <v>0</v>
      </c>
      <c r="AS42" s="475">
        <v>-28700.056000000041</v>
      </c>
      <c r="AT42" s="174">
        <f t="shared" si="8"/>
        <v>-28700.056000000041</v>
      </c>
      <c r="AU42" s="174">
        <f t="shared" si="9"/>
        <v>0</v>
      </c>
    </row>
    <row r="43" spans="1:47">
      <c r="A43" t="s">
        <v>107</v>
      </c>
      <c r="B43" t="s">
        <v>2625</v>
      </c>
      <c r="C43" s="468">
        <v>-219153.48</v>
      </c>
      <c r="D43" s="468">
        <v>-285151.61338900006</v>
      </c>
      <c r="E43" s="473">
        <v>-229921.42109599995</v>
      </c>
      <c r="F43" s="474">
        <v>-212373.66748800001</v>
      </c>
      <c r="G43" s="450">
        <f t="shared" si="1"/>
        <v>-946600.18197299994</v>
      </c>
      <c r="I43" s="67">
        <f t="shared" si="2"/>
        <v>0</v>
      </c>
      <c r="J43" s="58" t="s">
        <v>107</v>
      </c>
      <c r="K43" t="s">
        <v>108</v>
      </c>
      <c r="L43" s="448">
        <v>-212373.66748800001</v>
      </c>
      <c r="M43" s="67" t="s">
        <v>2591</v>
      </c>
      <c r="N43" s="317"/>
      <c r="P43" t="s">
        <v>107</v>
      </c>
      <c r="Q43" t="s">
        <v>2625</v>
      </c>
      <c r="R43" s="211">
        <v>-210675.51</v>
      </c>
      <c r="S43" s="211">
        <v>-219153.48</v>
      </c>
      <c r="T43" s="211">
        <v>-285151.61338900006</v>
      </c>
      <c r="U43" s="274">
        <v>-229921.42109599995</v>
      </c>
      <c r="V43" s="79">
        <f t="shared" ref="V43:V61" si="11">SUM(R43:U43)</f>
        <v>-944902.02448499994</v>
      </c>
      <c r="Z43" s="172">
        <f t="shared" si="3"/>
        <v>0</v>
      </c>
      <c r="AB43" t="s">
        <v>107</v>
      </c>
      <c r="AC43" t="s">
        <v>2625</v>
      </c>
      <c r="AD43" s="464">
        <v>-210675.51</v>
      </c>
      <c r="AE43" s="464">
        <v>-219153.48</v>
      </c>
      <c r="AF43" s="464">
        <v>-285151.61338900006</v>
      </c>
      <c r="AG43" s="464">
        <v>-229921.42109599995</v>
      </c>
      <c r="AH43" s="464">
        <v>-944902.02448499994</v>
      </c>
      <c r="AJ43" s="464">
        <f t="shared" si="4"/>
        <v>-734226.51448499993</v>
      </c>
      <c r="AM43" s="464">
        <f t="shared" si="5"/>
        <v>-219153.48</v>
      </c>
      <c r="AN43" s="464">
        <v>-285151.61338900006</v>
      </c>
      <c r="AO43" s="464">
        <v>-229921.42109599995</v>
      </c>
      <c r="AP43" s="317">
        <f t="shared" si="6"/>
        <v>-734226.51448499993</v>
      </c>
      <c r="AQ43" s="317">
        <f t="shared" si="7"/>
        <v>0</v>
      </c>
      <c r="AS43" s="475">
        <v>-212373.66748800001</v>
      </c>
      <c r="AT43" s="174">
        <f t="shared" si="8"/>
        <v>-946600.18197299994</v>
      </c>
      <c r="AU43" s="174">
        <f t="shared" si="9"/>
        <v>0</v>
      </c>
    </row>
    <row r="44" spans="1:47">
      <c r="A44" t="s">
        <v>109</v>
      </c>
      <c r="B44" t="s">
        <v>2626</v>
      </c>
      <c r="C44" s="468">
        <v>-424904.4</v>
      </c>
      <c r="D44" s="468">
        <v>-243992.40708726351</v>
      </c>
      <c r="E44" s="473">
        <v>4300.6206054862123</v>
      </c>
      <c r="F44" s="474">
        <v>-83545.67927531607</v>
      </c>
      <c r="G44" s="450">
        <f t="shared" si="1"/>
        <v>-748141.86575709342</v>
      </c>
      <c r="I44" s="67">
        <f t="shared" si="2"/>
        <v>0</v>
      </c>
      <c r="J44" s="58" t="s">
        <v>109</v>
      </c>
      <c r="K44" t="s">
        <v>110</v>
      </c>
      <c r="L44" s="448">
        <v>-83545.67927531607</v>
      </c>
      <c r="M44" s="67" t="s">
        <v>2591</v>
      </c>
      <c r="N44" s="317"/>
      <c r="P44" t="s">
        <v>109</v>
      </c>
      <c r="Q44" t="s">
        <v>2626</v>
      </c>
      <c r="R44" s="211">
        <v>-313340.96000000002</v>
      </c>
      <c r="S44" s="211">
        <v>-424904.4</v>
      </c>
      <c r="T44" s="211">
        <v>-243992.40708726351</v>
      </c>
      <c r="U44" s="274">
        <v>4300.6206054862123</v>
      </c>
      <c r="V44" s="79">
        <f t="shared" si="11"/>
        <v>-977937.14648177742</v>
      </c>
      <c r="Z44" s="172">
        <f t="shared" si="3"/>
        <v>0</v>
      </c>
      <c r="AB44" t="s">
        <v>109</v>
      </c>
      <c r="AC44" t="s">
        <v>2626</v>
      </c>
      <c r="AD44" s="464">
        <v>-313340.96000000002</v>
      </c>
      <c r="AE44" s="464">
        <v>-424904.4</v>
      </c>
      <c r="AF44" s="464">
        <v>-243992.40708726351</v>
      </c>
      <c r="AG44" s="464">
        <v>4300.6206054862123</v>
      </c>
      <c r="AH44" s="464">
        <v>-977937.14648177742</v>
      </c>
      <c r="AJ44" s="464">
        <f t="shared" si="4"/>
        <v>-664596.18648177735</v>
      </c>
      <c r="AM44" s="464">
        <f t="shared" si="5"/>
        <v>-424904.4</v>
      </c>
      <c r="AN44" s="464">
        <v>-243992.40708726351</v>
      </c>
      <c r="AO44" s="464">
        <v>4300.6206054862123</v>
      </c>
      <c r="AP44" s="317">
        <f t="shared" si="6"/>
        <v>-664596.18648177735</v>
      </c>
      <c r="AQ44" s="317">
        <f t="shared" si="7"/>
        <v>0</v>
      </c>
      <c r="AS44" s="475">
        <v>-83545.67927531607</v>
      </c>
      <c r="AT44" s="174">
        <f t="shared" si="8"/>
        <v>-748141.86575709342</v>
      </c>
      <c r="AU44" s="174">
        <f t="shared" si="9"/>
        <v>0</v>
      </c>
    </row>
    <row r="45" spans="1:47">
      <c r="A45" t="s">
        <v>111</v>
      </c>
      <c r="B45" t="s">
        <v>112</v>
      </c>
      <c r="C45" s="468">
        <v>-121144.18</v>
      </c>
      <c r="D45" s="468">
        <v>-157286.72141</v>
      </c>
      <c r="E45" s="473">
        <v>-27429.351870000013</v>
      </c>
      <c r="F45" s="474">
        <v>-153057.95072012651</v>
      </c>
      <c r="G45" s="450">
        <f t="shared" si="1"/>
        <v>-458918.20400012651</v>
      </c>
      <c r="I45" s="67">
        <f t="shared" si="2"/>
        <v>0</v>
      </c>
      <c r="J45" s="58" t="s">
        <v>111</v>
      </c>
      <c r="K45" t="s">
        <v>112</v>
      </c>
      <c r="L45" s="448">
        <v>-153057.95072012651</v>
      </c>
      <c r="M45" s="67" t="s">
        <v>2591</v>
      </c>
      <c r="N45" s="317"/>
      <c r="P45" t="s">
        <v>111</v>
      </c>
      <c r="Q45" t="s">
        <v>112</v>
      </c>
      <c r="R45" s="211">
        <v>-135007.18</v>
      </c>
      <c r="S45" s="211">
        <v>-121144.18</v>
      </c>
      <c r="T45" s="211">
        <v>-157286.72141</v>
      </c>
      <c r="U45" s="274">
        <v>-27429.351870000013</v>
      </c>
      <c r="V45" s="79">
        <f t="shared" si="11"/>
        <v>-440867.43328</v>
      </c>
      <c r="Z45" s="172">
        <f t="shared" si="3"/>
        <v>0</v>
      </c>
      <c r="AB45" t="s">
        <v>111</v>
      </c>
      <c r="AC45" t="s">
        <v>112</v>
      </c>
      <c r="AD45" s="464">
        <v>-135007.18</v>
      </c>
      <c r="AE45" s="464">
        <v>-121144.18</v>
      </c>
      <c r="AF45" s="464">
        <v>-157286.72141</v>
      </c>
      <c r="AG45" s="464">
        <v>-27429.351870000013</v>
      </c>
      <c r="AH45" s="464">
        <v>-440867.43328</v>
      </c>
      <c r="AJ45" s="464">
        <f t="shared" si="4"/>
        <v>-305860.25328</v>
      </c>
      <c r="AM45" s="464">
        <f t="shared" si="5"/>
        <v>-121144.18</v>
      </c>
      <c r="AN45" s="464">
        <v>-157286.72141</v>
      </c>
      <c r="AO45" s="464">
        <v>-27429.351870000013</v>
      </c>
      <c r="AP45" s="317">
        <f t="shared" si="6"/>
        <v>-305860.25328</v>
      </c>
      <c r="AQ45" s="317">
        <f t="shared" si="7"/>
        <v>0</v>
      </c>
      <c r="AS45" s="475">
        <v>-153057.95072012651</v>
      </c>
      <c r="AT45" s="174">
        <f t="shared" si="8"/>
        <v>-458918.20400012651</v>
      </c>
      <c r="AU45" s="174">
        <f t="shared" si="9"/>
        <v>0</v>
      </c>
    </row>
    <row r="46" spans="1:47">
      <c r="A46" t="s">
        <v>113</v>
      </c>
      <c r="B46" t="s">
        <v>2627</v>
      </c>
      <c r="C46" s="468">
        <v>-893526.09</v>
      </c>
      <c r="D46" s="468">
        <v>-1161984.695860133</v>
      </c>
      <c r="E46" s="473">
        <v>83208.641496433294</v>
      </c>
      <c r="F46" s="474">
        <v>-423141.62518108077</v>
      </c>
      <c r="G46" s="450">
        <f t="shared" si="1"/>
        <v>-2395443.7695447803</v>
      </c>
      <c r="I46" s="67">
        <f t="shared" si="2"/>
        <v>0</v>
      </c>
      <c r="J46" s="58" t="s">
        <v>113</v>
      </c>
      <c r="K46" t="s">
        <v>114</v>
      </c>
      <c r="L46" s="448">
        <v>-423141.62518108077</v>
      </c>
      <c r="M46" s="67" t="s">
        <v>2591</v>
      </c>
      <c r="N46" s="317"/>
      <c r="P46" t="s">
        <v>113</v>
      </c>
      <c r="Q46" t="s">
        <v>2627</v>
      </c>
      <c r="R46" s="211">
        <v>-877466.15</v>
      </c>
      <c r="S46" s="211">
        <v>-893526.09</v>
      </c>
      <c r="T46" s="211">
        <v>-1161984.695860133</v>
      </c>
      <c r="U46" s="274">
        <v>960674.79149643332</v>
      </c>
      <c r="V46" s="79">
        <f t="shared" si="11"/>
        <v>-1972302.1443636995</v>
      </c>
      <c r="Z46" s="172">
        <f t="shared" si="3"/>
        <v>0</v>
      </c>
      <c r="AB46" t="s">
        <v>113</v>
      </c>
      <c r="AC46" t="s">
        <v>2627</v>
      </c>
      <c r="AD46" s="464">
        <v>0</v>
      </c>
      <c r="AE46" s="464">
        <v>-893526.09</v>
      </c>
      <c r="AF46" s="464">
        <v>-1161984.695860133</v>
      </c>
      <c r="AG46" s="464">
        <v>83208.641496433294</v>
      </c>
      <c r="AH46" s="464">
        <v>-1972302.1443636995</v>
      </c>
      <c r="AJ46" s="464">
        <f t="shared" si="4"/>
        <v>-1972302.1443636995</v>
      </c>
      <c r="AM46" s="464">
        <f t="shared" si="5"/>
        <v>-893526.09</v>
      </c>
      <c r="AN46" s="464">
        <v>-1161984.695860133</v>
      </c>
      <c r="AO46" s="464">
        <v>83208.641496433294</v>
      </c>
      <c r="AP46" s="317">
        <f t="shared" si="6"/>
        <v>-1972302.1443636995</v>
      </c>
      <c r="AQ46" s="317">
        <f t="shared" si="7"/>
        <v>0</v>
      </c>
      <c r="AS46" s="475">
        <v>-423141.62518108077</v>
      </c>
      <c r="AT46" s="174">
        <f t="shared" si="8"/>
        <v>-2395443.7695447803</v>
      </c>
      <c r="AU46" s="174">
        <f t="shared" si="9"/>
        <v>0</v>
      </c>
    </row>
    <row r="47" spans="1:47">
      <c r="A47" t="s">
        <v>115</v>
      </c>
      <c r="B47" t="s">
        <v>2628</v>
      </c>
      <c r="C47" s="468">
        <v>-22911.58</v>
      </c>
      <c r="D47" s="468">
        <v>-32255.719478000014</v>
      </c>
      <c r="E47" s="473">
        <v>0</v>
      </c>
      <c r="F47" s="474">
        <v>-46224.873648999957</v>
      </c>
      <c r="G47" s="450">
        <f t="shared" si="1"/>
        <v>-101392.17312699997</v>
      </c>
      <c r="I47" s="67">
        <f t="shared" si="2"/>
        <v>0</v>
      </c>
      <c r="J47" s="58" t="s">
        <v>115</v>
      </c>
      <c r="K47" t="s">
        <v>116</v>
      </c>
      <c r="L47" s="448">
        <v>-46224.873648999957</v>
      </c>
      <c r="M47" s="67" t="s">
        <v>2591</v>
      </c>
      <c r="N47" s="317"/>
      <c r="P47" t="s">
        <v>115</v>
      </c>
      <c r="Q47" t="s">
        <v>2628</v>
      </c>
      <c r="R47" s="211">
        <v>-27392.74</v>
      </c>
      <c r="S47" s="211">
        <v>-22911.58</v>
      </c>
      <c r="T47" s="211">
        <v>-32255.719478000014</v>
      </c>
      <c r="U47" s="274">
        <v>13798.667935999925</v>
      </c>
      <c r="V47" s="79">
        <f t="shared" si="11"/>
        <v>-68761.371542000095</v>
      </c>
      <c r="Z47" s="172">
        <f t="shared" si="3"/>
        <v>0</v>
      </c>
      <c r="AB47" t="s">
        <v>115</v>
      </c>
      <c r="AC47" t="s">
        <v>2628</v>
      </c>
      <c r="AD47" s="464">
        <v>-13594.072064000076</v>
      </c>
      <c r="AE47" s="464">
        <v>-22911.58</v>
      </c>
      <c r="AF47" s="464">
        <v>-32255.719478000014</v>
      </c>
      <c r="AG47" s="464">
        <v>0</v>
      </c>
      <c r="AH47" s="464">
        <v>-68761.371542000095</v>
      </c>
      <c r="AJ47" s="464">
        <f t="shared" si="4"/>
        <v>-55167.299478000015</v>
      </c>
      <c r="AM47" s="464">
        <f t="shared" si="5"/>
        <v>-22911.58</v>
      </c>
      <c r="AN47" s="464">
        <v>-32255.719478000014</v>
      </c>
      <c r="AO47" s="464">
        <v>0</v>
      </c>
      <c r="AP47" s="317">
        <f t="shared" si="6"/>
        <v>-55167.299478000015</v>
      </c>
      <c r="AQ47" s="317">
        <f t="shared" si="7"/>
        <v>0</v>
      </c>
      <c r="AS47" s="475">
        <v>-46224.873648999957</v>
      </c>
      <c r="AT47" s="174">
        <f t="shared" si="8"/>
        <v>-101392.17312699997</v>
      </c>
      <c r="AU47" s="174">
        <f t="shared" si="9"/>
        <v>0</v>
      </c>
    </row>
    <row r="48" spans="1:47">
      <c r="A48" t="s">
        <v>117</v>
      </c>
      <c r="B48" t="s">
        <v>2629</v>
      </c>
      <c r="C48" s="468">
        <v>-183460.52</v>
      </c>
      <c r="D48" s="468">
        <v>-20310.11281900006</v>
      </c>
      <c r="E48" s="473">
        <v>-31512.722603999893</v>
      </c>
      <c r="F48" s="474">
        <v>-56983.848749999946</v>
      </c>
      <c r="G48" s="450">
        <f t="shared" si="1"/>
        <v>-292267.20417299989</v>
      </c>
      <c r="I48" s="67">
        <f t="shared" si="2"/>
        <v>0</v>
      </c>
      <c r="J48" s="58" t="s">
        <v>117</v>
      </c>
      <c r="K48" t="s">
        <v>118</v>
      </c>
      <c r="L48" s="448">
        <v>-56983.848749999946</v>
      </c>
      <c r="M48" s="67" t="s">
        <v>2591</v>
      </c>
      <c r="N48" s="317"/>
      <c r="P48" t="s">
        <v>117</v>
      </c>
      <c r="Q48" t="s">
        <v>2629</v>
      </c>
      <c r="R48" s="211">
        <v>-113057.34</v>
      </c>
      <c r="S48" s="211">
        <v>-183460.52</v>
      </c>
      <c r="T48" s="211">
        <v>-20310.11281900006</v>
      </c>
      <c r="U48" s="274">
        <v>-31512.722603999893</v>
      </c>
      <c r="V48" s="79">
        <f t="shared" si="11"/>
        <v>-348340.69542299991</v>
      </c>
      <c r="Z48" s="172">
        <f t="shared" si="3"/>
        <v>0</v>
      </c>
      <c r="AB48" t="s">
        <v>117</v>
      </c>
      <c r="AC48" t="s">
        <v>2629</v>
      </c>
      <c r="AD48" s="464">
        <v>-113057.34</v>
      </c>
      <c r="AE48" s="464">
        <v>-183460.52</v>
      </c>
      <c r="AF48" s="464">
        <v>-20310.11281900006</v>
      </c>
      <c r="AG48" s="464">
        <v>-31512.722603999893</v>
      </c>
      <c r="AH48" s="464">
        <v>-348340.69542299991</v>
      </c>
      <c r="AJ48" s="464">
        <f t="shared" si="4"/>
        <v>-235283.35542299994</v>
      </c>
      <c r="AM48" s="464">
        <f t="shared" si="5"/>
        <v>-183460.52</v>
      </c>
      <c r="AN48" s="464">
        <v>-20310.11281900006</v>
      </c>
      <c r="AO48" s="464">
        <v>-31512.722603999893</v>
      </c>
      <c r="AP48" s="317">
        <f t="shared" si="6"/>
        <v>-235283.35542299994</v>
      </c>
      <c r="AQ48" s="317">
        <f t="shared" si="7"/>
        <v>0</v>
      </c>
      <c r="AS48" s="475">
        <v>-56983.848749999946</v>
      </c>
      <c r="AT48" s="174">
        <f t="shared" si="8"/>
        <v>-292267.20417299989</v>
      </c>
      <c r="AU48" s="174">
        <f t="shared" si="9"/>
        <v>0</v>
      </c>
    </row>
    <row r="49" spans="1:47">
      <c r="A49" t="s">
        <v>119</v>
      </c>
      <c r="B49" t="s">
        <v>2630</v>
      </c>
      <c r="C49" s="468">
        <v>-74197.66</v>
      </c>
      <c r="D49" s="468">
        <v>-75401.882950000014</v>
      </c>
      <c r="E49" s="473">
        <v>-65895.340579999989</v>
      </c>
      <c r="F49" s="474">
        <v>-64408.713340000002</v>
      </c>
      <c r="G49" s="450">
        <f t="shared" si="1"/>
        <v>-279903.59687000001</v>
      </c>
      <c r="I49" s="67">
        <f t="shared" si="2"/>
        <v>0</v>
      </c>
      <c r="J49" s="58" t="s">
        <v>119</v>
      </c>
      <c r="K49" t="s">
        <v>120</v>
      </c>
      <c r="L49" s="448">
        <v>-64408.713340000002</v>
      </c>
      <c r="M49" s="67" t="s">
        <v>2591</v>
      </c>
      <c r="N49" s="317"/>
      <c r="P49" t="s">
        <v>119</v>
      </c>
      <c r="Q49" t="s">
        <v>2630</v>
      </c>
      <c r="R49" s="211">
        <v>-69231.66</v>
      </c>
      <c r="S49" s="211">
        <v>-74197.66</v>
      </c>
      <c r="T49" s="211">
        <v>-75401.882950000014</v>
      </c>
      <c r="U49" s="274">
        <v>-65895.340579999989</v>
      </c>
      <c r="V49" s="79">
        <f t="shared" si="11"/>
        <v>-284726.54353000002</v>
      </c>
      <c r="Z49" s="172">
        <f t="shared" si="3"/>
        <v>0</v>
      </c>
      <c r="AB49" t="s">
        <v>119</v>
      </c>
      <c r="AC49" t="s">
        <v>2630</v>
      </c>
      <c r="AD49" s="464">
        <v>-69231.66</v>
      </c>
      <c r="AE49" s="464">
        <v>-74197.66</v>
      </c>
      <c r="AF49" s="464">
        <v>-75401.882950000014</v>
      </c>
      <c r="AG49" s="464">
        <v>-65895.340579999989</v>
      </c>
      <c r="AH49" s="464">
        <v>-284726.54353000002</v>
      </c>
      <c r="AJ49" s="464">
        <f t="shared" si="4"/>
        <v>-215494.88353000002</v>
      </c>
      <c r="AM49" s="464">
        <f t="shared" si="5"/>
        <v>-74197.66</v>
      </c>
      <c r="AN49" s="464">
        <v>-75401.882950000014</v>
      </c>
      <c r="AO49" s="464">
        <v>-65895.340579999989</v>
      </c>
      <c r="AP49" s="317">
        <f t="shared" si="6"/>
        <v>-215494.88353000002</v>
      </c>
      <c r="AQ49" s="317">
        <f t="shared" si="7"/>
        <v>0</v>
      </c>
      <c r="AS49" s="475">
        <v>-64408.713340000002</v>
      </c>
      <c r="AT49" s="174">
        <f t="shared" si="8"/>
        <v>-279903.59687000001</v>
      </c>
      <c r="AU49" s="174">
        <f t="shared" si="9"/>
        <v>0</v>
      </c>
    </row>
    <row r="50" spans="1:47">
      <c r="A50" t="s">
        <v>121</v>
      </c>
      <c r="B50" t="s">
        <v>2631</v>
      </c>
      <c r="C50" s="468">
        <v>-104954.41</v>
      </c>
      <c r="D50" s="468">
        <v>-80771.504064000008</v>
      </c>
      <c r="E50" s="473">
        <v>-51633.776908</v>
      </c>
      <c r="F50" s="474">
        <v>-75149.186180000033</v>
      </c>
      <c r="G50" s="450">
        <f t="shared" si="1"/>
        <v>-312508.87715200003</v>
      </c>
      <c r="I50" s="67">
        <f t="shared" si="2"/>
        <v>0</v>
      </c>
      <c r="J50" s="58" t="s">
        <v>121</v>
      </c>
      <c r="K50" t="s">
        <v>2632</v>
      </c>
      <c r="L50" s="448">
        <v>-75149.186180000033</v>
      </c>
      <c r="M50" s="67" t="s">
        <v>2591</v>
      </c>
      <c r="N50" s="317"/>
      <c r="P50" t="s">
        <v>121</v>
      </c>
      <c r="Q50" t="s">
        <v>2631</v>
      </c>
      <c r="R50" s="211">
        <v>-77022.33</v>
      </c>
      <c r="S50" s="211">
        <v>-104954.41</v>
      </c>
      <c r="T50" s="211">
        <v>-80771.504064000008</v>
      </c>
      <c r="U50" s="274">
        <v>-51633.776908</v>
      </c>
      <c r="V50" s="79">
        <f t="shared" si="11"/>
        <v>-314382.02097199997</v>
      </c>
      <c r="Z50" s="172">
        <f t="shared" si="3"/>
        <v>0</v>
      </c>
      <c r="AB50" t="s">
        <v>121</v>
      </c>
      <c r="AC50" t="s">
        <v>2631</v>
      </c>
      <c r="AD50" s="464">
        <v>-77022.33</v>
      </c>
      <c r="AE50" s="464">
        <v>-104954.41</v>
      </c>
      <c r="AF50" s="464">
        <v>-80771.504064000008</v>
      </c>
      <c r="AG50" s="464">
        <v>-51633.776908</v>
      </c>
      <c r="AH50" s="464">
        <v>-314382.02097199997</v>
      </c>
      <c r="AJ50" s="464">
        <f t="shared" si="4"/>
        <v>-237359.69097200001</v>
      </c>
      <c r="AM50" s="464">
        <f t="shared" si="5"/>
        <v>-104954.41</v>
      </c>
      <c r="AN50" s="464">
        <v>-80771.504064000008</v>
      </c>
      <c r="AO50" s="464">
        <v>-51633.776908</v>
      </c>
      <c r="AP50" s="317">
        <f t="shared" si="6"/>
        <v>-237359.69097200001</v>
      </c>
      <c r="AQ50" s="317">
        <f t="shared" si="7"/>
        <v>0</v>
      </c>
      <c r="AS50" s="475">
        <v>-75149.186180000033</v>
      </c>
      <c r="AT50" s="174">
        <f t="shared" si="8"/>
        <v>-312508.87715200003</v>
      </c>
      <c r="AU50" s="174">
        <f t="shared" si="9"/>
        <v>0</v>
      </c>
    </row>
    <row r="51" spans="1:47">
      <c r="A51" t="s">
        <v>123</v>
      </c>
      <c r="B51" t="s">
        <v>2633</v>
      </c>
      <c r="C51" s="468">
        <v>-152854.24</v>
      </c>
      <c r="D51" s="468">
        <v>-103647.60709200001</v>
      </c>
      <c r="E51" s="473">
        <v>-63366.330780000018</v>
      </c>
      <c r="F51" s="474">
        <v>-16103.028224000052</v>
      </c>
      <c r="G51" s="450">
        <f t="shared" si="1"/>
        <v>-335971.2060960001</v>
      </c>
      <c r="I51" s="67">
        <f t="shared" si="2"/>
        <v>0</v>
      </c>
      <c r="J51" s="58" t="s">
        <v>123</v>
      </c>
      <c r="K51" t="s">
        <v>2634</v>
      </c>
      <c r="L51" s="448">
        <v>-16103.028224000052</v>
      </c>
      <c r="M51" s="67" t="s">
        <v>2591</v>
      </c>
      <c r="N51" s="317"/>
      <c r="P51" t="s">
        <v>123</v>
      </c>
      <c r="Q51" t="s">
        <v>2633</v>
      </c>
      <c r="R51" s="211">
        <v>-126911.63</v>
      </c>
      <c r="S51" s="211">
        <v>-152854.24</v>
      </c>
      <c r="T51" s="211">
        <v>-103647.60709200001</v>
      </c>
      <c r="U51" s="274">
        <v>-63366.330780000018</v>
      </c>
      <c r="V51" s="79">
        <f t="shared" si="11"/>
        <v>-446779.80787200003</v>
      </c>
      <c r="Z51" s="172">
        <f t="shared" si="3"/>
        <v>0</v>
      </c>
      <c r="AB51" t="s">
        <v>123</v>
      </c>
      <c r="AC51" t="s">
        <v>2633</v>
      </c>
      <c r="AD51" s="464">
        <v>-126911.63</v>
      </c>
      <c r="AE51" s="464">
        <v>-152854.24</v>
      </c>
      <c r="AF51" s="464">
        <v>-103647.60709200001</v>
      </c>
      <c r="AG51" s="464">
        <v>-63366.330780000018</v>
      </c>
      <c r="AH51" s="464">
        <v>-446779.80787200003</v>
      </c>
      <c r="AJ51" s="464">
        <f t="shared" si="4"/>
        <v>-319868.17787200003</v>
      </c>
      <c r="AM51" s="464">
        <f t="shared" si="5"/>
        <v>-152854.24</v>
      </c>
      <c r="AN51" s="464">
        <v>-103647.60709200001</v>
      </c>
      <c r="AO51" s="464">
        <v>-63366.330780000018</v>
      </c>
      <c r="AP51" s="317">
        <f t="shared" si="6"/>
        <v>-319868.17787200003</v>
      </c>
      <c r="AQ51" s="317">
        <f t="shared" si="7"/>
        <v>0</v>
      </c>
      <c r="AS51" s="475">
        <v>-16103.028224000052</v>
      </c>
      <c r="AT51" s="174">
        <f t="shared" si="8"/>
        <v>-335971.2060960001</v>
      </c>
      <c r="AU51" s="174">
        <f t="shared" si="9"/>
        <v>0</v>
      </c>
    </row>
    <row r="52" spans="1:47">
      <c r="A52" t="s">
        <v>125</v>
      </c>
      <c r="B52" t="s">
        <v>2635</v>
      </c>
      <c r="C52" s="468">
        <v>-202805.8</v>
      </c>
      <c r="D52" s="468">
        <v>-250674.77327999996</v>
      </c>
      <c r="E52" s="473">
        <v>-70483.622551999986</v>
      </c>
      <c r="F52" s="474">
        <v>-51927.179503999796</v>
      </c>
      <c r="G52" s="450">
        <f t="shared" si="1"/>
        <v>-575891.37533599976</v>
      </c>
      <c r="I52" s="67">
        <f t="shared" si="2"/>
        <v>0</v>
      </c>
      <c r="J52" s="58" t="s">
        <v>125</v>
      </c>
      <c r="K52" t="s">
        <v>126</v>
      </c>
      <c r="L52" s="448">
        <v>-51927.179503999796</v>
      </c>
      <c r="M52" s="67" t="s">
        <v>2591</v>
      </c>
      <c r="N52" s="317"/>
      <c r="P52" t="s">
        <v>125</v>
      </c>
      <c r="Q52" t="s">
        <v>2635</v>
      </c>
      <c r="R52" s="211">
        <v>-220506.52</v>
      </c>
      <c r="S52" s="211">
        <v>-202805.8</v>
      </c>
      <c r="T52" s="211">
        <v>-250674.77327999996</v>
      </c>
      <c r="U52" s="274">
        <v>-70483.622551999986</v>
      </c>
      <c r="V52" s="79">
        <f t="shared" si="11"/>
        <v>-744470.7158319999</v>
      </c>
      <c r="Z52" s="172">
        <f t="shared" si="3"/>
        <v>0</v>
      </c>
      <c r="AB52" t="s">
        <v>125</v>
      </c>
      <c r="AC52" t="s">
        <v>2635</v>
      </c>
      <c r="AD52" s="464">
        <v>-220506.52</v>
      </c>
      <c r="AE52" s="464">
        <v>-202805.8</v>
      </c>
      <c r="AF52" s="464">
        <v>-250674.77327999996</v>
      </c>
      <c r="AG52" s="464">
        <v>-70483.622551999986</v>
      </c>
      <c r="AH52" s="464">
        <v>-744470.7158319999</v>
      </c>
      <c r="AJ52" s="464">
        <f t="shared" si="4"/>
        <v>-523964.19583199994</v>
      </c>
      <c r="AM52" s="464">
        <f t="shared" si="5"/>
        <v>-202805.8</v>
      </c>
      <c r="AN52" s="464">
        <v>-250674.77327999996</v>
      </c>
      <c r="AO52" s="464">
        <v>-70483.622551999986</v>
      </c>
      <c r="AP52" s="317">
        <f t="shared" si="6"/>
        <v>-523964.19583199994</v>
      </c>
      <c r="AQ52" s="317">
        <f t="shared" si="7"/>
        <v>0</v>
      </c>
      <c r="AS52" s="475">
        <v>-51927.179503999796</v>
      </c>
      <c r="AT52" s="174">
        <f t="shared" si="8"/>
        <v>-575891.37533599976</v>
      </c>
      <c r="AU52" s="174">
        <f t="shared" si="9"/>
        <v>0</v>
      </c>
    </row>
    <row r="53" spans="1:47">
      <c r="A53" t="s">
        <v>127</v>
      </c>
      <c r="B53" t="s">
        <v>2636</v>
      </c>
      <c r="C53" s="468">
        <v>-83135.990000000005</v>
      </c>
      <c r="D53" s="468">
        <v>-32367.019435000082</v>
      </c>
      <c r="E53" s="473">
        <v>-176086.9775119999</v>
      </c>
      <c r="F53" s="474">
        <v>-120045.13753499997</v>
      </c>
      <c r="G53" s="450">
        <f t="shared" si="1"/>
        <v>-411635.12448199996</v>
      </c>
      <c r="I53" s="67">
        <f t="shared" si="2"/>
        <v>0</v>
      </c>
      <c r="J53" s="58" t="s">
        <v>127</v>
      </c>
      <c r="K53" t="s">
        <v>128</v>
      </c>
      <c r="L53" s="448">
        <v>-120045.13753499997</v>
      </c>
      <c r="M53" s="67" t="s">
        <v>2591</v>
      </c>
      <c r="N53" s="317"/>
      <c r="P53" t="s">
        <v>127</v>
      </c>
      <c r="Q53" t="s">
        <v>2636</v>
      </c>
      <c r="R53" s="211">
        <v>-113225.39</v>
      </c>
      <c r="S53" s="211">
        <v>-83135.990000000005</v>
      </c>
      <c r="T53" s="211">
        <v>-32367.019435000082</v>
      </c>
      <c r="U53" s="274">
        <v>-176086.9775119999</v>
      </c>
      <c r="V53" s="79">
        <f t="shared" si="11"/>
        <v>-404815.37694699998</v>
      </c>
      <c r="Z53" s="172">
        <f t="shared" si="3"/>
        <v>0</v>
      </c>
      <c r="AB53" t="s">
        <v>127</v>
      </c>
      <c r="AC53" t="s">
        <v>2636</v>
      </c>
      <c r="AD53" s="464">
        <v>-113225.39</v>
      </c>
      <c r="AE53" s="464">
        <v>-83135.990000000005</v>
      </c>
      <c r="AF53" s="464">
        <v>-32367.019435000082</v>
      </c>
      <c r="AG53" s="464">
        <v>-176086.9775119999</v>
      </c>
      <c r="AH53" s="464">
        <v>-404815.37694699998</v>
      </c>
      <c r="AJ53" s="464">
        <f t="shared" si="4"/>
        <v>-291589.98694699997</v>
      </c>
      <c r="AM53" s="464">
        <f t="shared" si="5"/>
        <v>-83135.990000000005</v>
      </c>
      <c r="AN53" s="464">
        <v>-32367.019435000082</v>
      </c>
      <c r="AO53" s="464">
        <v>-176086.9775119999</v>
      </c>
      <c r="AP53" s="317">
        <f t="shared" si="6"/>
        <v>-291589.98694699997</v>
      </c>
      <c r="AQ53" s="317">
        <f t="shared" si="7"/>
        <v>0</v>
      </c>
      <c r="AS53" s="475">
        <v>-120045.13753499997</v>
      </c>
      <c r="AT53" s="174">
        <f t="shared" si="8"/>
        <v>-411635.12448199996</v>
      </c>
      <c r="AU53" s="174">
        <f t="shared" si="9"/>
        <v>0</v>
      </c>
    </row>
    <row r="54" spans="1:47">
      <c r="A54" t="s">
        <v>129</v>
      </c>
      <c r="B54" t="s">
        <v>2637</v>
      </c>
      <c r="C54" s="468">
        <v>-73004.289999999994</v>
      </c>
      <c r="D54" s="468">
        <v>-56069.170740000023</v>
      </c>
      <c r="E54" s="473">
        <v>-7705.0812720000395</v>
      </c>
      <c r="F54" s="474">
        <v>-39860.299349000001</v>
      </c>
      <c r="G54" s="450">
        <f t="shared" si="1"/>
        <v>-176638.84136100006</v>
      </c>
      <c r="I54" s="67">
        <f t="shared" si="2"/>
        <v>0</v>
      </c>
      <c r="J54" s="58" t="s">
        <v>129</v>
      </c>
      <c r="K54" t="s">
        <v>130</v>
      </c>
      <c r="L54" s="448">
        <v>-39860.299349000001</v>
      </c>
      <c r="M54" s="67" t="s">
        <v>2591</v>
      </c>
      <c r="N54" s="317"/>
      <c r="P54" t="s">
        <v>129</v>
      </c>
      <c r="Q54" t="s">
        <v>2637</v>
      </c>
      <c r="R54" s="211">
        <v>-75883.3</v>
      </c>
      <c r="S54" s="211">
        <v>-73004.289999999994</v>
      </c>
      <c r="T54" s="211">
        <v>-56069.170740000023</v>
      </c>
      <c r="U54" s="274">
        <v>-7705.0812720000395</v>
      </c>
      <c r="V54" s="79">
        <f t="shared" si="11"/>
        <v>-212661.84201200007</v>
      </c>
      <c r="Z54" s="172">
        <f t="shared" si="3"/>
        <v>0</v>
      </c>
      <c r="AB54" t="s">
        <v>129</v>
      </c>
      <c r="AC54" t="s">
        <v>2637</v>
      </c>
      <c r="AD54" s="464">
        <v>-75883.3</v>
      </c>
      <c r="AE54" s="464">
        <v>-73004.289999999994</v>
      </c>
      <c r="AF54" s="464">
        <v>-56069.170740000023</v>
      </c>
      <c r="AG54" s="464">
        <v>-7705.0812720000395</v>
      </c>
      <c r="AH54" s="464">
        <v>-212661.84201200007</v>
      </c>
      <c r="AJ54" s="464">
        <f t="shared" si="4"/>
        <v>-136778.54201200005</v>
      </c>
      <c r="AM54" s="464">
        <f t="shared" si="5"/>
        <v>-73004.289999999994</v>
      </c>
      <c r="AN54" s="464">
        <v>-56069.170740000023</v>
      </c>
      <c r="AO54" s="464">
        <v>-7705.0812720000395</v>
      </c>
      <c r="AP54" s="317">
        <f t="shared" si="6"/>
        <v>-136778.54201200005</v>
      </c>
      <c r="AQ54" s="317">
        <f t="shared" si="7"/>
        <v>0</v>
      </c>
      <c r="AS54" s="475">
        <v>-39860.299349000001</v>
      </c>
      <c r="AT54" s="174">
        <f t="shared" si="8"/>
        <v>-176638.84136100006</v>
      </c>
      <c r="AU54" s="174">
        <f t="shared" si="9"/>
        <v>0</v>
      </c>
    </row>
    <row r="55" spans="1:47">
      <c r="A55" t="s">
        <v>131</v>
      </c>
      <c r="B55" t="s">
        <v>2638</v>
      </c>
      <c r="C55" s="468">
        <v>-14523.54</v>
      </c>
      <c r="D55" s="468">
        <v>-45048.534979999997</v>
      </c>
      <c r="E55" s="473">
        <v>-68640.378393000006</v>
      </c>
      <c r="F55" s="474">
        <v>-76686.811452000024</v>
      </c>
      <c r="G55" s="450">
        <f t="shared" si="1"/>
        <v>-204899.26482500002</v>
      </c>
      <c r="I55" s="67">
        <f t="shared" si="2"/>
        <v>0</v>
      </c>
      <c r="J55" s="58" t="s">
        <v>131</v>
      </c>
      <c r="K55" t="s">
        <v>132</v>
      </c>
      <c r="L55" s="448">
        <v>-76686.811452000024</v>
      </c>
      <c r="M55" s="67" t="s">
        <v>2591</v>
      </c>
      <c r="N55" s="317"/>
      <c r="P55" t="s">
        <v>131</v>
      </c>
      <c r="Q55" t="s">
        <v>2638</v>
      </c>
      <c r="R55" s="211">
        <v>-15316.92</v>
      </c>
      <c r="S55" s="211">
        <v>-14523.54</v>
      </c>
      <c r="T55" s="211">
        <v>-45048.534979999997</v>
      </c>
      <c r="U55" s="274">
        <v>-68640.378393000006</v>
      </c>
      <c r="V55" s="79">
        <f t="shared" si="11"/>
        <v>-143529.37337300001</v>
      </c>
      <c r="Z55" s="172">
        <f t="shared" si="3"/>
        <v>0</v>
      </c>
      <c r="AB55" t="s">
        <v>131</v>
      </c>
      <c r="AC55" t="s">
        <v>2638</v>
      </c>
      <c r="AD55" s="464">
        <v>-15316.92</v>
      </c>
      <c r="AE55" s="464">
        <v>-14523.54</v>
      </c>
      <c r="AF55" s="464">
        <v>-45048.534979999997</v>
      </c>
      <c r="AG55" s="464">
        <v>-68640.378393000006</v>
      </c>
      <c r="AH55" s="464">
        <v>-143529.37337300001</v>
      </c>
      <c r="AJ55" s="464">
        <f t="shared" si="4"/>
        <v>-128212.453373</v>
      </c>
      <c r="AM55" s="464">
        <f t="shared" si="5"/>
        <v>-14523.54</v>
      </c>
      <c r="AN55" s="464">
        <v>-45048.534979999997</v>
      </c>
      <c r="AO55" s="464">
        <v>-68640.378393000006</v>
      </c>
      <c r="AP55" s="317">
        <f t="shared" si="6"/>
        <v>-128212.453373</v>
      </c>
      <c r="AQ55" s="317">
        <f t="shared" si="7"/>
        <v>0</v>
      </c>
      <c r="AS55" s="475">
        <v>-76686.811452000024</v>
      </c>
      <c r="AT55" s="174">
        <f t="shared" si="8"/>
        <v>-204899.26482500002</v>
      </c>
      <c r="AU55" s="174">
        <f t="shared" si="9"/>
        <v>0</v>
      </c>
    </row>
    <row r="56" spans="1:47">
      <c r="A56" t="s">
        <v>133</v>
      </c>
      <c r="B56" t="s">
        <v>134</v>
      </c>
      <c r="C56" s="468">
        <v>-55592.639999999999</v>
      </c>
      <c r="D56" s="468">
        <v>-82055.274049</v>
      </c>
      <c r="E56" s="473">
        <v>-36698.316528000054</v>
      </c>
      <c r="F56" s="474">
        <v>-71602.910422000015</v>
      </c>
      <c r="G56" s="450">
        <f t="shared" si="1"/>
        <v>-245949.14099900008</v>
      </c>
      <c r="I56" s="67">
        <f t="shared" si="2"/>
        <v>0</v>
      </c>
      <c r="J56" s="58" t="s">
        <v>133</v>
      </c>
      <c r="K56" t="s">
        <v>134</v>
      </c>
      <c r="L56" s="448">
        <v>-71602.910422000015</v>
      </c>
      <c r="M56" s="67" t="s">
        <v>2591</v>
      </c>
      <c r="N56" s="317"/>
      <c r="P56" t="s">
        <v>133</v>
      </c>
      <c r="Q56" t="s">
        <v>134</v>
      </c>
      <c r="R56" s="211">
        <v>-70255.05</v>
      </c>
      <c r="S56" s="211">
        <v>-55592.639999999999</v>
      </c>
      <c r="T56" s="211">
        <v>-82055.274049</v>
      </c>
      <c r="U56" s="274">
        <v>-36698.316528000054</v>
      </c>
      <c r="V56" s="79">
        <f t="shared" si="11"/>
        <v>-244601.28057700006</v>
      </c>
      <c r="Z56" s="172">
        <f t="shared" si="3"/>
        <v>0</v>
      </c>
      <c r="AB56" t="s">
        <v>133</v>
      </c>
      <c r="AC56" t="s">
        <v>134</v>
      </c>
      <c r="AD56" s="464">
        <v>-70255.05</v>
      </c>
      <c r="AE56" s="464">
        <v>-55592.639999999999</v>
      </c>
      <c r="AF56" s="464">
        <v>-82055.274049</v>
      </c>
      <c r="AG56" s="464">
        <v>-36698.316528000054</v>
      </c>
      <c r="AH56" s="464">
        <v>-244601.28057700006</v>
      </c>
      <c r="AJ56" s="464">
        <f t="shared" si="4"/>
        <v>-174346.23057700007</v>
      </c>
      <c r="AM56" s="464">
        <f t="shared" si="5"/>
        <v>-55592.639999999999</v>
      </c>
      <c r="AN56" s="464">
        <v>-82055.274049</v>
      </c>
      <c r="AO56" s="464">
        <v>-36698.316528000054</v>
      </c>
      <c r="AP56" s="317">
        <f t="shared" si="6"/>
        <v>-174346.23057700007</v>
      </c>
      <c r="AQ56" s="317">
        <f t="shared" si="7"/>
        <v>0</v>
      </c>
      <c r="AS56" s="475">
        <v>-71602.910422000015</v>
      </c>
      <c r="AT56" s="174">
        <f t="shared" si="8"/>
        <v>-245949.14099900008</v>
      </c>
      <c r="AU56" s="174">
        <f t="shared" si="9"/>
        <v>0</v>
      </c>
    </row>
    <row r="57" spans="1:47">
      <c r="A57" t="s">
        <v>135</v>
      </c>
      <c r="B57" t="s">
        <v>2639</v>
      </c>
      <c r="C57" s="468">
        <v>-497030.45</v>
      </c>
      <c r="D57" s="468">
        <v>44203.198558000113</v>
      </c>
      <c r="E57" s="473">
        <v>-266677.33352499991</v>
      </c>
      <c r="F57" s="474">
        <v>-496556.69308800012</v>
      </c>
      <c r="G57" s="450">
        <f t="shared" si="1"/>
        <v>-1216061.2780549999</v>
      </c>
      <c r="I57" s="67">
        <f t="shared" si="2"/>
        <v>0</v>
      </c>
      <c r="J57" s="58" t="s">
        <v>135</v>
      </c>
      <c r="K57" t="s">
        <v>136</v>
      </c>
      <c r="L57" s="448">
        <v>-496556.69308800012</v>
      </c>
      <c r="M57" s="67" t="s">
        <v>2591</v>
      </c>
      <c r="N57" s="317"/>
      <c r="P57" t="s">
        <v>135</v>
      </c>
      <c r="Q57" t="s">
        <v>2639</v>
      </c>
      <c r="R57" s="211">
        <v>-51119.51</v>
      </c>
      <c r="S57" s="211">
        <v>-497030.45</v>
      </c>
      <c r="T57" s="211">
        <v>95322.708558000115</v>
      </c>
      <c r="U57" s="274">
        <v>-266677.33352499991</v>
      </c>
      <c r="V57" s="79">
        <f t="shared" si="11"/>
        <v>-719504.58496699971</v>
      </c>
      <c r="Z57" s="172">
        <f t="shared" si="3"/>
        <v>0</v>
      </c>
      <c r="AB57" t="s">
        <v>135</v>
      </c>
      <c r="AC57" t="s">
        <v>2639</v>
      </c>
      <c r="AD57" s="464">
        <v>0</v>
      </c>
      <c r="AE57" s="464">
        <v>-497030.45</v>
      </c>
      <c r="AF57" s="464">
        <v>44203.198558000113</v>
      </c>
      <c r="AG57" s="464">
        <v>-266677.33352499991</v>
      </c>
      <c r="AH57" s="464">
        <v>-719504.58496699983</v>
      </c>
      <c r="AJ57" s="464">
        <f t="shared" si="4"/>
        <v>-719504.58496699983</v>
      </c>
      <c r="AM57" s="464">
        <f t="shared" si="5"/>
        <v>-497030.45</v>
      </c>
      <c r="AN57" s="464">
        <v>44203.198558000113</v>
      </c>
      <c r="AO57" s="464">
        <v>-266677.33352499991</v>
      </c>
      <c r="AP57" s="317">
        <f t="shared" si="6"/>
        <v>-719504.58496699983</v>
      </c>
      <c r="AQ57" s="317">
        <f t="shared" si="7"/>
        <v>0</v>
      </c>
      <c r="AS57" s="475">
        <v>-496556.69308800012</v>
      </c>
      <c r="AT57" s="174">
        <f t="shared" si="8"/>
        <v>-1216061.2780549999</v>
      </c>
      <c r="AU57" s="174">
        <f t="shared" si="9"/>
        <v>0</v>
      </c>
    </row>
    <row r="58" spans="1:47">
      <c r="A58" t="s">
        <v>137</v>
      </c>
      <c r="B58" t="s">
        <v>2640</v>
      </c>
      <c r="C58" s="468">
        <v>-94316.31</v>
      </c>
      <c r="D58" s="468">
        <v>-87851.174980999975</v>
      </c>
      <c r="E58" s="473">
        <v>-82307.59577999996</v>
      </c>
      <c r="F58" s="474">
        <v>-71300.955516000016</v>
      </c>
      <c r="G58" s="450">
        <f t="shared" si="1"/>
        <v>-335776.03627699998</v>
      </c>
      <c r="I58" s="67">
        <f t="shared" si="2"/>
        <v>0</v>
      </c>
      <c r="J58" s="58" t="s">
        <v>137</v>
      </c>
      <c r="K58" t="s">
        <v>138</v>
      </c>
      <c r="L58" s="448">
        <v>-71300.955516000016</v>
      </c>
      <c r="M58" s="67" t="s">
        <v>2591</v>
      </c>
      <c r="N58" s="317"/>
      <c r="P58" t="s">
        <v>137</v>
      </c>
      <c r="Q58" t="s">
        <v>2640</v>
      </c>
      <c r="R58" s="211">
        <v>-59222.16</v>
      </c>
      <c r="S58" s="211">
        <v>-94316.31</v>
      </c>
      <c r="T58" s="211">
        <v>-87851.174980999975</v>
      </c>
      <c r="U58" s="274">
        <v>-82307.59577999996</v>
      </c>
      <c r="V58" s="79">
        <f t="shared" si="11"/>
        <v>-323697.24076099996</v>
      </c>
      <c r="Z58" s="172">
        <f t="shared" si="3"/>
        <v>0</v>
      </c>
      <c r="AB58" t="s">
        <v>137</v>
      </c>
      <c r="AC58" t="s">
        <v>2640</v>
      </c>
      <c r="AD58" s="464">
        <v>-59222.16</v>
      </c>
      <c r="AE58" s="464">
        <v>-94316.31</v>
      </c>
      <c r="AF58" s="464">
        <v>-87851.174980999975</v>
      </c>
      <c r="AG58" s="464">
        <v>-82307.59577999996</v>
      </c>
      <c r="AH58" s="464">
        <v>-323697.24076099996</v>
      </c>
      <c r="AJ58" s="464">
        <f t="shared" si="4"/>
        <v>-264475.08076099993</v>
      </c>
      <c r="AM58" s="464">
        <f t="shared" si="5"/>
        <v>-94316.31</v>
      </c>
      <c r="AN58" s="464">
        <v>-87851.174980999975</v>
      </c>
      <c r="AO58" s="464">
        <v>-82307.59577999996</v>
      </c>
      <c r="AP58" s="317">
        <f t="shared" si="6"/>
        <v>-264475.08076099993</v>
      </c>
      <c r="AQ58" s="317">
        <f t="shared" si="7"/>
        <v>0</v>
      </c>
      <c r="AS58" s="475">
        <v>-71300.955516000016</v>
      </c>
      <c r="AT58" s="174">
        <f t="shared" si="8"/>
        <v>-335776.03627699998</v>
      </c>
      <c r="AU58" s="174">
        <f t="shared" si="9"/>
        <v>0</v>
      </c>
    </row>
    <row r="59" spans="1:47">
      <c r="A59" t="s">
        <v>139</v>
      </c>
      <c r="B59" t="s">
        <v>2641</v>
      </c>
      <c r="C59" s="468">
        <v>-59115.23</v>
      </c>
      <c r="D59" s="468">
        <v>-43688.142480000017</v>
      </c>
      <c r="E59" s="473">
        <v>-63594.796249999999</v>
      </c>
      <c r="F59" s="474">
        <v>-72672.349014999985</v>
      </c>
      <c r="G59" s="450">
        <f t="shared" si="1"/>
        <v>-239070.51774500002</v>
      </c>
      <c r="I59" s="67">
        <f t="shared" si="2"/>
        <v>0</v>
      </c>
      <c r="J59" s="58" t="s">
        <v>139</v>
      </c>
      <c r="K59" t="s">
        <v>140</v>
      </c>
      <c r="L59" s="448">
        <v>-72672.349014999985</v>
      </c>
      <c r="M59" s="67" t="s">
        <v>2591</v>
      </c>
      <c r="N59" s="317"/>
      <c r="P59" t="s">
        <v>139</v>
      </c>
      <c r="Q59" t="s">
        <v>2641</v>
      </c>
      <c r="R59" s="211">
        <v>-62398.45</v>
      </c>
      <c r="S59" s="211">
        <v>-59115.23</v>
      </c>
      <c r="T59" s="211">
        <v>-43688.142480000017</v>
      </c>
      <c r="U59" s="274">
        <v>-63594.796249999999</v>
      </c>
      <c r="V59" s="79">
        <f t="shared" si="11"/>
        <v>-228796.61872999999</v>
      </c>
      <c r="Z59" s="172">
        <f t="shared" si="3"/>
        <v>0</v>
      </c>
      <c r="AB59" t="s">
        <v>139</v>
      </c>
      <c r="AC59" t="s">
        <v>2641</v>
      </c>
      <c r="AD59" s="464">
        <v>-62398.45</v>
      </c>
      <c r="AE59" s="464">
        <v>-59115.23</v>
      </c>
      <c r="AF59" s="464">
        <v>-43688.142480000017</v>
      </c>
      <c r="AG59" s="464">
        <v>-63594.796249999999</v>
      </c>
      <c r="AH59" s="464">
        <v>-228796.61872999999</v>
      </c>
      <c r="AJ59" s="464">
        <f t="shared" si="4"/>
        <v>-166398.16873000003</v>
      </c>
      <c r="AM59" s="464">
        <f t="shared" si="5"/>
        <v>-59115.23</v>
      </c>
      <c r="AN59" s="464">
        <v>-43688.142480000017</v>
      </c>
      <c r="AO59" s="464">
        <v>-63594.796249999999</v>
      </c>
      <c r="AP59" s="317">
        <f t="shared" si="6"/>
        <v>-166398.16873000003</v>
      </c>
      <c r="AQ59" s="317">
        <f t="shared" si="7"/>
        <v>0</v>
      </c>
      <c r="AS59" s="475">
        <v>-72672.349014999985</v>
      </c>
      <c r="AT59" s="174">
        <f t="shared" si="8"/>
        <v>-239070.51774500002</v>
      </c>
      <c r="AU59" s="174">
        <f t="shared" si="9"/>
        <v>0</v>
      </c>
    </row>
    <row r="60" spans="1:47">
      <c r="A60" t="s">
        <v>141</v>
      </c>
      <c r="B60" t="s">
        <v>2642</v>
      </c>
      <c r="C60" s="468">
        <v>-107093.03</v>
      </c>
      <c r="D60" s="468">
        <v>-94350.827174999984</v>
      </c>
      <c r="E60" s="473">
        <v>-61212.27057600001</v>
      </c>
      <c r="F60" s="474">
        <v>-104405.16860999999</v>
      </c>
      <c r="G60" s="450">
        <f t="shared" si="1"/>
        <v>-367061.29636099999</v>
      </c>
      <c r="I60" s="67">
        <f t="shared" si="2"/>
        <v>0</v>
      </c>
      <c r="J60" s="58" t="s">
        <v>141</v>
      </c>
      <c r="K60" t="s">
        <v>142</v>
      </c>
      <c r="L60" s="448">
        <v>-104405.16860999999</v>
      </c>
      <c r="M60" s="67" t="s">
        <v>2591</v>
      </c>
      <c r="N60" s="317"/>
      <c r="P60" t="s">
        <v>141</v>
      </c>
      <c r="Q60" t="s">
        <v>2642</v>
      </c>
      <c r="R60" s="211">
        <v>-89054.6</v>
      </c>
      <c r="S60" s="211">
        <v>-107093.03</v>
      </c>
      <c r="T60" s="211">
        <v>-94350.827174999984</v>
      </c>
      <c r="U60" s="274">
        <v>-61212.27057600001</v>
      </c>
      <c r="V60" s="79">
        <f t="shared" si="11"/>
        <v>-351710.72775099997</v>
      </c>
      <c r="Z60" s="172">
        <f t="shared" si="3"/>
        <v>0</v>
      </c>
      <c r="AB60" t="s">
        <v>141</v>
      </c>
      <c r="AC60" t="s">
        <v>2642</v>
      </c>
      <c r="AD60" s="464">
        <v>-89054.6</v>
      </c>
      <c r="AE60" s="464">
        <v>-107093.03</v>
      </c>
      <c r="AF60" s="464">
        <v>-94350.827174999984</v>
      </c>
      <c r="AG60" s="464">
        <v>-61212.27057600001</v>
      </c>
      <c r="AH60" s="464">
        <v>-351710.72775099997</v>
      </c>
      <c r="AJ60" s="464">
        <f t="shared" si="4"/>
        <v>-262656.12775099999</v>
      </c>
      <c r="AM60" s="464">
        <f t="shared" si="5"/>
        <v>-107093.03</v>
      </c>
      <c r="AN60" s="464">
        <v>-94350.827174999984</v>
      </c>
      <c r="AO60" s="464">
        <v>-61212.27057600001</v>
      </c>
      <c r="AP60" s="317">
        <f t="shared" si="6"/>
        <v>-262656.12775099999</v>
      </c>
      <c r="AQ60" s="317">
        <f t="shared" si="7"/>
        <v>0</v>
      </c>
      <c r="AS60" s="475">
        <v>-104405.16860999999</v>
      </c>
      <c r="AT60" s="174">
        <f t="shared" si="8"/>
        <v>-367061.29636099999</v>
      </c>
      <c r="AU60" s="174">
        <f t="shared" si="9"/>
        <v>0</v>
      </c>
    </row>
    <row r="61" spans="1:47">
      <c r="A61" t="s">
        <v>143</v>
      </c>
      <c r="B61" t="s">
        <v>2643</v>
      </c>
      <c r="C61" s="468">
        <v>-55917.57</v>
      </c>
      <c r="D61" s="468">
        <v>-79639.347268000012</v>
      </c>
      <c r="E61" s="473">
        <v>-83731.017324000015</v>
      </c>
      <c r="F61" s="474">
        <v>-25371.245986000009</v>
      </c>
      <c r="G61" s="450">
        <f t="shared" si="1"/>
        <v>-244659.18057800003</v>
      </c>
      <c r="I61" s="67">
        <f t="shared" si="2"/>
        <v>0</v>
      </c>
      <c r="J61" s="58" t="s">
        <v>143</v>
      </c>
      <c r="K61" t="s">
        <v>144</v>
      </c>
      <c r="L61" s="448">
        <v>-25371.245986000009</v>
      </c>
      <c r="M61" s="67" t="s">
        <v>2591</v>
      </c>
      <c r="N61" s="317"/>
      <c r="P61" t="s">
        <v>143</v>
      </c>
      <c r="Q61" t="s">
        <v>2643</v>
      </c>
      <c r="R61" s="211">
        <v>-73833.460000000006</v>
      </c>
      <c r="S61" s="211">
        <v>-55917.57</v>
      </c>
      <c r="T61" s="211">
        <v>-79639.347268000012</v>
      </c>
      <c r="U61" s="274">
        <v>-83731.017324000015</v>
      </c>
      <c r="V61" s="79">
        <f t="shared" si="11"/>
        <v>-293121.39459200006</v>
      </c>
      <c r="Z61" s="172">
        <f t="shared" si="3"/>
        <v>0</v>
      </c>
      <c r="AB61" t="s">
        <v>143</v>
      </c>
      <c r="AC61" t="s">
        <v>2643</v>
      </c>
      <c r="AD61" s="464">
        <v>-73833.460000000006</v>
      </c>
      <c r="AE61" s="464">
        <v>-55917.57</v>
      </c>
      <c r="AF61" s="464">
        <v>-79639.347268000012</v>
      </c>
      <c r="AG61" s="464">
        <v>-83731.017324000015</v>
      </c>
      <c r="AH61" s="464">
        <v>-293121.39459200006</v>
      </c>
      <c r="AJ61" s="464">
        <f t="shared" si="4"/>
        <v>-219287.93459200003</v>
      </c>
      <c r="AM61" s="464">
        <f t="shared" si="5"/>
        <v>-55917.57</v>
      </c>
      <c r="AN61" s="464">
        <v>-79639.347268000012</v>
      </c>
      <c r="AO61" s="464">
        <v>-83731.017324000015</v>
      </c>
      <c r="AP61" s="317">
        <f t="shared" si="6"/>
        <v>-219287.93459200003</v>
      </c>
      <c r="AQ61" s="317">
        <f t="shared" si="7"/>
        <v>0</v>
      </c>
      <c r="AS61" s="475">
        <v>-25371.245986000009</v>
      </c>
      <c r="AT61" s="174">
        <f t="shared" si="8"/>
        <v>-244659.18057800003</v>
      </c>
      <c r="AU61" s="174">
        <f t="shared" si="9"/>
        <v>0</v>
      </c>
    </row>
    <row r="62" spans="1:47">
      <c r="A62" s="436" t="s">
        <v>145</v>
      </c>
      <c r="B62" s="437" t="s">
        <v>146</v>
      </c>
      <c r="C62" s="478">
        <v>0</v>
      </c>
      <c r="D62" s="467"/>
      <c r="E62" s="473"/>
      <c r="F62" s="474"/>
      <c r="G62" s="450">
        <f t="shared" si="1"/>
        <v>0</v>
      </c>
      <c r="I62" s="67">
        <f t="shared" si="2"/>
        <v>0</v>
      </c>
      <c r="J62" s="436" t="s">
        <v>145</v>
      </c>
      <c r="K62" s="437" t="s">
        <v>146</v>
      </c>
      <c r="L62" s="448"/>
      <c r="M62" s="67"/>
      <c r="N62" s="317"/>
      <c r="P62" s="291" t="s">
        <v>145</v>
      </c>
      <c r="Q62" s="292" t="s">
        <v>146</v>
      </c>
      <c r="R62" s="211"/>
      <c r="S62" s="211"/>
      <c r="T62" s="211"/>
      <c r="U62" s="274"/>
      <c r="V62" s="79"/>
      <c r="Z62" s="172">
        <f t="shared" si="3"/>
        <v>0</v>
      </c>
      <c r="AB62" t="s">
        <v>145</v>
      </c>
      <c r="AC62" t="s">
        <v>146</v>
      </c>
      <c r="AD62" s="464"/>
      <c r="AE62" s="464"/>
      <c r="AF62" s="464"/>
      <c r="AG62" s="464"/>
      <c r="AH62" s="464"/>
      <c r="AJ62" s="464">
        <f t="shared" si="4"/>
        <v>0</v>
      </c>
      <c r="AM62" s="464">
        <f t="shared" si="5"/>
        <v>0</v>
      </c>
      <c r="AN62" s="464"/>
      <c r="AO62" s="464"/>
      <c r="AP62" s="317">
        <f t="shared" si="6"/>
        <v>0</v>
      </c>
      <c r="AQ62" s="317">
        <f t="shared" si="7"/>
        <v>0</v>
      </c>
      <c r="AS62" s="475"/>
      <c r="AT62" s="174">
        <f t="shared" si="8"/>
        <v>0</v>
      </c>
      <c r="AU62" s="174">
        <f t="shared" si="9"/>
        <v>0</v>
      </c>
    </row>
    <row r="63" spans="1:47">
      <c r="A63" t="s">
        <v>147</v>
      </c>
      <c r="B63" t="s">
        <v>2644</v>
      </c>
      <c r="C63" s="468">
        <v>-54191.839999999997</v>
      </c>
      <c r="D63" s="468">
        <v>-46922.007001999969</v>
      </c>
      <c r="E63" s="473">
        <v>-38158.24188799999</v>
      </c>
      <c r="F63" s="474">
        <v>-130053.48798673521</v>
      </c>
      <c r="G63" s="450">
        <f t="shared" si="1"/>
        <v>-269325.5768767352</v>
      </c>
      <c r="I63" s="67">
        <f t="shared" si="2"/>
        <v>0</v>
      </c>
      <c r="J63" s="58" t="s">
        <v>147</v>
      </c>
      <c r="K63" t="s">
        <v>148</v>
      </c>
      <c r="L63" s="448">
        <v>-130053.48798673521</v>
      </c>
      <c r="M63" s="67" t="s">
        <v>2591</v>
      </c>
      <c r="N63" s="317"/>
      <c r="P63" t="s">
        <v>147</v>
      </c>
      <c r="Q63" t="s">
        <v>2644</v>
      </c>
      <c r="R63" s="211">
        <v>-56200.95</v>
      </c>
      <c r="S63" s="211">
        <v>-54191.839999999997</v>
      </c>
      <c r="T63" s="211">
        <v>-46922.007001999969</v>
      </c>
      <c r="U63" s="274">
        <v>-38158.24188799999</v>
      </c>
      <c r="V63" s="79">
        <f t="shared" ref="V63:V80" si="12">SUM(R63:U63)</f>
        <v>-195473.03888999997</v>
      </c>
      <c r="Z63" s="172">
        <f t="shared" si="3"/>
        <v>0</v>
      </c>
      <c r="AB63" t="s">
        <v>147</v>
      </c>
      <c r="AC63" t="s">
        <v>2644</v>
      </c>
      <c r="AD63" s="464">
        <v>-56200.95</v>
      </c>
      <c r="AE63" s="464">
        <v>-54191.839999999997</v>
      </c>
      <c r="AF63" s="464">
        <v>-46922.007001999969</v>
      </c>
      <c r="AG63" s="464">
        <v>-38158.24188799999</v>
      </c>
      <c r="AH63" s="464">
        <v>-195473.03888999997</v>
      </c>
      <c r="AJ63" s="464">
        <f t="shared" si="4"/>
        <v>-139272.08888999996</v>
      </c>
      <c r="AM63" s="464">
        <f t="shared" si="5"/>
        <v>-54191.839999999997</v>
      </c>
      <c r="AN63" s="464">
        <v>-46922.007001999969</v>
      </c>
      <c r="AO63" s="464">
        <v>-38158.24188799999</v>
      </c>
      <c r="AP63" s="317">
        <f t="shared" si="6"/>
        <v>-139272.08888999996</v>
      </c>
      <c r="AQ63" s="317">
        <f t="shared" si="7"/>
        <v>0</v>
      </c>
      <c r="AS63" s="475">
        <v>-130053.48798673521</v>
      </c>
      <c r="AT63" s="174">
        <f t="shared" si="8"/>
        <v>-269325.5768767352</v>
      </c>
      <c r="AU63" s="174">
        <f t="shared" si="9"/>
        <v>0</v>
      </c>
    </row>
    <row r="64" spans="1:47">
      <c r="A64" t="s">
        <v>149</v>
      </c>
      <c r="B64" t="s">
        <v>2645</v>
      </c>
      <c r="C64" s="468">
        <v>-95831.63</v>
      </c>
      <c r="D64" s="468">
        <v>0</v>
      </c>
      <c r="E64" s="473">
        <v>0</v>
      </c>
      <c r="F64" s="474">
        <v>-61998.234067999896</v>
      </c>
      <c r="G64" s="450">
        <f t="shared" si="1"/>
        <v>-157829.86406799991</v>
      </c>
      <c r="I64" s="67">
        <f t="shared" si="2"/>
        <v>0</v>
      </c>
      <c r="J64" s="58" t="s">
        <v>149</v>
      </c>
      <c r="K64" t="s">
        <v>150</v>
      </c>
      <c r="L64" s="448">
        <v>-61998.234067999896</v>
      </c>
      <c r="M64" s="67" t="s">
        <v>2591</v>
      </c>
      <c r="N64" s="317"/>
      <c r="P64" t="s">
        <v>149</v>
      </c>
      <c r="Q64" t="s">
        <v>2645</v>
      </c>
      <c r="R64" s="211">
        <v>-51747.71</v>
      </c>
      <c r="S64" s="211">
        <v>-95831.63</v>
      </c>
      <c r="T64" s="211">
        <v>10729.784559999942</v>
      </c>
      <c r="U64" s="274">
        <v>416.53333199996268</v>
      </c>
      <c r="V64" s="79">
        <f t="shared" si="12"/>
        <v>-136433.02210800009</v>
      </c>
      <c r="Z64" s="172">
        <f t="shared" si="3"/>
        <v>0</v>
      </c>
      <c r="AB64" t="s">
        <v>149</v>
      </c>
      <c r="AC64" t="s">
        <v>2645</v>
      </c>
      <c r="AD64" s="464">
        <v>-40601.392108000095</v>
      </c>
      <c r="AE64" s="464">
        <v>-95831.63</v>
      </c>
      <c r="AF64" s="464">
        <v>0</v>
      </c>
      <c r="AG64" s="464">
        <v>0</v>
      </c>
      <c r="AH64" s="464">
        <v>-136433.02210800009</v>
      </c>
      <c r="AJ64" s="464">
        <f t="shared" si="4"/>
        <v>-95831.63</v>
      </c>
      <c r="AM64" s="464">
        <f t="shared" si="5"/>
        <v>-95831.63</v>
      </c>
      <c r="AN64" s="464">
        <v>0</v>
      </c>
      <c r="AO64" s="464">
        <v>0</v>
      </c>
      <c r="AP64" s="317">
        <f t="shared" si="6"/>
        <v>-95831.63</v>
      </c>
      <c r="AQ64" s="317">
        <f t="shared" si="7"/>
        <v>0</v>
      </c>
      <c r="AS64" s="475">
        <v>-61998.234067999896</v>
      </c>
      <c r="AT64" s="174">
        <f t="shared" si="8"/>
        <v>-157829.86406799991</v>
      </c>
      <c r="AU64" s="174">
        <f t="shared" si="9"/>
        <v>0</v>
      </c>
    </row>
    <row r="65" spans="1:47">
      <c r="A65" t="s">
        <v>151</v>
      </c>
      <c r="B65" t="s">
        <v>2646</v>
      </c>
      <c r="C65" s="468">
        <v>-77398.2</v>
      </c>
      <c r="D65" s="468">
        <v>-72005.365409999999</v>
      </c>
      <c r="E65" s="473">
        <v>-71530.904385000002</v>
      </c>
      <c r="F65" s="474">
        <v>-85886.329729999998</v>
      </c>
      <c r="G65" s="450">
        <f t="shared" si="1"/>
        <v>-306820.79952499998</v>
      </c>
      <c r="I65" s="67">
        <f t="shared" si="2"/>
        <v>0</v>
      </c>
      <c r="J65" s="58" t="s">
        <v>151</v>
      </c>
      <c r="K65" t="s">
        <v>152</v>
      </c>
      <c r="L65" s="448">
        <v>-85886.329729999998</v>
      </c>
      <c r="M65" s="67" t="s">
        <v>2591</v>
      </c>
      <c r="N65" s="317"/>
      <c r="P65" t="s">
        <v>151</v>
      </c>
      <c r="Q65" t="s">
        <v>2646</v>
      </c>
      <c r="R65" s="211">
        <v>-99863.3</v>
      </c>
      <c r="S65" s="211">
        <v>-77398.2</v>
      </c>
      <c r="T65" s="211">
        <v>-72005.365409999999</v>
      </c>
      <c r="U65" s="274">
        <v>-71530.904385000002</v>
      </c>
      <c r="V65" s="79">
        <f t="shared" si="12"/>
        <v>-320797.76979499997</v>
      </c>
      <c r="Z65" s="172">
        <f t="shared" si="3"/>
        <v>0</v>
      </c>
      <c r="AB65" t="s">
        <v>151</v>
      </c>
      <c r="AC65" t="s">
        <v>2646</v>
      </c>
      <c r="AD65" s="464">
        <v>-99863.3</v>
      </c>
      <c r="AE65" s="464">
        <v>-77398.2</v>
      </c>
      <c r="AF65" s="464">
        <v>-72005.365409999999</v>
      </c>
      <c r="AG65" s="464">
        <v>-71530.904385000002</v>
      </c>
      <c r="AH65" s="464">
        <v>-320797.76979499997</v>
      </c>
      <c r="AJ65" s="464">
        <f t="shared" si="4"/>
        <v>-220934.46979499998</v>
      </c>
      <c r="AM65" s="464">
        <f t="shared" si="5"/>
        <v>-77398.2</v>
      </c>
      <c r="AN65" s="464">
        <v>-72005.365409999999</v>
      </c>
      <c r="AO65" s="464">
        <v>-71530.904385000002</v>
      </c>
      <c r="AP65" s="317">
        <f t="shared" si="6"/>
        <v>-220934.46979499998</v>
      </c>
      <c r="AQ65" s="317">
        <f t="shared" si="7"/>
        <v>0</v>
      </c>
      <c r="AS65" s="475">
        <v>-85886.329729999998</v>
      </c>
      <c r="AT65" s="174">
        <f t="shared" si="8"/>
        <v>-306820.79952499998</v>
      </c>
      <c r="AU65" s="174">
        <f t="shared" si="9"/>
        <v>0</v>
      </c>
    </row>
    <row r="66" spans="1:47">
      <c r="A66" t="s">
        <v>153</v>
      </c>
      <c r="B66" t="s">
        <v>2647</v>
      </c>
      <c r="C66" s="468">
        <v>-138048.32000000001</v>
      </c>
      <c r="D66" s="468">
        <v>-94560.841037000035</v>
      </c>
      <c r="E66" s="473">
        <v>59965.175989999872</v>
      </c>
      <c r="F66" s="474">
        <v>42506.891979000196</v>
      </c>
      <c r="G66" s="450">
        <f t="shared" si="1"/>
        <v>-130137.09306799997</v>
      </c>
      <c r="I66" s="67">
        <f t="shared" si="2"/>
        <v>0</v>
      </c>
      <c r="J66" s="58" t="s">
        <v>153</v>
      </c>
      <c r="K66" t="s">
        <v>154</v>
      </c>
      <c r="L66" s="448">
        <v>42506.891979000196</v>
      </c>
      <c r="M66" s="67" t="s">
        <v>2591</v>
      </c>
      <c r="N66" s="317"/>
      <c r="P66" t="s">
        <v>153</v>
      </c>
      <c r="Q66" t="s">
        <v>2647</v>
      </c>
      <c r="R66" s="211">
        <v>-148023.71</v>
      </c>
      <c r="S66" s="211">
        <v>-138048.32000000001</v>
      </c>
      <c r="T66" s="211">
        <v>-94560.841037000035</v>
      </c>
      <c r="U66" s="274">
        <v>207988.88598999986</v>
      </c>
      <c r="V66" s="79">
        <f t="shared" si="12"/>
        <v>-172643.98504700023</v>
      </c>
      <c r="Z66" s="172">
        <f t="shared" si="3"/>
        <v>0</v>
      </c>
      <c r="AB66" t="s">
        <v>153</v>
      </c>
      <c r="AC66" t="s">
        <v>2647</v>
      </c>
      <c r="AD66" s="464">
        <v>0</v>
      </c>
      <c r="AE66" s="464">
        <v>-138048.32000000001</v>
      </c>
      <c r="AF66" s="464">
        <v>-94560.841037000035</v>
      </c>
      <c r="AG66" s="464">
        <v>59965.175989999872</v>
      </c>
      <c r="AH66" s="464">
        <v>-172643.98504700017</v>
      </c>
      <c r="AJ66" s="464">
        <f t="shared" si="4"/>
        <v>-172643.98504700017</v>
      </c>
      <c r="AM66" s="464">
        <f t="shared" si="5"/>
        <v>-138048.32000000001</v>
      </c>
      <c r="AN66" s="464">
        <v>-94560.841037000035</v>
      </c>
      <c r="AO66" s="464">
        <v>59965.175989999872</v>
      </c>
      <c r="AP66" s="317">
        <f t="shared" si="6"/>
        <v>-172643.98504700017</v>
      </c>
      <c r="AQ66" s="317">
        <f t="shared" si="7"/>
        <v>0</v>
      </c>
      <c r="AS66" s="475">
        <v>42506.891979000196</v>
      </c>
      <c r="AT66" s="174">
        <f t="shared" si="8"/>
        <v>-130137.09306799997</v>
      </c>
      <c r="AU66" s="174">
        <f t="shared" si="9"/>
        <v>0</v>
      </c>
    </row>
    <row r="67" spans="1:47">
      <c r="A67" t="s">
        <v>155</v>
      </c>
      <c r="B67" t="s">
        <v>2648</v>
      </c>
      <c r="C67" s="468">
        <v>-58310.36</v>
      </c>
      <c r="D67" s="468">
        <v>-21493.775479999986</v>
      </c>
      <c r="E67" s="473">
        <v>8697.6772240000937</v>
      </c>
      <c r="F67" s="474">
        <v>-70688.591385999927</v>
      </c>
      <c r="G67" s="450">
        <f t="shared" si="1"/>
        <v>-141795.04964199982</v>
      </c>
      <c r="I67" s="67">
        <f t="shared" si="2"/>
        <v>0</v>
      </c>
      <c r="J67" s="58" t="s">
        <v>155</v>
      </c>
      <c r="K67" t="s">
        <v>156</v>
      </c>
      <c r="L67" s="448">
        <v>-70688.591385999927</v>
      </c>
      <c r="M67" s="67" t="s">
        <v>2591</v>
      </c>
      <c r="N67" s="317"/>
      <c r="P67" t="s">
        <v>155</v>
      </c>
      <c r="Q67" t="s">
        <v>2648</v>
      </c>
      <c r="R67" s="211">
        <v>-35529.370000000003</v>
      </c>
      <c r="S67" s="211">
        <v>-58310.36</v>
      </c>
      <c r="T67" s="211">
        <v>-21493.775479999986</v>
      </c>
      <c r="U67" s="274">
        <v>44227.047224000096</v>
      </c>
      <c r="V67" s="79">
        <f t="shared" si="12"/>
        <v>-71106.458255999896</v>
      </c>
      <c r="Z67" s="172">
        <f t="shared" si="3"/>
        <v>0</v>
      </c>
      <c r="AB67" t="s">
        <v>155</v>
      </c>
      <c r="AC67" t="s">
        <v>2648</v>
      </c>
      <c r="AD67" s="464">
        <v>0</v>
      </c>
      <c r="AE67" s="464">
        <v>-58310.36</v>
      </c>
      <c r="AF67" s="464">
        <v>-21493.775479999986</v>
      </c>
      <c r="AG67" s="464">
        <v>8697.6772240000937</v>
      </c>
      <c r="AH67" s="464">
        <v>-71106.458255999896</v>
      </c>
      <c r="AJ67" s="464">
        <f t="shared" si="4"/>
        <v>-71106.458255999896</v>
      </c>
      <c r="AM67" s="464">
        <f t="shared" si="5"/>
        <v>-58310.36</v>
      </c>
      <c r="AN67" s="464">
        <v>-21493.775479999986</v>
      </c>
      <c r="AO67" s="464">
        <v>8697.6772240000937</v>
      </c>
      <c r="AP67" s="317">
        <f t="shared" si="6"/>
        <v>-71106.458255999896</v>
      </c>
      <c r="AQ67" s="317">
        <f t="shared" si="7"/>
        <v>0</v>
      </c>
      <c r="AS67" s="475">
        <v>-70688.591385999927</v>
      </c>
      <c r="AT67" s="174">
        <f t="shared" si="8"/>
        <v>-141795.04964199982</v>
      </c>
      <c r="AU67" s="174">
        <f t="shared" si="9"/>
        <v>0</v>
      </c>
    </row>
    <row r="68" spans="1:47">
      <c r="A68" t="s">
        <v>157</v>
      </c>
      <c r="B68" t="s">
        <v>2649</v>
      </c>
      <c r="C68" s="468">
        <v>-56142.83</v>
      </c>
      <c r="D68" s="468">
        <v>-52168.308032000001</v>
      </c>
      <c r="E68" s="473">
        <v>-57052.240794999991</v>
      </c>
      <c r="F68" s="474">
        <v>-61832.173638999986</v>
      </c>
      <c r="G68" s="450">
        <f t="shared" si="1"/>
        <v>-227195.55246599996</v>
      </c>
      <c r="I68" s="67">
        <f t="shared" si="2"/>
        <v>0</v>
      </c>
      <c r="J68" s="58" t="s">
        <v>157</v>
      </c>
      <c r="K68" t="s">
        <v>158</v>
      </c>
      <c r="L68" s="448">
        <v>-61832.173638999986</v>
      </c>
      <c r="M68" s="67" t="s">
        <v>2591</v>
      </c>
      <c r="N68" s="317"/>
      <c r="P68" t="s">
        <v>157</v>
      </c>
      <c r="Q68" t="s">
        <v>2649</v>
      </c>
      <c r="R68" s="211">
        <v>-46693.15</v>
      </c>
      <c r="S68" s="211">
        <v>-56142.83</v>
      </c>
      <c r="T68" s="211">
        <v>-52168.308032000001</v>
      </c>
      <c r="U68" s="274">
        <v>-57052.240794999991</v>
      </c>
      <c r="V68" s="79">
        <f t="shared" si="12"/>
        <v>-212056.528827</v>
      </c>
      <c r="Z68" s="172">
        <f t="shared" si="3"/>
        <v>0</v>
      </c>
      <c r="AB68" t="s">
        <v>157</v>
      </c>
      <c r="AC68" t="s">
        <v>2649</v>
      </c>
      <c r="AD68" s="464">
        <v>-46693.15</v>
      </c>
      <c r="AE68" s="464">
        <v>-56142.83</v>
      </c>
      <c r="AF68" s="464">
        <v>-52168.308032000001</v>
      </c>
      <c r="AG68" s="464">
        <v>-57052.240794999991</v>
      </c>
      <c r="AH68" s="464">
        <v>-212056.528827</v>
      </c>
      <c r="AJ68" s="464">
        <f t="shared" si="4"/>
        <v>-165363.37882699998</v>
      </c>
      <c r="AM68" s="464">
        <f t="shared" si="5"/>
        <v>-56142.83</v>
      </c>
      <c r="AN68" s="464">
        <v>-52168.308032000001</v>
      </c>
      <c r="AO68" s="464">
        <v>-57052.240794999991</v>
      </c>
      <c r="AP68" s="317">
        <f t="shared" si="6"/>
        <v>-165363.37882699998</v>
      </c>
      <c r="AQ68" s="317">
        <f t="shared" si="7"/>
        <v>0</v>
      </c>
      <c r="AS68" s="475">
        <v>-61832.173638999986</v>
      </c>
      <c r="AT68" s="174">
        <f t="shared" si="8"/>
        <v>-227195.55246599996</v>
      </c>
      <c r="AU68" s="174">
        <f t="shared" si="9"/>
        <v>0</v>
      </c>
    </row>
    <row r="69" spans="1:47">
      <c r="A69" t="s">
        <v>161</v>
      </c>
      <c r="B69" t="s">
        <v>2650</v>
      </c>
      <c r="C69" s="468">
        <v>76178.62999999999</v>
      </c>
      <c r="D69" s="468">
        <v>-69285.225171999875</v>
      </c>
      <c r="E69" s="473">
        <v>356303.8603800002</v>
      </c>
      <c r="F69" s="474">
        <v>265580.61288600031</v>
      </c>
      <c r="G69" s="450">
        <f t="shared" si="1"/>
        <v>628777.87809400063</v>
      </c>
      <c r="I69" s="67">
        <f t="shared" si="2"/>
        <v>0</v>
      </c>
      <c r="J69" s="58" t="s">
        <v>161</v>
      </c>
      <c r="K69" t="s">
        <v>2651</v>
      </c>
      <c r="L69" s="448">
        <v>265580.61288600031</v>
      </c>
      <c r="M69" s="67" t="s">
        <v>2591</v>
      </c>
      <c r="N69" s="317"/>
      <c r="P69" t="s">
        <v>161</v>
      </c>
      <c r="Q69" t="s">
        <v>2650</v>
      </c>
      <c r="R69" s="211">
        <v>129956.29999999999</v>
      </c>
      <c r="S69" s="211">
        <v>-53777.67</v>
      </c>
      <c r="T69" s="211">
        <v>-69285.225171999875</v>
      </c>
      <c r="U69" s="274">
        <v>356303.8603800002</v>
      </c>
      <c r="V69" s="79">
        <f t="shared" si="12"/>
        <v>363197.26520800032</v>
      </c>
      <c r="Z69" s="172">
        <f t="shared" si="3"/>
        <v>0</v>
      </c>
      <c r="AB69" t="s">
        <v>161</v>
      </c>
      <c r="AC69" t="s">
        <v>2650</v>
      </c>
      <c r="AD69" s="464">
        <v>129956.29999999999</v>
      </c>
      <c r="AE69" s="464">
        <v>-53777.67</v>
      </c>
      <c r="AF69" s="464">
        <v>-69285.225171999875</v>
      </c>
      <c r="AG69" s="464">
        <v>356303.8603800002</v>
      </c>
      <c r="AH69" s="464">
        <v>363197.26520800032</v>
      </c>
      <c r="AJ69" s="464">
        <f t="shared" si="4"/>
        <v>233240.96520800033</v>
      </c>
      <c r="AM69" s="465">
        <f>+AD69+AE69</f>
        <v>76178.62999999999</v>
      </c>
      <c r="AN69" s="464">
        <v>-69285.225171999875</v>
      </c>
      <c r="AO69" s="464">
        <v>356303.8603800002</v>
      </c>
      <c r="AP69" s="317">
        <f t="shared" si="6"/>
        <v>363197.26520800032</v>
      </c>
      <c r="AQ69" s="466">
        <f>+AP69-AH69</f>
        <v>0</v>
      </c>
      <c r="AS69" s="475">
        <v>265580.61288600031</v>
      </c>
      <c r="AT69" s="174">
        <f t="shared" si="8"/>
        <v>628777.87809400063</v>
      </c>
      <c r="AU69" s="174">
        <f t="shared" si="9"/>
        <v>0</v>
      </c>
    </row>
    <row r="70" spans="1:47">
      <c r="A70" t="s">
        <v>159</v>
      </c>
      <c r="B70" t="s">
        <v>2652</v>
      </c>
      <c r="C70" s="468">
        <v>-565023.54</v>
      </c>
      <c r="D70" s="468">
        <v>-527263.52337600011</v>
      </c>
      <c r="E70" s="473">
        <v>-249327.71759000001</v>
      </c>
      <c r="F70" s="474">
        <v>-540544.20715799951</v>
      </c>
      <c r="G70" s="450">
        <f t="shared" si="1"/>
        <v>-1882158.9881239997</v>
      </c>
      <c r="I70" s="67">
        <f t="shared" si="2"/>
        <v>0</v>
      </c>
      <c r="J70" s="58" t="s">
        <v>159</v>
      </c>
      <c r="K70" t="s">
        <v>2653</v>
      </c>
      <c r="L70" s="448">
        <v>-540544.20715799951</v>
      </c>
      <c r="M70" s="67" t="s">
        <v>2591</v>
      </c>
      <c r="N70" s="317"/>
      <c r="P70" t="s">
        <v>159</v>
      </c>
      <c r="Q70" t="s">
        <v>2652</v>
      </c>
      <c r="R70" s="211">
        <v>-336968.26</v>
      </c>
      <c r="S70" s="211">
        <v>-565023.54</v>
      </c>
      <c r="T70" s="211">
        <v>-527263.52337600011</v>
      </c>
      <c r="U70" s="274">
        <v>-249327.71759000001</v>
      </c>
      <c r="V70" s="79">
        <f t="shared" si="12"/>
        <v>-1678583.0409660002</v>
      </c>
      <c r="Z70" s="172">
        <f t="shared" si="3"/>
        <v>0</v>
      </c>
      <c r="AB70" t="s">
        <v>159</v>
      </c>
      <c r="AC70" t="s">
        <v>2652</v>
      </c>
      <c r="AD70" s="464">
        <v>-336968.26</v>
      </c>
      <c r="AE70" s="464">
        <v>-565023.54</v>
      </c>
      <c r="AF70" s="464">
        <v>-527263.52337600011</v>
      </c>
      <c r="AG70" s="464">
        <v>-249327.71759000001</v>
      </c>
      <c r="AH70" s="464">
        <v>-1678583.0409660002</v>
      </c>
      <c r="AJ70" s="464">
        <f t="shared" si="4"/>
        <v>-1341614.7809660002</v>
      </c>
      <c r="AM70" s="464">
        <f t="shared" si="5"/>
        <v>-565023.54</v>
      </c>
      <c r="AN70" s="464">
        <v>-527263.52337600011</v>
      </c>
      <c r="AO70" s="464">
        <v>-249327.71759000001</v>
      </c>
      <c r="AP70" s="317">
        <f t="shared" si="6"/>
        <v>-1341614.7809660002</v>
      </c>
      <c r="AQ70" s="317">
        <f t="shared" si="7"/>
        <v>0</v>
      </c>
      <c r="AS70" s="475">
        <v>-540544.20715799951</v>
      </c>
      <c r="AT70" s="174">
        <f t="shared" si="8"/>
        <v>-1882158.9881239997</v>
      </c>
      <c r="AU70" s="174">
        <f t="shared" si="9"/>
        <v>0</v>
      </c>
    </row>
    <row r="71" spans="1:47">
      <c r="A71" t="s">
        <v>163</v>
      </c>
      <c r="B71" t="s">
        <v>2654</v>
      </c>
      <c r="C71" s="468">
        <v>-64868.430000000008</v>
      </c>
      <c r="D71" s="468">
        <v>226713.38286399975</v>
      </c>
      <c r="E71" s="473">
        <v>409327.07482199976</v>
      </c>
      <c r="F71" s="474">
        <v>458825.5099319999</v>
      </c>
      <c r="G71" s="450">
        <f t="shared" si="1"/>
        <v>1029997.5376179994</v>
      </c>
      <c r="I71" s="67">
        <f t="shared" si="2"/>
        <v>0</v>
      </c>
      <c r="J71" s="58" t="s">
        <v>163</v>
      </c>
      <c r="K71" t="s">
        <v>164</v>
      </c>
      <c r="L71" s="448">
        <v>458825.5099319999</v>
      </c>
      <c r="M71" s="67" t="s">
        <v>2591</v>
      </c>
      <c r="N71" s="317"/>
      <c r="P71" t="s">
        <v>163</v>
      </c>
      <c r="Q71" t="s">
        <v>2654</v>
      </c>
      <c r="R71" s="211">
        <v>11880.28</v>
      </c>
      <c r="S71" s="211">
        <v>-76748.710000000006</v>
      </c>
      <c r="T71" s="211">
        <v>226713.38286399975</v>
      </c>
      <c r="U71" s="274">
        <v>409327.07482199976</v>
      </c>
      <c r="V71" s="79">
        <f t="shared" si="12"/>
        <v>571172.02768599952</v>
      </c>
      <c r="Z71" s="172">
        <f t="shared" si="3"/>
        <v>0</v>
      </c>
      <c r="AB71" t="s">
        <v>163</v>
      </c>
      <c r="AC71" t="s">
        <v>2654</v>
      </c>
      <c r="AD71" s="464">
        <v>11880.28</v>
      </c>
      <c r="AE71" s="464">
        <v>-76748.710000000006</v>
      </c>
      <c r="AF71" s="464">
        <v>226713.38286399975</v>
      </c>
      <c r="AG71" s="464">
        <v>409327.07482199976</v>
      </c>
      <c r="AH71" s="464">
        <v>571172.02768599952</v>
      </c>
      <c r="AJ71" s="464">
        <f t="shared" si="4"/>
        <v>559291.74768599949</v>
      </c>
      <c r="AM71" s="465">
        <f>+AD71+AE71</f>
        <v>-64868.430000000008</v>
      </c>
      <c r="AN71" s="464">
        <v>226713.38286399975</v>
      </c>
      <c r="AO71" s="464">
        <v>409327.07482199976</v>
      </c>
      <c r="AP71" s="317">
        <f t="shared" si="6"/>
        <v>571172.02768599952</v>
      </c>
      <c r="AQ71" s="466">
        <f>+AP71-AH71</f>
        <v>0</v>
      </c>
      <c r="AS71" s="475">
        <v>458825.5099319999</v>
      </c>
      <c r="AT71" s="174">
        <f t="shared" si="8"/>
        <v>1029997.5376179994</v>
      </c>
      <c r="AU71" s="174">
        <f t="shared" si="9"/>
        <v>0</v>
      </c>
    </row>
    <row r="72" spans="1:47">
      <c r="A72" t="s">
        <v>165</v>
      </c>
      <c r="B72" t="s">
        <v>2655</v>
      </c>
      <c r="C72" s="468">
        <v>-42305.71</v>
      </c>
      <c r="D72" s="468">
        <v>-91070.628255000018</v>
      </c>
      <c r="E72" s="473">
        <v>-74203.950406000018</v>
      </c>
      <c r="F72" s="474">
        <v>-103075.77296400002</v>
      </c>
      <c r="G72" s="450">
        <f t="shared" ref="G72:G135" si="13">SUM(C72:F72)</f>
        <v>-310656.06162500003</v>
      </c>
      <c r="I72" s="67">
        <f t="shared" ref="I72:I135" si="14">+J72-A72</f>
        <v>0</v>
      </c>
      <c r="J72" s="58" t="s">
        <v>165</v>
      </c>
      <c r="K72" t="s">
        <v>166</v>
      </c>
      <c r="L72" s="448">
        <v>-103075.77296400002</v>
      </c>
      <c r="M72" s="67" t="s">
        <v>2591</v>
      </c>
      <c r="N72" s="317"/>
      <c r="P72" t="s">
        <v>165</v>
      </c>
      <c r="Q72" t="s">
        <v>2655</v>
      </c>
      <c r="R72" s="211">
        <v>-37009.54</v>
      </c>
      <c r="S72" s="211">
        <v>-42305.71</v>
      </c>
      <c r="T72" s="211">
        <v>-91070.628255000018</v>
      </c>
      <c r="U72" s="274">
        <v>-74203.950406000018</v>
      </c>
      <c r="V72" s="79">
        <f t="shared" si="12"/>
        <v>-244589.82866100004</v>
      </c>
      <c r="Z72" s="172">
        <f t="shared" ref="Z72:Z135" si="15">+AB72-P72</f>
        <v>0</v>
      </c>
      <c r="AB72" t="s">
        <v>165</v>
      </c>
      <c r="AC72" t="s">
        <v>2655</v>
      </c>
      <c r="AD72" s="464">
        <v>-37009.54</v>
      </c>
      <c r="AE72" s="464">
        <v>-42305.71</v>
      </c>
      <c r="AF72" s="464">
        <v>-91070.628255000018</v>
      </c>
      <c r="AG72" s="464">
        <v>-74203.950406000018</v>
      </c>
      <c r="AH72" s="464">
        <v>-244589.82866100004</v>
      </c>
      <c r="AJ72" s="464">
        <f t="shared" ref="AJ72:AJ135" si="16">SUM(AE72:AG72)</f>
        <v>-207580.28866100003</v>
      </c>
      <c r="AM72" s="464">
        <f t="shared" ref="AM72:AM135" si="17">+AE72</f>
        <v>-42305.71</v>
      </c>
      <c r="AN72" s="464">
        <v>-91070.628255000018</v>
      </c>
      <c r="AO72" s="464">
        <v>-74203.950406000018</v>
      </c>
      <c r="AP72" s="317">
        <f t="shared" ref="AP72:AP135" si="18">SUM(AM72:AO72)</f>
        <v>-207580.28866100003</v>
      </c>
      <c r="AQ72" s="317">
        <f t="shared" ref="AQ72:AQ135" si="19">+AP72-AJ72</f>
        <v>0</v>
      </c>
      <c r="AS72" s="475">
        <v>-103075.77296400002</v>
      </c>
      <c r="AT72" s="174">
        <f t="shared" ref="AT72:AT135" si="20">+AS72+AP72</f>
        <v>-310656.06162500003</v>
      </c>
      <c r="AU72" s="174">
        <f t="shared" ref="AU72:AU135" si="21">+AT72-G72</f>
        <v>0</v>
      </c>
    </row>
    <row r="73" spans="1:47">
      <c r="A73" t="s">
        <v>167</v>
      </c>
      <c r="B73" t="s">
        <v>2656</v>
      </c>
      <c r="C73" s="468">
        <v>-288414.36</v>
      </c>
      <c r="D73" s="468">
        <v>-295439.02390500013</v>
      </c>
      <c r="E73" s="473">
        <v>0</v>
      </c>
      <c r="F73" s="474">
        <v>-202296.40927800027</v>
      </c>
      <c r="G73" s="450">
        <f t="shared" si="13"/>
        <v>-786149.79318300029</v>
      </c>
      <c r="I73" s="67">
        <f t="shared" si="14"/>
        <v>0</v>
      </c>
      <c r="J73" s="58" t="s">
        <v>167</v>
      </c>
      <c r="K73" t="s">
        <v>168</v>
      </c>
      <c r="L73" s="448">
        <v>-202296.40927800027</v>
      </c>
      <c r="M73" s="67" t="s">
        <v>2591</v>
      </c>
      <c r="N73" s="317"/>
      <c r="P73" t="s">
        <v>167</v>
      </c>
      <c r="Q73" t="s">
        <v>2656</v>
      </c>
      <c r="R73" s="211">
        <v>-568094.68000000005</v>
      </c>
      <c r="S73" s="211">
        <v>-288414.36</v>
      </c>
      <c r="T73" s="211">
        <v>-295439.02390500013</v>
      </c>
      <c r="U73" s="274">
        <v>104569.95746000006</v>
      </c>
      <c r="V73" s="79">
        <f t="shared" si="12"/>
        <v>-1047378.1064450002</v>
      </c>
      <c r="Z73" s="172">
        <f t="shared" si="15"/>
        <v>0</v>
      </c>
      <c r="AB73" t="s">
        <v>167</v>
      </c>
      <c r="AC73" t="s">
        <v>2656</v>
      </c>
      <c r="AD73" s="464">
        <v>-463524.72253999999</v>
      </c>
      <c r="AE73" s="464">
        <v>-288414.36</v>
      </c>
      <c r="AF73" s="464">
        <v>-295439.02390500013</v>
      </c>
      <c r="AG73" s="464">
        <v>0</v>
      </c>
      <c r="AH73" s="464">
        <v>-1047378.106445</v>
      </c>
      <c r="AJ73" s="464">
        <f t="shared" si="16"/>
        <v>-583853.38390500005</v>
      </c>
      <c r="AM73" s="464">
        <f t="shared" si="17"/>
        <v>-288414.36</v>
      </c>
      <c r="AN73" s="464">
        <v>-295439.02390500013</v>
      </c>
      <c r="AO73" s="464">
        <v>0</v>
      </c>
      <c r="AP73" s="317">
        <f t="shared" si="18"/>
        <v>-583853.38390500005</v>
      </c>
      <c r="AQ73" s="317">
        <f t="shared" si="19"/>
        <v>0</v>
      </c>
      <c r="AS73" s="475">
        <v>-202296.40927800027</v>
      </c>
      <c r="AT73" s="174">
        <f t="shared" si="20"/>
        <v>-786149.79318300029</v>
      </c>
      <c r="AU73" s="174">
        <f t="shared" si="21"/>
        <v>0</v>
      </c>
    </row>
    <row r="74" spans="1:47">
      <c r="A74" t="s">
        <v>169</v>
      </c>
      <c r="B74" t="s">
        <v>2657</v>
      </c>
      <c r="C74" s="468">
        <v>-777524.5</v>
      </c>
      <c r="D74" s="468">
        <v>1755832.9119952177</v>
      </c>
      <c r="E74" s="473">
        <v>523812.57699058764</v>
      </c>
      <c r="F74" s="474">
        <v>-978477.92092972063</v>
      </c>
      <c r="G74" s="450">
        <f t="shared" si="13"/>
        <v>523643.06805608468</v>
      </c>
      <c r="I74" s="67">
        <f t="shared" si="14"/>
        <v>0</v>
      </c>
      <c r="J74" s="58" t="s">
        <v>169</v>
      </c>
      <c r="K74" t="s">
        <v>170</v>
      </c>
      <c r="L74" s="448">
        <v>-978477.92092972063</v>
      </c>
      <c r="M74" s="67" t="s">
        <v>2591</v>
      </c>
      <c r="N74" s="317"/>
      <c r="P74" t="s">
        <v>169</v>
      </c>
      <c r="Q74" t="s">
        <v>2657</v>
      </c>
      <c r="R74" s="211">
        <v>-710885.68</v>
      </c>
      <c r="S74" s="211">
        <v>-777524.5</v>
      </c>
      <c r="T74" s="211">
        <v>2466718.5919952178</v>
      </c>
      <c r="U74" s="274">
        <v>523812.57699058764</v>
      </c>
      <c r="V74" s="79">
        <f t="shared" si="12"/>
        <v>1502120.9889858053</v>
      </c>
      <c r="Z74" s="172">
        <f t="shared" si="15"/>
        <v>0</v>
      </c>
      <c r="AB74" t="s">
        <v>169</v>
      </c>
      <c r="AC74" t="s">
        <v>2657</v>
      </c>
      <c r="AD74" s="464">
        <v>0</v>
      </c>
      <c r="AE74" s="464">
        <v>-777524.5</v>
      </c>
      <c r="AF74" s="464">
        <v>1755832.9119952177</v>
      </c>
      <c r="AG74" s="464">
        <v>523812.57699058764</v>
      </c>
      <c r="AH74" s="464">
        <v>1502120.9889858053</v>
      </c>
      <c r="AJ74" s="464">
        <f t="shared" si="16"/>
        <v>1502120.9889858053</v>
      </c>
      <c r="AM74" s="464">
        <f t="shared" si="17"/>
        <v>-777524.5</v>
      </c>
      <c r="AN74" s="464">
        <v>1755832.9119952177</v>
      </c>
      <c r="AO74" s="464">
        <v>523812.57699058764</v>
      </c>
      <c r="AP74" s="317">
        <f t="shared" si="18"/>
        <v>1502120.9889858053</v>
      </c>
      <c r="AQ74" s="317">
        <f t="shared" si="19"/>
        <v>0</v>
      </c>
      <c r="AS74" s="475">
        <v>-978477.92092972063</v>
      </c>
      <c r="AT74" s="174">
        <f t="shared" si="20"/>
        <v>523643.06805608468</v>
      </c>
      <c r="AU74" s="174">
        <f t="shared" si="21"/>
        <v>0</v>
      </c>
    </row>
    <row r="75" spans="1:47">
      <c r="A75" t="s">
        <v>171</v>
      </c>
      <c r="B75" t="s">
        <v>2658</v>
      </c>
      <c r="C75" s="468">
        <v>9511.2199999999993</v>
      </c>
      <c r="D75" s="468">
        <v>-48252.738719795132</v>
      </c>
      <c r="E75" s="473">
        <v>52414.101944951835</v>
      </c>
      <c r="F75" s="474">
        <v>-77123.049743249547</v>
      </c>
      <c r="G75" s="450">
        <f t="shared" si="13"/>
        <v>-63450.466518092842</v>
      </c>
      <c r="I75" s="67">
        <f t="shared" si="14"/>
        <v>0</v>
      </c>
      <c r="J75" s="58" t="s">
        <v>171</v>
      </c>
      <c r="K75" t="s">
        <v>172</v>
      </c>
      <c r="L75" s="448">
        <v>-77123.049743249547</v>
      </c>
      <c r="M75" s="67" t="s">
        <v>2591</v>
      </c>
      <c r="N75" s="317"/>
      <c r="P75" t="s">
        <v>171</v>
      </c>
      <c r="Q75" t="s">
        <v>2658</v>
      </c>
      <c r="R75" s="211">
        <v>-187467.28</v>
      </c>
      <c r="S75" s="211">
        <v>9511.2199999999993</v>
      </c>
      <c r="T75" s="211">
        <v>-48252.738719795132</v>
      </c>
      <c r="U75" s="274">
        <v>239881.38194495183</v>
      </c>
      <c r="V75" s="79">
        <f t="shared" si="12"/>
        <v>13672.583225156704</v>
      </c>
      <c r="Z75" s="172">
        <f t="shared" si="15"/>
        <v>0</v>
      </c>
      <c r="AB75" t="s">
        <v>171</v>
      </c>
      <c r="AC75" t="s">
        <v>2658</v>
      </c>
      <c r="AD75" s="464">
        <v>0</v>
      </c>
      <c r="AE75" s="464">
        <v>9511.2199999999993</v>
      </c>
      <c r="AF75" s="464">
        <v>-48252.738719795132</v>
      </c>
      <c r="AG75" s="464">
        <v>52414.101944951835</v>
      </c>
      <c r="AH75" s="464">
        <v>13672.583225156704</v>
      </c>
      <c r="AJ75" s="464">
        <f t="shared" si="16"/>
        <v>13672.583225156704</v>
      </c>
      <c r="AM75" s="464">
        <f t="shared" si="17"/>
        <v>9511.2199999999993</v>
      </c>
      <c r="AN75" s="464">
        <v>-48252.738719795132</v>
      </c>
      <c r="AO75" s="464">
        <v>52414.101944951835</v>
      </c>
      <c r="AP75" s="317">
        <f t="shared" si="18"/>
        <v>13672.583225156704</v>
      </c>
      <c r="AQ75" s="317">
        <f t="shared" si="19"/>
        <v>0</v>
      </c>
      <c r="AS75" s="475">
        <v>-77123.049743249547</v>
      </c>
      <c r="AT75" s="174">
        <f t="shared" si="20"/>
        <v>-63450.466518092842</v>
      </c>
      <c r="AU75" s="174">
        <f t="shared" si="21"/>
        <v>0</v>
      </c>
    </row>
    <row r="76" spans="1:47">
      <c r="A76" t="s">
        <v>173</v>
      </c>
      <c r="B76" t="s">
        <v>2659</v>
      </c>
      <c r="C76" s="468">
        <v>-333734.62</v>
      </c>
      <c r="D76" s="468">
        <v>-142355.23251517868</v>
      </c>
      <c r="E76" s="473">
        <v>-15025.011113419896</v>
      </c>
      <c r="F76" s="474">
        <v>-20128.557756209877</v>
      </c>
      <c r="G76" s="450">
        <f t="shared" si="13"/>
        <v>-511243.42138480843</v>
      </c>
      <c r="I76" s="67">
        <f t="shared" si="14"/>
        <v>0</v>
      </c>
      <c r="J76" s="58" t="s">
        <v>173</v>
      </c>
      <c r="K76" t="s">
        <v>174</v>
      </c>
      <c r="L76" s="448">
        <v>-20128.557756209877</v>
      </c>
      <c r="M76" s="67" t="s">
        <v>2591</v>
      </c>
      <c r="N76" s="317"/>
      <c r="P76" t="s">
        <v>173</v>
      </c>
      <c r="Q76" t="s">
        <v>2659</v>
      </c>
      <c r="R76" s="211">
        <v>-439443.66</v>
      </c>
      <c r="S76" s="211">
        <v>-333734.62</v>
      </c>
      <c r="T76" s="211">
        <v>-142355.23251517868</v>
      </c>
      <c r="U76" s="274">
        <v>-15025.011113419896</v>
      </c>
      <c r="V76" s="79">
        <f t="shared" si="12"/>
        <v>-930558.52362859854</v>
      </c>
      <c r="Z76" s="172">
        <f t="shared" si="15"/>
        <v>0</v>
      </c>
      <c r="AB76" t="s">
        <v>173</v>
      </c>
      <c r="AC76" t="s">
        <v>2659</v>
      </c>
      <c r="AD76" s="464">
        <v>-439443.66</v>
      </c>
      <c r="AE76" s="464">
        <v>-333734.62</v>
      </c>
      <c r="AF76" s="464">
        <v>-142355.23251517868</v>
      </c>
      <c r="AG76" s="464">
        <v>-15025.011113419896</v>
      </c>
      <c r="AH76" s="464">
        <v>-930558.52362859854</v>
      </c>
      <c r="AJ76" s="464">
        <f t="shared" si="16"/>
        <v>-491114.86362859857</v>
      </c>
      <c r="AM76" s="464">
        <f t="shared" si="17"/>
        <v>-333734.62</v>
      </c>
      <c r="AN76" s="464">
        <v>-142355.23251517868</v>
      </c>
      <c r="AO76" s="464">
        <v>-15025.011113419896</v>
      </c>
      <c r="AP76" s="317">
        <f t="shared" si="18"/>
        <v>-491114.86362859857</v>
      </c>
      <c r="AQ76" s="317">
        <f t="shared" si="19"/>
        <v>0</v>
      </c>
      <c r="AS76" s="475">
        <v>-20128.557756209877</v>
      </c>
      <c r="AT76" s="174">
        <f t="shared" si="20"/>
        <v>-511243.42138480843</v>
      </c>
      <c r="AU76" s="174">
        <f t="shared" si="21"/>
        <v>0</v>
      </c>
    </row>
    <row r="77" spans="1:47">
      <c r="A77" t="s">
        <v>175</v>
      </c>
      <c r="B77" t="s">
        <v>2660</v>
      </c>
      <c r="C77" s="468">
        <v>-72047.850000000006</v>
      </c>
      <c r="D77" s="468">
        <v>-81402.685756999999</v>
      </c>
      <c r="E77" s="473">
        <v>-103242.74523499999</v>
      </c>
      <c r="F77" s="474">
        <v>-68648.084632000013</v>
      </c>
      <c r="G77" s="450">
        <f t="shared" si="13"/>
        <v>-325341.36562400003</v>
      </c>
      <c r="I77" s="67">
        <f t="shared" si="14"/>
        <v>0</v>
      </c>
      <c r="J77" s="58" t="s">
        <v>175</v>
      </c>
      <c r="K77" t="s">
        <v>176</v>
      </c>
      <c r="L77" s="448">
        <v>-68648.084632000013</v>
      </c>
      <c r="M77" s="67" t="s">
        <v>2591</v>
      </c>
      <c r="N77" s="317"/>
      <c r="P77" t="s">
        <v>175</v>
      </c>
      <c r="Q77" t="s">
        <v>2660</v>
      </c>
      <c r="R77" s="211">
        <v>-62134.96</v>
      </c>
      <c r="S77" s="211">
        <v>-72047.850000000006</v>
      </c>
      <c r="T77" s="211">
        <v>-81402.685756999999</v>
      </c>
      <c r="U77" s="274">
        <v>-103242.74523499999</v>
      </c>
      <c r="V77" s="79">
        <f t="shared" si="12"/>
        <v>-318828.24099199998</v>
      </c>
      <c r="Z77" s="172">
        <f t="shared" si="15"/>
        <v>0</v>
      </c>
      <c r="AB77" t="s">
        <v>175</v>
      </c>
      <c r="AC77" t="s">
        <v>2660</v>
      </c>
      <c r="AD77" s="464">
        <v>-62134.96</v>
      </c>
      <c r="AE77" s="464">
        <v>-72047.850000000006</v>
      </c>
      <c r="AF77" s="464">
        <v>-81402.685756999999</v>
      </c>
      <c r="AG77" s="464">
        <v>-103242.74523499999</v>
      </c>
      <c r="AH77" s="464">
        <v>-318828.24099199998</v>
      </c>
      <c r="AJ77" s="464">
        <f t="shared" si="16"/>
        <v>-256693.28099200001</v>
      </c>
      <c r="AM77" s="464">
        <f t="shared" si="17"/>
        <v>-72047.850000000006</v>
      </c>
      <c r="AN77" s="464">
        <v>-81402.685756999999</v>
      </c>
      <c r="AO77" s="464">
        <v>-103242.74523499999</v>
      </c>
      <c r="AP77" s="317">
        <f t="shared" si="18"/>
        <v>-256693.28099200001</v>
      </c>
      <c r="AQ77" s="317">
        <f t="shared" si="19"/>
        <v>0</v>
      </c>
      <c r="AS77" s="475">
        <v>-68648.084632000013</v>
      </c>
      <c r="AT77" s="174">
        <f t="shared" si="20"/>
        <v>-325341.36562400003</v>
      </c>
      <c r="AU77" s="174">
        <f t="shared" si="21"/>
        <v>0</v>
      </c>
    </row>
    <row r="78" spans="1:47">
      <c r="A78" t="s">
        <v>177</v>
      </c>
      <c r="B78" t="s">
        <v>2661</v>
      </c>
      <c r="C78" s="468">
        <v>-106913.2</v>
      </c>
      <c r="D78" s="468">
        <v>-112984.52140799999</v>
      </c>
      <c r="E78" s="473">
        <v>-79643.244383000012</v>
      </c>
      <c r="F78" s="474">
        <v>-72715.815179999918</v>
      </c>
      <c r="G78" s="450">
        <f t="shared" si="13"/>
        <v>-372256.78097099991</v>
      </c>
      <c r="I78" s="67">
        <f t="shared" si="14"/>
        <v>0</v>
      </c>
      <c r="J78" s="58" t="s">
        <v>177</v>
      </c>
      <c r="K78" t="s">
        <v>178</v>
      </c>
      <c r="L78" s="448">
        <v>-72715.815179999918</v>
      </c>
      <c r="M78" s="67" t="s">
        <v>2591</v>
      </c>
      <c r="N78" s="317"/>
      <c r="P78" t="s">
        <v>177</v>
      </c>
      <c r="Q78" t="s">
        <v>2661</v>
      </c>
      <c r="R78" s="211">
        <v>-94406.05</v>
      </c>
      <c r="S78" s="211">
        <v>-106913.2</v>
      </c>
      <c r="T78" s="211">
        <v>-112984.52140799999</v>
      </c>
      <c r="U78" s="274">
        <v>-79643.244383000012</v>
      </c>
      <c r="V78" s="79">
        <f t="shared" si="12"/>
        <v>-393947.01579099998</v>
      </c>
      <c r="Z78" s="172">
        <f t="shared" si="15"/>
        <v>0</v>
      </c>
      <c r="AB78" t="s">
        <v>177</v>
      </c>
      <c r="AC78" t="s">
        <v>2661</v>
      </c>
      <c r="AD78" s="464">
        <v>-94406.05</v>
      </c>
      <c r="AE78" s="464">
        <v>-106913.2</v>
      </c>
      <c r="AF78" s="464">
        <v>-112984.52140799999</v>
      </c>
      <c r="AG78" s="464">
        <v>-79643.244383000012</v>
      </c>
      <c r="AH78" s="464">
        <v>-393947.01579099998</v>
      </c>
      <c r="AJ78" s="464">
        <f t="shared" si="16"/>
        <v>-299540.965791</v>
      </c>
      <c r="AM78" s="464">
        <f t="shared" si="17"/>
        <v>-106913.2</v>
      </c>
      <c r="AN78" s="464">
        <v>-112984.52140799999</v>
      </c>
      <c r="AO78" s="464">
        <v>-79643.244383000012</v>
      </c>
      <c r="AP78" s="317">
        <f t="shared" si="18"/>
        <v>-299540.965791</v>
      </c>
      <c r="AQ78" s="317">
        <f t="shared" si="19"/>
        <v>0</v>
      </c>
      <c r="AS78" s="475">
        <v>-72715.815179999918</v>
      </c>
      <c r="AT78" s="174">
        <f t="shared" si="20"/>
        <v>-372256.78097099991</v>
      </c>
      <c r="AU78" s="174">
        <f t="shared" si="21"/>
        <v>0</v>
      </c>
    </row>
    <row r="79" spans="1:47">
      <c r="A79" t="s">
        <v>179</v>
      </c>
      <c r="B79" t="s">
        <v>2662</v>
      </c>
      <c r="C79" s="468">
        <v>-1011003.05</v>
      </c>
      <c r="D79" s="468">
        <v>-1123538.293666519</v>
      </c>
      <c r="E79" s="473">
        <v>-533475.28559715115</v>
      </c>
      <c r="F79" s="474">
        <v>-1072104.7135292429</v>
      </c>
      <c r="G79" s="450">
        <f t="shared" si="13"/>
        <v>-3740121.3427929133</v>
      </c>
      <c r="I79" s="67">
        <f t="shared" si="14"/>
        <v>0</v>
      </c>
      <c r="J79" s="58" t="s">
        <v>179</v>
      </c>
      <c r="K79" t="s">
        <v>180</v>
      </c>
      <c r="L79" s="448">
        <v>-1072104.7135292429</v>
      </c>
      <c r="M79" s="67" t="s">
        <v>2591</v>
      </c>
      <c r="N79" s="317"/>
      <c r="P79" t="s">
        <v>179</v>
      </c>
      <c r="Q79" t="s">
        <v>2662</v>
      </c>
      <c r="R79" s="211">
        <v>-897353.77</v>
      </c>
      <c r="S79" s="211">
        <v>-1011003.05</v>
      </c>
      <c r="T79" s="211">
        <v>-1123538.293666519</v>
      </c>
      <c r="U79" s="274">
        <v>-533475.28559715115</v>
      </c>
      <c r="V79" s="79">
        <f t="shared" si="12"/>
        <v>-3565370.3992636702</v>
      </c>
      <c r="Z79" s="172">
        <f t="shared" si="15"/>
        <v>0</v>
      </c>
      <c r="AB79" t="s">
        <v>179</v>
      </c>
      <c r="AC79" t="s">
        <v>2662</v>
      </c>
      <c r="AD79" s="464">
        <v>-897353.77</v>
      </c>
      <c r="AE79" s="464">
        <v>-1011003.05</v>
      </c>
      <c r="AF79" s="464">
        <v>-1123538.293666519</v>
      </c>
      <c r="AG79" s="464">
        <v>-533475.28559715115</v>
      </c>
      <c r="AH79" s="464">
        <v>-3565370.3992636702</v>
      </c>
      <c r="AJ79" s="464">
        <f t="shared" si="16"/>
        <v>-2668016.6292636702</v>
      </c>
      <c r="AM79" s="464">
        <f t="shared" si="17"/>
        <v>-1011003.05</v>
      </c>
      <c r="AN79" s="464">
        <v>-1123538.293666519</v>
      </c>
      <c r="AO79" s="464">
        <v>-533475.28559715115</v>
      </c>
      <c r="AP79" s="317">
        <f t="shared" si="18"/>
        <v>-2668016.6292636702</v>
      </c>
      <c r="AQ79" s="317">
        <f t="shared" si="19"/>
        <v>0</v>
      </c>
      <c r="AS79" s="475">
        <v>-1072104.7135292429</v>
      </c>
      <c r="AT79" s="174">
        <f t="shared" si="20"/>
        <v>-3740121.3427929133</v>
      </c>
      <c r="AU79" s="174">
        <f t="shared" si="21"/>
        <v>0</v>
      </c>
    </row>
    <row r="80" spans="1:47">
      <c r="A80" t="s">
        <v>181</v>
      </c>
      <c r="B80" t="s">
        <v>2663</v>
      </c>
      <c r="C80" s="468">
        <v>-142465.21</v>
      </c>
      <c r="D80" s="468">
        <v>0</v>
      </c>
      <c r="E80" s="473">
        <v>-9811.4784850000869</v>
      </c>
      <c r="F80" s="474">
        <v>248272.6302880001</v>
      </c>
      <c r="G80" s="450">
        <f t="shared" si="13"/>
        <v>95995.941803000023</v>
      </c>
      <c r="I80" s="67">
        <f t="shared" si="14"/>
        <v>0</v>
      </c>
      <c r="J80" s="58" t="s">
        <v>181</v>
      </c>
      <c r="K80" t="s">
        <v>182</v>
      </c>
      <c r="L80" s="448">
        <v>248272.6302880001</v>
      </c>
      <c r="M80" s="67" t="s">
        <v>2591</v>
      </c>
      <c r="N80" s="317"/>
      <c r="P80" t="s">
        <v>181</v>
      </c>
      <c r="Q80" t="s">
        <v>2663</v>
      </c>
      <c r="R80" s="211">
        <v>-198812.45</v>
      </c>
      <c r="S80" s="211">
        <v>-142465.21</v>
      </c>
      <c r="T80" s="211">
        <v>113291.14100000028</v>
      </c>
      <c r="U80" s="274">
        <v>-9811.4784850000869</v>
      </c>
      <c r="V80" s="79">
        <f t="shared" si="12"/>
        <v>-237797.99748499983</v>
      </c>
      <c r="Z80" s="172">
        <f t="shared" si="15"/>
        <v>0</v>
      </c>
      <c r="AB80" t="s">
        <v>181</v>
      </c>
      <c r="AC80" t="s">
        <v>2663</v>
      </c>
      <c r="AD80" s="464">
        <v>-85521.308999999732</v>
      </c>
      <c r="AE80" s="464">
        <v>-142465.21</v>
      </c>
      <c r="AF80" s="464">
        <v>0</v>
      </c>
      <c r="AG80" s="464">
        <v>-9811.4784850000869</v>
      </c>
      <c r="AH80" s="464">
        <v>-237797.99748499983</v>
      </c>
      <c r="AJ80" s="464">
        <f t="shared" si="16"/>
        <v>-152276.68848500008</v>
      </c>
      <c r="AM80" s="464">
        <f t="shared" si="17"/>
        <v>-142465.21</v>
      </c>
      <c r="AN80" s="464">
        <v>0</v>
      </c>
      <c r="AO80" s="464">
        <v>-9811.4784850000869</v>
      </c>
      <c r="AP80" s="317">
        <f t="shared" si="18"/>
        <v>-152276.68848500008</v>
      </c>
      <c r="AQ80" s="317">
        <f t="shared" si="19"/>
        <v>0</v>
      </c>
      <c r="AS80" s="475">
        <v>248272.6302880001</v>
      </c>
      <c r="AT80" s="174">
        <f t="shared" si="20"/>
        <v>95995.941803000023</v>
      </c>
      <c r="AU80" s="174">
        <f t="shared" si="21"/>
        <v>0</v>
      </c>
    </row>
    <row r="81" spans="1:47">
      <c r="A81" s="440" t="s">
        <v>183</v>
      </c>
      <c r="B81" s="441" t="s">
        <v>184</v>
      </c>
      <c r="C81" s="470">
        <v>0</v>
      </c>
      <c r="D81" s="470"/>
      <c r="E81" s="473"/>
      <c r="F81" s="474"/>
      <c r="G81" s="450">
        <f t="shared" si="13"/>
        <v>0</v>
      </c>
      <c r="I81" s="67">
        <f t="shared" si="14"/>
        <v>0</v>
      </c>
      <c r="J81" s="440" t="s">
        <v>183</v>
      </c>
      <c r="K81" s="441" t="s">
        <v>184</v>
      </c>
      <c r="L81" s="448"/>
      <c r="M81" s="67"/>
      <c r="N81" s="317"/>
      <c r="P81" s="294" t="s">
        <v>183</v>
      </c>
      <c r="Q81" s="295" t="s">
        <v>184</v>
      </c>
      <c r="R81" s="211"/>
      <c r="S81" s="211"/>
      <c r="T81" s="211"/>
      <c r="U81" s="274"/>
      <c r="V81" s="79"/>
      <c r="Z81" s="172">
        <f t="shared" si="15"/>
        <v>0</v>
      </c>
      <c r="AB81" t="s">
        <v>183</v>
      </c>
      <c r="AC81" t="s">
        <v>184</v>
      </c>
      <c r="AD81" s="464"/>
      <c r="AE81" s="464"/>
      <c r="AF81" s="464"/>
      <c r="AG81" s="464"/>
      <c r="AH81" s="464"/>
      <c r="AJ81" s="464">
        <f t="shared" si="16"/>
        <v>0</v>
      </c>
      <c r="AM81" s="464">
        <f t="shared" si="17"/>
        <v>0</v>
      </c>
      <c r="AN81" s="464"/>
      <c r="AO81" s="464"/>
      <c r="AP81" s="317">
        <f t="shared" si="18"/>
        <v>0</v>
      </c>
      <c r="AQ81" s="317">
        <f t="shared" si="19"/>
        <v>0</v>
      </c>
      <c r="AS81" s="475"/>
      <c r="AT81" s="174">
        <f t="shared" si="20"/>
        <v>0</v>
      </c>
      <c r="AU81" s="174">
        <f t="shared" si="21"/>
        <v>0</v>
      </c>
    </row>
    <row r="82" spans="1:47">
      <c r="A82" s="441" t="s">
        <v>185</v>
      </c>
      <c r="B82" s="441" t="s">
        <v>186</v>
      </c>
      <c r="C82" s="470">
        <v>0</v>
      </c>
      <c r="D82" s="470"/>
      <c r="E82" s="473"/>
      <c r="F82" s="474"/>
      <c r="G82" s="450">
        <f t="shared" si="13"/>
        <v>0</v>
      </c>
      <c r="I82" s="67">
        <f t="shared" si="14"/>
        <v>0</v>
      </c>
      <c r="J82" s="441" t="s">
        <v>185</v>
      </c>
      <c r="K82" s="441" t="s">
        <v>186</v>
      </c>
      <c r="L82" s="448"/>
      <c r="M82" s="67"/>
      <c r="N82" s="317"/>
      <c r="P82" s="295" t="s">
        <v>185</v>
      </c>
      <c r="Q82" s="295" t="s">
        <v>186</v>
      </c>
      <c r="R82" s="211"/>
      <c r="S82" s="211"/>
      <c r="T82" s="211"/>
      <c r="U82" s="274"/>
      <c r="V82" s="79"/>
      <c r="Z82" s="172">
        <f t="shared" si="15"/>
        <v>0</v>
      </c>
      <c r="AB82" t="s">
        <v>185</v>
      </c>
      <c r="AC82" t="s">
        <v>186</v>
      </c>
      <c r="AD82" s="464"/>
      <c r="AE82" s="464"/>
      <c r="AF82" s="464"/>
      <c r="AG82" s="464"/>
      <c r="AH82" s="464"/>
      <c r="AJ82" s="464">
        <f t="shared" si="16"/>
        <v>0</v>
      </c>
      <c r="AM82" s="464">
        <f t="shared" si="17"/>
        <v>0</v>
      </c>
      <c r="AN82" s="464"/>
      <c r="AO82" s="464"/>
      <c r="AP82" s="317">
        <f t="shared" si="18"/>
        <v>0</v>
      </c>
      <c r="AQ82" s="317">
        <f t="shared" si="19"/>
        <v>0</v>
      </c>
      <c r="AS82" s="475"/>
      <c r="AT82" s="174">
        <f t="shared" si="20"/>
        <v>0</v>
      </c>
      <c r="AU82" s="174">
        <f t="shared" si="21"/>
        <v>0</v>
      </c>
    </row>
    <row r="83" spans="1:47">
      <c r="A83" s="440" t="s">
        <v>187</v>
      </c>
      <c r="B83" s="441" t="s">
        <v>188</v>
      </c>
      <c r="C83" s="470">
        <v>0</v>
      </c>
      <c r="D83" s="470"/>
      <c r="E83" s="473"/>
      <c r="F83" s="474"/>
      <c r="G83" s="450">
        <f t="shared" si="13"/>
        <v>0</v>
      </c>
      <c r="I83" s="67">
        <f t="shared" si="14"/>
        <v>0</v>
      </c>
      <c r="J83" s="440" t="s">
        <v>187</v>
      </c>
      <c r="K83" s="441" t="s">
        <v>188</v>
      </c>
      <c r="L83" s="448"/>
      <c r="M83" s="67"/>
      <c r="N83" s="317"/>
      <c r="P83" s="294" t="s">
        <v>187</v>
      </c>
      <c r="Q83" s="295" t="s">
        <v>188</v>
      </c>
      <c r="R83" s="211"/>
      <c r="S83" s="211"/>
      <c r="T83" s="211"/>
      <c r="U83" s="274"/>
      <c r="V83" s="79"/>
      <c r="Z83" s="172">
        <f t="shared" si="15"/>
        <v>0</v>
      </c>
      <c r="AB83" t="s">
        <v>187</v>
      </c>
      <c r="AC83" t="s">
        <v>188</v>
      </c>
      <c r="AD83" s="464"/>
      <c r="AE83" s="464"/>
      <c r="AF83" s="464"/>
      <c r="AG83" s="464"/>
      <c r="AH83" s="464"/>
      <c r="AJ83" s="464">
        <f t="shared" si="16"/>
        <v>0</v>
      </c>
      <c r="AM83" s="464">
        <f t="shared" si="17"/>
        <v>0</v>
      </c>
      <c r="AN83" s="464"/>
      <c r="AO83" s="464"/>
      <c r="AP83" s="317">
        <f t="shared" si="18"/>
        <v>0</v>
      </c>
      <c r="AQ83" s="317">
        <f t="shared" si="19"/>
        <v>0</v>
      </c>
      <c r="AS83" s="475"/>
      <c r="AT83" s="174">
        <f t="shared" si="20"/>
        <v>0</v>
      </c>
      <c r="AU83" s="174">
        <f t="shared" si="21"/>
        <v>0</v>
      </c>
    </row>
    <row r="84" spans="1:47">
      <c r="A84" s="440" t="s">
        <v>189</v>
      </c>
      <c r="B84" s="441" t="s">
        <v>190</v>
      </c>
      <c r="C84" s="470">
        <v>0</v>
      </c>
      <c r="D84" s="470"/>
      <c r="E84" s="473"/>
      <c r="F84" s="474"/>
      <c r="G84" s="450">
        <f t="shared" si="13"/>
        <v>0</v>
      </c>
      <c r="I84" s="67">
        <f t="shared" si="14"/>
        <v>0</v>
      </c>
      <c r="J84" s="440" t="s">
        <v>189</v>
      </c>
      <c r="K84" s="441" t="s">
        <v>190</v>
      </c>
      <c r="L84" s="448"/>
      <c r="M84" s="67"/>
      <c r="N84" s="317"/>
      <c r="P84" s="294" t="s">
        <v>189</v>
      </c>
      <c r="Q84" s="295" t="s">
        <v>190</v>
      </c>
      <c r="R84" s="211"/>
      <c r="S84" s="211"/>
      <c r="T84" s="211"/>
      <c r="U84" s="274"/>
      <c r="V84" s="79"/>
      <c r="Z84" s="172">
        <f t="shared" si="15"/>
        <v>0</v>
      </c>
      <c r="AB84" t="s">
        <v>189</v>
      </c>
      <c r="AC84" t="s">
        <v>190</v>
      </c>
      <c r="AD84" s="464"/>
      <c r="AE84" s="464"/>
      <c r="AF84" s="464"/>
      <c r="AG84" s="464"/>
      <c r="AH84" s="464"/>
      <c r="AJ84" s="464">
        <f t="shared" si="16"/>
        <v>0</v>
      </c>
      <c r="AM84" s="464">
        <f t="shared" si="17"/>
        <v>0</v>
      </c>
      <c r="AN84" s="464"/>
      <c r="AO84" s="464"/>
      <c r="AP84" s="317">
        <f t="shared" si="18"/>
        <v>0</v>
      </c>
      <c r="AQ84" s="317">
        <f t="shared" si="19"/>
        <v>0</v>
      </c>
      <c r="AS84" s="475"/>
      <c r="AT84" s="174">
        <f t="shared" si="20"/>
        <v>0</v>
      </c>
      <c r="AU84" s="174">
        <f t="shared" si="21"/>
        <v>0</v>
      </c>
    </row>
    <row r="85" spans="1:47">
      <c r="A85" s="441" t="s">
        <v>191</v>
      </c>
      <c r="B85" s="441" t="s">
        <v>192</v>
      </c>
      <c r="C85" s="470">
        <v>0</v>
      </c>
      <c r="D85" s="470"/>
      <c r="E85" s="473"/>
      <c r="F85" s="474"/>
      <c r="G85" s="450">
        <f t="shared" si="13"/>
        <v>0</v>
      </c>
      <c r="I85" s="67">
        <f t="shared" si="14"/>
        <v>0</v>
      </c>
      <c r="J85" s="441" t="s">
        <v>191</v>
      </c>
      <c r="K85" s="441" t="s">
        <v>192</v>
      </c>
      <c r="L85" s="448"/>
      <c r="M85" s="67"/>
      <c r="N85" s="317"/>
      <c r="P85" s="295" t="s">
        <v>191</v>
      </c>
      <c r="Q85" s="295" t="s">
        <v>192</v>
      </c>
      <c r="R85" s="211"/>
      <c r="S85" s="211"/>
      <c r="T85" s="211"/>
      <c r="U85" s="274"/>
      <c r="V85" s="79"/>
      <c r="Z85" s="172">
        <f t="shared" si="15"/>
        <v>0</v>
      </c>
      <c r="AB85" t="s">
        <v>191</v>
      </c>
      <c r="AC85" t="s">
        <v>192</v>
      </c>
      <c r="AD85" s="464"/>
      <c r="AE85" s="464"/>
      <c r="AF85" s="464"/>
      <c r="AG85" s="464"/>
      <c r="AH85" s="464"/>
      <c r="AJ85" s="464">
        <f t="shared" si="16"/>
        <v>0</v>
      </c>
      <c r="AM85" s="464">
        <f t="shared" si="17"/>
        <v>0</v>
      </c>
      <c r="AN85" s="464"/>
      <c r="AO85" s="464"/>
      <c r="AP85" s="317">
        <f t="shared" si="18"/>
        <v>0</v>
      </c>
      <c r="AQ85" s="317">
        <f t="shared" si="19"/>
        <v>0</v>
      </c>
      <c r="AS85" s="475"/>
      <c r="AT85" s="174">
        <f t="shared" si="20"/>
        <v>0</v>
      </c>
      <c r="AU85" s="174">
        <f t="shared" si="21"/>
        <v>0</v>
      </c>
    </row>
    <row r="86" spans="1:47">
      <c r="A86" s="440" t="s">
        <v>193</v>
      </c>
      <c r="B86" s="441" t="s">
        <v>194</v>
      </c>
      <c r="C86" s="470">
        <v>0</v>
      </c>
      <c r="D86" s="470"/>
      <c r="E86" s="473"/>
      <c r="F86" s="474"/>
      <c r="G86" s="450">
        <f t="shared" si="13"/>
        <v>0</v>
      </c>
      <c r="I86" s="67">
        <f t="shared" si="14"/>
        <v>0</v>
      </c>
      <c r="J86" s="440" t="s">
        <v>193</v>
      </c>
      <c r="K86" s="441" t="s">
        <v>194</v>
      </c>
      <c r="L86" s="448"/>
      <c r="M86" s="67"/>
      <c r="N86" s="317"/>
      <c r="P86" s="294" t="s">
        <v>193</v>
      </c>
      <c r="Q86" s="295" t="s">
        <v>194</v>
      </c>
      <c r="R86" s="211"/>
      <c r="S86" s="211"/>
      <c r="T86" s="211"/>
      <c r="U86" s="274"/>
      <c r="V86" s="79"/>
      <c r="Z86" s="172">
        <f t="shared" si="15"/>
        <v>0</v>
      </c>
      <c r="AB86" t="s">
        <v>193</v>
      </c>
      <c r="AC86" t="s">
        <v>194</v>
      </c>
      <c r="AD86" s="464"/>
      <c r="AE86" s="464"/>
      <c r="AF86" s="464"/>
      <c r="AG86" s="464"/>
      <c r="AH86" s="464"/>
      <c r="AJ86" s="464">
        <f t="shared" si="16"/>
        <v>0</v>
      </c>
      <c r="AM86" s="464">
        <f t="shared" si="17"/>
        <v>0</v>
      </c>
      <c r="AN86" s="464"/>
      <c r="AO86" s="464"/>
      <c r="AP86" s="317">
        <f t="shared" si="18"/>
        <v>0</v>
      </c>
      <c r="AQ86" s="317">
        <f t="shared" si="19"/>
        <v>0</v>
      </c>
      <c r="AS86" s="475"/>
      <c r="AT86" s="174">
        <f t="shared" si="20"/>
        <v>0</v>
      </c>
      <c r="AU86" s="174">
        <f t="shared" si="21"/>
        <v>0</v>
      </c>
    </row>
    <row r="87" spans="1:47">
      <c r="A87" s="440" t="s">
        <v>195</v>
      </c>
      <c r="B87" s="441" t="s">
        <v>196</v>
      </c>
      <c r="C87" s="470">
        <v>0</v>
      </c>
      <c r="D87" s="470"/>
      <c r="E87" s="473"/>
      <c r="F87" s="474"/>
      <c r="G87" s="450">
        <f t="shared" si="13"/>
        <v>0</v>
      </c>
      <c r="I87" s="67">
        <f t="shared" si="14"/>
        <v>0</v>
      </c>
      <c r="J87" s="440" t="s">
        <v>195</v>
      </c>
      <c r="K87" s="441" t="s">
        <v>196</v>
      </c>
      <c r="L87" s="448"/>
      <c r="M87" s="67"/>
      <c r="N87" s="317"/>
      <c r="P87" s="294" t="s">
        <v>195</v>
      </c>
      <c r="Q87" s="295" t="s">
        <v>196</v>
      </c>
      <c r="R87" s="211"/>
      <c r="S87" s="211"/>
      <c r="T87" s="211"/>
      <c r="U87" s="274"/>
      <c r="V87" s="79"/>
      <c r="Z87" s="172">
        <f t="shared" si="15"/>
        <v>0</v>
      </c>
      <c r="AB87" t="s">
        <v>195</v>
      </c>
      <c r="AC87" t="s">
        <v>196</v>
      </c>
      <c r="AD87" s="464"/>
      <c r="AE87" s="464"/>
      <c r="AF87" s="464"/>
      <c r="AG87" s="464"/>
      <c r="AH87" s="464"/>
      <c r="AJ87" s="464">
        <f t="shared" si="16"/>
        <v>0</v>
      </c>
      <c r="AM87" s="464">
        <f t="shared" si="17"/>
        <v>0</v>
      </c>
      <c r="AN87" s="464"/>
      <c r="AO87" s="464"/>
      <c r="AP87" s="317">
        <f t="shared" si="18"/>
        <v>0</v>
      </c>
      <c r="AQ87" s="317">
        <f t="shared" si="19"/>
        <v>0</v>
      </c>
      <c r="AS87" s="475"/>
      <c r="AT87" s="174">
        <f t="shared" si="20"/>
        <v>0</v>
      </c>
      <c r="AU87" s="174">
        <f t="shared" si="21"/>
        <v>0</v>
      </c>
    </row>
    <row r="88" spans="1:47">
      <c r="A88" s="440" t="s">
        <v>197</v>
      </c>
      <c r="B88" s="441" t="s">
        <v>198</v>
      </c>
      <c r="C88" s="470">
        <v>0</v>
      </c>
      <c r="D88" s="470"/>
      <c r="E88" s="473"/>
      <c r="F88" s="474"/>
      <c r="G88" s="450">
        <f t="shared" si="13"/>
        <v>0</v>
      </c>
      <c r="I88" s="67">
        <f t="shared" si="14"/>
        <v>0</v>
      </c>
      <c r="J88" s="440" t="s">
        <v>197</v>
      </c>
      <c r="K88" s="441" t="s">
        <v>198</v>
      </c>
      <c r="L88" s="448"/>
      <c r="M88" s="67"/>
      <c r="N88" s="317"/>
      <c r="P88" s="294" t="s">
        <v>197</v>
      </c>
      <c r="Q88" s="295" t="s">
        <v>198</v>
      </c>
      <c r="R88" s="211"/>
      <c r="S88" s="211"/>
      <c r="T88" s="211"/>
      <c r="U88" s="274"/>
      <c r="V88" s="79"/>
      <c r="Z88" s="172">
        <f t="shared" si="15"/>
        <v>0</v>
      </c>
      <c r="AB88" t="s">
        <v>197</v>
      </c>
      <c r="AC88" t="s">
        <v>198</v>
      </c>
      <c r="AD88" s="464"/>
      <c r="AE88" s="464"/>
      <c r="AF88" s="464"/>
      <c r="AG88" s="464"/>
      <c r="AH88" s="464"/>
      <c r="AJ88" s="464">
        <f t="shared" si="16"/>
        <v>0</v>
      </c>
      <c r="AM88" s="464">
        <f t="shared" si="17"/>
        <v>0</v>
      </c>
      <c r="AN88" s="464"/>
      <c r="AO88" s="464"/>
      <c r="AP88" s="317">
        <f t="shared" si="18"/>
        <v>0</v>
      </c>
      <c r="AQ88" s="317">
        <f t="shared" si="19"/>
        <v>0</v>
      </c>
      <c r="AS88" s="475"/>
      <c r="AT88" s="174">
        <f t="shared" si="20"/>
        <v>0</v>
      </c>
      <c r="AU88" s="174">
        <f t="shared" si="21"/>
        <v>0</v>
      </c>
    </row>
    <row r="89" spans="1:47">
      <c r="A89" s="440" t="s">
        <v>199</v>
      </c>
      <c r="B89" s="441" t="s">
        <v>200</v>
      </c>
      <c r="C89" s="470">
        <v>0</v>
      </c>
      <c r="D89" s="470"/>
      <c r="E89" s="473"/>
      <c r="F89" s="474"/>
      <c r="G89" s="450">
        <f t="shared" si="13"/>
        <v>0</v>
      </c>
      <c r="I89" s="67">
        <f t="shared" si="14"/>
        <v>0</v>
      </c>
      <c r="J89" s="440" t="s">
        <v>199</v>
      </c>
      <c r="K89" s="441" t="s">
        <v>200</v>
      </c>
      <c r="L89" s="448"/>
      <c r="M89" s="67"/>
      <c r="N89" s="317"/>
      <c r="P89" s="294" t="s">
        <v>199</v>
      </c>
      <c r="Q89" s="295" t="s">
        <v>200</v>
      </c>
      <c r="R89" s="211"/>
      <c r="S89" s="211"/>
      <c r="T89" s="211"/>
      <c r="U89" s="274"/>
      <c r="V89" s="79"/>
      <c r="Z89" s="172">
        <f t="shared" si="15"/>
        <v>0</v>
      </c>
      <c r="AB89" t="s">
        <v>199</v>
      </c>
      <c r="AC89" t="s">
        <v>200</v>
      </c>
      <c r="AD89" s="464"/>
      <c r="AE89" s="464"/>
      <c r="AF89" s="464"/>
      <c r="AG89" s="464"/>
      <c r="AH89" s="464"/>
      <c r="AJ89" s="464">
        <f t="shared" si="16"/>
        <v>0</v>
      </c>
      <c r="AM89" s="464">
        <f t="shared" si="17"/>
        <v>0</v>
      </c>
      <c r="AN89" s="464"/>
      <c r="AO89" s="464"/>
      <c r="AP89" s="317">
        <f t="shared" si="18"/>
        <v>0</v>
      </c>
      <c r="AQ89" s="317">
        <f t="shared" si="19"/>
        <v>0</v>
      </c>
      <c r="AS89" s="475"/>
      <c r="AT89" s="174">
        <f t="shared" si="20"/>
        <v>0</v>
      </c>
      <c r="AU89" s="174">
        <f t="shared" si="21"/>
        <v>0</v>
      </c>
    </row>
    <row r="90" spans="1:47">
      <c r="A90" s="441" t="s">
        <v>201</v>
      </c>
      <c r="B90" s="441" t="s">
        <v>202</v>
      </c>
      <c r="C90" s="470">
        <v>0</v>
      </c>
      <c r="D90" s="470"/>
      <c r="E90" s="473"/>
      <c r="F90" s="474"/>
      <c r="G90" s="450">
        <f t="shared" si="13"/>
        <v>0</v>
      </c>
      <c r="I90" s="67">
        <f t="shared" si="14"/>
        <v>0</v>
      </c>
      <c r="J90" s="441" t="s">
        <v>201</v>
      </c>
      <c r="K90" s="441" t="s">
        <v>202</v>
      </c>
      <c r="L90" s="448"/>
      <c r="M90" s="67"/>
      <c r="N90" s="317"/>
      <c r="P90" s="295" t="s">
        <v>201</v>
      </c>
      <c r="Q90" s="295" t="s">
        <v>202</v>
      </c>
      <c r="R90" s="211"/>
      <c r="S90" s="211"/>
      <c r="T90" s="211"/>
      <c r="U90" s="274"/>
      <c r="V90" s="79"/>
      <c r="Z90" s="172">
        <f t="shared" si="15"/>
        <v>0</v>
      </c>
      <c r="AB90" t="s">
        <v>201</v>
      </c>
      <c r="AC90" t="s">
        <v>202</v>
      </c>
      <c r="AD90" s="464"/>
      <c r="AE90" s="464"/>
      <c r="AF90" s="464"/>
      <c r="AG90" s="464"/>
      <c r="AH90" s="464"/>
      <c r="AJ90" s="464">
        <f t="shared" si="16"/>
        <v>0</v>
      </c>
      <c r="AM90" s="464">
        <f t="shared" si="17"/>
        <v>0</v>
      </c>
      <c r="AN90" s="464"/>
      <c r="AO90" s="464"/>
      <c r="AP90" s="317">
        <f t="shared" si="18"/>
        <v>0</v>
      </c>
      <c r="AQ90" s="317">
        <f t="shared" si="19"/>
        <v>0</v>
      </c>
      <c r="AS90" s="475"/>
      <c r="AT90" s="174">
        <f t="shared" si="20"/>
        <v>0</v>
      </c>
      <c r="AU90" s="174">
        <f t="shared" si="21"/>
        <v>0</v>
      </c>
    </row>
    <row r="91" spans="1:47">
      <c r="A91" s="436" t="s">
        <v>203</v>
      </c>
      <c r="B91" s="437" t="s">
        <v>204</v>
      </c>
      <c r="C91" s="478">
        <v>0</v>
      </c>
      <c r="D91" s="467"/>
      <c r="E91" s="473"/>
      <c r="F91" s="474"/>
      <c r="G91" s="450">
        <f t="shared" si="13"/>
        <v>0</v>
      </c>
      <c r="I91" s="67">
        <f t="shared" si="14"/>
        <v>0</v>
      </c>
      <c r="J91" s="436" t="s">
        <v>203</v>
      </c>
      <c r="K91" s="437" t="s">
        <v>204</v>
      </c>
      <c r="L91" s="448"/>
      <c r="M91" s="67"/>
      <c r="N91" s="317"/>
      <c r="P91" s="291" t="s">
        <v>203</v>
      </c>
      <c r="Q91" s="292" t="s">
        <v>204</v>
      </c>
      <c r="R91" s="211"/>
      <c r="S91" s="211"/>
      <c r="T91" s="211"/>
      <c r="U91" s="274"/>
      <c r="V91" s="79"/>
      <c r="Z91" s="172">
        <f t="shared" si="15"/>
        <v>0</v>
      </c>
      <c r="AB91" t="s">
        <v>203</v>
      </c>
      <c r="AC91" t="s">
        <v>204</v>
      </c>
      <c r="AD91" s="464"/>
      <c r="AE91" s="464"/>
      <c r="AF91" s="464"/>
      <c r="AG91" s="464"/>
      <c r="AH91" s="464"/>
      <c r="AJ91" s="464">
        <f t="shared" si="16"/>
        <v>0</v>
      </c>
      <c r="AM91" s="464">
        <f t="shared" si="17"/>
        <v>0</v>
      </c>
      <c r="AN91" s="464"/>
      <c r="AO91" s="464"/>
      <c r="AP91" s="317">
        <f t="shared" si="18"/>
        <v>0</v>
      </c>
      <c r="AQ91" s="317">
        <f t="shared" si="19"/>
        <v>0</v>
      </c>
      <c r="AS91" s="475"/>
      <c r="AT91" s="174">
        <f t="shared" si="20"/>
        <v>0</v>
      </c>
      <c r="AU91" s="174">
        <f t="shared" si="21"/>
        <v>0</v>
      </c>
    </row>
    <row r="92" spans="1:47">
      <c r="A92" t="s">
        <v>205</v>
      </c>
      <c r="B92" t="s">
        <v>2664</v>
      </c>
      <c r="C92" s="468">
        <v>-786196.24999999348</v>
      </c>
      <c r="D92" s="468">
        <v>591928.76838976401</v>
      </c>
      <c r="E92" s="473">
        <v>765484.20806344785</v>
      </c>
      <c r="F92" s="474">
        <v>771852.65427968744</v>
      </c>
      <c r="G92" s="450">
        <f t="shared" si="13"/>
        <v>1343069.3807329058</v>
      </c>
      <c r="I92" s="67">
        <f t="shared" si="14"/>
        <v>0</v>
      </c>
      <c r="J92" s="58" t="s">
        <v>205</v>
      </c>
      <c r="K92" t="s">
        <v>206</v>
      </c>
      <c r="L92" s="448">
        <v>771852.65427968744</v>
      </c>
      <c r="M92" s="67" t="s">
        <v>2591</v>
      </c>
      <c r="N92" s="317"/>
      <c r="P92" t="s">
        <v>205</v>
      </c>
      <c r="Q92" t="s">
        <v>2664</v>
      </c>
      <c r="R92" s="211">
        <v>713309.89000000642</v>
      </c>
      <c r="S92" s="211">
        <v>-1499506.14</v>
      </c>
      <c r="T92" s="211">
        <v>591928.76838976401</v>
      </c>
      <c r="U92" s="274">
        <v>765484.20806344785</v>
      </c>
      <c r="V92" s="79">
        <f t="shared" ref="V92:V135" si="22">SUM(R92:U92)</f>
        <v>571216.72645321838</v>
      </c>
      <c r="Z92" s="172">
        <f t="shared" si="15"/>
        <v>0</v>
      </c>
      <c r="AB92" t="s">
        <v>205</v>
      </c>
      <c r="AC92" t="s">
        <v>2664</v>
      </c>
      <c r="AD92" s="464">
        <v>713309.89000000642</v>
      </c>
      <c r="AE92" s="464">
        <v>-1499506.14</v>
      </c>
      <c r="AF92" s="464">
        <v>591928.76838976401</v>
      </c>
      <c r="AG92" s="464">
        <v>765484.20806344785</v>
      </c>
      <c r="AH92" s="464">
        <v>571216.72645321838</v>
      </c>
      <c r="AJ92" s="464">
        <f t="shared" si="16"/>
        <v>-142093.16354678804</v>
      </c>
      <c r="AM92" s="465">
        <f>+AD92+AE92</f>
        <v>-786196.24999999348</v>
      </c>
      <c r="AN92" s="464">
        <v>591928.76838976401</v>
      </c>
      <c r="AO92" s="464">
        <v>765484.20806344785</v>
      </c>
      <c r="AP92" s="317">
        <f t="shared" si="18"/>
        <v>571216.72645321838</v>
      </c>
      <c r="AQ92" s="466">
        <f>+AP92-AH92</f>
        <v>0</v>
      </c>
      <c r="AS92" s="475">
        <v>771852.65427968744</v>
      </c>
      <c r="AT92" s="174">
        <f t="shared" si="20"/>
        <v>1343069.3807329058</v>
      </c>
      <c r="AU92" s="174">
        <f t="shared" si="21"/>
        <v>0</v>
      </c>
    </row>
    <row r="93" spans="1:47">
      <c r="A93" t="s">
        <v>207</v>
      </c>
      <c r="B93" t="s">
        <v>2665</v>
      </c>
      <c r="C93" s="468">
        <v>1507961.0800000075</v>
      </c>
      <c r="D93" s="468">
        <v>1435703.5324969348</v>
      </c>
      <c r="E93" s="473">
        <v>2130043.7948592007</v>
      </c>
      <c r="F93" s="474">
        <v>2407816.8173231459</v>
      </c>
      <c r="G93" s="450">
        <f t="shared" si="13"/>
        <v>7481525.2246792894</v>
      </c>
      <c r="I93" s="67">
        <f t="shared" si="14"/>
        <v>0</v>
      </c>
      <c r="J93" s="58" t="s">
        <v>207</v>
      </c>
      <c r="K93" t="s">
        <v>2666</v>
      </c>
      <c r="L93" s="448">
        <v>2407816.8173231459</v>
      </c>
      <c r="M93" s="67" t="s">
        <v>2591</v>
      </c>
      <c r="N93" s="317"/>
      <c r="P93" t="s">
        <v>207</v>
      </c>
      <c r="Q93" t="s">
        <v>2665</v>
      </c>
      <c r="R93" s="211">
        <v>1096886.3600000076</v>
      </c>
      <c r="S93" s="211">
        <v>411074.72</v>
      </c>
      <c r="T93" s="211">
        <v>1435703.5324969348</v>
      </c>
      <c r="U93" s="274">
        <v>2130043.7948592007</v>
      </c>
      <c r="V93" s="79">
        <f t="shared" si="22"/>
        <v>5073708.407356143</v>
      </c>
      <c r="Z93" s="172">
        <f t="shared" si="15"/>
        <v>0</v>
      </c>
      <c r="AB93" t="s">
        <v>207</v>
      </c>
      <c r="AC93" t="s">
        <v>2665</v>
      </c>
      <c r="AD93" s="464">
        <v>1096886.3600000076</v>
      </c>
      <c r="AE93" s="464">
        <v>411074.72</v>
      </c>
      <c r="AF93" s="464">
        <v>1435703.5324969348</v>
      </c>
      <c r="AG93" s="464">
        <v>2130043.7948592007</v>
      </c>
      <c r="AH93" s="464">
        <v>5073708.407356143</v>
      </c>
      <c r="AJ93" s="464">
        <f t="shared" si="16"/>
        <v>3976822.0473561352</v>
      </c>
      <c r="AM93" s="465">
        <f>+AD93+AE93</f>
        <v>1507961.0800000075</v>
      </c>
      <c r="AN93" s="464">
        <v>1435703.5324969348</v>
      </c>
      <c r="AO93" s="464">
        <v>2130043.7948592007</v>
      </c>
      <c r="AP93" s="317">
        <f t="shared" si="18"/>
        <v>5073708.407356143</v>
      </c>
      <c r="AQ93" s="466">
        <f>+AP93-AH93</f>
        <v>0</v>
      </c>
      <c r="AS93" s="475">
        <v>2407816.8173231459</v>
      </c>
      <c r="AT93" s="174">
        <f t="shared" si="20"/>
        <v>7481525.2246792894</v>
      </c>
      <c r="AU93" s="174">
        <f t="shared" si="21"/>
        <v>0</v>
      </c>
    </row>
    <row r="94" spans="1:47">
      <c r="A94" t="s">
        <v>209</v>
      </c>
      <c r="B94" t="s">
        <v>2667</v>
      </c>
      <c r="C94" s="468">
        <v>-38494.370000000003</v>
      </c>
      <c r="D94" s="468">
        <v>-34518.222080000007</v>
      </c>
      <c r="E94" s="473">
        <v>-44272.216110000008</v>
      </c>
      <c r="F94" s="474">
        <v>-52726.874000000003</v>
      </c>
      <c r="G94" s="450">
        <f t="shared" si="13"/>
        <v>-170011.68219000002</v>
      </c>
      <c r="I94" s="67">
        <f t="shared" si="14"/>
        <v>0</v>
      </c>
      <c r="J94" s="58" t="s">
        <v>209</v>
      </c>
      <c r="K94" t="s">
        <v>2666</v>
      </c>
      <c r="L94" s="448">
        <v>-52726.874000000003</v>
      </c>
      <c r="M94" s="67" t="s">
        <v>2591</v>
      </c>
      <c r="N94" s="317"/>
      <c r="P94" t="s">
        <v>209</v>
      </c>
      <c r="Q94" t="s">
        <v>2667</v>
      </c>
      <c r="R94" s="211">
        <v>-29030.95</v>
      </c>
      <c r="S94" s="211">
        <v>-38494.370000000003</v>
      </c>
      <c r="T94" s="211">
        <v>-34518.222080000007</v>
      </c>
      <c r="U94" s="274">
        <v>-44272.216110000008</v>
      </c>
      <c r="V94" s="79">
        <f t="shared" si="22"/>
        <v>-146315.75819000002</v>
      </c>
      <c r="Z94" s="172">
        <f t="shared" si="15"/>
        <v>0</v>
      </c>
      <c r="AB94" t="s">
        <v>209</v>
      </c>
      <c r="AC94" t="s">
        <v>2667</v>
      </c>
      <c r="AD94" s="464">
        <v>-29030.95</v>
      </c>
      <c r="AE94" s="464">
        <v>-38494.370000000003</v>
      </c>
      <c r="AF94" s="464">
        <v>-34518.222080000007</v>
      </c>
      <c r="AG94" s="464">
        <v>-44272.216110000008</v>
      </c>
      <c r="AH94" s="464">
        <v>-146315.75819000002</v>
      </c>
      <c r="AJ94" s="464">
        <f t="shared" si="16"/>
        <v>-117284.80819000001</v>
      </c>
      <c r="AM94" s="464">
        <f t="shared" si="17"/>
        <v>-38494.370000000003</v>
      </c>
      <c r="AN94" s="464">
        <v>-34518.222080000007</v>
      </c>
      <c r="AO94" s="464">
        <v>-44272.216110000008</v>
      </c>
      <c r="AP94" s="317">
        <f t="shared" si="18"/>
        <v>-117284.80819000001</v>
      </c>
      <c r="AQ94" s="317">
        <f t="shared" si="19"/>
        <v>0</v>
      </c>
      <c r="AS94" s="475">
        <v>-52726.874000000003</v>
      </c>
      <c r="AT94" s="174">
        <f t="shared" si="20"/>
        <v>-170011.68219000002</v>
      </c>
      <c r="AU94" s="174">
        <f t="shared" si="21"/>
        <v>0</v>
      </c>
    </row>
    <row r="95" spans="1:47">
      <c r="A95" t="s">
        <v>211</v>
      </c>
      <c r="B95" t="s">
        <v>2668</v>
      </c>
      <c r="C95" s="468">
        <v>-1322250.3899999999</v>
      </c>
      <c r="D95" s="468">
        <v>-1230473.9446492705</v>
      </c>
      <c r="E95" s="473">
        <v>222717.69202448404</v>
      </c>
      <c r="F95" s="474">
        <v>-927085.10050530208</v>
      </c>
      <c r="G95" s="450">
        <f t="shared" si="13"/>
        <v>-3257091.7431300883</v>
      </c>
      <c r="I95" s="67">
        <f t="shared" si="14"/>
        <v>0</v>
      </c>
      <c r="J95" s="58" t="s">
        <v>211</v>
      </c>
      <c r="K95" t="s">
        <v>212</v>
      </c>
      <c r="L95" s="448">
        <v>-927085.10050530208</v>
      </c>
      <c r="M95" s="67" t="s">
        <v>2591</v>
      </c>
      <c r="N95" s="317"/>
      <c r="P95" t="s">
        <v>211</v>
      </c>
      <c r="Q95" t="s">
        <v>2668</v>
      </c>
      <c r="R95" s="211">
        <v>-312124.26</v>
      </c>
      <c r="S95" s="211">
        <v>-1322250.3899999999</v>
      </c>
      <c r="T95" s="211">
        <v>-1230473.9446492705</v>
      </c>
      <c r="U95" s="274">
        <v>534841.95202448405</v>
      </c>
      <c r="V95" s="79">
        <f t="shared" si="22"/>
        <v>-2330006.6426247861</v>
      </c>
      <c r="Z95" s="172">
        <f t="shared" si="15"/>
        <v>0</v>
      </c>
      <c r="AB95" t="s">
        <v>211</v>
      </c>
      <c r="AC95" t="s">
        <v>2668</v>
      </c>
      <c r="AD95" s="464">
        <v>0</v>
      </c>
      <c r="AE95" s="464">
        <v>-1322250.3899999999</v>
      </c>
      <c r="AF95" s="464">
        <v>-1230473.9446492705</v>
      </c>
      <c r="AG95" s="464">
        <v>222717.69202448404</v>
      </c>
      <c r="AH95" s="464">
        <v>-2330006.6426247861</v>
      </c>
      <c r="AJ95" s="464">
        <f t="shared" si="16"/>
        <v>-2330006.6426247861</v>
      </c>
      <c r="AM95" s="464">
        <f t="shared" si="17"/>
        <v>-1322250.3899999999</v>
      </c>
      <c r="AN95" s="464">
        <v>-1230473.9446492705</v>
      </c>
      <c r="AO95" s="464">
        <v>222717.69202448404</v>
      </c>
      <c r="AP95" s="317">
        <f t="shared" si="18"/>
        <v>-2330006.6426247861</v>
      </c>
      <c r="AQ95" s="317">
        <f t="shared" si="19"/>
        <v>0</v>
      </c>
      <c r="AS95" s="475">
        <v>-927085.10050530208</v>
      </c>
      <c r="AT95" s="174">
        <f t="shared" si="20"/>
        <v>-3257091.7431300883</v>
      </c>
      <c r="AU95" s="174">
        <f t="shared" si="21"/>
        <v>0</v>
      </c>
    </row>
    <row r="96" spans="1:47">
      <c r="A96" t="s">
        <v>213</v>
      </c>
      <c r="B96" t="s">
        <v>2669</v>
      </c>
      <c r="C96" s="468">
        <v>-455720.45</v>
      </c>
      <c r="D96" s="468">
        <v>-559150.14079465612</v>
      </c>
      <c r="E96" s="473">
        <v>-106668.91415000008</v>
      </c>
      <c r="F96" s="474">
        <v>-284378.79653471021</v>
      </c>
      <c r="G96" s="450">
        <f t="shared" si="13"/>
        <v>-1405918.3014793666</v>
      </c>
      <c r="I96" s="67">
        <f t="shared" si="14"/>
        <v>0</v>
      </c>
      <c r="J96" s="58" t="s">
        <v>213</v>
      </c>
      <c r="K96" t="s">
        <v>214</v>
      </c>
      <c r="L96" s="448">
        <v>-284378.79653471021</v>
      </c>
      <c r="M96" s="67" t="s">
        <v>2591</v>
      </c>
      <c r="N96" s="317"/>
      <c r="P96" t="s">
        <v>213</v>
      </c>
      <c r="Q96" t="s">
        <v>2669</v>
      </c>
      <c r="R96" s="211">
        <v>-413151.38</v>
      </c>
      <c r="S96" s="211">
        <v>-455720.45</v>
      </c>
      <c r="T96" s="211">
        <v>-559150.14079465612</v>
      </c>
      <c r="U96" s="274">
        <v>-106668.91415000008</v>
      </c>
      <c r="V96" s="79">
        <f t="shared" si="22"/>
        <v>-1534690.8849446564</v>
      </c>
      <c r="Z96" s="172">
        <f t="shared" si="15"/>
        <v>0</v>
      </c>
      <c r="AB96" t="s">
        <v>213</v>
      </c>
      <c r="AC96" t="s">
        <v>2669</v>
      </c>
      <c r="AD96" s="464">
        <v>-413151.38</v>
      </c>
      <c r="AE96" s="464">
        <v>-455720.45</v>
      </c>
      <c r="AF96" s="464">
        <v>-559150.14079465612</v>
      </c>
      <c r="AG96" s="464">
        <v>-106668.91415000008</v>
      </c>
      <c r="AH96" s="464">
        <v>-1534690.8849446564</v>
      </c>
      <c r="AJ96" s="464">
        <f t="shared" si="16"/>
        <v>-1121539.5049446563</v>
      </c>
      <c r="AM96" s="464">
        <f t="shared" si="17"/>
        <v>-455720.45</v>
      </c>
      <c r="AN96" s="464">
        <v>-559150.14079465612</v>
      </c>
      <c r="AO96" s="464">
        <v>-106668.91415000008</v>
      </c>
      <c r="AP96" s="317">
        <f t="shared" si="18"/>
        <v>-1121539.5049446563</v>
      </c>
      <c r="AQ96" s="317">
        <f t="shared" si="19"/>
        <v>0</v>
      </c>
      <c r="AS96" s="475">
        <v>-284378.79653471021</v>
      </c>
      <c r="AT96" s="174">
        <f t="shared" si="20"/>
        <v>-1405918.3014793666</v>
      </c>
      <c r="AU96" s="174">
        <f t="shared" si="21"/>
        <v>0</v>
      </c>
    </row>
    <row r="97" spans="1:47">
      <c r="A97" t="s">
        <v>215</v>
      </c>
      <c r="B97" t="s">
        <v>2670</v>
      </c>
      <c r="C97" s="468">
        <v>0</v>
      </c>
      <c r="D97" s="468">
        <v>-367358.13046548242</v>
      </c>
      <c r="E97" s="473">
        <v>0</v>
      </c>
      <c r="F97" s="474">
        <v>-318955.71833694982</v>
      </c>
      <c r="G97" s="450">
        <f t="shared" si="13"/>
        <v>-686313.84880243219</v>
      </c>
      <c r="I97" s="67">
        <f t="shared" si="14"/>
        <v>0</v>
      </c>
      <c r="J97" s="58" t="s">
        <v>215</v>
      </c>
      <c r="K97" t="s">
        <v>216</v>
      </c>
      <c r="L97" s="448">
        <v>-318955.71833694982</v>
      </c>
      <c r="M97" s="67" t="s">
        <v>2591</v>
      </c>
      <c r="N97" s="317"/>
      <c r="P97" t="s">
        <v>215</v>
      </c>
      <c r="Q97" t="s">
        <v>2670</v>
      </c>
      <c r="R97" s="211">
        <v>-142713.78</v>
      </c>
      <c r="S97" s="211">
        <v>22624.69</v>
      </c>
      <c r="T97" s="211">
        <v>-367358.13046548242</v>
      </c>
      <c r="U97" s="274">
        <v>37789.082578182453</v>
      </c>
      <c r="V97" s="79">
        <f t="shared" si="22"/>
        <v>-449658.13788729999</v>
      </c>
      <c r="Z97" s="172">
        <f t="shared" si="15"/>
        <v>0</v>
      </c>
      <c r="AB97" t="s">
        <v>215</v>
      </c>
      <c r="AC97" t="s">
        <v>2670</v>
      </c>
      <c r="AD97" s="464">
        <v>-82300.007421817543</v>
      </c>
      <c r="AE97" s="464">
        <v>0</v>
      </c>
      <c r="AF97" s="464">
        <v>-367358.13046548242</v>
      </c>
      <c r="AG97" s="464">
        <v>0</v>
      </c>
      <c r="AH97" s="464">
        <v>-449658.13788729999</v>
      </c>
      <c r="AJ97" s="464">
        <f t="shared" si="16"/>
        <v>-367358.13046548242</v>
      </c>
      <c r="AM97" s="464">
        <f t="shared" si="17"/>
        <v>0</v>
      </c>
      <c r="AN97" s="464">
        <v>-367358.13046548242</v>
      </c>
      <c r="AO97" s="464">
        <v>0</v>
      </c>
      <c r="AP97" s="317">
        <f t="shared" si="18"/>
        <v>-367358.13046548242</v>
      </c>
      <c r="AQ97" s="317">
        <f t="shared" si="19"/>
        <v>0</v>
      </c>
      <c r="AS97" s="475">
        <v>-318955.71833694982</v>
      </c>
      <c r="AT97" s="174">
        <f t="shared" si="20"/>
        <v>-686313.84880243219</v>
      </c>
      <c r="AU97" s="174">
        <f t="shared" si="21"/>
        <v>0</v>
      </c>
    </row>
    <row r="98" spans="1:47">
      <c r="A98" t="s">
        <v>217</v>
      </c>
      <c r="B98" t="s">
        <v>2671</v>
      </c>
      <c r="C98" s="468">
        <v>-185747.43</v>
      </c>
      <c r="D98" s="468">
        <v>-279462.69585699984</v>
      </c>
      <c r="E98" s="473">
        <v>-27580.301087999949</v>
      </c>
      <c r="F98" s="474">
        <v>-24505.498496000058</v>
      </c>
      <c r="G98" s="450">
        <f t="shared" si="13"/>
        <v>-517295.92544099985</v>
      </c>
      <c r="I98" s="67">
        <f t="shared" si="14"/>
        <v>0</v>
      </c>
      <c r="J98" s="58" t="s">
        <v>217</v>
      </c>
      <c r="K98" t="s">
        <v>218</v>
      </c>
      <c r="L98" s="448">
        <v>-24505.498496000058</v>
      </c>
      <c r="M98" s="67" t="s">
        <v>2591</v>
      </c>
      <c r="N98" s="317"/>
      <c r="P98" t="s">
        <v>217</v>
      </c>
      <c r="Q98" t="s">
        <v>2671</v>
      </c>
      <c r="R98" s="211">
        <v>-209724.41</v>
      </c>
      <c r="S98" s="211">
        <v>-185747.43</v>
      </c>
      <c r="T98" s="211">
        <v>-279462.69585699984</v>
      </c>
      <c r="U98" s="274">
        <v>-27580.301087999949</v>
      </c>
      <c r="V98" s="79">
        <f t="shared" si="22"/>
        <v>-702514.83694499976</v>
      </c>
      <c r="Z98" s="172">
        <f t="shared" si="15"/>
        <v>0</v>
      </c>
      <c r="AB98" t="s">
        <v>217</v>
      </c>
      <c r="AC98" t="s">
        <v>2671</v>
      </c>
      <c r="AD98" s="464">
        <v>-209724.41</v>
      </c>
      <c r="AE98" s="464">
        <v>-185747.43</v>
      </c>
      <c r="AF98" s="464">
        <v>-279462.69585699984</v>
      </c>
      <c r="AG98" s="464">
        <v>-27580.301087999949</v>
      </c>
      <c r="AH98" s="464">
        <v>-702514.83694499976</v>
      </c>
      <c r="AJ98" s="464">
        <f t="shared" si="16"/>
        <v>-492790.42694499978</v>
      </c>
      <c r="AM98" s="464">
        <f t="shared" si="17"/>
        <v>-185747.43</v>
      </c>
      <c r="AN98" s="464">
        <v>-279462.69585699984</v>
      </c>
      <c r="AO98" s="464">
        <v>-27580.301087999949</v>
      </c>
      <c r="AP98" s="317">
        <f t="shared" si="18"/>
        <v>-492790.42694499978</v>
      </c>
      <c r="AQ98" s="317">
        <f t="shared" si="19"/>
        <v>0</v>
      </c>
      <c r="AS98" s="475">
        <v>-24505.498496000058</v>
      </c>
      <c r="AT98" s="174">
        <f t="shared" si="20"/>
        <v>-517295.92544099985</v>
      </c>
      <c r="AU98" s="174">
        <f t="shared" si="21"/>
        <v>0</v>
      </c>
    </row>
    <row r="99" spans="1:47">
      <c r="A99" t="s">
        <v>219</v>
      </c>
      <c r="B99" t="s">
        <v>2672</v>
      </c>
      <c r="C99" s="468">
        <v>161791.67000000388</v>
      </c>
      <c r="D99" s="468">
        <v>-580128.23787614726</v>
      </c>
      <c r="E99" s="473">
        <v>1027522.9128038259</v>
      </c>
      <c r="F99" s="474">
        <v>819718.91572648287</v>
      </c>
      <c r="G99" s="450">
        <f t="shared" si="13"/>
        <v>1428905.2606541654</v>
      </c>
      <c r="I99" s="67">
        <f t="shared" si="14"/>
        <v>0</v>
      </c>
      <c r="J99" s="58" t="s">
        <v>219</v>
      </c>
      <c r="K99" t="s">
        <v>220</v>
      </c>
      <c r="L99" s="448">
        <v>819718.91572648287</v>
      </c>
      <c r="M99" s="67" t="s">
        <v>2591</v>
      </c>
      <c r="N99" s="317"/>
      <c r="P99" t="s">
        <v>219</v>
      </c>
      <c r="Q99" t="s">
        <v>2672</v>
      </c>
      <c r="R99" s="211">
        <v>349901.91000000387</v>
      </c>
      <c r="S99" s="211">
        <v>-188110.24</v>
      </c>
      <c r="T99" s="211">
        <v>-580128.23787614726</v>
      </c>
      <c r="U99" s="274">
        <v>1027522.9128038259</v>
      </c>
      <c r="V99" s="79">
        <f t="shared" si="22"/>
        <v>609186.34492768254</v>
      </c>
      <c r="Z99" s="172">
        <f t="shared" si="15"/>
        <v>0</v>
      </c>
      <c r="AB99" t="s">
        <v>219</v>
      </c>
      <c r="AC99" t="s">
        <v>2672</v>
      </c>
      <c r="AD99" s="464">
        <v>349901.91000000387</v>
      </c>
      <c r="AE99" s="464">
        <v>-188110.24</v>
      </c>
      <c r="AF99" s="464">
        <v>-580128.23787614726</v>
      </c>
      <c r="AG99" s="464">
        <v>1027522.9128038259</v>
      </c>
      <c r="AH99" s="464">
        <v>609186.34492768254</v>
      </c>
      <c r="AJ99" s="464">
        <f t="shared" si="16"/>
        <v>259284.43492767867</v>
      </c>
      <c r="AM99" s="465">
        <f>+AD99+AE99</f>
        <v>161791.67000000388</v>
      </c>
      <c r="AN99" s="464">
        <v>-580128.23787614726</v>
      </c>
      <c r="AO99" s="464">
        <v>1027522.9128038259</v>
      </c>
      <c r="AP99" s="317">
        <f t="shared" si="18"/>
        <v>609186.34492768254</v>
      </c>
      <c r="AQ99" s="466">
        <f>+AP99-AH99</f>
        <v>0</v>
      </c>
      <c r="AS99" s="475">
        <v>819718.91572648287</v>
      </c>
      <c r="AT99" s="174">
        <f t="shared" si="20"/>
        <v>1428905.2606541654</v>
      </c>
      <c r="AU99" s="174">
        <f t="shared" si="21"/>
        <v>0</v>
      </c>
    </row>
    <row r="100" spans="1:47">
      <c r="A100" t="s">
        <v>221</v>
      </c>
      <c r="B100" t="s">
        <v>2673</v>
      </c>
      <c r="C100" s="468">
        <v>-63262.43</v>
      </c>
      <c r="D100" s="468">
        <v>-3431.4034820000379</v>
      </c>
      <c r="E100" s="473">
        <v>0</v>
      </c>
      <c r="F100" s="474">
        <v>-133051.65149599992</v>
      </c>
      <c r="G100" s="450">
        <f t="shared" si="13"/>
        <v>-199745.48497799996</v>
      </c>
      <c r="I100" s="67">
        <f t="shared" si="14"/>
        <v>0</v>
      </c>
      <c r="J100" s="58" t="s">
        <v>221</v>
      </c>
      <c r="K100" t="s">
        <v>222</v>
      </c>
      <c r="L100" s="448">
        <v>-133051.65149599992</v>
      </c>
      <c r="M100" s="67" t="s">
        <v>2591</v>
      </c>
      <c r="N100" s="317"/>
      <c r="P100" t="s">
        <v>221</v>
      </c>
      <c r="Q100" t="s">
        <v>2673</v>
      </c>
      <c r="R100" s="211">
        <v>-74412.81</v>
      </c>
      <c r="S100" s="211">
        <v>-63262.43</v>
      </c>
      <c r="T100" s="211">
        <v>-3431.4034820000379</v>
      </c>
      <c r="U100" s="274">
        <v>29709.517044000037</v>
      </c>
      <c r="V100" s="79">
        <f t="shared" si="22"/>
        <v>-111397.12643800001</v>
      </c>
      <c r="Z100" s="172">
        <f t="shared" si="15"/>
        <v>0</v>
      </c>
      <c r="AB100" t="s">
        <v>221</v>
      </c>
      <c r="AC100" t="s">
        <v>2673</v>
      </c>
      <c r="AD100" s="464">
        <v>-44703.292955999961</v>
      </c>
      <c r="AE100" s="464">
        <v>-63262.43</v>
      </c>
      <c r="AF100" s="464">
        <v>-3431.4034820000379</v>
      </c>
      <c r="AG100" s="464">
        <v>0</v>
      </c>
      <c r="AH100" s="464">
        <v>-111397.12643799999</v>
      </c>
      <c r="AJ100" s="464">
        <f t="shared" si="16"/>
        <v>-66693.833482000045</v>
      </c>
      <c r="AM100" s="464">
        <f t="shared" si="17"/>
        <v>-63262.43</v>
      </c>
      <c r="AN100" s="464">
        <v>-3431.4034820000379</v>
      </c>
      <c r="AO100" s="464">
        <v>0</v>
      </c>
      <c r="AP100" s="317">
        <f t="shared" si="18"/>
        <v>-66693.833482000045</v>
      </c>
      <c r="AQ100" s="317">
        <f t="shared" si="19"/>
        <v>0</v>
      </c>
      <c r="AS100" s="475">
        <v>-133051.65149599992</v>
      </c>
      <c r="AT100" s="174">
        <f t="shared" si="20"/>
        <v>-199745.48497799996</v>
      </c>
      <c r="AU100" s="174">
        <f t="shared" si="21"/>
        <v>0</v>
      </c>
    </row>
    <row r="101" spans="1:47">
      <c r="A101" t="s">
        <v>223</v>
      </c>
      <c r="B101" t="s">
        <v>2674</v>
      </c>
      <c r="C101" s="468">
        <v>-80132.11</v>
      </c>
      <c r="D101" s="468">
        <v>-52582.434310000011</v>
      </c>
      <c r="E101" s="473">
        <v>-76150.655339999998</v>
      </c>
      <c r="F101" s="474">
        <v>-62182.696500000005</v>
      </c>
      <c r="G101" s="450">
        <f t="shared" si="13"/>
        <v>-271047.89615000004</v>
      </c>
      <c r="I101" s="67">
        <f t="shared" si="14"/>
        <v>0</v>
      </c>
      <c r="J101" s="58" t="s">
        <v>223</v>
      </c>
      <c r="K101" t="s">
        <v>224</v>
      </c>
      <c r="L101" s="448">
        <v>-62182.696500000005</v>
      </c>
      <c r="M101" s="67" t="s">
        <v>2591</v>
      </c>
      <c r="N101" s="317"/>
      <c r="P101" t="s">
        <v>223</v>
      </c>
      <c r="Q101" t="s">
        <v>2674</v>
      </c>
      <c r="R101" s="211">
        <v>-68467.42</v>
      </c>
      <c r="S101" s="211">
        <v>-80132.11</v>
      </c>
      <c r="T101" s="211">
        <v>-52582.434310000011</v>
      </c>
      <c r="U101" s="274">
        <v>-76150.655339999998</v>
      </c>
      <c r="V101" s="79">
        <f t="shared" si="22"/>
        <v>-277332.61965000001</v>
      </c>
      <c r="Z101" s="172">
        <f t="shared" si="15"/>
        <v>0</v>
      </c>
      <c r="AB101" t="s">
        <v>223</v>
      </c>
      <c r="AC101" t="s">
        <v>2674</v>
      </c>
      <c r="AD101" s="464">
        <v>-68467.42</v>
      </c>
      <c r="AE101" s="464">
        <v>-80132.11</v>
      </c>
      <c r="AF101" s="464">
        <v>-52582.434310000011</v>
      </c>
      <c r="AG101" s="464">
        <v>-76150.655339999998</v>
      </c>
      <c r="AH101" s="464">
        <v>-277332.61965000001</v>
      </c>
      <c r="AJ101" s="464">
        <f t="shared" si="16"/>
        <v>-208865.19965000002</v>
      </c>
      <c r="AM101" s="464">
        <f t="shared" si="17"/>
        <v>-80132.11</v>
      </c>
      <c r="AN101" s="464">
        <v>-52582.434310000011</v>
      </c>
      <c r="AO101" s="464">
        <v>-76150.655339999998</v>
      </c>
      <c r="AP101" s="317">
        <f t="shared" si="18"/>
        <v>-208865.19965000002</v>
      </c>
      <c r="AQ101" s="317">
        <f t="shared" si="19"/>
        <v>0</v>
      </c>
      <c r="AS101" s="475">
        <v>-62182.696500000005</v>
      </c>
      <c r="AT101" s="174">
        <f t="shared" si="20"/>
        <v>-271047.89615000004</v>
      </c>
      <c r="AU101" s="174">
        <f t="shared" si="21"/>
        <v>0</v>
      </c>
    </row>
    <row r="102" spans="1:47">
      <c r="A102" t="s">
        <v>225</v>
      </c>
      <c r="B102" t="s">
        <v>2675</v>
      </c>
      <c r="C102" s="468">
        <v>-87778.81</v>
      </c>
      <c r="D102" s="468">
        <v>-67194.995090110184</v>
      </c>
      <c r="E102" s="473">
        <v>-84814.643095000007</v>
      </c>
      <c r="F102" s="474">
        <v>-79140.795290000024</v>
      </c>
      <c r="G102" s="450">
        <f t="shared" si="13"/>
        <v>-318929.24347511021</v>
      </c>
      <c r="I102" s="67">
        <f t="shared" si="14"/>
        <v>0</v>
      </c>
      <c r="J102" s="58" t="s">
        <v>225</v>
      </c>
      <c r="K102" t="s">
        <v>226</v>
      </c>
      <c r="L102" s="448">
        <v>-79140.795290000024</v>
      </c>
      <c r="M102" s="67" t="s">
        <v>2591</v>
      </c>
      <c r="N102" s="317"/>
      <c r="P102" t="s">
        <v>225</v>
      </c>
      <c r="Q102" t="s">
        <v>2675</v>
      </c>
      <c r="R102" s="211">
        <v>-64017.39</v>
      </c>
      <c r="S102" s="211">
        <v>-87778.81</v>
      </c>
      <c r="T102" s="211">
        <v>-67194.995090110184</v>
      </c>
      <c r="U102" s="274">
        <v>-84814.643095000007</v>
      </c>
      <c r="V102" s="79">
        <f t="shared" si="22"/>
        <v>-303805.83818511019</v>
      </c>
      <c r="Z102" s="172">
        <f t="shared" si="15"/>
        <v>0</v>
      </c>
      <c r="AB102" t="s">
        <v>225</v>
      </c>
      <c r="AC102" t="s">
        <v>2675</v>
      </c>
      <c r="AD102" s="464">
        <v>-64017.39</v>
      </c>
      <c r="AE102" s="464">
        <v>-87778.81</v>
      </c>
      <c r="AF102" s="464">
        <v>-67194.995090110184</v>
      </c>
      <c r="AG102" s="464">
        <v>-84814.643095000007</v>
      </c>
      <c r="AH102" s="464">
        <v>-303805.83818511019</v>
      </c>
      <c r="AJ102" s="464">
        <f t="shared" si="16"/>
        <v>-239788.44818511017</v>
      </c>
      <c r="AM102" s="464">
        <f t="shared" si="17"/>
        <v>-87778.81</v>
      </c>
      <c r="AN102" s="464">
        <v>-67194.995090110184</v>
      </c>
      <c r="AO102" s="464">
        <v>-84814.643095000007</v>
      </c>
      <c r="AP102" s="317">
        <f t="shared" si="18"/>
        <v>-239788.44818511017</v>
      </c>
      <c r="AQ102" s="317">
        <f t="shared" si="19"/>
        <v>0</v>
      </c>
      <c r="AS102" s="475">
        <v>-79140.795290000024</v>
      </c>
      <c r="AT102" s="174">
        <f t="shared" si="20"/>
        <v>-318929.24347511021</v>
      </c>
      <c r="AU102" s="174">
        <f t="shared" si="21"/>
        <v>0</v>
      </c>
    </row>
    <row r="103" spans="1:47">
      <c r="A103" t="s">
        <v>227</v>
      </c>
      <c r="B103" t="s">
        <v>2676</v>
      </c>
      <c r="C103" s="468">
        <v>-72691.45</v>
      </c>
      <c r="D103" s="468">
        <v>-83158.161240551271</v>
      </c>
      <c r="E103" s="473">
        <v>0</v>
      </c>
      <c r="F103" s="474">
        <v>-36877.618778999982</v>
      </c>
      <c r="G103" s="450">
        <f t="shared" si="13"/>
        <v>-192727.23001955127</v>
      </c>
      <c r="I103" s="67">
        <f t="shared" si="14"/>
        <v>0</v>
      </c>
      <c r="J103" s="58" t="s">
        <v>227</v>
      </c>
      <c r="K103" t="s">
        <v>228</v>
      </c>
      <c r="L103" s="448">
        <v>-36877.618778999982</v>
      </c>
      <c r="M103" s="67" t="s">
        <v>2591</v>
      </c>
      <c r="N103" s="317"/>
      <c r="P103" t="s">
        <v>227</v>
      </c>
      <c r="Q103" t="s">
        <v>2676</v>
      </c>
      <c r="R103" s="211">
        <v>-56026.44</v>
      </c>
      <c r="S103" s="211">
        <v>-72691.45</v>
      </c>
      <c r="T103" s="211">
        <v>-83158.161240551271</v>
      </c>
      <c r="U103" s="274">
        <v>19471.84265799995</v>
      </c>
      <c r="V103" s="79">
        <f t="shared" si="22"/>
        <v>-192404.20858255133</v>
      </c>
      <c r="Z103" s="172">
        <f t="shared" si="15"/>
        <v>0</v>
      </c>
      <c r="AB103" t="s">
        <v>227</v>
      </c>
      <c r="AC103" t="s">
        <v>2676</v>
      </c>
      <c r="AD103" s="464">
        <v>-36554.597342000052</v>
      </c>
      <c r="AE103" s="464">
        <v>-72691.45</v>
      </c>
      <c r="AF103" s="464">
        <v>-83158.161240551271</v>
      </c>
      <c r="AG103" s="464">
        <v>0</v>
      </c>
      <c r="AH103" s="464">
        <v>-192404.20858255133</v>
      </c>
      <c r="AJ103" s="464">
        <f t="shared" si="16"/>
        <v>-155849.61124055128</v>
      </c>
      <c r="AM103" s="464">
        <f t="shared" si="17"/>
        <v>-72691.45</v>
      </c>
      <c r="AN103" s="464">
        <v>-83158.161240551271</v>
      </c>
      <c r="AO103" s="464">
        <v>0</v>
      </c>
      <c r="AP103" s="317">
        <f t="shared" si="18"/>
        <v>-155849.61124055128</v>
      </c>
      <c r="AQ103" s="317">
        <f t="shared" si="19"/>
        <v>0</v>
      </c>
      <c r="AS103" s="475">
        <v>-36877.618778999982</v>
      </c>
      <c r="AT103" s="174">
        <f t="shared" si="20"/>
        <v>-192727.23001955127</v>
      </c>
      <c r="AU103" s="174">
        <f t="shared" si="21"/>
        <v>0</v>
      </c>
    </row>
    <row r="104" spans="1:47">
      <c r="A104" t="s">
        <v>229</v>
      </c>
      <c r="B104" t="s">
        <v>2677</v>
      </c>
      <c r="C104" s="468">
        <v>-100198.66</v>
      </c>
      <c r="D104" s="468">
        <v>-92183.806819999969</v>
      </c>
      <c r="E104" s="473">
        <v>-48882.340721999877</v>
      </c>
      <c r="F104" s="474">
        <v>18686.364787999984</v>
      </c>
      <c r="G104" s="450">
        <f t="shared" si="13"/>
        <v>-222578.44275399987</v>
      </c>
      <c r="I104" s="67">
        <f t="shared" si="14"/>
        <v>0</v>
      </c>
      <c r="J104" s="58" t="s">
        <v>229</v>
      </c>
      <c r="K104" t="s">
        <v>230</v>
      </c>
      <c r="L104" s="448">
        <v>18686.364787999984</v>
      </c>
      <c r="M104" s="67" t="s">
        <v>2591</v>
      </c>
      <c r="N104" s="317"/>
      <c r="P104" t="s">
        <v>229</v>
      </c>
      <c r="Q104" t="s">
        <v>2677</v>
      </c>
      <c r="R104" s="211">
        <v>-93625.48</v>
      </c>
      <c r="S104" s="211">
        <v>-100198.66</v>
      </c>
      <c r="T104" s="211">
        <v>-92183.806819999969</v>
      </c>
      <c r="U104" s="274">
        <v>-48882.340721999877</v>
      </c>
      <c r="V104" s="79">
        <f t="shared" si="22"/>
        <v>-334890.28754199983</v>
      </c>
      <c r="Z104" s="172">
        <f t="shared" si="15"/>
        <v>0</v>
      </c>
      <c r="AB104" t="s">
        <v>229</v>
      </c>
      <c r="AC104" t="s">
        <v>2677</v>
      </c>
      <c r="AD104" s="464">
        <v>-93625.48</v>
      </c>
      <c r="AE104" s="464">
        <v>-100198.66</v>
      </c>
      <c r="AF104" s="464">
        <v>-92183.806819999969</v>
      </c>
      <c r="AG104" s="464">
        <v>-48882.340721999877</v>
      </c>
      <c r="AH104" s="464">
        <v>-334890.28754199983</v>
      </c>
      <c r="AJ104" s="464">
        <f t="shared" si="16"/>
        <v>-241264.80754199985</v>
      </c>
      <c r="AM104" s="464">
        <f t="shared" si="17"/>
        <v>-100198.66</v>
      </c>
      <c r="AN104" s="464">
        <v>-92183.806819999969</v>
      </c>
      <c r="AO104" s="464">
        <v>-48882.340721999877</v>
      </c>
      <c r="AP104" s="317">
        <f t="shared" si="18"/>
        <v>-241264.80754199985</v>
      </c>
      <c r="AQ104" s="317">
        <f t="shared" si="19"/>
        <v>0</v>
      </c>
      <c r="AS104" s="475">
        <v>18686.364787999984</v>
      </c>
      <c r="AT104" s="174">
        <f t="shared" si="20"/>
        <v>-222578.44275399987</v>
      </c>
      <c r="AU104" s="174">
        <f t="shared" si="21"/>
        <v>0</v>
      </c>
    </row>
    <row r="105" spans="1:47">
      <c r="A105" t="s">
        <v>231</v>
      </c>
      <c r="B105" t="s">
        <v>2678</v>
      </c>
      <c r="C105" s="468">
        <v>-2836.22</v>
      </c>
      <c r="D105" s="468">
        <v>-6895.1924279829836</v>
      </c>
      <c r="E105" s="473">
        <v>62561.769585445116</v>
      </c>
      <c r="F105" s="474">
        <v>-345676.32436884043</v>
      </c>
      <c r="G105" s="450">
        <f t="shared" si="13"/>
        <v>-292845.96721137827</v>
      </c>
      <c r="I105" s="67">
        <f t="shared" si="14"/>
        <v>0</v>
      </c>
      <c r="J105" s="58" t="s">
        <v>231</v>
      </c>
      <c r="K105" t="s">
        <v>232</v>
      </c>
      <c r="L105" s="448">
        <v>-345676.32436884043</v>
      </c>
      <c r="M105" s="67" t="s">
        <v>2591</v>
      </c>
      <c r="N105" s="317"/>
      <c r="P105" t="s">
        <v>231</v>
      </c>
      <c r="Q105" t="s">
        <v>2678</v>
      </c>
      <c r="R105" s="211">
        <v>-193748.81</v>
      </c>
      <c r="S105" s="211">
        <v>-2836.22</v>
      </c>
      <c r="T105" s="211">
        <v>-6895.1924279829836</v>
      </c>
      <c r="U105" s="274">
        <v>256310.57958544511</v>
      </c>
      <c r="V105" s="79">
        <f t="shared" si="22"/>
        <v>52830.357157462131</v>
      </c>
      <c r="Z105" s="172">
        <f t="shared" si="15"/>
        <v>0</v>
      </c>
      <c r="AB105" t="s">
        <v>231</v>
      </c>
      <c r="AC105" t="s">
        <v>2678</v>
      </c>
      <c r="AD105" s="464">
        <v>0</v>
      </c>
      <c r="AE105" s="464">
        <v>-2836.22</v>
      </c>
      <c r="AF105" s="464">
        <v>-6895.1924279829836</v>
      </c>
      <c r="AG105" s="464">
        <v>62561.769585445116</v>
      </c>
      <c r="AH105" s="464">
        <v>52830.357157462131</v>
      </c>
      <c r="AJ105" s="464">
        <f t="shared" si="16"/>
        <v>52830.357157462131</v>
      </c>
      <c r="AM105" s="464">
        <f t="shared" si="17"/>
        <v>-2836.22</v>
      </c>
      <c r="AN105" s="464">
        <v>-6895.1924279829836</v>
      </c>
      <c r="AO105" s="464">
        <v>62561.769585445116</v>
      </c>
      <c r="AP105" s="317">
        <f t="shared" si="18"/>
        <v>52830.357157462131</v>
      </c>
      <c r="AQ105" s="317">
        <f t="shared" si="19"/>
        <v>0</v>
      </c>
      <c r="AS105" s="475">
        <v>-345676.32436884043</v>
      </c>
      <c r="AT105" s="174">
        <f t="shared" si="20"/>
        <v>-292845.96721137827</v>
      </c>
      <c r="AU105" s="174">
        <f t="shared" si="21"/>
        <v>0</v>
      </c>
    </row>
    <row r="106" spans="1:47">
      <c r="A106" t="s">
        <v>233</v>
      </c>
      <c r="B106" t="s">
        <v>2679</v>
      </c>
      <c r="C106" s="468">
        <v>0</v>
      </c>
      <c r="D106" s="468">
        <v>-149253.65196200012</v>
      </c>
      <c r="E106" s="473">
        <v>-226910.78775999998</v>
      </c>
      <c r="F106" s="474">
        <v>-207358.51916300028</v>
      </c>
      <c r="G106" s="450">
        <f t="shared" si="13"/>
        <v>-583522.95888500032</v>
      </c>
      <c r="I106" s="67">
        <f t="shared" si="14"/>
        <v>0</v>
      </c>
      <c r="J106" s="58" t="s">
        <v>233</v>
      </c>
      <c r="K106" t="s">
        <v>234</v>
      </c>
      <c r="L106" s="448">
        <v>-207358.51916300028</v>
      </c>
      <c r="M106" s="67" t="s">
        <v>2591</v>
      </c>
      <c r="N106" s="317"/>
      <c r="P106" t="s">
        <v>233</v>
      </c>
      <c r="Q106" t="s">
        <v>2679</v>
      </c>
      <c r="R106" s="211">
        <v>-198772.31</v>
      </c>
      <c r="S106" s="211">
        <v>108829.19</v>
      </c>
      <c r="T106" s="211">
        <v>-149253.65196200012</v>
      </c>
      <c r="U106" s="274">
        <v>-226910.78775999998</v>
      </c>
      <c r="V106" s="79">
        <f t="shared" si="22"/>
        <v>-466107.55972200009</v>
      </c>
      <c r="Z106" s="172">
        <f t="shared" si="15"/>
        <v>0</v>
      </c>
      <c r="AB106" t="s">
        <v>233</v>
      </c>
      <c r="AC106" t="s">
        <v>2679</v>
      </c>
      <c r="AD106" s="464">
        <v>-89943.12</v>
      </c>
      <c r="AE106" s="464">
        <v>0</v>
      </c>
      <c r="AF106" s="464">
        <v>-149253.65196200012</v>
      </c>
      <c r="AG106" s="464">
        <v>-226910.78775999998</v>
      </c>
      <c r="AH106" s="464">
        <v>-466107.55972200009</v>
      </c>
      <c r="AJ106" s="464">
        <f t="shared" si="16"/>
        <v>-376164.4397220001</v>
      </c>
      <c r="AM106" s="464">
        <f t="shared" si="17"/>
        <v>0</v>
      </c>
      <c r="AN106" s="464">
        <v>-149253.65196200012</v>
      </c>
      <c r="AO106" s="464">
        <v>-226910.78775999998</v>
      </c>
      <c r="AP106" s="317">
        <f t="shared" si="18"/>
        <v>-376164.4397220001</v>
      </c>
      <c r="AQ106" s="317">
        <f t="shared" si="19"/>
        <v>0</v>
      </c>
      <c r="AS106" s="475">
        <v>-207358.51916300028</v>
      </c>
      <c r="AT106" s="174">
        <f t="shared" si="20"/>
        <v>-583522.95888500032</v>
      </c>
      <c r="AU106" s="174">
        <f t="shared" si="21"/>
        <v>0</v>
      </c>
    </row>
    <row r="107" spans="1:47">
      <c r="A107" t="s">
        <v>235</v>
      </c>
      <c r="B107" t="s">
        <v>2680</v>
      </c>
      <c r="C107" s="468">
        <v>-13516.17</v>
      </c>
      <c r="D107" s="468">
        <v>-221485.9717731807</v>
      </c>
      <c r="E107" s="473">
        <v>-50326.984860000201</v>
      </c>
      <c r="F107" s="474">
        <v>-233945.98863999994</v>
      </c>
      <c r="G107" s="450">
        <f t="shared" si="13"/>
        <v>-519275.11527318083</v>
      </c>
      <c r="I107" s="67">
        <f t="shared" si="14"/>
        <v>0</v>
      </c>
      <c r="J107" s="58" t="s">
        <v>235</v>
      </c>
      <c r="K107" t="s">
        <v>236</v>
      </c>
      <c r="L107" s="448">
        <v>-233945.98863999994</v>
      </c>
      <c r="M107" s="67" t="s">
        <v>2591</v>
      </c>
      <c r="N107" s="317"/>
      <c r="P107" t="s">
        <v>235</v>
      </c>
      <c r="Q107" t="s">
        <v>2680</v>
      </c>
      <c r="R107" s="211">
        <v>-68223.14</v>
      </c>
      <c r="S107" s="211">
        <v>-13516.17</v>
      </c>
      <c r="T107" s="211">
        <v>-221485.9717731807</v>
      </c>
      <c r="U107" s="274">
        <v>-50326.984860000201</v>
      </c>
      <c r="V107" s="79">
        <f t="shared" si="22"/>
        <v>-353552.2666331809</v>
      </c>
      <c r="Z107" s="172">
        <f t="shared" si="15"/>
        <v>0</v>
      </c>
      <c r="AB107" t="s">
        <v>235</v>
      </c>
      <c r="AC107" t="s">
        <v>2680</v>
      </c>
      <c r="AD107" s="464">
        <v>-68223.14</v>
      </c>
      <c r="AE107" s="464">
        <v>-13516.17</v>
      </c>
      <c r="AF107" s="464">
        <v>-221485.9717731807</v>
      </c>
      <c r="AG107" s="464">
        <v>-50326.984860000201</v>
      </c>
      <c r="AH107" s="464">
        <v>-353552.2666331809</v>
      </c>
      <c r="AJ107" s="464">
        <f t="shared" si="16"/>
        <v>-285329.12663318089</v>
      </c>
      <c r="AM107" s="464">
        <f t="shared" si="17"/>
        <v>-13516.17</v>
      </c>
      <c r="AN107" s="464">
        <v>-221485.9717731807</v>
      </c>
      <c r="AO107" s="464">
        <v>-50326.984860000201</v>
      </c>
      <c r="AP107" s="317">
        <f t="shared" si="18"/>
        <v>-285329.12663318089</v>
      </c>
      <c r="AQ107" s="317">
        <f t="shared" si="19"/>
        <v>0</v>
      </c>
      <c r="AS107" s="475">
        <v>-233945.98863999994</v>
      </c>
      <c r="AT107" s="174">
        <f t="shared" si="20"/>
        <v>-519275.11527318083</v>
      </c>
      <c r="AU107" s="174">
        <f t="shared" si="21"/>
        <v>0</v>
      </c>
    </row>
    <row r="108" spans="1:47">
      <c r="A108" t="s">
        <v>237</v>
      </c>
      <c r="B108" t="s">
        <v>2681</v>
      </c>
      <c r="C108" s="468">
        <v>-48481.65</v>
      </c>
      <c r="D108" s="468">
        <v>-11631.177407999989</v>
      </c>
      <c r="E108" s="473">
        <v>0</v>
      </c>
      <c r="F108" s="474">
        <v>-24181.221455999996</v>
      </c>
      <c r="G108" s="450">
        <f t="shared" si="13"/>
        <v>-84294.048863999982</v>
      </c>
      <c r="I108" s="67">
        <f t="shared" si="14"/>
        <v>0</v>
      </c>
      <c r="J108" s="58" t="s">
        <v>237</v>
      </c>
      <c r="K108" t="s">
        <v>238</v>
      </c>
      <c r="L108" s="448">
        <v>-24181.221455999996</v>
      </c>
      <c r="M108" s="67" t="s">
        <v>2591</v>
      </c>
      <c r="N108" s="317"/>
      <c r="P108" t="s">
        <v>237</v>
      </c>
      <c r="Q108" t="s">
        <v>2681</v>
      </c>
      <c r="R108" s="211">
        <v>-34173.93</v>
      </c>
      <c r="S108" s="211">
        <v>-48481.65</v>
      </c>
      <c r="T108" s="211">
        <v>-11631.177407999989</v>
      </c>
      <c r="U108" s="274">
        <v>11962.853190000023</v>
      </c>
      <c r="V108" s="79">
        <f t="shared" si="22"/>
        <v>-82323.904217999967</v>
      </c>
      <c r="Z108" s="172">
        <f t="shared" si="15"/>
        <v>0</v>
      </c>
      <c r="AB108" t="s">
        <v>237</v>
      </c>
      <c r="AC108" t="s">
        <v>2681</v>
      </c>
      <c r="AD108" s="464">
        <v>-22211.076809999977</v>
      </c>
      <c r="AE108" s="464">
        <v>-48481.65</v>
      </c>
      <c r="AF108" s="464">
        <v>-11631.177407999989</v>
      </c>
      <c r="AG108" s="464">
        <v>0</v>
      </c>
      <c r="AH108" s="464">
        <v>-82323.904217999967</v>
      </c>
      <c r="AJ108" s="464">
        <f t="shared" si="16"/>
        <v>-60112.82740799999</v>
      </c>
      <c r="AM108" s="464">
        <f t="shared" si="17"/>
        <v>-48481.65</v>
      </c>
      <c r="AN108" s="464">
        <v>-11631.177407999989</v>
      </c>
      <c r="AO108" s="464">
        <v>0</v>
      </c>
      <c r="AP108" s="317">
        <f t="shared" si="18"/>
        <v>-60112.82740799999</v>
      </c>
      <c r="AQ108" s="317">
        <f t="shared" si="19"/>
        <v>0</v>
      </c>
      <c r="AS108" s="475">
        <v>-24181.221455999996</v>
      </c>
      <c r="AT108" s="174">
        <f t="shared" si="20"/>
        <v>-84294.048863999982</v>
      </c>
      <c r="AU108" s="174">
        <f t="shared" si="21"/>
        <v>0</v>
      </c>
    </row>
    <row r="109" spans="1:47">
      <c r="A109" s="276" t="s">
        <v>239</v>
      </c>
      <c r="B109" t="s">
        <v>240</v>
      </c>
      <c r="C109" s="468">
        <v>0</v>
      </c>
      <c r="D109" s="468"/>
      <c r="E109" s="473">
        <v>-4789.4953000000023</v>
      </c>
      <c r="F109" s="474">
        <v>12359.822932000001</v>
      </c>
      <c r="G109" s="450">
        <f t="shared" si="13"/>
        <v>7570.3276319999986</v>
      </c>
      <c r="I109" s="67">
        <f t="shared" si="14"/>
        <v>0</v>
      </c>
      <c r="J109" s="58" t="s">
        <v>239</v>
      </c>
      <c r="K109" t="s">
        <v>240</v>
      </c>
      <c r="L109" s="448">
        <v>12359.822932000001</v>
      </c>
      <c r="M109" s="67" t="s">
        <v>2591</v>
      </c>
      <c r="N109" s="317"/>
      <c r="P109" s="276" t="s">
        <v>239</v>
      </c>
      <c r="Q109" t="s">
        <v>240</v>
      </c>
      <c r="R109" s="211"/>
      <c r="S109" s="211"/>
      <c r="T109" s="211"/>
      <c r="U109" s="274">
        <v>-4789.4953000000023</v>
      </c>
      <c r="V109" s="79">
        <f t="shared" si="22"/>
        <v>-4789.4953000000023</v>
      </c>
      <c r="Z109" s="172">
        <f t="shared" si="15"/>
        <v>0</v>
      </c>
      <c r="AB109" t="s">
        <v>239</v>
      </c>
      <c r="AC109" t="s">
        <v>240</v>
      </c>
      <c r="AD109" s="464"/>
      <c r="AE109" s="464"/>
      <c r="AF109" s="464"/>
      <c r="AG109" s="464">
        <v>-4789.4953000000023</v>
      </c>
      <c r="AH109" s="464">
        <v>-4789.4953000000023</v>
      </c>
      <c r="AJ109" s="464">
        <f t="shared" si="16"/>
        <v>-4789.4953000000023</v>
      </c>
      <c r="AM109" s="464">
        <f t="shared" si="17"/>
        <v>0</v>
      </c>
      <c r="AN109" s="464"/>
      <c r="AO109" s="464">
        <v>-4789.4953000000023</v>
      </c>
      <c r="AP109" s="317">
        <f t="shared" si="18"/>
        <v>-4789.4953000000023</v>
      </c>
      <c r="AQ109" s="317">
        <f t="shared" si="19"/>
        <v>0</v>
      </c>
      <c r="AS109" s="475">
        <v>12359.822932000001</v>
      </c>
      <c r="AT109" s="174">
        <f t="shared" si="20"/>
        <v>7570.3276319999986</v>
      </c>
      <c r="AU109" s="174">
        <f t="shared" si="21"/>
        <v>0</v>
      </c>
    </row>
    <row r="110" spans="1:47">
      <c r="A110" t="s">
        <v>241</v>
      </c>
      <c r="B110" t="s">
        <v>2682</v>
      </c>
      <c r="C110" s="468">
        <v>-84889.22</v>
      </c>
      <c r="D110" s="468">
        <v>-36377.710695000002</v>
      </c>
      <c r="E110" s="473">
        <v>-96655.657517999978</v>
      </c>
      <c r="F110" s="474">
        <v>-94767.366448000001</v>
      </c>
      <c r="G110" s="450">
        <f t="shared" si="13"/>
        <v>-312689.954661</v>
      </c>
      <c r="I110" s="67">
        <f t="shared" si="14"/>
        <v>0</v>
      </c>
      <c r="J110" s="58" t="s">
        <v>241</v>
      </c>
      <c r="K110" t="s">
        <v>242</v>
      </c>
      <c r="L110" s="448">
        <v>-94767.366448000001</v>
      </c>
      <c r="M110" s="67" t="s">
        <v>2591</v>
      </c>
      <c r="N110" s="317"/>
      <c r="P110" t="s">
        <v>241</v>
      </c>
      <c r="Q110" t="s">
        <v>2682</v>
      </c>
      <c r="R110" s="211">
        <v>-72092.66</v>
      </c>
      <c r="S110" s="211">
        <v>-84889.22</v>
      </c>
      <c r="T110" s="211">
        <v>-36377.710695000002</v>
      </c>
      <c r="U110" s="274">
        <v>-96655.657517999978</v>
      </c>
      <c r="V110" s="79">
        <f t="shared" si="22"/>
        <v>-290015.24821300001</v>
      </c>
      <c r="Z110" s="172">
        <f t="shared" si="15"/>
        <v>0</v>
      </c>
      <c r="AB110" t="s">
        <v>241</v>
      </c>
      <c r="AC110" t="s">
        <v>2682</v>
      </c>
      <c r="AD110" s="464">
        <v>-72092.66</v>
      </c>
      <c r="AE110" s="464">
        <v>-84889.22</v>
      </c>
      <c r="AF110" s="464">
        <v>-36377.710695000002</v>
      </c>
      <c r="AG110" s="464">
        <v>-96655.657517999978</v>
      </c>
      <c r="AH110" s="464">
        <v>-290015.24821300001</v>
      </c>
      <c r="AJ110" s="464">
        <f t="shared" si="16"/>
        <v>-217922.58821299998</v>
      </c>
      <c r="AM110" s="464">
        <f t="shared" si="17"/>
        <v>-84889.22</v>
      </c>
      <c r="AN110" s="464">
        <v>-36377.710695000002</v>
      </c>
      <c r="AO110" s="464">
        <v>-96655.657517999978</v>
      </c>
      <c r="AP110" s="317">
        <f t="shared" si="18"/>
        <v>-217922.58821299998</v>
      </c>
      <c r="AQ110" s="317">
        <f t="shared" si="19"/>
        <v>0</v>
      </c>
      <c r="AS110" s="475">
        <v>-94767.366448000001</v>
      </c>
      <c r="AT110" s="174">
        <f t="shared" si="20"/>
        <v>-312689.954661</v>
      </c>
      <c r="AU110" s="174">
        <f t="shared" si="21"/>
        <v>0</v>
      </c>
    </row>
    <row r="111" spans="1:47">
      <c r="A111" t="s">
        <v>243</v>
      </c>
      <c r="B111" t="s">
        <v>2683</v>
      </c>
      <c r="C111" s="468">
        <v>-1432.68</v>
      </c>
      <c r="D111" s="468">
        <v>-10900.358520000016</v>
      </c>
      <c r="E111" s="473">
        <v>-11156.512517000025</v>
      </c>
      <c r="F111" s="474">
        <v>-31652.475606369124</v>
      </c>
      <c r="G111" s="450">
        <f t="shared" si="13"/>
        <v>-55142.026643369165</v>
      </c>
      <c r="I111" s="67">
        <f t="shared" si="14"/>
        <v>0</v>
      </c>
      <c r="J111" s="58" t="s">
        <v>243</v>
      </c>
      <c r="K111" t="s">
        <v>244</v>
      </c>
      <c r="L111" s="448">
        <v>-31652.475606369124</v>
      </c>
      <c r="M111" s="67" t="s">
        <v>2591</v>
      </c>
      <c r="N111" s="317"/>
      <c r="P111" t="s">
        <v>243</v>
      </c>
      <c r="Q111" t="s">
        <v>2683</v>
      </c>
      <c r="R111" s="211">
        <v>-20949.53</v>
      </c>
      <c r="S111" s="211">
        <v>-1432.68</v>
      </c>
      <c r="T111" s="211">
        <v>-10900.358520000016</v>
      </c>
      <c r="U111" s="274">
        <v>-11156.512517000025</v>
      </c>
      <c r="V111" s="79">
        <f t="shared" si="22"/>
        <v>-44439.08103700004</v>
      </c>
      <c r="Z111" s="172">
        <f t="shared" si="15"/>
        <v>0</v>
      </c>
      <c r="AB111" t="s">
        <v>243</v>
      </c>
      <c r="AC111" t="s">
        <v>2683</v>
      </c>
      <c r="AD111" s="464">
        <v>-20949.53</v>
      </c>
      <c r="AE111" s="464">
        <v>-1432.68</v>
      </c>
      <c r="AF111" s="464">
        <v>-10900.358520000016</v>
      </c>
      <c r="AG111" s="464">
        <v>-11156.512517000025</v>
      </c>
      <c r="AH111" s="464">
        <v>-44439.08103700004</v>
      </c>
      <c r="AJ111" s="464">
        <f t="shared" si="16"/>
        <v>-23489.551037000041</v>
      </c>
      <c r="AM111" s="464">
        <f t="shared" si="17"/>
        <v>-1432.68</v>
      </c>
      <c r="AN111" s="464">
        <v>-10900.358520000016</v>
      </c>
      <c r="AO111" s="464">
        <v>-11156.512517000025</v>
      </c>
      <c r="AP111" s="317">
        <f t="shared" si="18"/>
        <v>-23489.551037000041</v>
      </c>
      <c r="AQ111" s="317">
        <f t="shared" si="19"/>
        <v>0</v>
      </c>
      <c r="AS111" s="475">
        <v>-31652.475606369124</v>
      </c>
      <c r="AT111" s="174">
        <f t="shared" si="20"/>
        <v>-55142.026643369165</v>
      </c>
      <c r="AU111" s="174">
        <f t="shared" si="21"/>
        <v>0</v>
      </c>
    </row>
    <row r="112" spans="1:47">
      <c r="A112" t="s">
        <v>245</v>
      </c>
      <c r="B112" t="s">
        <v>2684</v>
      </c>
      <c r="C112" s="468">
        <v>-79862.710000000006</v>
      </c>
      <c r="D112" s="468">
        <v>-57888.475468000026</v>
      </c>
      <c r="E112" s="473">
        <v>-64450.59666499999</v>
      </c>
      <c r="F112" s="474">
        <v>-66541.272544000007</v>
      </c>
      <c r="G112" s="450">
        <f t="shared" si="13"/>
        <v>-268743.05467700004</v>
      </c>
      <c r="I112" s="67">
        <f t="shared" si="14"/>
        <v>0</v>
      </c>
      <c r="J112" s="58" t="s">
        <v>245</v>
      </c>
      <c r="K112" t="s">
        <v>246</v>
      </c>
      <c r="L112" s="448">
        <v>-66541.272544000007</v>
      </c>
      <c r="M112" s="67" t="s">
        <v>2591</v>
      </c>
      <c r="N112" s="317"/>
      <c r="P112" t="s">
        <v>245</v>
      </c>
      <c r="Q112" t="s">
        <v>2684</v>
      </c>
      <c r="R112" s="211">
        <v>-94905.32</v>
      </c>
      <c r="S112" s="211">
        <v>-79862.710000000006</v>
      </c>
      <c r="T112" s="211">
        <v>-57888.475468000026</v>
      </c>
      <c r="U112" s="274">
        <v>-64450.59666499999</v>
      </c>
      <c r="V112" s="79">
        <f t="shared" si="22"/>
        <v>-297107.10213300004</v>
      </c>
      <c r="Z112" s="172">
        <f t="shared" si="15"/>
        <v>0</v>
      </c>
      <c r="AB112" t="s">
        <v>245</v>
      </c>
      <c r="AC112" t="s">
        <v>2684</v>
      </c>
      <c r="AD112" s="464">
        <v>-94905.32</v>
      </c>
      <c r="AE112" s="464">
        <v>-79862.710000000006</v>
      </c>
      <c r="AF112" s="464">
        <v>-57888.475468000026</v>
      </c>
      <c r="AG112" s="464">
        <v>-64450.59666499999</v>
      </c>
      <c r="AH112" s="464">
        <v>-297107.10213300004</v>
      </c>
      <c r="AJ112" s="464">
        <f t="shared" si="16"/>
        <v>-202201.78213300003</v>
      </c>
      <c r="AM112" s="464">
        <f t="shared" si="17"/>
        <v>-79862.710000000006</v>
      </c>
      <c r="AN112" s="464">
        <v>-57888.475468000026</v>
      </c>
      <c r="AO112" s="464">
        <v>-64450.59666499999</v>
      </c>
      <c r="AP112" s="317">
        <f t="shared" si="18"/>
        <v>-202201.78213300003</v>
      </c>
      <c r="AQ112" s="317">
        <f t="shared" si="19"/>
        <v>0</v>
      </c>
      <c r="AS112" s="475">
        <v>-66541.272544000007</v>
      </c>
      <c r="AT112" s="174">
        <f t="shared" si="20"/>
        <v>-268743.05467700004</v>
      </c>
      <c r="AU112" s="174">
        <f t="shared" si="21"/>
        <v>0</v>
      </c>
    </row>
    <row r="113" spans="1:47">
      <c r="A113" t="s">
        <v>247</v>
      </c>
      <c r="B113" t="s">
        <v>2685</v>
      </c>
      <c r="C113" s="468">
        <v>0</v>
      </c>
      <c r="D113" s="468">
        <v>0</v>
      </c>
      <c r="E113" s="473">
        <v>-28125.532046000124</v>
      </c>
      <c r="F113" s="474">
        <v>5599.1015400000033</v>
      </c>
      <c r="G113" s="450">
        <f t="shared" si="13"/>
        <v>-22526.430506000121</v>
      </c>
      <c r="I113" s="67">
        <f t="shared" si="14"/>
        <v>0</v>
      </c>
      <c r="J113" s="58" t="s">
        <v>247</v>
      </c>
      <c r="K113" t="s">
        <v>248</v>
      </c>
      <c r="L113" s="448">
        <v>5599.1015400000033</v>
      </c>
      <c r="M113" s="67" t="s">
        <v>2591</v>
      </c>
      <c r="N113" s="317"/>
      <c r="P113" t="s">
        <v>247</v>
      </c>
      <c r="Q113" t="s">
        <v>2685</v>
      </c>
      <c r="R113" s="211">
        <v>-239173.31</v>
      </c>
      <c r="S113" s="211">
        <v>96918.55</v>
      </c>
      <c r="T113" s="211">
        <v>61164.664362000127</v>
      </c>
      <c r="U113" s="274">
        <v>-28125.532046000124</v>
      </c>
      <c r="V113" s="79">
        <f t="shared" si="22"/>
        <v>-109215.62768400001</v>
      </c>
      <c r="Z113" s="172">
        <f t="shared" si="15"/>
        <v>0</v>
      </c>
      <c r="AB113" t="s">
        <v>247</v>
      </c>
      <c r="AC113" t="s">
        <v>2685</v>
      </c>
      <c r="AD113" s="464">
        <v>-81090.095637999882</v>
      </c>
      <c r="AE113" s="464">
        <v>0</v>
      </c>
      <c r="AF113" s="464">
        <v>0</v>
      </c>
      <c r="AG113" s="464">
        <v>-28125.532046000124</v>
      </c>
      <c r="AH113" s="464">
        <v>-109215.62768400001</v>
      </c>
      <c r="AJ113" s="464">
        <f t="shared" si="16"/>
        <v>-28125.532046000124</v>
      </c>
      <c r="AM113" s="464">
        <f t="shared" si="17"/>
        <v>0</v>
      </c>
      <c r="AN113" s="464">
        <v>0</v>
      </c>
      <c r="AO113" s="464">
        <v>-28125.532046000124</v>
      </c>
      <c r="AP113" s="317">
        <f t="shared" si="18"/>
        <v>-28125.532046000124</v>
      </c>
      <c r="AQ113" s="317">
        <f t="shared" si="19"/>
        <v>0</v>
      </c>
      <c r="AS113" s="475">
        <v>5599.1015400000033</v>
      </c>
      <c r="AT113" s="174">
        <f t="shared" si="20"/>
        <v>-22526.430506000121</v>
      </c>
      <c r="AU113" s="174">
        <f t="shared" si="21"/>
        <v>0</v>
      </c>
    </row>
    <row r="114" spans="1:47">
      <c r="A114" t="s">
        <v>249</v>
      </c>
      <c r="B114" t="s">
        <v>2686</v>
      </c>
      <c r="C114" s="468">
        <v>349215.07000000542</v>
      </c>
      <c r="D114" s="468">
        <v>27556.991168215522</v>
      </c>
      <c r="E114" s="473">
        <v>1621375.4756620713</v>
      </c>
      <c r="F114" s="474">
        <v>1611959.2274518362</v>
      </c>
      <c r="G114" s="450">
        <f t="shared" si="13"/>
        <v>3610106.7642821283</v>
      </c>
      <c r="I114" s="67">
        <f t="shared" si="14"/>
        <v>0</v>
      </c>
      <c r="J114" s="58" t="s">
        <v>249</v>
      </c>
      <c r="K114" t="s">
        <v>250</v>
      </c>
      <c r="L114" s="448">
        <v>1611959.2274518362</v>
      </c>
      <c r="M114" s="67" t="s">
        <v>2591</v>
      </c>
      <c r="N114" s="317"/>
      <c r="P114" t="s">
        <v>249</v>
      </c>
      <c r="Q114" t="s">
        <v>2686</v>
      </c>
      <c r="R114" s="211">
        <v>1758113.7200000053</v>
      </c>
      <c r="S114" s="211">
        <v>-1408898.65</v>
      </c>
      <c r="T114" s="211">
        <v>27556.991168215522</v>
      </c>
      <c r="U114" s="274">
        <v>1621375.4756620713</v>
      </c>
      <c r="V114" s="79">
        <f t="shared" si="22"/>
        <v>1998147.5368302921</v>
      </c>
      <c r="Z114" s="172">
        <f t="shared" si="15"/>
        <v>0</v>
      </c>
      <c r="AB114" t="s">
        <v>249</v>
      </c>
      <c r="AC114" t="s">
        <v>2686</v>
      </c>
      <c r="AD114" s="464">
        <v>1758113.7200000053</v>
      </c>
      <c r="AE114" s="464">
        <v>-1408898.65</v>
      </c>
      <c r="AF114" s="464">
        <v>27556.991168215522</v>
      </c>
      <c r="AG114" s="464">
        <v>1621375.4756620713</v>
      </c>
      <c r="AH114" s="464">
        <v>1998147.5368302921</v>
      </c>
      <c r="AJ114" s="464">
        <f t="shared" si="16"/>
        <v>240033.81683028676</v>
      </c>
      <c r="AM114" s="465">
        <f>+AD114+AE114</f>
        <v>349215.07000000542</v>
      </c>
      <c r="AN114" s="464">
        <v>27556.991168215522</v>
      </c>
      <c r="AO114" s="464">
        <v>1621375.4756620713</v>
      </c>
      <c r="AP114" s="317">
        <f t="shared" si="18"/>
        <v>1998147.5368302921</v>
      </c>
      <c r="AQ114" s="466">
        <f>+AP114-AH114</f>
        <v>0</v>
      </c>
      <c r="AS114" s="475">
        <v>1611959.2274518362</v>
      </c>
      <c r="AT114" s="174">
        <f t="shared" si="20"/>
        <v>3610106.7642821283</v>
      </c>
      <c r="AU114" s="174">
        <f t="shared" si="21"/>
        <v>0</v>
      </c>
    </row>
    <row r="115" spans="1:47">
      <c r="A115" t="s">
        <v>251</v>
      </c>
      <c r="B115" t="s">
        <v>2687</v>
      </c>
      <c r="C115" s="468">
        <v>-29886.33</v>
      </c>
      <c r="D115" s="468">
        <v>30068.776724999996</v>
      </c>
      <c r="E115" s="473">
        <v>131758.83179199998</v>
      </c>
      <c r="F115" s="474">
        <v>70666.19280999992</v>
      </c>
      <c r="G115" s="450">
        <f t="shared" si="13"/>
        <v>202607.47132699989</v>
      </c>
      <c r="I115" s="67">
        <f t="shared" si="14"/>
        <v>0</v>
      </c>
      <c r="J115" s="58" t="s">
        <v>251</v>
      </c>
      <c r="K115" t="s">
        <v>252</v>
      </c>
      <c r="L115" s="448">
        <v>70666.19280999992</v>
      </c>
      <c r="M115" s="67" t="s">
        <v>2591</v>
      </c>
      <c r="N115" s="317"/>
      <c r="P115" t="s">
        <v>251</v>
      </c>
      <c r="Q115" t="s">
        <v>2687</v>
      </c>
      <c r="R115" s="211">
        <v>-32236.78</v>
      </c>
      <c r="S115" s="211">
        <v>-29886.33</v>
      </c>
      <c r="T115" s="211">
        <v>30068.776724999996</v>
      </c>
      <c r="U115" s="274">
        <v>131758.83179199998</v>
      </c>
      <c r="V115" s="79">
        <f t="shared" si="22"/>
        <v>99704.498516999971</v>
      </c>
      <c r="Z115" s="172">
        <f t="shared" si="15"/>
        <v>0</v>
      </c>
      <c r="AB115" t="s">
        <v>251</v>
      </c>
      <c r="AC115" t="s">
        <v>2687</v>
      </c>
      <c r="AD115" s="464">
        <v>-32236.78</v>
      </c>
      <c r="AE115" s="464">
        <v>-29886.33</v>
      </c>
      <c r="AF115" s="464">
        <v>30068.776724999996</v>
      </c>
      <c r="AG115" s="464">
        <v>131758.83179199998</v>
      </c>
      <c r="AH115" s="464">
        <v>99704.498516999971</v>
      </c>
      <c r="AJ115" s="464">
        <f t="shared" si="16"/>
        <v>131941.27851699997</v>
      </c>
      <c r="AM115" s="464">
        <f t="shared" si="17"/>
        <v>-29886.33</v>
      </c>
      <c r="AN115" s="464">
        <v>30068.776724999996</v>
      </c>
      <c r="AO115" s="464">
        <v>131758.83179199998</v>
      </c>
      <c r="AP115" s="317">
        <f t="shared" si="18"/>
        <v>131941.27851699997</v>
      </c>
      <c r="AQ115" s="317">
        <f t="shared" si="19"/>
        <v>0</v>
      </c>
      <c r="AS115" s="475">
        <v>70666.19280999992</v>
      </c>
      <c r="AT115" s="174">
        <f t="shared" si="20"/>
        <v>202607.47132699989</v>
      </c>
      <c r="AU115" s="174">
        <f t="shared" si="21"/>
        <v>0</v>
      </c>
    </row>
    <row r="116" spans="1:47">
      <c r="A116" t="s">
        <v>253</v>
      </c>
      <c r="B116" t="s">
        <v>2688</v>
      </c>
      <c r="C116" s="468">
        <v>-108553.42</v>
      </c>
      <c r="D116" s="468">
        <v>-166429.96428400002</v>
      </c>
      <c r="E116" s="473">
        <v>-114535.43407699998</v>
      </c>
      <c r="F116" s="474">
        <v>-100516.92986999991</v>
      </c>
      <c r="G116" s="450">
        <f t="shared" si="13"/>
        <v>-490035.74823099992</v>
      </c>
      <c r="I116" s="67">
        <f t="shared" si="14"/>
        <v>0</v>
      </c>
      <c r="J116" s="58" t="s">
        <v>253</v>
      </c>
      <c r="K116" t="s">
        <v>254</v>
      </c>
      <c r="L116" s="448">
        <v>-100516.92986999991</v>
      </c>
      <c r="M116" s="67" t="s">
        <v>2591</v>
      </c>
      <c r="N116" s="317"/>
      <c r="P116" t="s">
        <v>253</v>
      </c>
      <c r="Q116" t="s">
        <v>2688</v>
      </c>
      <c r="R116" s="211">
        <v>-99219.46</v>
      </c>
      <c r="S116" s="211">
        <v>-108553.42</v>
      </c>
      <c r="T116" s="211">
        <v>-166429.96428400002</v>
      </c>
      <c r="U116" s="274">
        <v>-114535.43407699998</v>
      </c>
      <c r="V116" s="79">
        <f t="shared" si="22"/>
        <v>-488738.278361</v>
      </c>
      <c r="Z116" s="172">
        <f t="shared" si="15"/>
        <v>0</v>
      </c>
      <c r="AB116" t="s">
        <v>253</v>
      </c>
      <c r="AC116" t="s">
        <v>2688</v>
      </c>
      <c r="AD116" s="464">
        <v>-99219.46</v>
      </c>
      <c r="AE116" s="464">
        <v>-108553.42</v>
      </c>
      <c r="AF116" s="464">
        <v>-166429.96428400002</v>
      </c>
      <c r="AG116" s="464">
        <v>-114535.43407699998</v>
      </c>
      <c r="AH116" s="464">
        <v>-488738.278361</v>
      </c>
      <c r="AJ116" s="464">
        <f t="shared" si="16"/>
        <v>-389518.81836100004</v>
      </c>
      <c r="AM116" s="464">
        <f t="shared" si="17"/>
        <v>-108553.42</v>
      </c>
      <c r="AN116" s="464">
        <v>-166429.96428400002</v>
      </c>
      <c r="AO116" s="464">
        <v>-114535.43407699998</v>
      </c>
      <c r="AP116" s="317">
        <f t="shared" si="18"/>
        <v>-389518.81836100004</v>
      </c>
      <c r="AQ116" s="317">
        <f t="shared" si="19"/>
        <v>0</v>
      </c>
      <c r="AS116" s="475">
        <v>-100516.92986999991</v>
      </c>
      <c r="AT116" s="174">
        <f t="shared" si="20"/>
        <v>-490035.74823099992</v>
      </c>
      <c r="AU116" s="174">
        <f t="shared" si="21"/>
        <v>0</v>
      </c>
    </row>
    <row r="117" spans="1:47">
      <c r="A117" t="s">
        <v>255</v>
      </c>
      <c r="B117" t="s">
        <v>2689</v>
      </c>
      <c r="C117" s="468">
        <v>273260.52</v>
      </c>
      <c r="D117" s="468">
        <v>349084.78785599995</v>
      </c>
      <c r="E117" s="473">
        <v>95311.474649999756</v>
      </c>
      <c r="F117" s="474">
        <v>73632.615452000027</v>
      </c>
      <c r="G117" s="450">
        <f t="shared" si="13"/>
        <v>791289.39795799984</v>
      </c>
      <c r="I117" s="67">
        <f t="shared" si="14"/>
        <v>0</v>
      </c>
      <c r="J117" s="58" t="s">
        <v>255</v>
      </c>
      <c r="K117" t="s">
        <v>256</v>
      </c>
      <c r="L117" s="448">
        <v>73632.615452000027</v>
      </c>
      <c r="M117" s="67" t="s">
        <v>2591</v>
      </c>
      <c r="N117" s="317"/>
      <c r="P117" t="s">
        <v>255</v>
      </c>
      <c r="Q117" t="s">
        <v>2689</v>
      </c>
      <c r="R117" s="211">
        <v>-93628.38</v>
      </c>
      <c r="S117" s="211">
        <v>366888.9</v>
      </c>
      <c r="T117" s="211">
        <v>349084.78785599995</v>
      </c>
      <c r="U117" s="274">
        <v>95311.474649999756</v>
      </c>
      <c r="V117" s="79">
        <f t="shared" si="22"/>
        <v>717656.78250599978</v>
      </c>
      <c r="Z117" s="172">
        <f t="shared" si="15"/>
        <v>0</v>
      </c>
      <c r="AB117" t="s">
        <v>255</v>
      </c>
      <c r="AC117" t="s">
        <v>2689</v>
      </c>
      <c r="AD117" s="464">
        <v>0</v>
      </c>
      <c r="AE117" s="464">
        <v>273260.52</v>
      </c>
      <c r="AF117" s="464">
        <v>349084.78785599995</v>
      </c>
      <c r="AG117" s="464">
        <v>95311.474649999756</v>
      </c>
      <c r="AH117" s="464">
        <v>717656.78250599978</v>
      </c>
      <c r="AJ117" s="464">
        <f t="shared" si="16"/>
        <v>717656.78250599978</v>
      </c>
      <c r="AM117" s="464">
        <f t="shared" si="17"/>
        <v>273260.52</v>
      </c>
      <c r="AN117" s="464">
        <v>349084.78785599995</v>
      </c>
      <c r="AO117" s="464">
        <v>95311.474649999756</v>
      </c>
      <c r="AP117" s="317">
        <f t="shared" si="18"/>
        <v>717656.78250599978</v>
      </c>
      <c r="AQ117" s="317">
        <f t="shared" si="19"/>
        <v>0</v>
      </c>
      <c r="AS117" s="475">
        <v>73632.615452000027</v>
      </c>
      <c r="AT117" s="174">
        <f t="shared" si="20"/>
        <v>791289.39795799984</v>
      </c>
      <c r="AU117" s="174">
        <f t="shared" si="21"/>
        <v>0</v>
      </c>
    </row>
    <row r="118" spans="1:47">
      <c r="A118" s="276" t="s">
        <v>259</v>
      </c>
      <c r="B118" s="277" t="s">
        <v>2690</v>
      </c>
      <c r="C118" s="471">
        <v>0</v>
      </c>
      <c r="D118" s="471"/>
      <c r="E118" s="473">
        <v>0</v>
      </c>
      <c r="F118" s="474">
        <v>-42602.327000000005</v>
      </c>
      <c r="G118" s="450">
        <f t="shared" si="13"/>
        <v>-42602.327000000005</v>
      </c>
      <c r="I118" s="67">
        <f t="shared" si="14"/>
        <v>0</v>
      </c>
      <c r="J118" s="435" t="s">
        <v>259</v>
      </c>
      <c r="K118" t="s">
        <v>2691</v>
      </c>
      <c r="L118" s="448">
        <v>-42602.327000000005</v>
      </c>
      <c r="M118" s="67" t="s">
        <v>2591</v>
      </c>
      <c r="N118" s="317"/>
      <c r="P118" s="276" t="s">
        <v>259</v>
      </c>
      <c r="Q118" s="277" t="s">
        <v>2690</v>
      </c>
      <c r="R118" s="211"/>
      <c r="S118" s="211"/>
      <c r="T118" s="211"/>
      <c r="U118" s="274">
        <v>0</v>
      </c>
      <c r="V118" s="79">
        <f t="shared" si="22"/>
        <v>0</v>
      </c>
      <c r="Z118" s="172">
        <f t="shared" si="15"/>
        <v>0</v>
      </c>
      <c r="AB118" t="s">
        <v>259</v>
      </c>
      <c r="AC118" t="s">
        <v>2690</v>
      </c>
      <c r="AD118" s="464"/>
      <c r="AE118" s="464"/>
      <c r="AF118" s="464"/>
      <c r="AG118" s="464">
        <v>0</v>
      </c>
      <c r="AH118" s="464">
        <v>0</v>
      </c>
      <c r="AJ118" s="464">
        <f t="shared" si="16"/>
        <v>0</v>
      </c>
      <c r="AM118" s="464">
        <f t="shared" si="17"/>
        <v>0</v>
      </c>
      <c r="AN118" s="464"/>
      <c r="AO118" s="464">
        <v>0</v>
      </c>
      <c r="AP118" s="317">
        <f t="shared" si="18"/>
        <v>0</v>
      </c>
      <c r="AQ118" s="317">
        <f t="shared" si="19"/>
        <v>0</v>
      </c>
      <c r="AS118" s="475">
        <v>-42602.327000000005</v>
      </c>
      <c r="AT118" s="174">
        <f t="shared" si="20"/>
        <v>-42602.327000000005</v>
      </c>
      <c r="AU118" s="174">
        <f t="shared" si="21"/>
        <v>0</v>
      </c>
    </row>
    <row r="119" spans="1:47">
      <c r="A119" t="s">
        <v>261</v>
      </c>
      <c r="B119" t="s">
        <v>2692</v>
      </c>
      <c r="C119" s="468">
        <v>0</v>
      </c>
      <c r="D119" s="468">
        <v>-8909.7000000000007</v>
      </c>
      <c r="E119" s="473">
        <v>-2382.4100000000035</v>
      </c>
      <c r="F119" s="474">
        <v>-30251.724000000017</v>
      </c>
      <c r="G119" s="450">
        <f t="shared" si="13"/>
        <v>-41543.834000000017</v>
      </c>
      <c r="I119" s="67">
        <f t="shared" si="14"/>
        <v>0</v>
      </c>
      <c r="J119" s="284" t="s">
        <v>261</v>
      </c>
      <c r="K119" t="s">
        <v>2693</v>
      </c>
      <c r="L119" s="448">
        <v>-30251.724000000017</v>
      </c>
      <c r="M119" s="67" t="s">
        <v>2591</v>
      </c>
      <c r="N119" s="317"/>
      <c r="P119" t="s">
        <v>261</v>
      </c>
      <c r="Q119" t="s">
        <v>2692</v>
      </c>
      <c r="R119" s="211"/>
      <c r="S119" s="211"/>
      <c r="T119" s="211">
        <v>-8909.7000000000007</v>
      </c>
      <c r="U119" s="274">
        <v>-2382.4100000000035</v>
      </c>
      <c r="V119" s="79">
        <f t="shared" si="22"/>
        <v>-11292.110000000004</v>
      </c>
      <c r="Z119" s="172">
        <f t="shared" si="15"/>
        <v>0</v>
      </c>
      <c r="AB119" t="s">
        <v>261</v>
      </c>
      <c r="AC119" t="s">
        <v>2692</v>
      </c>
      <c r="AD119" s="464"/>
      <c r="AE119" s="464"/>
      <c r="AF119" s="464">
        <v>-8909.7000000000007</v>
      </c>
      <c r="AG119" s="464">
        <v>-2382.4100000000035</v>
      </c>
      <c r="AH119" s="464">
        <v>-11292.110000000004</v>
      </c>
      <c r="AJ119" s="464">
        <f t="shared" si="16"/>
        <v>-11292.110000000004</v>
      </c>
      <c r="AM119" s="464">
        <f t="shared" si="17"/>
        <v>0</v>
      </c>
      <c r="AN119" s="464">
        <v>-8909.7000000000007</v>
      </c>
      <c r="AO119" s="464">
        <v>-2382.4100000000035</v>
      </c>
      <c r="AP119" s="317">
        <f t="shared" si="18"/>
        <v>-11292.110000000004</v>
      </c>
      <c r="AQ119" s="317">
        <f t="shared" si="19"/>
        <v>0</v>
      </c>
      <c r="AS119" s="475">
        <v>-30251.724000000017</v>
      </c>
      <c r="AT119" s="174">
        <f t="shared" si="20"/>
        <v>-41543.834000000017</v>
      </c>
      <c r="AU119" s="174">
        <f t="shared" si="21"/>
        <v>0</v>
      </c>
    </row>
    <row r="120" spans="1:47">
      <c r="A120" t="s">
        <v>263</v>
      </c>
      <c r="B120" t="s">
        <v>264</v>
      </c>
      <c r="C120" s="468">
        <v>0</v>
      </c>
      <c r="D120" s="468"/>
      <c r="E120" s="473">
        <v>-17612.550000000003</v>
      </c>
      <c r="F120" s="474">
        <v>-241103.59100000001</v>
      </c>
      <c r="G120" s="450">
        <f t="shared" si="13"/>
        <v>-258716.141</v>
      </c>
      <c r="I120" s="67">
        <f t="shared" si="14"/>
        <v>0</v>
      </c>
      <c r="J120" s="58" t="s">
        <v>263</v>
      </c>
      <c r="K120" t="s">
        <v>2694</v>
      </c>
      <c r="L120" s="448">
        <v>-241103.59100000001</v>
      </c>
      <c r="M120" s="67" t="s">
        <v>2591</v>
      </c>
      <c r="N120" s="317"/>
      <c r="P120" t="s">
        <v>263</v>
      </c>
      <c r="Q120" t="s">
        <v>264</v>
      </c>
      <c r="R120" s="211"/>
      <c r="S120" s="211"/>
      <c r="T120" s="211"/>
      <c r="U120" s="274">
        <v>-17612.550000000003</v>
      </c>
      <c r="V120" s="79">
        <f t="shared" si="22"/>
        <v>-17612.550000000003</v>
      </c>
      <c r="Z120" s="172">
        <f t="shared" si="15"/>
        <v>0</v>
      </c>
      <c r="AB120" t="s">
        <v>263</v>
      </c>
      <c r="AC120" t="s">
        <v>264</v>
      </c>
      <c r="AD120" s="464"/>
      <c r="AE120" s="464"/>
      <c r="AF120" s="464"/>
      <c r="AG120" s="464">
        <v>-17612.550000000003</v>
      </c>
      <c r="AH120" s="464">
        <v>-17612.550000000003</v>
      </c>
      <c r="AJ120" s="464">
        <f t="shared" si="16"/>
        <v>-17612.550000000003</v>
      </c>
      <c r="AM120" s="464">
        <f t="shared" si="17"/>
        <v>0</v>
      </c>
      <c r="AN120" s="464"/>
      <c r="AO120" s="464">
        <v>-17612.550000000003</v>
      </c>
      <c r="AP120" s="317">
        <f t="shared" si="18"/>
        <v>-17612.550000000003</v>
      </c>
      <c r="AQ120" s="317">
        <f t="shared" si="19"/>
        <v>0</v>
      </c>
      <c r="AS120" s="475">
        <v>-241103.59100000001</v>
      </c>
      <c r="AT120" s="174">
        <f t="shared" si="20"/>
        <v>-258716.141</v>
      </c>
      <c r="AU120" s="174">
        <f t="shared" si="21"/>
        <v>0</v>
      </c>
    </row>
    <row r="121" spans="1:47">
      <c r="A121" t="s">
        <v>265</v>
      </c>
      <c r="B121" t="s">
        <v>2695</v>
      </c>
      <c r="C121" s="468">
        <v>-91767.8</v>
      </c>
      <c r="D121" s="468">
        <v>-107667.65815240017</v>
      </c>
      <c r="E121" s="473">
        <v>-167245.39209293295</v>
      </c>
      <c r="F121" s="474">
        <v>-210487.62324812185</v>
      </c>
      <c r="G121" s="450">
        <f t="shared" si="13"/>
        <v>-577168.47349345498</v>
      </c>
      <c r="I121" s="67">
        <f t="shared" si="14"/>
        <v>0</v>
      </c>
      <c r="J121" s="58" t="s">
        <v>265</v>
      </c>
      <c r="K121" t="s">
        <v>266</v>
      </c>
      <c r="L121" s="448">
        <v>-210487.62324812185</v>
      </c>
      <c r="M121" s="67" t="s">
        <v>2591</v>
      </c>
      <c r="N121" s="317"/>
      <c r="P121" t="s">
        <v>265</v>
      </c>
      <c r="Q121" t="s">
        <v>2695</v>
      </c>
      <c r="R121" s="211">
        <v>-119572.23</v>
      </c>
      <c r="S121" s="211">
        <v>-91767.8</v>
      </c>
      <c r="T121" s="211">
        <v>-107667.65815240017</v>
      </c>
      <c r="U121" s="274">
        <v>-167245.39209293295</v>
      </c>
      <c r="V121" s="79">
        <f t="shared" si="22"/>
        <v>-486253.08024533314</v>
      </c>
      <c r="Z121" s="172">
        <f t="shared" si="15"/>
        <v>0</v>
      </c>
      <c r="AB121" t="s">
        <v>265</v>
      </c>
      <c r="AC121" t="s">
        <v>2695</v>
      </c>
      <c r="AD121" s="464">
        <v>-119572.23</v>
      </c>
      <c r="AE121" s="464">
        <v>-91767.8</v>
      </c>
      <c r="AF121" s="464">
        <v>-107667.65815240017</v>
      </c>
      <c r="AG121" s="464">
        <v>-167245.39209293295</v>
      </c>
      <c r="AH121" s="464">
        <v>-486253.08024533314</v>
      </c>
      <c r="AJ121" s="464">
        <f t="shared" si="16"/>
        <v>-366680.8502453331</v>
      </c>
      <c r="AM121" s="464">
        <f t="shared" si="17"/>
        <v>-91767.8</v>
      </c>
      <c r="AN121" s="464">
        <v>-107667.65815240017</v>
      </c>
      <c r="AO121" s="464">
        <v>-167245.39209293295</v>
      </c>
      <c r="AP121" s="317">
        <f t="shared" si="18"/>
        <v>-366680.8502453331</v>
      </c>
      <c r="AQ121" s="317">
        <f t="shared" si="19"/>
        <v>0</v>
      </c>
      <c r="AS121" s="475">
        <v>-210487.62324812185</v>
      </c>
      <c r="AT121" s="174">
        <f t="shared" si="20"/>
        <v>-577168.47349345498</v>
      </c>
      <c r="AU121" s="174">
        <f t="shared" si="21"/>
        <v>0</v>
      </c>
    </row>
    <row r="122" spans="1:47">
      <c r="A122" t="s">
        <v>267</v>
      </c>
      <c r="B122" t="s">
        <v>2696</v>
      </c>
      <c r="C122" s="468">
        <v>-14160.64</v>
      </c>
      <c r="D122" s="468">
        <v>-2670.8454049999973</v>
      </c>
      <c r="E122" s="473">
        <v>0</v>
      </c>
      <c r="F122" s="474">
        <v>4657.1590469999992</v>
      </c>
      <c r="G122" s="450">
        <f t="shared" si="13"/>
        <v>-12174.326357999997</v>
      </c>
      <c r="I122" s="67">
        <f t="shared" si="14"/>
        <v>0</v>
      </c>
      <c r="J122" s="58" t="s">
        <v>267</v>
      </c>
      <c r="K122" t="s">
        <v>268</v>
      </c>
      <c r="L122" s="448">
        <v>4657.1590469999992</v>
      </c>
      <c r="M122" s="67" t="s">
        <v>2591</v>
      </c>
      <c r="N122" s="317"/>
      <c r="P122" t="s">
        <v>267</v>
      </c>
      <c r="Q122" t="s">
        <v>2696</v>
      </c>
      <c r="R122" s="211">
        <v>-10481.48</v>
      </c>
      <c r="S122" s="211">
        <v>-14160.64</v>
      </c>
      <c r="T122" s="211">
        <v>-2670.8454049999973</v>
      </c>
      <c r="U122" s="274">
        <v>4831.9342140000008</v>
      </c>
      <c r="V122" s="79">
        <f t="shared" si="22"/>
        <v>-22481.031190999995</v>
      </c>
      <c r="Z122" s="172">
        <f t="shared" si="15"/>
        <v>0</v>
      </c>
      <c r="AB122" t="s">
        <v>267</v>
      </c>
      <c r="AC122" t="s">
        <v>2696</v>
      </c>
      <c r="AD122" s="464">
        <v>-5649.5457859999988</v>
      </c>
      <c r="AE122" s="464">
        <v>-14160.64</v>
      </c>
      <c r="AF122" s="464">
        <v>-2670.8454049999973</v>
      </c>
      <c r="AG122" s="464">
        <v>0</v>
      </c>
      <c r="AH122" s="464">
        <v>-22481.031190999995</v>
      </c>
      <c r="AJ122" s="464">
        <f t="shared" si="16"/>
        <v>-16831.485404999996</v>
      </c>
      <c r="AM122" s="464">
        <f t="shared" si="17"/>
        <v>-14160.64</v>
      </c>
      <c r="AN122" s="464">
        <v>-2670.8454049999973</v>
      </c>
      <c r="AO122" s="464">
        <v>0</v>
      </c>
      <c r="AP122" s="317">
        <f t="shared" si="18"/>
        <v>-16831.485404999996</v>
      </c>
      <c r="AQ122" s="317">
        <f t="shared" si="19"/>
        <v>0</v>
      </c>
      <c r="AS122" s="475">
        <v>4657.1590469999992</v>
      </c>
      <c r="AT122" s="174">
        <f t="shared" si="20"/>
        <v>-12174.326357999997</v>
      </c>
      <c r="AU122" s="174">
        <f t="shared" si="21"/>
        <v>0</v>
      </c>
    </row>
    <row r="123" spans="1:47">
      <c r="A123" t="s">
        <v>269</v>
      </c>
      <c r="B123" t="s">
        <v>2697</v>
      </c>
      <c r="C123" s="468">
        <v>175515.00000000489</v>
      </c>
      <c r="D123" s="468">
        <v>-2346486.6339160004</v>
      </c>
      <c r="E123" s="473">
        <v>-918099.25197771378</v>
      </c>
      <c r="F123" s="474">
        <v>-1198436.5395777095</v>
      </c>
      <c r="G123" s="450">
        <f t="shared" si="13"/>
        <v>-4287507.4254714185</v>
      </c>
      <c r="I123" s="67">
        <f t="shared" si="14"/>
        <v>0</v>
      </c>
      <c r="J123" s="58" t="s">
        <v>269</v>
      </c>
      <c r="K123" t="s">
        <v>270</v>
      </c>
      <c r="L123" s="448">
        <v>-1198436.5395777095</v>
      </c>
      <c r="M123" s="67" t="s">
        <v>2591</v>
      </c>
      <c r="N123" s="317"/>
      <c r="P123" t="s">
        <v>269</v>
      </c>
      <c r="Q123" t="s">
        <v>2697</v>
      </c>
      <c r="R123" s="211">
        <v>1818051.0200000049</v>
      </c>
      <c r="S123" s="211">
        <v>-1642536.02</v>
      </c>
      <c r="T123" s="211">
        <v>-2346486.6339160004</v>
      </c>
      <c r="U123" s="274">
        <v>-918099.25197771378</v>
      </c>
      <c r="V123" s="79">
        <f t="shared" si="22"/>
        <v>-3089070.885893709</v>
      </c>
      <c r="Z123" s="172">
        <f t="shared" si="15"/>
        <v>0</v>
      </c>
      <c r="AB123" t="s">
        <v>269</v>
      </c>
      <c r="AC123" t="s">
        <v>2697</v>
      </c>
      <c r="AD123" s="464">
        <v>1818051.0200000049</v>
      </c>
      <c r="AE123" s="464">
        <v>-1642536.02</v>
      </c>
      <c r="AF123" s="464">
        <v>-2346486.6339160004</v>
      </c>
      <c r="AG123" s="464">
        <v>-918099.25197771378</v>
      </c>
      <c r="AH123" s="464">
        <v>-3089070.885893709</v>
      </c>
      <c r="AJ123" s="464">
        <f t="shared" si="16"/>
        <v>-4907121.9058937142</v>
      </c>
      <c r="AM123" s="465">
        <f>+AD123+AE123</f>
        <v>175515.00000000489</v>
      </c>
      <c r="AN123" s="464">
        <v>-2346486.6339160004</v>
      </c>
      <c r="AO123" s="464">
        <v>-918099.25197771378</v>
      </c>
      <c r="AP123" s="317">
        <f t="shared" si="18"/>
        <v>-3089070.885893709</v>
      </c>
      <c r="AQ123" s="466">
        <f>+AP123-AH123</f>
        <v>0</v>
      </c>
      <c r="AS123" s="475">
        <v>-1198436.5395777095</v>
      </c>
      <c r="AT123" s="174">
        <f t="shared" si="20"/>
        <v>-4287507.4254714185</v>
      </c>
      <c r="AU123" s="174">
        <f t="shared" si="21"/>
        <v>0</v>
      </c>
    </row>
    <row r="124" spans="1:47">
      <c r="A124" t="s">
        <v>271</v>
      </c>
      <c r="B124" t="s">
        <v>2698</v>
      </c>
      <c r="C124" s="468">
        <v>-47035.65</v>
      </c>
      <c r="D124" s="468">
        <v>-52751.261396000002</v>
      </c>
      <c r="E124" s="473">
        <v>-48998.472947999995</v>
      </c>
      <c r="F124" s="474">
        <v>-43618.069631999984</v>
      </c>
      <c r="G124" s="450">
        <f t="shared" si="13"/>
        <v>-192403.45397600002</v>
      </c>
      <c r="I124" s="67">
        <f t="shared" si="14"/>
        <v>0</v>
      </c>
      <c r="J124" s="58" t="s">
        <v>271</v>
      </c>
      <c r="K124" t="s">
        <v>272</v>
      </c>
      <c r="L124" s="448">
        <v>-43618.069631999984</v>
      </c>
      <c r="M124" s="67" t="s">
        <v>2591</v>
      </c>
      <c r="N124" s="317"/>
      <c r="P124" t="s">
        <v>271</v>
      </c>
      <c r="Q124" t="s">
        <v>2698</v>
      </c>
      <c r="R124" s="211">
        <v>-38899.71</v>
      </c>
      <c r="S124" s="211">
        <v>-47035.65</v>
      </c>
      <c r="T124" s="211">
        <v>-52751.261396000002</v>
      </c>
      <c r="U124" s="274">
        <v>-48998.472947999995</v>
      </c>
      <c r="V124" s="79">
        <f t="shared" si="22"/>
        <v>-187685.09434399998</v>
      </c>
      <c r="Z124" s="172">
        <f t="shared" si="15"/>
        <v>0</v>
      </c>
      <c r="AB124" t="s">
        <v>271</v>
      </c>
      <c r="AC124" t="s">
        <v>2698</v>
      </c>
      <c r="AD124" s="464">
        <v>-38899.71</v>
      </c>
      <c r="AE124" s="464">
        <v>-47035.65</v>
      </c>
      <c r="AF124" s="464">
        <v>-52751.261396000002</v>
      </c>
      <c r="AG124" s="464">
        <v>-48998.472947999995</v>
      </c>
      <c r="AH124" s="464">
        <v>-187685.09434399998</v>
      </c>
      <c r="AJ124" s="464">
        <f t="shared" si="16"/>
        <v>-148785.38434400002</v>
      </c>
      <c r="AM124" s="464">
        <f t="shared" si="17"/>
        <v>-47035.65</v>
      </c>
      <c r="AN124" s="464">
        <v>-52751.261396000002</v>
      </c>
      <c r="AO124" s="464">
        <v>-48998.472947999995</v>
      </c>
      <c r="AP124" s="317">
        <f t="shared" si="18"/>
        <v>-148785.38434400002</v>
      </c>
      <c r="AQ124" s="317">
        <f t="shared" si="19"/>
        <v>0</v>
      </c>
      <c r="AS124" s="475">
        <v>-43618.069631999984</v>
      </c>
      <c r="AT124" s="174">
        <f t="shared" si="20"/>
        <v>-192403.45397600002</v>
      </c>
      <c r="AU124" s="174">
        <f t="shared" si="21"/>
        <v>0</v>
      </c>
    </row>
    <row r="125" spans="1:47">
      <c r="A125" t="s">
        <v>273</v>
      </c>
      <c r="B125" t="s">
        <v>2699</v>
      </c>
      <c r="C125" s="468">
        <v>-65498.96</v>
      </c>
      <c r="D125" s="468">
        <v>-85085.197545000046</v>
      </c>
      <c r="E125" s="473">
        <v>-60012.227355000097</v>
      </c>
      <c r="F125" s="474">
        <v>-147135.84143800003</v>
      </c>
      <c r="G125" s="450">
        <f t="shared" si="13"/>
        <v>-357732.22633800015</v>
      </c>
      <c r="I125" s="67">
        <f t="shared" si="14"/>
        <v>0</v>
      </c>
      <c r="J125" s="58" t="s">
        <v>273</v>
      </c>
      <c r="K125" t="s">
        <v>274</v>
      </c>
      <c r="L125" s="448">
        <v>-147135.84143800003</v>
      </c>
      <c r="M125" s="67" t="s">
        <v>2591</v>
      </c>
      <c r="N125" s="317"/>
      <c r="P125" t="s">
        <v>273</v>
      </c>
      <c r="Q125" t="s">
        <v>2699</v>
      </c>
      <c r="R125" s="211">
        <v>-45003.77</v>
      </c>
      <c r="S125" s="211">
        <v>-65498.96</v>
      </c>
      <c r="T125" s="211">
        <v>-85085.197545000046</v>
      </c>
      <c r="U125" s="274">
        <v>-60012.227355000097</v>
      </c>
      <c r="V125" s="79">
        <f t="shared" si="22"/>
        <v>-255600.15490000014</v>
      </c>
      <c r="Z125" s="172">
        <f t="shared" si="15"/>
        <v>0</v>
      </c>
      <c r="AB125" t="s">
        <v>273</v>
      </c>
      <c r="AC125" t="s">
        <v>2699</v>
      </c>
      <c r="AD125" s="464">
        <v>-45003.77</v>
      </c>
      <c r="AE125" s="464">
        <v>-65498.96</v>
      </c>
      <c r="AF125" s="464">
        <v>-85085.197545000046</v>
      </c>
      <c r="AG125" s="464">
        <v>-60012.227355000097</v>
      </c>
      <c r="AH125" s="464">
        <v>-255600.15490000014</v>
      </c>
      <c r="AJ125" s="464">
        <f t="shared" si="16"/>
        <v>-210596.38490000015</v>
      </c>
      <c r="AM125" s="464">
        <f t="shared" si="17"/>
        <v>-65498.96</v>
      </c>
      <c r="AN125" s="464">
        <v>-85085.197545000046</v>
      </c>
      <c r="AO125" s="464">
        <v>-60012.227355000097</v>
      </c>
      <c r="AP125" s="317">
        <f t="shared" si="18"/>
        <v>-210596.38490000015</v>
      </c>
      <c r="AQ125" s="317">
        <f t="shared" si="19"/>
        <v>0</v>
      </c>
      <c r="AS125" s="475">
        <v>-147135.84143800003</v>
      </c>
      <c r="AT125" s="174">
        <f t="shared" si="20"/>
        <v>-357732.22633800015</v>
      </c>
      <c r="AU125" s="174">
        <f t="shared" si="21"/>
        <v>0</v>
      </c>
    </row>
    <row r="126" spans="1:47">
      <c r="A126" t="s">
        <v>275</v>
      </c>
      <c r="B126" t="s">
        <v>2700</v>
      </c>
      <c r="C126" s="468">
        <v>-86505.2</v>
      </c>
      <c r="D126" s="468">
        <v>-72719.312998000009</v>
      </c>
      <c r="E126" s="473">
        <v>-73331.968751000008</v>
      </c>
      <c r="F126" s="474">
        <v>-49834.570235000007</v>
      </c>
      <c r="G126" s="450">
        <f t="shared" si="13"/>
        <v>-282391.05198400002</v>
      </c>
      <c r="I126" s="67">
        <f t="shared" si="14"/>
        <v>0</v>
      </c>
      <c r="J126" s="58" t="s">
        <v>275</v>
      </c>
      <c r="K126" t="s">
        <v>276</v>
      </c>
      <c r="L126" s="448">
        <v>-49834.570235000007</v>
      </c>
      <c r="M126" s="67" t="s">
        <v>2591</v>
      </c>
      <c r="N126" s="317"/>
      <c r="P126" t="s">
        <v>275</v>
      </c>
      <c r="Q126" t="s">
        <v>2700</v>
      </c>
      <c r="R126" s="211">
        <v>-86252.62</v>
      </c>
      <c r="S126" s="211">
        <v>-86505.2</v>
      </c>
      <c r="T126" s="211">
        <v>-72719.312998000009</v>
      </c>
      <c r="U126" s="274">
        <v>-73331.968751000008</v>
      </c>
      <c r="V126" s="79">
        <f t="shared" si="22"/>
        <v>-318809.10174900002</v>
      </c>
      <c r="Z126" s="172">
        <f t="shared" si="15"/>
        <v>0</v>
      </c>
      <c r="AB126" t="s">
        <v>275</v>
      </c>
      <c r="AC126" t="s">
        <v>2700</v>
      </c>
      <c r="AD126" s="464">
        <v>-86252.62</v>
      </c>
      <c r="AE126" s="464">
        <v>-86505.2</v>
      </c>
      <c r="AF126" s="464">
        <v>-72719.312998000009</v>
      </c>
      <c r="AG126" s="464">
        <v>-73331.968751000008</v>
      </c>
      <c r="AH126" s="464">
        <v>-318809.10174900002</v>
      </c>
      <c r="AJ126" s="464">
        <f t="shared" si="16"/>
        <v>-232556.48174900003</v>
      </c>
      <c r="AM126" s="464">
        <f t="shared" si="17"/>
        <v>-86505.2</v>
      </c>
      <c r="AN126" s="464">
        <v>-72719.312998000009</v>
      </c>
      <c r="AO126" s="464">
        <v>-73331.968751000008</v>
      </c>
      <c r="AP126" s="317">
        <f t="shared" si="18"/>
        <v>-232556.48174900003</v>
      </c>
      <c r="AQ126" s="317">
        <f t="shared" si="19"/>
        <v>0</v>
      </c>
      <c r="AS126" s="475">
        <v>-49834.570235000007</v>
      </c>
      <c r="AT126" s="174">
        <f t="shared" si="20"/>
        <v>-282391.05198400002</v>
      </c>
      <c r="AU126" s="174">
        <f t="shared" si="21"/>
        <v>0</v>
      </c>
    </row>
    <row r="127" spans="1:47">
      <c r="A127" t="s">
        <v>277</v>
      </c>
      <c r="B127" t="s">
        <v>2701</v>
      </c>
      <c r="C127" s="468">
        <v>-251728.97</v>
      </c>
      <c r="D127" s="468">
        <v>-643169.5267759813</v>
      </c>
      <c r="E127" s="473">
        <v>-126757.00728404755</v>
      </c>
      <c r="F127" s="474">
        <v>-207582.31249369332</v>
      </c>
      <c r="G127" s="450">
        <f t="shared" si="13"/>
        <v>-1229237.8165537221</v>
      </c>
      <c r="I127" s="67">
        <f t="shared" si="14"/>
        <v>0</v>
      </c>
      <c r="J127" s="58" t="s">
        <v>277</v>
      </c>
      <c r="K127" t="s">
        <v>278</v>
      </c>
      <c r="L127" s="448">
        <v>-207582.31249369332</v>
      </c>
      <c r="M127" s="67" t="s">
        <v>2591</v>
      </c>
      <c r="N127" s="317"/>
      <c r="P127" t="s">
        <v>277</v>
      </c>
      <c r="Q127" t="s">
        <v>2701</v>
      </c>
      <c r="R127" s="211">
        <v>-556013.54</v>
      </c>
      <c r="S127" s="211">
        <v>-251728.97</v>
      </c>
      <c r="T127" s="211">
        <v>-643169.5267759813</v>
      </c>
      <c r="U127" s="274">
        <v>-126757.00728404755</v>
      </c>
      <c r="V127" s="79">
        <f t="shared" si="22"/>
        <v>-1577669.0440600289</v>
      </c>
      <c r="Z127" s="172">
        <f t="shared" si="15"/>
        <v>0</v>
      </c>
      <c r="AB127" t="s">
        <v>277</v>
      </c>
      <c r="AC127" t="s">
        <v>2701</v>
      </c>
      <c r="AD127" s="464">
        <v>-556013.54</v>
      </c>
      <c r="AE127" s="464">
        <v>-251728.97</v>
      </c>
      <c r="AF127" s="464">
        <v>-643169.5267759813</v>
      </c>
      <c r="AG127" s="464">
        <v>-126757.00728404755</v>
      </c>
      <c r="AH127" s="464">
        <v>-1577669.0440600289</v>
      </c>
      <c r="AJ127" s="464">
        <f t="shared" si="16"/>
        <v>-1021655.5040600288</v>
      </c>
      <c r="AM127" s="464">
        <f t="shared" si="17"/>
        <v>-251728.97</v>
      </c>
      <c r="AN127" s="464">
        <v>-643169.5267759813</v>
      </c>
      <c r="AO127" s="464">
        <v>-126757.00728404755</v>
      </c>
      <c r="AP127" s="317">
        <f t="shared" si="18"/>
        <v>-1021655.5040600288</v>
      </c>
      <c r="AQ127" s="317">
        <f t="shared" si="19"/>
        <v>0</v>
      </c>
      <c r="AS127" s="475">
        <v>-207582.31249369332</v>
      </c>
      <c r="AT127" s="174">
        <f t="shared" si="20"/>
        <v>-1229237.8165537221</v>
      </c>
      <c r="AU127" s="174">
        <f t="shared" si="21"/>
        <v>0</v>
      </c>
    </row>
    <row r="128" spans="1:47">
      <c r="A128" t="s">
        <v>279</v>
      </c>
      <c r="B128" t="s">
        <v>2702</v>
      </c>
      <c r="C128" s="468">
        <v>-409020.59</v>
      </c>
      <c r="D128" s="468">
        <v>-514059.97149599809</v>
      </c>
      <c r="E128" s="473">
        <v>1873120.7494391166</v>
      </c>
      <c r="F128" s="474">
        <v>1460532.8383244043</v>
      </c>
      <c r="G128" s="450">
        <f t="shared" si="13"/>
        <v>2410573.0262675229</v>
      </c>
      <c r="I128" s="67">
        <f t="shared" si="14"/>
        <v>0</v>
      </c>
      <c r="J128" s="58" t="s">
        <v>279</v>
      </c>
      <c r="K128" t="s">
        <v>280</v>
      </c>
      <c r="L128" s="448">
        <v>1460532.8383244043</v>
      </c>
      <c r="M128" s="67" t="s">
        <v>2591</v>
      </c>
      <c r="N128" s="317"/>
      <c r="P128" t="s">
        <v>279</v>
      </c>
      <c r="Q128" t="s">
        <v>2702</v>
      </c>
      <c r="R128" s="211">
        <v>-1039119.16</v>
      </c>
      <c r="S128" s="211">
        <v>-409020.59</v>
      </c>
      <c r="T128" s="211">
        <v>-514059.97149599809</v>
      </c>
      <c r="U128" s="274">
        <v>1873120.7494391166</v>
      </c>
      <c r="V128" s="79">
        <f t="shared" si="22"/>
        <v>-89078.972056881525</v>
      </c>
      <c r="Z128" s="172">
        <f t="shared" si="15"/>
        <v>0</v>
      </c>
      <c r="AB128" t="s">
        <v>279</v>
      </c>
      <c r="AC128" t="s">
        <v>2702</v>
      </c>
      <c r="AD128" s="464">
        <v>-1039119.16</v>
      </c>
      <c r="AE128" s="464">
        <v>-409020.59</v>
      </c>
      <c r="AF128" s="464">
        <v>-514059.97149599809</v>
      </c>
      <c r="AG128" s="464">
        <v>1873120.7494391166</v>
      </c>
      <c r="AH128" s="464">
        <v>-89078.972056881525</v>
      </c>
      <c r="AJ128" s="464">
        <f t="shared" si="16"/>
        <v>950040.18794311839</v>
      </c>
      <c r="AM128" s="464">
        <f t="shared" si="17"/>
        <v>-409020.59</v>
      </c>
      <c r="AN128" s="464">
        <v>-514059.97149599809</v>
      </c>
      <c r="AO128" s="464">
        <v>1873120.7494391166</v>
      </c>
      <c r="AP128" s="317">
        <f t="shared" si="18"/>
        <v>950040.18794311839</v>
      </c>
      <c r="AQ128" s="317">
        <f t="shared" si="19"/>
        <v>0</v>
      </c>
      <c r="AS128" s="475">
        <v>1460532.8383244043</v>
      </c>
      <c r="AT128" s="174">
        <f t="shared" si="20"/>
        <v>2410573.0262675229</v>
      </c>
      <c r="AU128" s="174">
        <f t="shared" si="21"/>
        <v>0</v>
      </c>
    </row>
    <row r="129" spans="1:47">
      <c r="A129" t="s">
        <v>281</v>
      </c>
      <c r="B129" t="s">
        <v>2703</v>
      </c>
      <c r="C129" s="468">
        <v>1064079.0399999996</v>
      </c>
      <c r="D129" s="468">
        <v>1397183.8477007186</v>
      </c>
      <c r="E129" s="473">
        <v>1425514.1100778133</v>
      </c>
      <c r="F129" s="474">
        <v>-1547861.0024221239</v>
      </c>
      <c r="G129" s="450">
        <f t="shared" si="13"/>
        <v>2338915.995356407</v>
      </c>
      <c r="I129" s="67">
        <f t="shared" si="14"/>
        <v>0</v>
      </c>
      <c r="J129" s="58" t="s">
        <v>281</v>
      </c>
      <c r="K129" t="s">
        <v>282</v>
      </c>
      <c r="L129" s="448">
        <v>-1547861.0024221239</v>
      </c>
      <c r="M129" s="67" t="s">
        <v>2591</v>
      </c>
      <c r="N129" s="317"/>
      <c r="P129" t="s">
        <v>281</v>
      </c>
      <c r="Q129" t="s">
        <v>2703</v>
      </c>
      <c r="R129" s="211">
        <v>1530506.3299999996</v>
      </c>
      <c r="S129" s="211">
        <v>-466427.29</v>
      </c>
      <c r="T129" s="211">
        <v>1397183.8477007186</v>
      </c>
      <c r="U129" s="274">
        <v>1425514.1100778133</v>
      </c>
      <c r="V129" s="79">
        <f t="shared" si="22"/>
        <v>3886776.9977785312</v>
      </c>
      <c r="Z129" s="172">
        <f t="shared" si="15"/>
        <v>0</v>
      </c>
      <c r="AB129" t="s">
        <v>281</v>
      </c>
      <c r="AC129" t="s">
        <v>2703</v>
      </c>
      <c r="AD129" s="464">
        <v>1530506.3299999996</v>
      </c>
      <c r="AE129" s="464">
        <v>-466427.29</v>
      </c>
      <c r="AF129" s="464">
        <v>1397183.8477007186</v>
      </c>
      <c r="AG129" s="464">
        <v>1425514.1100778133</v>
      </c>
      <c r="AH129" s="464">
        <v>3886776.9977785312</v>
      </c>
      <c r="AJ129" s="464">
        <f t="shared" si="16"/>
        <v>2356270.667778532</v>
      </c>
      <c r="AM129" s="465">
        <f>+AD129+AE129</f>
        <v>1064079.0399999996</v>
      </c>
      <c r="AN129" s="464">
        <v>1397183.8477007186</v>
      </c>
      <c r="AO129" s="464">
        <v>1425514.1100778133</v>
      </c>
      <c r="AP129" s="317">
        <f t="shared" si="18"/>
        <v>3886776.9977785312</v>
      </c>
      <c r="AQ129" s="466">
        <f>+AP129-AH129</f>
        <v>0</v>
      </c>
      <c r="AS129" s="475">
        <v>-1547861.0024221239</v>
      </c>
      <c r="AT129" s="174">
        <f t="shared" si="20"/>
        <v>2338915.995356407</v>
      </c>
      <c r="AU129" s="174">
        <f t="shared" si="21"/>
        <v>0</v>
      </c>
    </row>
    <row r="130" spans="1:47">
      <c r="A130" t="s">
        <v>283</v>
      </c>
      <c r="B130" t="s">
        <v>2704</v>
      </c>
      <c r="C130" s="468">
        <v>-22632.880000000001</v>
      </c>
      <c r="D130" s="468">
        <v>-73647.599533660672</v>
      </c>
      <c r="E130" s="473">
        <v>-74683.690240586642</v>
      </c>
      <c r="F130" s="474">
        <v>-38543.608959522709</v>
      </c>
      <c r="G130" s="450">
        <f t="shared" si="13"/>
        <v>-209507.77873377004</v>
      </c>
      <c r="I130" s="67">
        <f t="shared" si="14"/>
        <v>0</v>
      </c>
      <c r="J130" s="58" t="s">
        <v>283</v>
      </c>
      <c r="K130" t="s">
        <v>284</v>
      </c>
      <c r="L130" s="448">
        <v>-38543.608959522709</v>
      </c>
      <c r="M130" s="67" t="s">
        <v>2591</v>
      </c>
      <c r="N130" s="317"/>
      <c r="P130" t="s">
        <v>283</v>
      </c>
      <c r="Q130" t="s">
        <v>2704</v>
      </c>
      <c r="R130" s="211">
        <v>-27992.16</v>
      </c>
      <c r="S130" s="211">
        <v>-22632.880000000001</v>
      </c>
      <c r="T130" s="211">
        <v>-73647.599533660672</v>
      </c>
      <c r="U130" s="274">
        <v>-74683.690240586642</v>
      </c>
      <c r="V130" s="79">
        <f t="shared" si="22"/>
        <v>-198956.32977424731</v>
      </c>
      <c r="Z130" s="172">
        <f t="shared" si="15"/>
        <v>0</v>
      </c>
      <c r="AB130" t="s">
        <v>283</v>
      </c>
      <c r="AC130" t="s">
        <v>2704</v>
      </c>
      <c r="AD130" s="464">
        <v>-27992.16</v>
      </c>
      <c r="AE130" s="464">
        <v>-22632.880000000001</v>
      </c>
      <c r="AF130" s="464">
        <v>-73647.599533660672</v>
      </c>
      <c r="AG130" s="464">
        <v>-74683.690240586642</v>
      </c>
      <c r="AH130" s="464">
        <v>-198956.32977424731</v>
      </c>
      <c r="AJ130" s="464">
        <f t="shared" si="16"/>
        <v>-170964.16977424733</v>
      </c>
      <c r="AM130" s="464">
        <f t="shared" si="17"/>
        <v>-22632.880000000001</v>
      </c>
      <c r="AN130" s="464">
        <v>-73647.599533660672</v>
      </c>
      <c r="AO130" s="464">
        <v>-74683.690240586642</v>
      </c>
      <c r="AP130" s="317">
        <f t="shared" si="18"/>
        <v>-170964.16977424733</v>
      </c>
      <c r="AQ130" s="317">
        <f t="shared" si="19"/>
        <v>0</v>
      </c>
      <c r="AS130" s="475">
        <v>-38543.608959522709</v>
      </c>
      <c r="AT130" s="174">
        <f t="shared" si="20"/>
        <v>-209507.77873377004</v>
      </c>
      <c r="AU130" s="174">
        <f t="shared" si="21"/>
        <v>0</v>
      </c>
    </row>
    <row r="131" spans="1:47">
      <c r="A131" t="s">
        <v>285</v>
      </c>
      <c r="B131" t="s">
        <v>2705</v>
      </c>
      <c r="C131" s="468">
        <v>-113441.34</v>
      </c>
      <c r="D131" s="468">
        <v>-19041.925214999821</v>
      </c>
      <c r="E131" s="473">
        <v>5126.2600349999266</v>
      </c>
      <c r="F131" s="474">
        <v>-159836.59232700005</v>
      </c>
      <c r="G131" s="450">
        <f t="shared" si="13"/>
        <v>-287193.59750699997</v>
      </c>
      <c r="I131" s="67">
        <f t="shared" si="14"/>
        <v>0</v>
      </c>
      <c r="J131" s="58" t="s">
        <v>285</v>
      </c>
      <c r="K131" t="s">
        <v>2705</v>
      </c>
      <c r="L131" s="448">
        <v>-159836.59232700005</v>
      </c>
      <c r="M131" s="67" t="s">
        <v>2591</v>
      </c>
      <c r="N131" s="317"/>
      <c r="P131" t="s">
        <v>285</v>
      </c>
      <c r="Q131" t="s">
        <v>2705</v>
      </c>
      <c r="R131" s="211">
        <v>-71029.490000000005</v>
      </c>
      <c r="S131" s="211">
        <v>-113441.34</v>
      </c>
      <c r="T131" s="211">
        <v>-19041.925214999821</v>
      </c>
      <c r="U131" s="274">
        <v>5126.2600349999266</v>
      </c>
      <c r="V131" s="79">
        <f t="shared" si="22"/>
        <v>-198386.49517999991</v>
      </c>
      <c r="Z131" s="172">
        <f t="shared" si="15"/>
        <v>0</v>
      </c>
      <c r="AB131" t="s">
        <v>285</v>
      </c>
      <c r="AC131" t="s">
        <v>2705</v>
      </c>
      <c r="AD131" s="464">
        <v>-71029.490000000005</v>
      </c>
      <c r="AE131" s="464">
        <v>-113441.34</v>
      </c>
      <c r="AF131" s="464">
        <v>-19041.925214999821</v>
      </c>
      <c r="AG131" s="464">
        <v>5126.2600349999266</v>
      </c>
      <c r="AH131" s="464">
        <v>-198386.49517999991</v>
      </c>
      <c r="AJ131" s="464">
        <f t="shared" si="16"/>
        <v>-127357.00517999989</v>
      </c>
      <c r="AM131" s="464">
        <f t="shared" si="17"/>
        <v>-113441.34</v>
      </c>
      <c r="AN131" s="464">
        <v>-19041.925214999821</v>
      </c>
      <c r="AO131" s="464">
        <v>5126.2600349999266</v>
      </c>
      <c r="AP131" s="317">
        <f t="shared" si="18"/>
        <v>-127357.00517999989</v>
      </c>
      <c r="AQ131" s="317">
        <f t="shared" si="19"/>
        <v>0</v>
      </c>
      <c r="AS131" s="475">
        <v>-159836.59232700005</v>
      </c>
      <c r="AT131" s="174">
        <f t="shared" si="20"/>
        <v>-287193.59750699997</v>
      </c>
      <c r="AU131" s="174">
        <f t="shared" si="21"/>
        <v>0</v>
      </c>
    </row>
    <row r="132" spans="1:47">
      <c r="A132" t="s">
        <v>287</v>
      </c>
      <c r="B132" t="s">
        <v>2706</v>
      </c>
      <c r="C132" s="468">
        <v>-126683.17</v>
      </c>
      <c r="D132" s="468">
        <v>0</v>
      </c>
      <c r="E132" s="473">
        <v>0</v>
      </c>
      <c r="F132" s="474">
        <v>-52186.866178000011</v>
      </c>
      <c r="G132" s="450">
        <f t="shared" si="13"/>
        <v>-178870.03617800001</v>
      </c>
      <c r="I132" s="67">
        <f t="shared" si="14"/>
        <v>0</v>
      </c>
      <c r="J132" s="58" t="s">
        <v>287</v>
      </c>
      <c r="K132" t="s">
        <v>288</v>
      </c>
      <c r="L132" s="448">
        <v>-52186.866178000011</v>
      </c>
      <c r="M132" s="67" t="s">
        <v>2591</v>
      </c>
      <c r="N132" s="317"/>
      <c r="P132" t="s">
        <v>287</v>
      </c>
      <c r="Q132" t="s">
        <v>2706</v>
      </c>
      <c r="R132" s="211">
        <v>-122959.67</v>
      </c>
      <c r="S132" s="211">
        <v>-126683.17</v>
      </c>
      <c r="T132" s="211">
        <v>4635.9290399999918</v>
      </c>
      <c r="U132" s="274">
        <v>69295.254334999889</v>
      </c>
      <c r="V132" s="79">
        <f t="shared" si="22"/>
        <v>-175711.65662500012</v>
      </c>
      <c r="Z132" s="172">
        <f t="shared" si="15"/>
        <v>0</v>
      </c>
      <c r="AB132" t="s">
        <v>287</v>
      </c>
      <c r="AC132" t="s">
        <v>2706</v>
      </c>
      <c r="AD132" s="464">
        <v>-49028.486625000121</v>
      </c>
      <c r="AE132" s="464">
        <v>-126683.17</v>
      </c>
      <c r="AF132" s="464">
        <v>0</v>
      </c>
      <c r="AG132" s="464">
        <v>0</v>
      </c>
      <c r="AH132" s="464">
        <v>-175711.65662500012</v>
      </c>
      <c r="AJ132" s="464">
        <f t="shared" si="16"/>
        <v>-126683.17</v>
      </c>
      <c r="AM132" s="464">
        <f t="shared" si="17"/>
        <v>-126683.17</v>
      </c>
      <c r="AN132" s="464">
        <v>0</v>
      </c>
      <c r="AO132" s="464">
        <v>0</v>
      </c>
      <c r="AP132" s="317">
        <f t="shared" si="18"/>
        <v>-126683.17</v>
      </c>
      <c r="AQ132" s="317">
        <f t="shared" si="19"/>
        <v>0</v>
      </c>
      <c r="AS132" s="475">
        <v>-52186.866178000011</v>
      </c>
      <c r="AT132" s="174">
        <f t="shared" si="20"/>
        <v>-178870.03617800001</v>
      </c>
      <c r="AU132" s="174">
        <f t="shared" si="21"/>
        <v>0</v>
      </c>
    </row>
    <row r="133" spans="1:47">
      <c r="A133" t="s">
        <v>289</v>
      </c>
      <c r="B133" t="s">
        <v>290</v>
      </c>
      <c r="C133" s="468">
        <v>-81333.509999999995</v>
      </c>
      <c r="D133" s="468">
        <v>-55435.333620000019</v>
      </c>
      <c r="E133" s="473">
        <v>-79225.946079999994</v>
      </c>
      <c r="F133" s="474">
        <v>-28852.619999999944</v>
      </c>
      <c r="G133" s="450">
        <f t="shared" si="13"/>
        <v>-244847.40969999993</v>
      </c>
      <c r="I133" s="67">
        <f t="shared" si="14"/>
        <v>0</v>
      </c>
      <c r="J133" s="58" t="s">
        <v>289</v>
      </c>
      <c r="K133" t="s">
        <v>290</v>
      </c>
      <c r="L133" s="448">
        <v>-28852.619999999944</v>
      </c>
      <c r="M133" s="67" t="s">
        <v>2591</v>
      </c>
      <c r="N133" s="317"/>
      <c r="P133" t="s">
        <v>289</v>
      </c>
      <c r="Q133" t="s">
        <v>290</v>
      </c>
      <c r="R133" s="211">
        <v>-96378.98</v>
      </c>
      <c r="S133" s="211">
        <v>-81333.509999999995</v>
      </c>
      <c r="T133" s="211">
        <v>-55435.333620000019</v>
      </c>
      <c r="U133" s="274">
        <v>-79225.946079999994</v>
      </c>
      <c r="V133" s="79">
        <f t="shared" si="22"/>
        <v>-312373.7697</v>
      </c>
      <c r="Z133" s="172">
        <f t="shared" si="15"/>
        <v>0</v>
      </c>
      <c r="AB133" t="s">
        <v>289</v>
      </c>
      <c r="AC133" t="s">
        <v>290</v>
      </c>
      <c r="AD133" s="464">
        <v>-96378.98</v>
      </c>
      <c r="AE133" s="464">
        <v>-81333.509999999995</v>
      </c>
      <c r="AF133" s="464">
        <v>-55435.333620000019</v>
      </c>
      <c r="AG133" s="464">
        <v>-79225.946079999994</v>
      </c>
      <c r="AH133" s="464">
        <v>-312373.7697</v>
      </c>
      <c r="AJ133" s="464">
        <f t="shared" si="16"/>
        <v>-215994.78969999999</v>
      </c>
      <c r="AM133" s="464">
        <f t="shared" si="17"/>
        <v>-81333.509999999995</v>
      </c>
      <c r="AN133" s="464">
        <v>-55435.333620000019</v>
      </c>
      <c r="AO133" s="464">
        <v>-79225.946079999994</v>
      </c>
      <c r="AP133" s="317">
        <f t="shared" si="18"/>
        <v>-215994.78969999999</v>
      </c>
      <c r="AQ133" s="317">
        <f t="shared" si="19"/>
        <v>0</v>
      </c>
      <c r="AS133" s="475">
        <v>-28852.619999999944</v>
      </c>
      <c r="AT133" s="174">
        <f t="shared" si="20"/>
        <v>-244847.40969999993</v>
      </c>
      <c r="AU133" s="174">
        <f t="shared" si="21"/>
        <v>0</v>
      </c>
    </row>
    <row r="134" spans="1:47">
      <c r="A134" t="s">
        <v>293</v>
      </c>
      <c r="B134" t="s">
        <v>2707</v>
      </c>
      <c r="C134" s="468">
        <v>-207842.92</v>
      </c>
      <c r="D134" s="468">
        <v>-320978.99953200005</v>
      </c>
      <c r="E134" s="473">
        <v>0</v>
      </c>
      <c r="F134" s="474">
        <v>-112047.04512600007</v>
      </c>
      <c r="G134" s="450">
        <f t="shared" si="13"/>
        <v>-640868.96465800016</v>
      </c>
      <c r="I134" s="67">
        <f t="shared" si="14"/>
        <v>0</v>
      </c>
      <c r="J134" s="58" t="s">
        <v>293</v>
      </c>
      <c r="K134" t="s">
        <v>2707</v>
      </c>
      <c r="L134" s="448">
        <v>-112047.04512600007</v>
      </c>
      <c r="M134" s="67" t="s">
        <v>2591</v>
      </c>
      <c r="N134" s="317"/>
      <c r="P134" t="s">
        <v>293</v>
      </c>
      <c r="Q134" t="s">
        <v>2707</v>
      </c>
      <c r="R134" s="211">
        <v>-287396.69</v>
      </c>
      <c r="S134" s="211">
        <v>-207842.92</v>
      </c>
      <c r="T134" s="211">
        <v>-320978.99953200005</v>
      </c>
      <c r="U134" s="274">
        <v>80707.262359999819</v>
      </c>
      <c r="V134" s="79">
        <f t="shared" si="22"/>
        <v>-735511.34717200021</v>
      </c>
      <c r="Z134" s="172">
        <f t="shared" si="15"/>
        <v>0</v>
      </c>
      <c r="AB134" t="s">
        <v>293</v>
      </c>
      <c r="AC134" t="s">
        <v>2707</v>
      </c>
      <c r="AD134" s="464">
        <v>-206689.42764000018</v>
      </c>
      <c r="AE134" s="464">
        <v>-207842.92</v>
      </c>
      <c r="AF134" s="464">
        <v>-320978.99953200005</v>
      </c>
      <c r="AG134" s="464">
        <v>0</v>
      </c>
      <c r="AH134" s="464">
        <v>-735511.34717200021</v>
      </c>
      <c r="AJ134" s="464">
        <f t="shared" si="16"/>
        <v>-528821.91953200009</v>
      </c>
      <c r="AM134" s="464">
        <f t="shared" si="17"/>
        <v>-207842.92</v>
      </c>
      <c r="AN134" s="464">
        <v>-320978.99953200005</v>
      </c>
      <c r="AO134" s="464">
        <v>0</v>
      </c>
      <c r="AP134" s="317">
        <f t="shared" si="18"/>
        <v>-528821.91953200009</v>
      </c>
      <c r="AQ134" s="317">
        <f t="shared" si="19"/>
        <v>0</v>
      </c>
      <c r="AS134" s="475">
        <v>-112047.04512600007</v>
      </c>
      <c r="AT134" s="174">
        <f t="shared" si="20"/>
        <v>-640868.96465800016</v>
      </c>
      <c r="AU134" s="174">
        <f t="shared" si="21"/>
        <v>0</v>
      </c>
    </row>
    <row r="135" spans="1:47">
      <c r="A135" t="s">
        <v>291</v>
      </c>
      <c r="B135" t="s">
        <v>2708</v>
      </c>
      <c r="C135" s="468">
        <v>-301009.53999999998</v>
      </c>
      <c r="D135" s="468">
        <v>-35704.441413999979</v>
      </c>
      <c r="E135" s="473">
        <v>-253798.16301999998</v>
      </c>
      <c r="F135" s="474">
        <v>-193825.58964399996</v>
      </c>
      <c r="G135" s="450">
        <f t="shared" si="13"/>
        <v>-784337.73407799983</v>
      </c>
      <c r="I135" s="67">
        <f t="shared" si="14"/>
        <v>0</v>
      </c>
      <c r="J135" s="58" t="s">
        <v>291</v>
      </c>
      <c r="K135" t="s">
        <v>292</v>
      </c>
      <c r="L135" s="448">
        <v>-193825.58964399996</v>
      </c>
      <c r="M135" s="67" t="s">
        <v>2591</v>
      </c>
      <c r="N135" s="317"/>
      <c r="P135" t="s">
        <v>291</v>
      </c>
      <c r="Q135" t="s">
        <v>2708</v>
      </c>
      <c r="R135" s="211">
        <v>-245059.43</v>
      </c>
      <c r="S135" s="211">
        <v>-301009.53999999998</v>
      </c>
      <c r="T135" s="211">
        <v>-35704.441413999979</v>
      </c>
      <c r="U135" s="274">
        <v>-253798.16301999998</v>
      </c>
      <c r="V135" s="79">
        <f t="shared" si="22"/>
        <v>-835571.57443399995</v>
      </c>
      <c r="Z135" s="172">
        <f t="shared" si="15"/>
        <v>0</v>
      </c>
      <c r="AB135" t="s">
        <v>291</v>
      </c>
      <c r="AC135" t="s">
        <v>2708</v>
      </c>
      <c r="AD135" s="464">
        <v>-245059.43</v>
      </c>
      <c r="AE135" s="464">
        <v>-301009.53999999998</v>
      </c>
      <c r="AF135" s="464">
        <v>-35704.441413999979</v>
      </c>
      <c r="AG135" s="464">
        <v>-253798.16301999998</v>
      </c>
      <c r="AH135" s="464">
        <v>-835571.57443399995</v>
      </c>
      <c r="AJ135" s="464">
        <f t="shared" si="16"/>
        <v>-590512.1444339999</v>
      </c>
      <c r="AM135" s="464">
        <f t="shared" si="17"/>
        <v>-301009.53999999998</v>
      </c>
      <c r="AN135" s="464">
        <v>-35704.441413999979</v>
      </c>
      <c r="AO135" s="464">
        <v>-253798.16301999998</v>
      </c>
      <c r="AP135" s="317">
        <f t="shared" si="18"/>
        <v>-590512.1444339999</v>
      </c>
      <c r="AQ135" s="317">
        <f t="shared" si="19"/>
        <v>0</v>
      </c>
      <c r="AS135" s="475">
        <v>-193825.58964399996</v>
      </c>
      <c r="AT135" s="174">
        <f t="shared" si="20"/>
        <v>-784337.73407799983</v>
      </c>
      <c r="AU135" s="174">
        <f t="shared" si="21"/>
        <v>0</v>
      </c>
    </row>
    <row r="136" spans="1:47">
      <c r="A136" s="436" t="s">
        <v>295</v>
      </c>
      <c r="B136" s="437" t="s">
        <v>296</v>
      </c>
      <c r="C136" s="478">
        <v>0</v>
      </c>
      <c r="D136" s="467"/>
      <c r="E136" s="473"/>
      <c r="F136" s="317"/>
      <c r="G136" s="450">
        <f t="shared" ref="G136:G199" si="23">SUM(C136:F136)</f>
        <v>0</v>
      </c>
      <c r="I136" s="67">
        <f t="shared" ref="I136:I199" si="24">+J136-A136</f>
        <v>0</v>
      </c>
      <c r="J136" s="436" t="s">
        <v>295</v>
      </c>
      <c r="K136" s="437" t="s">
        <v>296</v>
      </c>
      <c r="L136" s="449"/>
      <c r="N136" s="317"/>
      <c r="P136" s="291" t="s">
        <v>295</v>
      </c>
      <c r="Q136" s="292" t="s">
        <v>296</v>
      </c>
      <c r="R136" s="211"/>
      <c r="S136" s="211"/>
      <c r="T136" s="211"/>
      <c r="U136" s="274"/>
      <c r="V136" s="79"/>
      <c r="Z136" s="172">
        <f t="shared" ref="Z136:Z199" si="25">+AB136-P136</f>
        <v>0</v>
      </c>
      <c r="AB136" t="s">
        <v>295</v>
      </c>
      <c r="AC136" t="s">
        <v>296</v>
      </c>
      <c r="AD136" s="464">
        <v>0</v>
      </c>
      <c r="AE136" s="464"/>
      <c r="AF136" s="464"/>
      <c r="AG136" s="464"/>
      <c r="AH136" s="464"/>
      <c r="AJ136" s="464">
        <f t="shared" ref="AJ136:AJ199" si="26">SUM(AE136:AG136)</f>
        <v>0</v>
      </c>
      <c r="AM136" s="464">
        <f t="shared" ref="AM136:AM198" si="27">+AE136</f>
        <v>0</v>
      </c>
      <c r="AN136" s="464"/>
      <c r="AO136" s="464"/>
      <c r="AP136" s="317">
        <f t="shared" ref="AP136:AP199" si="28">SUM(AM136:AO136)</f>
        <v>0</v>
      </c>
      <c r="AQ136" s="317">
        <f t="shared" ref="AQ136:AQ198" si="29">+AP136-AJ136</f>
        <v>0</v>
      </c>
      <c r="AS136" s="476"/>
      <c r="AT136" s="174">
        <f t="shared" ref="AT136:AT199" si="30">+AS136+AP136</f>
        <v>0</v>
      </c>
      <c r="AU136" s="174">
        <f t="shared" ref="AU136:AU199" si="31">+AT136-G136</f>
        <v>0</v>
      </c>
    </row>
    <row r="137" spans="1:47">
      <c r="A137" t="s">
        <v>297</v>
      </c>
      <c r="B137" t="s">
        <v>2709</v>
      </c>
      <c r="C137" s="468">
        <v>-213669.82</v>
      </c>
      <c r="D137" s="468">
        <v>-199704.30309800003</v>
      </c>
      <c r="E137" s="473">
        <v>-77452.386015999946</v>
      </c>
      <c r="F137" s="474">
        <v>-208117.81705599991</v>
      </c>
      <c r="G137" s="450">
        <f t="shared" si="23"/>
        <v>-698944.3261699999</v>
      </c>
      <c r="I137" s="67">
        <f t="shared" si="24"/>
        <v>0</v>
      </c>
      <c r="J137" s="58" t="s">
        <v>297</v>
      </c>
      <c r="K137" t="s">
        <v>298</v>
      </c>
      <c r="L137" s="448">
        <v>-208117.81705599991</v>
      </c>
      <c r="M137" s="67" t="s">
        <v>2591</v>
      </c>
      <c r="N137" s="317"/>
      <c r="P137" t="s">
        <v>297</v>
      </c>
      <c r="Q137" t="s">
        <v>2709</v>
      </c>
      <c r="R137" s="211">
        <v>-274808.34999999998</v>
      </c>
      <c r="S137" s="211">
        <v>-213669.82</v>
      </c>
      <c r="T137" s="211">
        <v>-199704.30309800003</v>
      </c>
      <c r="U137" s="274">
        <v>-77452.386015999946</v>
      </c>
      <c r="V137" s="79">
        <f t="shared" ref="V137:V170" si="32">SUM(R137:U137)</f>
        <v>-765634.85911399999</v>
      </c>
      <c r="Z137" s="172">
        <f t="shared" si="25"/>
        <v>0</v>
      </c>
      <c r="AB137" t="s">
        <v>297</v>
      </c>
      <c r="AC137" t="s">
        <v>2709</v>
      </c>
      <c r="AD137" s="464">
        <v>-274808.34999999998</v>
      </c>
      <c r="AE137" s="464">
        <v>-213669.82</v>
      </c>
      <c r="AF137" s="464">
        <v>-199704.30309800003</v>
      </c>
      <c r="AG137" s="464">
        <v>-77452.386015999946</v>
      </c>
      <c r="AH137" s="464">
        <v>-765634.85911399999</v>
      </c>
      <c r="AJ137" s="464">
        <f t="shared" si="26"/>
        <v>-490826.50911400001</v>
      </c>
      <c r="AM137" s="464">
        <f t="shared" si="27"/>
        <v>-213669.82</v>
      </c>
      <c r="AN137" s="464">
        <v>-199704.30309800003</v>
      </c>
      <c r="AO137" s="464">
        <v>-77452.386015999946</v>
      </c>
      <c r="AP137" s="317">
        <f t="shared" si="28"/>
        <v>-490826.50911400001</v>
      </c>
      <c r="AQ137" s="317">
        <f t="shared" si="29"/>
        <v>0</v>
      </c>
      <c r="AS137" s="475">
        <v>-208117.81705599991</v>
      </c>
      <c r="AT137" s="174">
        <f t="shared" si="30"/>
        <v>-698944.3261699999</v>
      </c>
      <c r="AU137" s="174">
        <f t="shared" si="31"/>
        <v>0</v>
      </c>
    </row>
    <row r="138" spans="1:47">
      <c r="A138" t="s">
        <v>299</v>
      </c>
      <c r="B138" t="s">
        <v>2710</v>
      </c>
      <c r="C138" s="468">
        <v>-179997.16</v>
      </c>
      <c r="D138" s="468">
        <v>0</v>
      </c>
      <c r="E138" s="473">
        <v>0</v>
      </c>
      <c r="F138" s="474">
        <v>-1167208.2769294721</v>
      </c>
      <c r="G138" s="450">
        <f t="shared" si="23"/>
        <v>-1347205.436929472</v>
      </c>
      <c r="I138" s="67">
        <f t="shared" si="24"/>
        <v>0</v>
      </c>
      <c r="J138" s="58" t="s">
        <v>299</v>
      </c>
      <c r="K138" t="s">
        <v>300</v>
      </c>
      <c r="L138" s="448">
        <v>-1167208.2769294721</v>
      </c>
      <c r="M138" s="67" t="s">
        <v>2591</v>
      </c>
      <c r="N138" s="317"/>
      <c r="P138" t="s">
        <v>299</v>
      </c>
      <c r="Q138" t="s">
        <v>2710</v>
      </c>
      <c r="R138" s="211">
        <v>-497265.14</v>
      </c>
      <c r="S138" s="211">
        <v>-179997.16</v>
      </c>
      <c r="T138" s="211">
        <v>44444.276059020078</v>
      </c>
      <c r="U138" s="274">
        <v>251116.53556962032</v>
      </c>
      <c r="V138" s="79">
        <f t="shared" si="32"/>
        <v>-381701.48837135965</v>
      </c>
      <c r="Z138" s="172">
        <f t="shared" si="25"/>
        <v>0</v>
      </c>
      <c r="AB138" t="s">
        <v>299</v>
      </c>
      <c r="AC138" t="s">
        <v>2710</v>
      </c>
      <c r="AD138" s="464">
        <v>-201704.32837135962</v>
      </c>
      <c r="AE138" s="464">
        <v>-179997.16</v>
      </c>
      <c r="AF138" s="464">
        <v>0</v>
      </c>
      <c r="AG138" s="464">
        <v>0</v>
      </c>
      <c r="AH138" s="464">
        <v>-381701.48837135965</v>
      </c>
      <c r="AJ138" s="464">
        <f t="shared" si="26"/>
        <v>-179997.16</v>
      </c>
      <c r="AM138" s="464">
        <f t="shared" si="27"/>
        <v>-179997.16</v>
      </c>
      <c r="AN138" s="464">
        <v>0</v>
      </c>
      <c r="AO138" s="464">
        <v>0</v>
      </c>
      <c r="AP138" s="317">
        <f t="shared" si="28"/>
        <v>-179997.16</v>
      </c>
      <c r="AQ138" s="317">
        <f t="shared" si="29"/>
        <v>0</v>
      </c>
      <c r="AS138" s="475">
        <v>-1167208.2769294721</v>
      </c>
      <c r="AT138" s="174">
        <f t="shared" si="30"/>
        <v>-1347205.436929472</v>
      </c>
      <c r="AU138" s="174">
        <f t="shared" si="31"/>
        <v>0</v>
      </c>
    </row>
    <row r="139" spans="1:47">
      <c r="A139" t="s">
        <v>301</v>
      </c>
      <c r="B139" t="s">
        <v>2711</v>
      </c>
      <c r="C139" s="468">
        <v>-473734.72</v>
      </c>
      <c r="D139" s="468">
        <v>0</v>
      </c>
      <c r="E139" s="473">
        <v>0</v>
      </c>
      <c r="F139" s="474">
        <v>1300628.8290227333</v>
      </c>
      <c r="G139" s="450">
        <f t="shared" si="23"/>
        <v>826894.10902273329</v>
      </c>
      <c r="I139" s="67">
        <f t="shared" si="24"/>
        <v>0</v>
      </c>
      <c r="J139" s="58" t="s">
        <v>301</v>
      </c>
      <c r="K139" t="s">
        <v>302</v>
      </c>
      <c r="L139" s="448">
        <v>1300628.8290227333</v>
      </c>
      <c r="M139" s="67" t="s">
        <v>2591</v>
      </c>
      <c r="N139" s="317"/>
      <c r="P139" t="s">
        <v>301</v>
      </c>
      <c r="Q139" t="s">
        <v>2711</v>
      </c>
      <c r="R139" s="211">
        <v>-648497</v>
      </c>
      <c r="S139" s="211">
        <v>-473734.72</v>
      </c>
      <c r="T139" s="211">
        <v>13425.404310072394</v>
      </c>
      <c r="U139" s="274">
        <v>440134.05452983081</v>
      </c>
      <c r="V139" s="79">
        <f t="shared" si="32"/>
        <v>-668672.26116009685</v>
      </c>
      <c r="Z139" s="172">
        <f t="shared" si="25"/>
        <v>0</v>
      </c>
      <c r="AB139" t="s">
        <v>301</v>
      </c>
      <c r="AC139" t="s">
        <v>2711</v>
      </c>
      <c r="AD139" s="464">
        <v>-194937.54116009676</v>
      </c>
      <c r="AE139" s="464">
        <v>-473734.72</v>
      </c>
      <c r="AF139" s="464">
        <v>0</v>
      </c>
      <c r="AG139" s="464">
        <v>0</v>
      </c>
      <c r="AH139" s="464">
        <v>-668672.26116009674</v>
      </c>
      <c r="AJ139" s="464">
        <f t="shared" si="26"/>
        <v>-473734.72</v>
      </c>
      <c r="AM139" s="464">
        <f t="shared" si="27"/>
        <v>-473734.72</v>
      </c>
      <c r="AN139" s="464">
        <v>0</v>
      </c>
      <c r="AO139" s="464">
        <v>0</v>
      </c>
      <c r="AP139" s="317">
        <f t="shared" si="28"/>
        <v>-473734.72</v>
      </c>
      <c r="AQ139" s="317">
        <f t="shared" si="29"/>
        <v>0</v>
      </c>
      <c r="AS139" s="475">
        <v>1300628.8290227333</v>
      </c>
      <c r="AT139" s="174">
        <f t="shared" si="30"/>
        <v>826894.10902273329</v>
      </c>
      <c r="AU139" s="174">
        <f t="shared" si="31"/>
        <v>0</v>
      </c>
    </row>
    <row r="140" spans="1:47">
      <c r="A140" t="s">
        <v>303</v>
      </c>
      <c r="B140" t="s">
        <v>2712</v>
      </c>
      <c r="C140" s="468">
        <v>-100309.47</v>
      </c>
      <c r="D140" s="468">
        <v>-137726.69743200013</v>
      </c>
      <c r="E140" s="473">
        <v>0</v>
      </c>
      <c r="F140" s="474">
        <v>18119.635444000203</v>
      </c>
      <c r="G140" s="450">
        <f t="shared" si="23"/>
        <v>-219916.53198799992</v>
      </c>
      <c r="I140" s="67">
        <f t="shared" si="24"/>
        <v>0</v>
      </c>
      <c r="J140" s="58" t="s">
        <v>303</v>
      </c>
      <c r="K140" t="s">
        <v>304</v>
      </c>
      <c r="L140" s="448">
        <v>18119.635444000203</v>
      </c>
      <c r="M140" s="67" t="s">
        <v>2591</v>
      </c>
      <c r="N140" s="317"/>
      <c r="P140" t="s">
        <v>303</v>
      </c>
      <c r="Q140" t="s">
        <v>2712</v>
      </c>
      <c r="R140" s="211">
        <v>-146483.12</v>
      </c>
      <c r="S140" s="211">
        <v>-100309.47</v>
      </c>
      <c r="T140" s="211">
        <v>-137726.69743200013</v>
      </c>
      <c r="U140" s="274">
        <v>145527.28920400003</v>
      </c>
      <c r="V140" s="79">
        <f t="shared" si="32"/>
        <v>-238991.99822800013</v>
      </c>
      <c r="Z140" s="172">
        <f t="shared" si="25"/>
        <v>0</v>
      </c>
      <c r="AB140" t="s">
        <v>303</v>
      </c>
      <c r="AC140" t="s">
        <v>2712</v>
      </c>
      <c r="AD140" s="464">
        <v>-955.83079599996563</v>
      </c>
      <c r="AE140" s="464">
        <v>-100309.47</v>
      </c>
      <c r="AF140" s="464">
        <v>-137726.69743200013</v>
      </c>
      <c r="AG140" s="464">
        <v>0</v>
      </c>
      <c r="AH140" s="464">
        <v>-238991.9982280001</v>
      </c>
      <c r="AJ140" s="464">
        <f t="shared" si="26"/>
        <v>-238036.16743200013</v>
      </c>
      <c r="AM140" s="464">
        <f t="shared" si="27"/>
        <v>-100309.47</v>
      </c>
      <c r="AN140" s="464">
        <v>-137726.69743200013</v>
      </c>
      <c r="AO140" s="464">
        <v>0</v>
      </c>
      <c r="AP140" s="317">
        <f t="shared" si="28"/>
        <v>-238036.16743200013</v>
      </c>
      <c r="AQ140" s="317">
        <f t="shared" si="29"/>
        <v>0</v>
      </c>
      <c r="AS140" s="475">
        <v>18119.635444000203</v>
      </c>
      <c r="AT140" s="174">
        <f t="shared" si="30"/>
        <v>-219916.53198799992</v>
      </c>
      <c r="AU140" s="174">
        <f t="shared" si="31"/>
        <v>0</v>
      </c>
    </row>
    <row r="141" spans="1:47">
      <c r="A141" t="s">
        <v>305</v>
      </c>
      <c r="B141" t="s">
        <v>2713</v>
      </c>
      <c r="C141" s="468">
        <v>-16668.04</v>
      </c>
      <c r="D141" s="468">
        <v>-15880.926325000011</v>
      </c>
      <c r="E141" s="473">
        <v>-23548.804125999995</v>
      </c>
      <c r="F141" s="474">
        <v>-45664.84406399999</v>
      </c>
      <c r="G141" s="450">
        <f t="shared" si="23"/>
        <v>-101762.61451499999</v>
      </c>
      <c r="I141" s="67">
        <f t="shared" si="24"/>
        <v>0</v>
      </c>
      <c r="J141" s="58" t="s">
        <v>305</v>
      </c>
      <c r="K141" t="s">
        <v>306</v>
      </c>
      <c r="L141" s="448">
        <v>-45664.84406399999</v>
      </c>
      <c r="M141" s="67" t="s">
        <v>2591</v>
      </c>
      <c r="N141" s="317"/>
      <c r="P141" t="s">
        <v>305</v>
      </c>
      <c r="Q141" t="s">
        <v>2713</v>
      </c>
      <c r="R141" s="211">
        <v>-22398.5</v>
      </c>
      <c r="S141" s="211">
        <v>-16668.04</v>
      </c>
      <c r="T141" s="211">
        <v>-15880.926325000011</v>
      </c>
      <c r="U141" s="274">
        <v>-23548.804125999995</v>
      </c>
      <c r="V141" s="79">
        <f t="shared" si="32"/>
        <v>-78496.270451000019</v>
      </c>
      <c r="Z141" s="172">
        <f t="shared" si="25"/>
        <v>0</v>
      </c>
      <c r="AB141" t="s">
        <v>305</v>
      </c>
      <c r="AC141" t="s">
        <v>2713</v>
      </c>
      <c r="AD141" s="464">
        <v>-22398.5</v>
      </c>
      <c r="AE141" s="464">
        <v>-16668.04</v>
      </c>
      <c r="AF141" s="464">
        <v>-15880.926325000011</v>
      </c>
      <c r="AG141" s="464">
        <v>-23548.804125999995</v>
      </c>
      <c r="AH141" s="464">
        <v>-78496.270451000019</v>
      </c>
      <c r="AJ141" s="464">
        <f t="shared" si="26"/>
        <v>-56097.770451000004</v>
      </c>
      <c r="AM141" s="464">
        <f t="shared" si="27"/>
        <v>-16668.04</v>
      </c>
      <c r="AN141" s="464">
        <v>-15880.926325000011</v>
      </c>
      <c r="AO141" s="464">
        <v>-23548.804125999995</v>
      </c>
      <c r="AP141" s="317">
        <f t="shared" si="28"/>
        <v>-56097.770451000004</v>
      </c>
      <c r="AQ141" s="317">
        <f t="shared" si="29"/>
        <v>0</v>
      </c>
      <c r="AS141" s="475">
        <v>-45664.84406399999</v>
      </c>
      <c r="AT141" s="174">
        <f t="shared" si="30"/>
        <v>-101762.61451499999</v>
      </c>
      <c r="AU141" s="174">
        <f t="shared" si="31"/>
        <v>0</v>
      </c>
    </row>
    <row r="142" spans="1:47">
      <c r="A142" t="s">
        <v>307</v>
      </c>
      <c r="B142" t="s">
        <v>2714</v>
      </c>
      <c r="C142" s="468">
        <v>-80357.31</v>
      </c>
      <c r="D142" s="468">
        <v>-19420.016694999984</v>
      </c>
      <c r="E142" s="473">
        <v>0</v>
      </c>
      <c r="F142" s="474">
        <v>-66811.204494999969</v>
      </c>
      <c r="G142" s="450">
        <f t="shared" si="23"/>
        <v>-166588.53118999995</v>
      </c>
      <c r="I142" s="67">
        <f t="shared" si="24"/>
        <v>0</v>
      </c>
      <c r="J142" s="58" t="s">
        <v>307</v>
      </c>
      <c r="K142" t="s">
        <v>308</v>
      </c>
      <c r="L142" s="448">
        <v>-66811.204494999969</v>
      </c>
      <c r="M142" s="67" t="s">
        <v>2591</v>
      </c>
      <c r="N142" s="317"/>
      <c r="P142" t="s">
        <v>307</v>
      </c>
      <c r="Q142" t="s">
        <v>2714</v>
      </c>
      <c r="R142" s="211">
        <v>-102007.91</v>
      </c>
      <c r="S142" s="211">
        <v>-80357.31</v>
      </c>
      <c r="T142" s="211">
        <v>-19420.016694999984</v>
      </c>
      <c r="U142" s="274">
        <v>83898.720550999977</v>
      </c>
      <c r="V142" s="79">
        <f t="shared" si="32"/>
        <v>-117886.51614399999</v>
      </c>
      <c r="Z142" s="172">
        <f t="shared" si="25"/>
        <v>0</v>
      </c>
      <c r="AB142" t="s">
        <v>307</v>
      </c>
      <c r="AC142" t="s">
        <v>2714</v>
      </c>
      <c r="AD142" s="464">
        <v>-18109.189449000027</v>
      </c>
      <c r="AE142" s="464">
        <v>-80357.31</v>
      </c>
      <c r="AF142" s="464">
        <v>-19420.016694999984</v>
      </c>
      <c r="AG142" s="464">
        <v>0</v>
      </c>
      <c r="AH142" s="464">
        <v>-117886.51614400001</v>
      </c>
      <c r="AJ142" s="464">
        <f t="shared" si="26"/>
        <v>-99777.326694999982</v>
      </c>
      <c r="AM142" s="464">
        <f t="shared" si="27"/>
        <v>-80357.31</v>
      </c>
      <c r="AN142" s="464">
        <v>-19420.016694999984</v>
      </c>
      <c r="AO142" s="464">
        <v>0</v>
      </c>
      <c r="AP142" s="317">
        <f t="shared" si="28"/>
        <v>-99777.326694999982</v>
      </c>
      <c r="AQ142" s="317">
        <f t="shared" si="29"/>
        <v>0</v>
      </c>
      <c r="AS142" s="475">
        <v>-66811.204494999969</v>
      </c>
      <c r="AT142" s="174">
        <f t="shared" si="30"/>
        <v>-166588.53118999995</v>
      </c>
      <c r="AU142" s="174">
        <f t="shared" si="31"/>
        <v>0</v>
      </c>
    </row>
    <row r="143" spans="1:47">
      <c r="A143" t="s">
        <v>309</v>
      </c>
      <c r="B143" t="s">
        <v>2715</v>
      </c>
      <c r="C143" s="468">
        <v>-76230.23</v>
      </c>
      <c r="D143" s="468">
        <v>-60799.307671000024</v>
      </c>
      <c r="E143" s="473">
        <v>-68618.794852000021</v>
      </c>
      <c r="F143" s="474">
        <v>-76058.155228999996</v>
      </c>
      <c r="G143" s="450">
        <f t="shared" si="23"/>
        <v>-281706.48775200004</v>
      </c>
      <c r="I143" s="67">
        <f t="shared" si="24"/>
        <v>0</v>
      </c>
      <c r="J143" s="58" t="s">
        <v>309</v>
      </c>
      <c r="K143" t="s">
        <v>310</v>
      </c>
      <c r="L143" s="448">
        <v>-76058.155228999996</v>
      </c>
      <c r="M143" s="67" t="s">
        <v>2591</v>
      </c>
      <c r="N143" s="317"/>
      <c r="P143" t="s">
        <v>309</v>
      </c>
      <c r="Q143" t="s">
        <v>2715</v>
      </c>
      <c r="R143" s="211">
        <v>-134660.25</v>
      </c>
      <c r="S143" s="211">
        <v>-76230.23</v>
      </c>
      <c r="T143" s="211">
        <v>-60799.307671000024</v>
      </c>
      <c r="U143" s="274">
        <v>-68618.794852000021</v>
      </c>
      <c r="V143" s="79">
        <f t="shared" si="32"/>
        <v>-340308.58252300002</v>
      </c>
      <c r="Z143" s="172">
        <f t="shared" si="25"/>
        <v>0</v>
      </c>
      <c r="AB143" t="s">
        <v>309</v>
      </c>
      <c r="AC143" t="s">
        <v>2715</v>
      </c>
      <c r="AD143" s="464">
        <v>-134660.25</v>
      </c>
      <c r="AE143" s="464">
        <v>-76230.23</v>
      </c>
      <c r="AF143" s="464">
        <v>-60799.307671000024</v>
      </c>
      <c r="AG143" s="464">
        <v>-68618.794852000021</v>
      </c>
      <c r="AH143" s="464">
        <v>-340308.58252300002</v>
      </c>
      <c r="AJ143" s="464">
        <f t="shared" si="26"/>
        <v>-205648.33252300005</v>
      </c>
      <c r="AM143" s="464">
        <f t="shared" si="27"/>
        <v>-76230.23</v>
      </c>
      <c r="AN143" s="464">
        <v>-60799.307671000024</v>
      </c>
      <c r="AO143" s="464">
        <v>-68618.794852000021</v>
      </c>
      <c r="AP143" s="317">
        <f t="shared" si="28"/>
        <v>-205648.33252300005</v>
      </c>
      <c r="AQ143" s="317">
        <f t="shared" si="29"/>
        <v>0</v>
      </c>
      <c r="AS143" s="475">
        <v>-76058.155228999996</v>
      </c>
      <c r="AT143" s="174">
        <f t="shared" si="30"/>
        <v>-281706.48775200004</v>
      </c>
      <c r="AU143" s="174">
        <f t="shared" si="31"/>
        <v>0</v>
      </c>
    </row>
    <row r="144" spans="1:47">
      <c r="A144" t="s">
        <v>311</v>
      </c>
      <c r="B144" t="s">
        <v>2716</v>
      </c>
      <c r="C144" s="468">
        <v>-177093.74</v>
      </c>
      <c r="D144" s="468">
        <v>-64443.982029430539</v>
      </c>
      <c r="E144" s="473">
        <v>18573.025871717546</v>
      </c>
      <c r="F144" s="474">
        <v>130586.16454166122</v>
      </c>
      <c r="G144" s="450">
        <f t="shared" si="23"/>
        <v>-92378.531616051769</v>
      </c>
      <c r="I144" s="67">
        <f t="shared" si="24"/>
        <v>0</v>
      </c>
      <c r="J144" s="58" t="s">
        <v>311</v>
      </c>
      <c r="K144" t="s">
        <v>312</v>
      </c>
      <c r="L144" s="448">
        <v>130586.16454166122</v>
      </c>
      <c r="M144" s="67" t="s">
        <v>2591</v>
      </c>
      <c r="N144" s="317"/>
      <c r="P144" t="s">
        <v>311</v>
      </c>
      <c r="Q144" t="s">
        <v>2716</v>
      </c>
      <c r="R144" s="211">
        <v>-363877.95</v>
      </c>
      <c r="S144" s="211">
        <v>-177093.74</v>
      </c>
      <c r="T144" s="211">
        <v>-64443.982029430539</v>
      </c>
      <c r="U144" s="274">
        <v>382450.97587171756</v>
      </c>
      <c r="V144" s="79">
        <f t="shared" si="32"/>
        <v>-222964.69615771296</v>
      </c>
      <c r="Z144" s="172">
        <f t="shared" si="25"/>
        <v>0</v>
      </c>
      <c r="AB144" t="s">
        <v>311</v>
      </c>
      <c r="AC144" t="s">
        <v>2716</v>
      </c>
      <c r="AD144" s="464">
        <v>0</v>
      </c>
      <c r="AE144" s="464">
        <v>-177093.74</v>
      </c>
      <c r="AF144" s="464">
        <v>-64443.982029430539</v>
      </c>
      <c r="AG144" s="464">
        <v>18573.025871717546</v>
      </c>
      <c r="AH144" s="464">
        <v>-222964.69615771298</v>
      </c>
      <c r="AJ144" s="464">
        <f t="shared" si="26"/>
        <v>-222964.69615771298</v>
      </c>
      <c r="AM144" s="464">
        <f t="shared" si="27"/>
        <v>-177093.74</v>
      </c>
      <c r="AN144" s="464">
        <v>-64443.982029430539</v>
      </c>
      <c r="AO144" s="464">
        <v>18573.025871717546</v>
      </c>
      <c r="AP144" s="317">
        <f t="shared" si="28"/>
        <v>-222964.69615771298</v>
      </c>
      <c r="AQ144" s="317">
        <f t="shared" si="29"/>
        <v>0</v>
      </c>
      <c r="AS144" s="475">
        <v>130586.16454166122</v>
      </c>
      <c r="AT144" s="174">
        <f t="shared" si="30"/>
        <v>-92378.531616051769</v>
      </c>
      <c r="AU144" s="174">
        <f t="shared" si="31"/>
        <v>0</v>
      </c>
    </row>
    <row r="145" spans="1:47">
      <c r="A145" t="s">
        <v>313</v>
      </c>
      <c r="B145" t="s">
        <v>2717</v>
      </c>
      <c r="C145" s="468">
        <v>-130716.75</v>
      </c>
      <c r="D145" s="468">
        <v>-183131.88562300007</v>
      </c>
      <c r="E145" s="473">
        <v>-142979.84973400002</v>
      </c>
      <c r="F145" s="474">
        <v>-161885.89389800004</v>
      </c>
      <c r="G145" s="450">
        <f t="shared" si="23"/>
        <v>-618714.37925500015</v>
      </c>
      <c r="I145" s="67">
        <f t="shared" si="24"/>
        <v>0</v>
      </c>
      <c r="J145" s="58" t="s">
        <v>313</v>
      </c>
      <c r="K145" t="s">
        <v>314</v>
      </c>
      <c r="L145" s="448">
        <v>-161885.89389800004</v>
      </c>
      <c r="M145" s="67" t="s">
        <v>2591</v>
      </c>
      <c r="N145" s="317"/>
      <c r="P145" t="s">
        <v>313</v>
      </c>
      <c r="Q145" t="s">
        <v>2717</v>
      </c>
      <c r="R145" s="211">
        <v>-99125.35</v>
      </c>
      <c r="S145" s="211">
        <v>-130716.75</v>
      </c>
      <c r="T145" s="211">
        <v>-183131.88562300007</v>
      </c>
      <c r="U145" s="274">
        <v>-142979.84973400002</v>
      </c>
      <c r="V145" s="79">
        <f t="shared" si="32"/>
        <v>-555953.83535700012</v>
      </c>
      <c r="Z145" s="172">
        <f t="shared" si="25"/>
        <v>0</v>
      </c>
      <c r="AB145" t="s">
        <v>313</v>
      </c>
      <c r="AC145" t="s">
        <v>2717</v>
      </c>
      <c r="AD145" s="464">
        <v>-99125.35</v>
      </c>
      <c r="AE145" s="464">
        <v>-130716.75</v>
      </c>
      <c r="AF145" s="464">
        <v>-183131.88562300007</v>
      </c>
      <c r="AG145" s="464">
        <v>-142979.84973400002</v>
      </c>
      <c r="AH145" s="464">
        <v>-555953.83535700012</v>
      </c>
      <c r="AJ145" s="464">
        <f t="shared" si="26"/>
        <v>-456828.48535700014</v>
      </c>
      <c r="AM145" s="464">
        <f t="shared" si="27"/>
        <v>-130716.75</v>
      </c>
      <c r="AN145" s="464">
        <v>-183131.88562300007</v>
      </c>
      <c r="AO145" s="464">
        <v>-142979.84973400002</v>
      </c>
      <c r="AP145" s="317">
        <f t="shared" si="28"/>
        <v>-456828.48535700014</v>
      </c>
      <c r="AQ145" s="317">
        <f t="shared" si="29"/>
        <v>0</v>
      </c>
      <c r="AS145" s="475">
        <v>-161885.89389800004</v>
      </c>
      <c r="AT145" s="174">
        <f t="shared" si="30"/>
        <v>-618714.37925500015</v>
      </c>
      <c r="AU145" s="174">
        <f t="shared" si="31"/>
        <v>0</v>
      </c>
    </row>
    <row r="146" spans="1:47">
      <c r="A146" t="s">
        <v>315</v>
      </c>
      <c r="B146" t="s">
        <v>316</v>
      </c>
      <c r="C146" s="468">
        <v>-131825.97</v>
      </c>
      <c r="D146" s="468">
        <v>-26938.582875000004</v>
      </c>
      <c r="E146" s="473">
        <v>-69020.283839999989</v>
      </c>
      <c r="F146" s="474">
        <v>-190090.63075399998</v>
      </c>
      <c r="G146" s="450">
        <f t="shared" si="23"/>
        <v>-417875.46746899997</v>
      </c>
      <c r="I146" s="67">
        <f t="shared" si="24"/>
        <v>0</v>
      </c>
      <c r="J146" s="58" t="s">
        <v>315</v>
      </c>
      <c r="K146" t="s">
        <v>2718</v>
      </c>
      <c r="L146" s="448">
        <v>-190090.63075399998</v>
      </c>
      <c r="M146" s="67" t="s">
        <v>2591</v>
      </c>
      <c r="N146" s="317"/>
      <c r="P146" t="s">
        <v>315</v>
      </c>
      <c r="Q146" t="s">
        <v>316</v>
      </c>
      <c r="R146" s="211">
        <v>-121919.19</v>
      </c>
      <c r="S146" s="211">
        <v>-131825.97</v>
      </c>
      <c r="T146" s="211">
        <v>-26938.582875000004</v>
      </c>
      <c r="U146" s="274">
        <v>-69020.283839999989</v>
      </c>
      <c r="V146" s="79">
        <f t="shared" si="32"/>
        <v>-349704.02671499999</v>
      </c>
      <c r="Z146" s="172">
        <f t="shared" si="25"/>
        <v>0</v>
      </c>
      <c r="AB146" t="s">
        <v>315</v>
      </c>
      <c r="AC146" t="s">
        <v>316</v>
      </c>
      <c r="AD146" s="464">
        <v>-121919.19</v>
      </c>
      <c r="AE146" s="464">
        <v>-131825.97</v>
      </c>
      <c r="AF146" s="464">
        <v>-26938.582875000004</v>
      </c>
      <c r="AG146" s="464">
        <v>-69020.283839999989</v>
      </c>
      <c r="AH146" s="464">
        <v>-349704.02671499999</v>
      </c>
      <c r="AJ146" s="464">
        <f t="shared" si="26"/>
        <v>-227784.83671499998</v>
      </c>
      <c r="AM146" s="464">
        <f t="shared" si="27"/>
        <v>-131825.97</v>
      </c>
      <c r="AN146" s="464">
        <v>-26938.582875000004</v>
      </c>
      <c r="AO146" s="464">
        <v>-69020.283839999989</v>
      </c>
      <c r="AP146" s="317">
        <f t="shared" si="28"/>
        <v>-227784.83671499998</v>
      </c>
      <c r="AQ146" s="317">
        <f t="shared" si="29"/>
        <v>0</v>
      </c>
      <c r="AS146" s="475">
        <v>-190090.63075399998</v>
      </c>
      <c r="AT146" s="174">
        <f t="shared" si="30"/>
        <v>-417875.46746899997</v>
      </c>
      <c r="AU146" s="174">
        <f t="shared" si="31"/>
        <v>0</v>
      </c>
    </row>
    <row r="147" spans="1:47">
      <c r="A147" t="s">
        <v>317</v>
      </c>
      <c r="B147" t="s">
        <v>2719</v>
      </c>
      <c r="C147" s="468">
        <v>0</v>
      </c>
      <c r="D147" s="468">
        <v>-4682.3500000000004</v>
      </c>
      <c r="E147" s="473">
        <v>-5213.68</v>
      </c>
      <c r="F147" s="474">
        <v>-3576.4449999999983</v>
      </c>
      <c r="G147" s="450">
        <f t="shared" si="23"/>
        <v>-13472.474999999999</v>
      </c>
      <c r="I147" s="67">
        <f t="shared" si="24"/>
        <v>0</v>
      </c>
      <c r="J147" s="58" t="s">
        <v>317</v>
      </c>
      <c r="K147" t="s">
        <v>2720</v>
      </c>
      <c r="L147" s="448">
        <v>-3576.4449999999983</v>
      </c>
      <c r="M147" s="67" t="s">
        <v>2591</v>
      </c>
      <c r="N147" s="317"/>
      <c r="P147" t="s">
        <v>317</v>
      </c>
      <c r="Q147" t="s">
        <v>2719</v>
      </c>
      <c r="R147" s="211">
        <v>0</v>
      </c>
      <c r="S147" s="211"/>
      <c r="T147" s="211">
        <v>-4682.3500000000004</v>
      </c>
      <c r="U147" s="274">
        <v>-5213.68</v>
      </c>
      <c r="V147" s="79">
        <f t="shared" si="32"/>
        <v>-9896.0300000000007</v>
      </c>
      <c r="Z147" s="172">
        <f t="shared" si="25"/>
        <v>0</v>
      </c>
      <c r="AB147" t="s">
        <v>317</v>
      </c>
      <c r="AC147" t="s">
        <v>2719</v>
      </c>
      <c r="AD147" s="464">
        <v>0</v>
      </c>
      <c r="AE147" s="464"/>
      <c r="AF147" s="464">
        <v>-4682.3500000000004</v>
      </c>
      <c r="AG147" s="464">
        <v>-5213.68</v>
      </c>
      <c r="AH147" s="464">
        <v>-9896.0300000000007</v>
      </c>
      <c r="AJ147" s="464">
        <f t="shared" si="26"/>
        <v>-9896.0300000000007</v>
      </c>
      <c r="AM147" s="464">
        <f t="shared" si="27"/>
        <v>0</v>
      </c>
      <c r="AN147" s="464">
        <v>-4682.3500000000004</v>
      </c>
      <c r="AO147" s="464">
        <v>-5213.68</v>
      </c>
      <c r="AP147" s="317">
        <f t="shared" si="28"/>
        <v>-9896.0300000000007</v>
      </c>
      <c r="AQ147" s="317">
        <f t="shared" si="29"/>
        <v>0</v>
      </c>
      <c r="AS147" s="475">
        <v>-3576.4449999999983</v>
      </c>
      <c r="AT147" s="174">
        <f t="shared" si="30"/>
        <v>-13472.474999999999</v>
      </c>
      <c r="AU147" s="174">
        <f t="shared" si="31"/>
        <v>0</v>
      </c>
    </row>
    <row r="148" spans="1:47">
      <c r="A148" t="s">
        <v>319</v>
      </c>
      <c r="B148" t="s">
        <v>2721</v>
      </c>
      <c r="C148" s="468">
        <v>-14386.4</v>
      </c>
      <c r="D148" s="468">
        <v>0</v>
      </c>
      <c r="E148" s="473">
        <v>-27217.479999999923</v>
      </c>
      <c r="F148" s="474">
        <v>-25772.401000000002</v>
      </c>
      <c r="G148" s="450">
        <f t="shared" si="23"/>
        <v>-67376.28099999993</v>
      </c>
      <c r="I148" s="67">
        <f t="shared" si="24"/>
        <v>0</v>
      </c>
      <c r="J148" s="58" t="s">
        <v>319</v>
      </c>
      <c r="K148" t="s">
        <v>2721</v>
      </c>
      <c r="L148" s="448">
        <v>-25772.401000000002</v>
      </c>
      <c r="M148" s="67" t="s">
        <v>2591</v>
      </c>
      <c r="N148" s="317"/>
      <c r="P148" t="s">
        <v>319</v>
      </c>
      <c r="Q148" t="s">
        <v>2721</v>
      </c>
      <c r="R148" s="211">
        <v>-15014.37</v>
      </c>
      <c r="S148" s="211">
        <v>-14386.4</v>
      </c>
      <c r="T148" s="211">
        <v>0</v>
      </c>
      <c r="U148" s="274">
        <v>-27217.479999999923</v>
      </c>
      <c r="V148" s="79">
        <f t="shared" si="32"/>
        <v>-56618.249999999927</v>
      </c>
      <c r="Z148" s="172">
        <f t="shared" si="25"/>
        <v>0</v>
      </c>
      <c r="AB148" t="s">
        <v>319</v>
      </c>
      <c r="AC148" t="s">
        <v>2721</v>
      </c>
      <c r="AD148" s="464">
        <v>-15014.37</v>
      </c>
      <c r="AE148" s="464">
        <v>-14386.4</v>
      </c>
      <c r="AF148" s="464">
        <v>0</v>
      </c>
      <c r="AG148" s="464">
        <v>-27217.479999999923</v>
      </c>
      <c r="AH148" s="464">
        <v>-56618.249999999927</v>
      </c>
      <c r="AJ148" s="464">
        <f t="shared" si="26"/>
        <v>-41603.879999999925</v>
      </c>
      <c r="AM148" s="464">
        <f t="shared" si="27"/>
        <v>-14386.4</v>
      </c>
      <c r="AN148" s="464">
        <v>0</v>
      </c>
      <c r="AO148" s="464">
        <v>-27217.479999999923</v>
      </c>
      <c r="AP148" s="317">
        <f t="shared" si="28"/>
        <v>-41603.879999999925</v>
      </c>
      <c r="AQ148" s="317">
        <f t="shared" si="29"/>
        <v>0</v>
      </c>
      <c r="AS148" s="475">
        <v>-25772.401000000002</v>
      </c>
      <c r="AT148" s="174">
        <f t="shared" si="30"/>
        <v>-67376.28099999993</v>
      </c>
      <c r="AU148" s="174">
        <f t="shared" si="31"/>
        <v>0</v>
      </c>
    </row>
    <row r="149" spans="1:47">
      <c r="A149" t="s">
        <v>321</v>
      </c>
      <c r="B149" t="s">
        <v>2722</v>
      </c>
      <c r="C149" s="468">
        <v>-122406.56</v>
      </c>
      <c r="D149" s="468">
        <v>-66003.144241999995</v>
      </c>
      <c r="E149" s="473">
        <v>-77870.268944000025</v>
      </c>
      <c r="F149" s="474">
        <v>-91678.677349999984</v>
      </c>
      <c r="G149" s="450">
        <f t="shared" si="23"/>
        <v>-357958.65053600003</v>
      </c>
      <c r="I149" s="67">
        <f t="shared" si="24"/>
        <v>0</v>
      </c>
      <c r="J149" s="58" t="s">
        <v>321</v>
      </c>
      <c r="K149" t="s">
        <v>322</v>
      </c>
      <c r="L149" s="448">
        <v>-91678.677349999984</v>
      </c>
      <c r="M149" s="67" t="s">
        <v>2591</v>
      </c>
      <c r="N149" s="317"/>
      <c r="P149" t="s">
        <v>321</v>
      </c>
      <c r="Q149" t="s">
        <v>2722</v>
      </c>
      <c r="R149" s="211">
        <v>-110457.66</v>
      </c>
      <c r="S149" s="211">
        <v>-122406.56</v>
      </c>
      <c r="T149" s="211">
        <v>-66003.144241999995</v>
      </c>
      <c r="U149" s="274">
        <v>-77870.268944000025</v>
      </c>
      <c r="V149" s="79">
        <f t="shared" si="32"/>
        <v>-376737.63318599999</v>
      </c>
      <c r="Z149" s="172">
        <f t="shared" si="25"/>
        <v>0</v>
      </c>
      <c r="AB149" t="s">
        <v>321</v>
      </c>
      <c r="AC149" t="s">
        <v>2722</v>
      </c>
      <c r="AD149" s="464">
        <v>-110457.66</v>
      </c>
      <c r="AE149" s="464">
        <v>-122406.56</v>
      </c>
      <c r="AF149" s="464">
        <v>-66003.144241999995</v>
      </c>
      <c r="AG149" s="464">
        <v>-77870.268944000025</v>
      </c>
      <c r="AH149" s="464">
        <v>-376737.63318599999</v>
      </c>
      <c r="AJ149" s="464">
        <f t="shared" si="26"/>
        <v>-266279.97318600002</v>
      </c>
      <c r="AM149" s="464">
        <f t="shared" si="27"/>
        <v>-122406.56</v>
      </c>
      <c r="AN149" s="464">
        <v>-66003.144241999995</v>
      </c>
      <c r="AO149" s="464">
        <v>-77870.268944000025</v>
      </c>
      <c r="AP149" s="317">
        <f t="shared" si="28"/>
        <v>-266279.97318600002</v>
      </c>
      <c r="AQ149" s="317">
        <f t="shared" si="29"/>
        <v>0</v>
      </c>
      <c r="AS149" s="475">
        <v>-91678.677349999984</v>
      </c>
      <c r="AT149" s="174">
        <f t="shared" si="30"/>
        <v>-357958.65053600003</v>
      </c>
      <c r="AU149" s="174">
        <f t="shared" si="31"/>
        <v>0</v>
      </c>
    </row>
    <row r="150" spans="1:47">
      <c r="A150" t="s">
        <v>323</v>
      </c>
      <c r="B150" t="s">
        <v>2723</v>
      </c>
      <c r="C150" s="468">
        <v>293483.12999999989</v>
      </c>
      <c r="D150" s="468">
        <v>333993.52214182896</v>
      </c>
      <c r="E150" s="473">
        <v>656004.10171130532</v>
      </c>
      <c r="F150" s="474">
        <v>352.34159770321276</v>
      </c>
      <c r="G150" s="450">
        <f t="shared" si="23"/>
        <v>1283833.0954508374</v>
      </c>
      <c r="I150" s="67">
        <f t="shared" si="24"/>
        <v>0</v>
      </c>
      <c r="J150" s="58" t="s">
        <v>323</v>
      </c>
      <c r="K150" t="s">
        <v>324</v>
      </c>
      <c r="L150" s="448">
        <v>352.34159770321276</v>
      </c>
      <c r="M150" s="67" t="s">
        <v>2591</v>
      </c>
      <c r="N150" s="317"/>
      <c r="P150" t="s">
        <v>323</v>
      </c>
      <c r="Q150" t="s">
        <v>2723</v>
      </c>
      <c r="R150" s="211">
        <v>89473.339999999909</v>
      </c>
      <c r="S150" s="211">
        <v>204009.79</v>
      </c>
      <c r="T150" s="211">
        <v>333993.52214182896</v>
      </c>
      <c r="U150" s="274">
        <v>656004.10171130532</v>
      </c>
      <c r="V150" s="79">
        <f t="shared" si="32"/>
        <v>1283480.7538531341</v>
      </c>
      <c r="Z150" s="172">
        <f t="shared" si="25"/>
        <v>0</v>
      </c>
      <c r="AB150" t="s">
        <v>323</v>
      </c>
      <c r="AC150" t="s">
        <v>2723</v>
      </c>
      <c r="AD150" s="464">
        <v>89473.339999999909</v>
      </c>
      <c r="AE150" s="464">
        <v>204009.79</v>
      </c>
      <c r="AF150" s="464">
        <v>333993.52214182896</v>
      </c>
      <c r="AG150" s="464">
        <v>656004.10171130532</v>
      </c>
      <c r="AH150" s="464">
        <v>1283480.7538531341</v>
      </c>
      <c r="AJ150" s="464">
        <f t="shared" si="26"/>
        <v>1194007.4138531343</v>
      </c>
      <c r="AM150" s="465">
        <f>+AD150+AE150</f>
        <v>293483.12999999989</v>
      </c>
      <c r="AN150" s="464">
        <v>333993.52214182896</v>
      </c>
      <c r="AO150" s="464">
        <v>656004.10171130532</v>
      </c>
      <c r="AP150" s="317">
        <f t="shared" si="28"/>
        <v>1283480.7538531341</v>
      </c>
      <c r="AQ150" s="466">
        <f>+AP150-AH150</f>
        <v>0</v>
      </c>
      <c r="AS150" s="475">
        <v>352.34159770321276</v>
      </c>
      <c r="AT150" s="174">
        <f t="shared" si="30"/>
        <v>1283833.0954508374</v>
      </c>
      <c r="AU150" s="174">
        <f t="shared" si="31"/>
        <v>0</v>
      </c>
    </row>
    <row r="151" spans="1:47">
      <c r="A151" t="s">
        <v>325</v>
      </c>
      <c r="B151" t="s">
        <v>2724</v>
      </c>
      <c r="C151" s="468">
        <v>115855.23999999977</v>
      </c>
      <c r="D151" s="468">
        <v>-56088.08159999999</v>
      </c>
      <c r="E151" s="473">
        <v>81357.500400000019</v>
      </c>
      <c r="F151" s="474">
        <v>41131.091314000092</v>
      </c>
      <c r="G151" s="450">
        <f t="shared" si="23"/>
        <v>182255.75011399988</v>
      </c>
      <c r="I151" s="67">
        <f t="shared" si="24"/>
        <v>0</v>
      </c>
      <c r="J151" s="58" t="s">
        <v>325</v>
      </c>
      <c r="K151" t="s">
        <v>326</v>
      </c>
      <c r="L151" s="448">
        <v>41131.091314000092</v>
      </c>
      <c r="M151" s="67" t="s">
        <v>2591</v>
      </c>
      <c r="N151" s="317"/>
      <c r="P151" t="s">
        <v>325</v>
      </c>
      <c r="Q151" t="s">
        <v>2724</v>
      </c>
      <c r="R151" s="211">
        <v>94921.479999999778</v>
      </c>
      <c r="S151" s="211">
        <v>20933.759999999998</v>
      </c>
      <c r="T151" s="211">
        <v>-56088.08159999999</v>
      </c>
      <c r="U151" s="274">
        <v>81357.500400000019</v>
      </c>
      <c r="V151" s="79">
        <f t="shared" si="32"/>
        <v>141124.6587999998</v>
      </c>
      <c r="Z151" s="172">
        <f t="shared" si="25"/>
        <v>0</v>
      </c>
      <c r="AB151" t="s">
        <v>325</v>
      </c>
      <c r="AC151" t="s">
        <v>2724</v>
      </c>
      <c r="AD151" s="464">
        <v>94921.479999999778</v>
      </c>
      <c r="AE151" s="464">
        <v>20933.759999999998</v>
      </c>
      <c r="AF151" s="464">
        <v>-56088.08159999999</v>
      </c>
      <c r="AG151" s="464">
        <v>81357.500400000019</v>
      </c>
      <c r="AH151" s="464">
        <v>141124.6587999998</v>
      </c>
      <c r="AJ151" s="464">
        <f t="shared" si="26"/>
        <v>46203.178800000023</v>
      </c>
      <c r="AM151" s="465">
        <f>+AD151+AE151</f>
        <v>115855.23999999977</v>
      </c>
      <c r="AN151" s="464">
        <v>-56088.08159999999</v>
      </c>
      <c r="AO151" s="464">
        <v>81357.500400000019</v>
      </c>
      <c r="AP151" s="317">
        <f t="shared" si="28"/>
        <v>141124.6587999998</v>
      </c>
      <c r="AQ151" s="466">
        <f>+AP151-AH151</f>
        <v>0</v>
      </c>
      <c r="AS151" s="475">
        <v>41131.091314000092</v>
      </c>
      <c r="AT151" s="174">
        <f t="shared" si="30"/>
        <v>182255.75011399988</v>
      </c>
      <c r="AU151" s="174">
        <f t="shared" si="31"/>
        <v>0</v>
      </c>
    </row>
    <row r="152" spans="1:47">
      <c r="A152" t="s">
        <v>327</v>
      </c>
      <c r="B152" t="s">
        <v>2725</v>
      </c>
      <c r="C152" s="468">
        <v>-79220.160000000003</v>
      </c>
      <c r="D152" s="468">
        <v>-57975.438483999998</v>
      </c>
      <c r="E152" s="473">
        <v>-48677.278245000009</v>
      </c>
      <c r="F152" s="474">
        <v>-71811.46661600002</v>
      </c>
      <c r="G152" s="450">
        <f t="shared" si="23"/>
        <v>-257684.34334500003</v>
      </c>
      <c r="I152" s="67">
        <f t="shared" si="24"/>
        <v>0</v>
      </c>
      <c r="J152" s="58" t="s">
        <v>327</v>
      </c>
      <c r="K152" t="s">
        <v>328</v>
      </c>
      <c r="L152" s="448">
        <v>-71811.46661600002</v>
      </c>
      <c r="M152" s="67" t="s">
        <v>2591</v>
      </c>
      <c r="N152" s="317"/>
      <c r="P152" t="s">
        <v>327</v>
      </c>
      <c r="Q152" t="s">
        <v>2725</v>
      </c>
      <c r="R152" s="211">
        <v>-60470.85</v>
      </c>
      <c r="S152" s="211">
        <v>-79220.160000000003</v>
      </c>
      <c r="T152" s="211">
        <v>-57975.438483999998</v>
      </c>
      <c r="U152" s="274">
        <v>-48677.278245000009</v>
      </c>
      <c r="V152" s="79">
        <f t="shared" si="32"/>
        <v>-246343.72672899999</v>
      </c>
      <c r="Z152" s="172">
        <f t="shared" si="25"/>
        <v>0</v>
      </c>
      <c r="AB152" t="s">
        <v>327</v>
      </c>
      <c r="AC152" t="s">
        <v>2725</v>
      </c>
      <c r="AD152" s="464">
        <v>-60470.85</v>
      </c>
      <c r="AE152" s="464">
        <v>-79220.160000000003</v>
      </c>
      <c r="AF152" s="464">
        <v>-57975.438483999998</v>
      </c>
      <c r="AG152" s="464">
        <v>-48677.278245000009</v>
      </c>
      <c r="AH152" s="464">
        <v>-246343.72672899999</v>
      </c>
      <c r="AJ152" s="464">
        <f t="shared" si="26"/>
        <v>-185872.87672900001</v>
      </c>
      <c r="AM152" s="464">
        <f t="shared" si="27"/>
        <v>-79220.160000000003</v>
      </c>
      <c r="AN152" s="464">
        <v>-57975.438483999998</v>
      </c>
      <c r="AO152" s="464">
        <v>-48677.278245000009</v>
      </c>
      <c r="AP152" s="317">
        <f t="shared" si="28"/>
        <v>-185872.87672900001</v>
      </c>
      <c r="AQ152" s="317">
        <f t="shared" si="29"/>
        <v>0</v>
      </c>
      <c r="AS152" s="475">
        <v>-71811.46661600002</v>
      </c>
      <c r="AT152" s="174">
        <f t="shared" si="30"/>
        <v>-257684.34334500003</v>
      </c>
      <c r="AU152" s="174">
        <f t="shared" si="31"/>
        <v>0</v>
      </c>
    </row>
    <row r="153" spans="1:47">
      <c r="A153" t="s">
        <v>329</v>
      </c>
      <c r="B153" t="s">
        <v>2726</v>
      </c>
      <c r="C153" s="468">
        <v>-179864.48</v>
      </c>
      <c r="D153" s="468">
        <v>-60262.116419999948</v>
      </c>
      <c r="E153" s="473">
        <v>-122826.52264000016</v>
      </c>
      <c r="F153" s="474">
        <v>-158400.60794000002</v>
      </c>
      <c r="G153" s="450">
        <f t="shared" si="23"/>
        <v>-521353.72700000013</v>
      </c>
      <c r="I153" s="67">
        <f t="shared" si="24"/>
        <v>0</v>
      </c>
      <c r="J153" s="58" t="s">
        <v>329</v>
      </c>
      <c r="K153" t="s">
        <v>330</v>
      </c>
      <c r="L153" s="448">
        <v>-158400.60794000002</v>
      </c>
      <c r="M153" s="67" t="s">
        <v>2591</v>
      </c>
      <c r="N153" s="317"/>
      <c r="P153" t="s">
        <v>329</v>
      </c>
      <c r="Q153" t="s">
        <v>2726</v>
      </c>
      <c r="R153" s="211">
        <v>-189727.06</v>
      </c>
      <c r="S153" s="211">
        <v>-179864.48</v>
      </c>
      <c r="T153" s="211">
        <v>-60262.116419999948</v>
      </c>
      <c r="U153" s="274">
        <v>-122826.52264000016</v>
      </c>
      <c r="V153" s="79">
        <f t="shared" si="32"/>
        <v>-552680.17906000023</v>
      </c>
      <c r="Z153" s="172">
        <f t="shared" si="25"/>
        <v>0</v>
      </c>
      <c r="AB153" t="s">
        <v>329</v>
      </c>
      <c r="AC153" t="s">
        <v>2726</v>
      </c>
      <c r="AD153" s="464">
        <v>-189727.06</v>
      </c>
      <c r="AE153" s="464">
        <v>-179864.48</v>
      </c>
      <c r="AF153" s="464">
        <v>-60262.116419999948</v>
      </c>
      <c r="AG153" s="464">
        <v>-122826.52264000016</v>
      </c>
      <c r="AH153" s="464">
        <v>-552680.17906000023</v>
      </c>
      <c r="AJ153" s="464">
        <f t="shared" si="26"/>
        <v>-362953.11906000011</v>
      </c>
      <c r="AM153" s="464">
        <f t="shared" si="27"/>
        <v>-179864.48</v>
      </c>
      <c r="AN153" s="464">
        <v>-60262.116419999948</v>
      </c>
      <c r="AO153" s="464">
        <v>-122826.52264000016</v>
      </c>
      <c r="AP153" s="317">
        <f t="shared" si="28"/>
        <v>-362953.11906000011</v>
      </c>
      <c r="AQ153" s="317">
        <f t="shared" si="29"/>
        <v>0</v>
      </c>
      <c r="AS153" s="475">
        <v>-158400.60794000002</v>
      </c>
      <c r="AT153" s="174">
        <f t="shared" si="30"/>
        <v>-521353.72700000013</v>
      </c>
      <c r="AU153" s="174">
        <f t="shared" si="31"/>
        <v>0</v>
      </c>
    </row>
    <row r="154" spans="1:47">
      <c r="A154" t="s">
        <v>331</v>
      </c>
      <c r="B154" t="s">
        <v>2727</v>
      </c>
      <c r="C154" s="468">
        <v>-65164.76</v>
      </c>
      <c r="D154" s="468">
        <v>-72728.420000000027</v>
      </c>
      <c r="E154" s="473">
        <v>-48385.056183999986</v>
      </c>
      <c r="F154" s="474">
        <v>-40631.699431999965</v>
      </c>
      <c r="G154" s="450">
        <f t="shared" si="23"/>
        <v>-226909.93561599997</v>
      </c>
      <c r="I154" s="67">
        <f t="shared" si="24"/>
        <v>0</v>
      </c>
      <c r="J154" s="58" t="s">
        <v>331</v>
      </c>
      <c r="K154" t="s">
        <v>2728</v>
      </c>
      <c r="L154" s="448">
        <v>-40631.699431999965</v>
      </c>
      <c r="M154" s="67" t="s">
        <v>2591</v>
      </c>
      <c r="N154" s="317"/>
      <c r="P154" t="s">
        <v>331</v>
      </c>
      <c r="Q154" t="s">
        <v>2727</v>
      </c>
      <c r="R154" s="211">
        <v>-77723.13</v>
      </c>
      <c r="S154" s="211">
        <v>-65164.76</v>
      </c>
      <c r="T154" s="211">
        <v>-72728.420000000027</v>
      </c>
      <c r="U154" s="274">
        <v>-48385.056183999986</v>
      </c>
      <c r="V154" s="79">
        <f t="shared" si="32"/>
        <v>-264001.36618400004</v>
      </c>
      <c r="Z154" s="172">
        <f t="shared" si="25"/>
        <v>0</v>
      </c>
      <c r="AB154" t="s">
        <v>331</v>
      </c>
      <c r="AC154" t="s">
        <v>2727</v>
      </c>
      <c r="AD154" s="464">
        <v>-77723.13</v>
      </c>
      <c r="AE154" s="464">
        <v>-65164.76</v>
      </c>
      <c r="AF154" s="464">
        <v>-72728.420000000027</v>
      </c>
      <c r="AG154" s="464">
        <v>-48385.056183999986</v>
      </c>
      <c r="AH154" s="464">
        <v>-264001.36618400004</v>
      </c>
      <c r="AJ154" s="464">
        <f t="shared" si="26"/>
        <v>-186278.23618400001</v>
      </c>
      <c r="AM154" s="464">
        <f t="shared" si="27"/>
        <v>-65164.76</v>
      </c>
      <c r="AN154" s="464">
        <v>-72728.420000000027</v>
      </c>
      <c r="AO154" s="464">
        <v>-48385.056183999986</v>
      </c>
      <c r="AP154" s="317">
        <f t="shared" si="28"/>
        <v>-186278.23618400001</v>
      </c>
      <c r="AQ154" s="317">
        <f t="shared" si="29"/>
        <v>0</v>
      </c>
      <c r="AS154" s="475">
        <v>-40631.699431999965</v>
      </c>
      <c r="AT154" s="174">
        <f t="shared" si="30"/>
        <v>-226909.93561599997</v>
      </c>
      <c r="AU154" s="174">
        <f t="shared" si="31"/>
        <v>0</v>
      </c>
    </row>
    <row r="155" spans="1:47">
      <c r="A155" t="s">
        <v>333</v>
      </c>
      <c r="B155" t="s">
        <v>2729</v>
      </c>
      <c r="C155" s="468">
        <v>-70743.69</v>
      </c>
      <c r="D155" s="468">
        <v>174341.18212500005</v>
      </c>
      <c r="E155" s="473">
        <v>36373.682682999992</v>
      </c>
      <c r="F155" s="474">
        <v>45022.445359999976</v>
      </c>
      <c r="G155" s="450">
        <f t="shared" si="23"/>
        <v>184993.62016800002</v>
      </c>
      <c r="I155" s="67">
        <f t="shared" si="24"/>
        <v>0</v>
      </c>
      <c r="J155" s="58" t="s">
        <v>333</v>
      </c>
      <c r="K155" t="s">
        <v>334</v>
      </c>
      <c r="L155" s="448">
        <v>45022.445359999976</v>
      </c>
      <c r="M155" s="67" t="s">
        <v>2591</v>
      </c>
      <c r="N155" s="317"/>
      <c r="P155" t="s">
        <v>333</v>
      </c>
      <c r="Q155" t="s">
        <v>2729</v>
      </c>
      <c r="R155" s="211">
        <v>52597.87</v>
      </c>
      <c r="S155" s="211">
        <v>-123341.56</v>
      </c>
      <c r="T155" s="211">
        <v>174341.18212500005</v>
      </c>
      <c r="U155" s="274">
        <v>36373.682682999992</v>
      </c>
      <c r="V155" s="79">
        <f t="shared" si="32"/>
        <v>139971.17480800004</v>
      </c>
      <c r="Z155" s="172">
        <f t="shared" si="25"/>
        <v>0</v>
      </c>
      <c r="AB155" t="s">
        <v>333</v>
      </c>
      <c r="AC155" t="s">
        <v>2729</v>
      </c>
      <c r="AD155" s="464">
        <v>52597.87</v>
      </c>
      <c r="AE155" s="464">
        <v>-123341.56</v>
      </c>
      <c r="AF155" s="464">
        <v>174341.18212500005</v>
      </c>
      <c r="AG155" s="464">
        <v>36373.682682999992</v>
      </c>
      <c r="AH155" s="464">
        <v>139971.17480800004</v>
      </c>
      <c r="AJ155" s="464">
        <f t="shared" si="26"/>
        <v>87373.304808000044</v>
      </c>
      <c r="AM155" s="465">
        <f>+AD155+AE155</f>
        <v>-70743.69</v>
      </c>
      <c r="AN155" s="464">
        <v>174341.18212500005</v>
      </c>
      <c r="AO155" s="464">
        <v>36373.682682999992</v>
      </c>
      <c r="AP155" s="317">
        <f t="shared" si="28"/>
        <v>139971.17480800004</v>
      </c>
      <c r="AQ155" s="466">
        <f>+AP155-AH155</f>
        <v>0</v>
      </c>
      <c r="AS155" s="475">
        <v>45022.445359999976</v>
      </c>
      <c r="AT155" s="174">
        <f t="shared" si="30"/>
        <v>184993.62016800002</v>
      </c>
      <c r="AU155" s="174">
        <f t="shared" si="31"/>
        <v>0</v>
      </c>
    </row>
    <row r="156" spans="1:47">
      <c r="A156" t="s">
        <v>335</v>
      </c>
      <c r="B156" t="s">
        <v>2730</v>
      </c>
      <c r="C156" s="468">
        <v>-1425197.85</v>
      </c>
      <c r="D156" s="468">
        <v>-261545.88486164337</v>
      </c>
      <c r="E156" s="473">
        <v>0</v>
      </c>
      <c r="F156" s="474">
        <v>1313724.9303025112</v>
      </c>
      <c r="G156" s="450">
        <f t="shared" si="23"/>
        <v>-373018.80455913232</v>
      </c>
      <c r="I156" s="67">
        <f t="shared" si="24"/>
        <v>0</v>
      </c>
      <c r="J156" s="58" t="s">
        <v>335</v>
      </c>
      <c r="K156" t="s">
        <v>336</v>
      </c>
      <c r="L156" s="448">
        <v>1313724.9303025112</v>
      </c>
      <c r="M156" s="67" t="s">
        <v>2591</v>
      </c>
      <c r="N156" s="317"/>
      <c r="P156" t="s">
        <v>335</v>
      </c>
      <c r="Q156" t="s">
        <v>2730</v>
      </c>
      <c r="R156" s="211">
        <v>-1124487.6599999999</v>
      </c>
      <c r="S156" s="211">
        <v>-1425197.85</v>
      </c>
      <c r="T156" s="211">
        <v>-261545.88486164337</v>
      </c>
      <c r="U156" s="274">
        <v>211466.99853949994</v>
      </c>
      <c r="V156" s="79">
        <f t="shared" si="32"/>
        <v>-2599764.3963221433</v>
      </c>
      <c r="Z156" s="172">
        <f t="shared" si="25"/>
        <v>0</v>
      </c>
      <c r="AB156" t="s">
        <v>335</v>
      </c>
      <c r="AC156" t="s">
        <v>2730</v>
      </c>
      <c r="AD156" s="464">
        <v>-913020.66146049998</v>
      </c>
      <c r="AE156" s="464">
        <v>-1425197.85</v>
      </c>
      <c r="AF156" s="464">
        <v>-261545.88486164337</v>
      </c>
      <c r="AG156" s="464">
        <v>0</v>
      </c>
      <c r="AH156" s="464">
        <v>-2599764.3963221433</v>
      </c>
      <c r="AJ156" s="464">
        <f t="shared" si="26"/>
        <v>-1686743.7348616435</v>
      </c>
      <c r="AM156" s="464">
        <f t="shared" si="27"/>
        <v>-1425197.85</v>
      </c>
      <c r="AN156" s="464">
        <v>-261545.88486164337</v>
      </c>
      <c r="AO156" s="464">
        <v>0</v>
      </c>
      <c r="AP156" s="317">
        <f t="shared" si="28"/>
        <v>-1686743.7348616435</v>
      </c>
      <c r="AQ156" s="317">
        <f t="shared" si="29"/>
        <v>0</v>
      </c>
      <c r="AS156" s="475">
        <v>1313724.9303025112</v>
      </c>
      <c r="AT156" s="174">
        <f t="shared" si="30"/>
        <v>-373018.80455913232</v>
      </c>
      <c r="AU156" s="174">
        <f t="shared" si="31"/>
        <v>0</v>
      </c>
    </row>
    <row r="157" spans="1:47">
      <c r="A157" t="s">
        <v>337</v>
      </c>
      <c r="B157" t="s">
        <v>2731</v>
      </c>
      <c r="C157" s="468">
        <v>-90639.39</v>
      </c>
      <c r="D157" s="468">
        <v>-25419.127711999983</v>
      </c>
      <c r="E157" s="473">
        <v>-60714.005157999985</v>
      </c>
      <c r="F157" s="474">
        <v>-56800.895652000021</v>
      </c>
      <c r="G157" s="450">
        <f t="shared" si="23"/>
        <v>-233573.41852200002</v>
      </c>
      <c r="I157" s="67">
        <f t="shared" si="24"/>
        <v>0</v>
      </c>
      <c r="J157" s="58" t="s">
        <v>337</v>
      </c>
      <c r="K157" t="s">
        <v>2731</v>
      </c>
      <c r="L157" s="448">
        <v>-56800.895652000021</v>
      </c>
      <c r="M157" s="67" t="s">
        <v>2591</v>
      </c>
      <c r="N157" s="317"/>
      <c r="P157" t="s">
        <v>337</v>
      </c>
      <c r="Q157" t="s">
        <v>2731</v>
      </c>
      <c r="R157" s="211">
        <v>-142818.17000000001</v>
      </c>
      <c r="S157" s="211">
        <v>-90639.39</v>
      </c>
      <c r="T157" s="211">
        <v>-25419.127711999983</v>
      </c>
      <c r="U157" s="274">
        <v>-60714.005157999985</v>
      </c>
      <c r="V157" s="79">
        <f t="shared" si="32"/>
        <v>-319590.69286999997</v>
      </c>
      <c r="Z157" s="172">
        <f t="shared" si="25"/>
        <v>0</v>
      </c>
      <c r="AB157" t="s">
        <v>337</v>
      </c>
      <c r="AC157" t="s">
        <v>2731</v>
      </c>
      <c r="AD157" s="464">
        <v>-142818.17000000001</v>
      </c>
      <c r="AE157" s="464">
        <v>-90639.39</v>
      </c>
      <c r="AF157" s="464">
        <v>-25419.127711999983</v>
      </c>
      <c r="AG157" s="464">
        <v>-60714.005157999985</v>
      </c>
      <c r="AH157" s="464">
        <v>-319590.69286999997</v>
      </c>
      <c r="AJ157" s="464">
        <f t="shared" si="26"/>
        <v>-176772.52286999999</v>
      </c>
      <c r="AM157" s="464">
        <f t="shared" si="27"/>
        <v>-90639.39</v>
      </c>
      <c r="AN157" s="464">
        <v>-25419.127711999983</v>
      </c>
      <c r="AO157" s="464">
        <v>-60714.005157999985</v>
      </c>
      <c r="AP157" s="317">
        <f t="shared" si="28"/>
        <v>-176772.52286999999</v>
      </c>
      <c r="AQ157" s="317">
        <f t="shared" si="29"/>
        <v>0</v>
      </c>
      <c r="AS157" s="475">
        <v>-56800.895652000021</v>
      </c>
      <c r="AT157" s="174">
        <f t="shared" si="30"/>
        <v>-233573.41852200002</v>
      </c>
      <c r="AU157" s="174">
        <f t="shared" si="31"/>
        <v>0</v>
      </c>
    </row>
    <row r="158" spans="1:47">
      <c r="A158" t="s">
        <v>339</v>
      </c>
      <c r="B158" t="s">
        <v>2732</v>
      </c>
      <c r="C158" s="468">
        <v>-151309.19</v>
      </c>
      <c r="D158" s="468">
        <v>448346.1932236884</v>
      </c>
      <c r="E158" s="473">
        <v>1437306.0641535223</v>
      </c>
      <c r="F158" s="474">
        <v>355801.84511667694</v>
      </c>
      <c r="G158" s="450">
        <f t="shared" si="23"/>
        <v>2090144.9124938876</v>
      </c>
      <c r="I158" s="67">
        <f t="shared" si="24"/>
        <v>0</v>
      </c>
      <c r="J158" s="58" t="s">
        <v>339</v>
      </c>
      <c r="K158" t="s">
        <v>340</v>
      </c>
      <c r="L158" s="448">
        <v>355801.84511667694</v>
      </c>
      <c r="M158" s="67" t="s">
        <v>2591</v>
      </c>
      <c r="N158" s="317"/>
      <c r="P158" t="s">
        <v>339</v>
      </c>
      <c r="Q158" t="s">
        <v>2732</v>
      </c>
      <c r="R158" s="211">
        <v>-46280.99</v>
      </c>
      <c r="S158" s="211">
        <v>-151309.19</v>
      </c>
      <c r="T158" s="211">
        <v>494627.18322368839</v>
      </c>
      <c r="U158" s="274">
        <v>1437306.0641535223</v>
      </c>
      <c r="V158" s="79">
        <f t="shared" si="32"/>
        <v>1734343.0673772106</v>
      </c>
      <c r="Z158" s="172">
        <f t="shared" si="25"/>
        <v>0</v>
      </c>
      <c r="AB158" t="s">
        <v>339</v>
      </c>
      <c r="AC158" t="s">
        <v>2732</v>
      </c>
      <c r="AD158" s="464">
        <v>0</v>
      </c>
      <c r="AE158" s="464">
        <v>-151309.19</v>
      </c>
      <c r="AF158" s="464">
        <v>448346.1932236884</v>
      </c>
      <c r="AG158" s="464">
        <v>1437306.0641535223</v>
      </c>
      <c r="AH158" s="464">
        <v>1734343.0673772106</v>
      </c>
      <c r="AJ158" s="464">
        <f t="shared" si="26"/>
        <v>1734343.0673772106</v>
      </c>
      <c r="AM158" s="464">
        <f t="shared" si="27"/>
        <v>-151309.19</v>
      </c>
      <c r="AN158" s="464">
        <v>448346.1932236884</v>
      </c>
      <c r="AO158" s="464">
        <v>1437306.0641535223</v>
      </c>
      <c r="AP158" s="317">
        <f t="shared" si="28"/>
        <v>1734343.0673772106</v>
      </c>
      <c r="AQ158" s="317">
        <f t="shared" si="29"/>
        <v>0</v>
      </c>
      <c r="AS158" s="475">
        <v>355801.84511667694</v>
      </c>
      <c r="AT158" s="174">
        <f t="shared" si="30"/>
        <v>2090144.9124938876</v>
      </c>
      <c r="AU158" s="174">
        <f t="shared" si="31"/>
        <v>0</v>
      </c>
    </row>
    <row r="159" spans="1:47">
      <c r="A159" t="s">
        <v>341</v>
      </c>
      <c r="B159" t="s">
        <v>2733</v>
      </c>
      <c r="C159" s="468">
        <v>-271923.73</v>
      </c>
      <c r="D159" s="468">
        <v>-231544.20767500001</v>
      </c>
      <c r="E159" s="473">
        <v>-186917.21016899985</v>
      </c>
      <c r="F159" s="474">
        <v>-418107.49812400009</v>
      </c>
      <c r="G159" s="450">
        <f t="shared" si="23"/>
        <v>-1108492.6459679999</v>
      </c>
      <c r="I159" s="67">
        <f t="shared" si="24"/>
        <v>0</v>
      </c>
      <c r="J159" s="58" t="s">
        <v>341</v>
      </c>
      <c r="K159" t="s">
        <v>342</v>
      </c>
      <c r="L159" s="448">
        <v>-418107.49812400009</v>
      </c>
      <c r="M159" s="67" t="s">
        <v>2591</v>
      </c>
      <c r="N159" s="317"/>
      <c r="P159" t="s">
        <v>341</v>
      </c>
      <c r="Q159" t="s">
        <v>2733</v>
      </c>
      <c r="R159" s="211">
        <v>-247906.71</v>
      </c>
      <c r="S159" s="211">
        <v>-271923.73</v>
      </c>
      <c r="T159" s="211">
        <v>-231544.20767500001</v>
      </c>
      <c r="U159" s="274">
        <v>-186917.21016899985</v>
      </c>
      <c r="V159" s="79">
        <f t="shared" si="32"/>
        <v>-938291.85784399975</v>
      </c>
      <c r="Z159" s="172">
        <f t="shared" si="25"/>
        <v>0</v>
      </c>
      <c r="AB159" t="s">
        <v>341</v>
      </c>
      <c r="AC159" t="s">
        <v>2733</v>
      </c>
      <c r="AD159" s="464">
        <v>-247906.71</v>
      </c>
      <c r="AE159" s="464">
        <v>-271923.73</v>
      </c>
      <c r="AF159" s="464">
        <v>-231544.20767500001</v>
      </c>
      <c r="AG159" s="464">
        <v>-186917.21016899985</v>
      </c>
      <c r="AH159" s="464">
        <v>-938291.85784399975</v>
      </c>
      <c r="AJ159" s="464">
        <f t="shared" si="26"/>
        <v>-690385.14784399979</v>
      </c>
      <c r="AM159" s="464">
        <f t="shared" si="27"/>
        <v>-271923.73</v>
      </c>
      <c r="AN159" s="464">
        <v>-231544.20767500001</v>
      </c>
      <c r="AO159" s="464">
        <v>-186917.21016899985</v>
      </c>
      <c r="AP159" s="317">
        <f t="shared" si="28"/>
        <v>-690385.14784399979</v>
      </c>
      <c r="AQ159" s="317">
        <f t="shared" si="29"/>
        <v>0</v>
      </c>
      <c r="AS159" s="475">
        <v>-418107.49812400009</v>
      </c>
      <c r="AT159" s="174">
        <f t="shared" si="30"/>
        <v>-1108492.6459679999</v>
      </c>
      <c r="AU159" s="174">
        <f t="shared" si="31"/>
        <v>0</v>
      </c>
    </row>
    <row r="160" spans="1:47">
      <c r="A160" t="s">
        <v>343</v>
      </c>
      <c r="B160" t="s">
        <v>2734</v>
      </c>
      <c r="C160" s="468">
        <v>-27029.69</v>
      </c>
      <c r="D160" s="468">
        <v>0</v>
      </c>
      <c r="E160" s="473">
        <v>-91042.906208596658</v>
      </c>
      <c r="F160" s="474">
        <v>-433681.8898075528</v>
      </c>
      <c r="G160" s="450">
        <f t="shared" si="23"/>
        <v>-551754.4860161494</v>
      </c>
      <c r="I160" s="67">
        <f t="shared" si="24"/>
        <v>0</v>
      </c>
      <c r="J160" s="58" t="s">
        <v>343</v>
      </c>
      <c r="K160" t="s">
        <v>344</v>
      </c>
      <c r="L160" s="448">
        <v>-433681.8898075528</v>
      </c>
      <c r="M160" s="67" t="s">
        <v>2591</v>
      </c>
      <c r="N160" s="317"/>
      <c r="P160" t="s">
        <v>343</v>
      </c>
      <c r="Q160" t="s">
        <v>2734</v>
      </c>
      <c r="R160" s="211">
        <v>-225813.36</v>
      </c>
      <c r="S160" s="211">
        <v>-27029.69</v>
      </c>
      <c r="T160" s="211">
        <v>27494.565219713921</v>
      </c>
      <c r="U160" s="274">
        <v>-91042.906208596658</v>
      </c>
      <c r="V160" s="79">
        <f t="shared" si="32"/>
        <v>-316391.39098888275</v>
      </c>
      <c r="Z160" s="172">
        <f t="shared" si="25"/>
        <v>0</v>
      </c>
      <c r="AB160" t="s">
        <v>343</v>
      </c>
      <c r="AC160" t="s">
        <v>2734</v>
      </c>
      <c r="AD160" s="464">
        <v>-198318.79478028606</v>
      </c>
      <c r="AE160" s="464">
        <v>-27029.69</v>
      </c>
      <c r="AF160" s="464">
        <v>0</v>
      </c>
      <c r="AG160" s="464">
        <v>-91042.906208596658</v>
      </c>
      <c r="AH160" s="464">
        <v>-316391.39098888275</v>
      </c>
      <c r="AJ160" s="464">
        <f t="shared" si="26"/>
        <v>-118072.59620859666</v>
      </c>
      <c r="AM160" s="464">
        <f t="shared" si="27"/>
        <v>-27029.69</v>
      </c>
      <c r="AN160" s="464">
        <v>0</v>
      </c>
      <c r="AO160" s="464">
        <v>-91042.906208596658</v>
      </c>
      <c r="AP160" s="317">
        <f t="shared" si="28"/>
        <v>-118072.59620859666</v>
      </c>
      <c r="AQ160" s="317">
        <f t="shared" si="29"/>
        <v>0</v>
      </c>
      <c r="AS160" s="475">
        <v>-433681.8898075528</v>
      </c>
      <c r="AT160" s="174">
        <f t="shared" si="30"/>
        <v>-551754.4860161494</v>
      </c>
      <c r="AU160" s="174">
        <f t="shared" si="31"/>
        <v>0</v>
      </c>
    </row>
    <row r="161" spans="1:47">
      <c r="A161" t="s">
        <v>345</v>
      </c>
      <c r="B161" t="s">
        <v>2735</v>
      </c>
      <c r="C161" s="468">
        <v>-14472.28</v>
      </c>
      <c r="D161" s="468">
        <v>109610.22845200002</v>
      </c>
      <c r="E161" s="473">
        <v>-42261.082734999945</v>
      </c>
      <c r="F161" s="474">
        <v>-122519.57513600009</v>
      </c>
      <c r="G161" s="450">
        <f t="shared" si="23"/>
        <v>-69642.709419000006</v>
      </c>
      <c r="I161" s="67">
        <f t="shared" si="24"/>
        <v>0</v>
      </c>
      <c r="J161" s="58" t="s">
        <v>345</v>
      </c>
      <c r="K161" t="s">
        <v>346</v>
      </c>
      <c r="L161" s="448">
        <v>-122519.57513600009</v>
      </c>
      <c r="M161" s="67" t="s">
        <v>2591</v>
      </c>
      <c r="N161" s="317"/>
      <c r="P161" t="s">
        <v>345</v>
      </c>
      <c r="Q161" t="s">
        <v>2735</v>
      </c>
      <c r="R161" s="211">
        <v>-12137.609999999999</v>
      </c>
      <c r="S161" s="211">
        <v>-14472.28</v>
      </c>
      <c r="T161" s="211">
        <v>121747.83845200003</v>
      </c>
      <c r="U161" s="274">
        <v>-42261.082734999945</v>
      </c>
      <c r="V161" s="79">
        <f t="shared" si="32"/>
        <v>52876.865717000081</v>
      </c>
      <c r="Z161" s="172">
        <f t="shared" si="25"/>
        <v>0</v>
      </c>
      <c r="AB161" t="s">
        <v>345</v>
      </c>
      <c r="AC161" t="s">
        <v>2735</v>
      </c>
      <c r="AD161" s="464">
        <v>0</v>
      </c>
      <c r="AE161" s="464">
        <v>-14472.28</v>
      </c>
      <c r="AF161" s="464">
        <v>109610.22845200002</v>
      </c>
      <c r="AG161" s="464">
        <v>-42261.082734999945</v>
      </c>
      <c r="AH161" s="464">
        <v>52876.865717000081</v>
      </c>
      <c r="AJ161" s="464">
        <f t="shared" si="26"/>
        <v>52876.865717000081</v>
      </c>
      <c r="AM161" s="464">
        <f t="shared" si="27"/>
        <v>-14472.28</v>
      </c>
      <c r="AN161" s="464">
        <v>109610.22845200002</v>
      </c>
      <c r="AO161" s="464">
        <v>-42261.082734999945</v>
      </c>
      <c r="AP161" s="317">
        <f t="shared" si="28"/>
        <v>52876.865717000081</v>
      </c>
      <c r="AQ161" s="317">
        <f t="shared" si="29"/>
        <v>0</v>
      </c>
      <c r="AS161" s="475">
        <v>-122519.57513600009</v>
      </c>
      <c r="AT161" s="174">
        <f t="shared" si="30"/>
        <v>-69642.709419000006</v>
      </c>
      <c r="AU161" s="174">
        <f t="shared" si="31"/>
        <v>0</v>
      </c>
    </row>
    <row r="162" spans="1:47">
      <c r="A162" t="s">
        <v>347</v>
      </c>
      <c r="B162" t="s">
        <v>2736</v>
      </c>
      <c r="C162" s="468">
        <v>-101399.35</v>
      </c>
      <c r="D162" s="468">
        <v>-151343.66263199999</v>
      </c>
      <c r="E162" s="473">
        <v>-60195.889557999908</v>
      </c>
      <c r="F162" s="474">
        <v>-140747.98052000004</v>
      </c>
      <c r="G162" s="450">
        <f t="shared" si="23"/>
        <v>-453686.88270999998</v>
      </c>
      <c r="I162" s="67">
        <f t="shared" si="24"/>
        <v>0</v>
      </c>
      <c r="J162" s="58" t="s">
        <v>347</v>
      </c>
      <c r="K162" t="s">
        <v>348</v>
      </c>
      <c r="L162" s="448">
        <v>-140747.98052000004</v>
      </c>
      <c r="M162" s="67" t="s">
        <v>2591</v>
      </c>
      <c r="N162" s="317"/>
      <c r="P162" t="s">
        <v>347</v>
      </c>
      <c r="Q162" t="s">
        <v>2736</v>
      </c>
      <c r="R162" s="211">
        <v>-111519.57</v>
      </c>
      <c r="S162" s="211">
        <v>-101399.35</v>
      </c>
      <c r="T162" s="211">
        <v>-151343.66263199999</v>
      </c>
      <c r="U162" s="274">
        <v>-60195.889557999908</v>
      </c>
      <c r="V162" s="79">
        <f t="shared" si="32"/>
        <v>-424458.47218999988</v>
      </c>
      <c r="Z162" s="172">
        <f t="shared" si="25"/>
        <v>0</v>
      </c>
      <c r="AB162" t="s">
        <v>347</v>
      </c>
      <c r="AC162" t="s">
        <v>2736</v>
      </c>
      <c r="AD162" s="464">
        <v>-111519.57</v>
      </c>
      <c r="AE162" s="464">
        <v>-101399.35</v>
      </c>
      <c r="AF162" s="464">
        <v>-151343.66263199999</v>
      </c>
      <c r="AG162" s="464">
        <v>-60195.889557999908</v>
      </c>
      <c r="AH162" s="464">
        <v>-424458.47218999988</v>
      </c>
      <c r="AJ162" s="464">
        <f t="shared" si="26"/>
        <v>-312938.90218999994</v>
      </c>
      <c r="AM162" s="464">
        <f t="shared" si="27"/>
        <v>-101399.35</v>
      </c>
      <c r="AN162" s="464">
        <v>-151343.66263199999</v>
      </c>
      <c r="AO162" s="464">
        <v>-60195.889557999908</v>
      </c>
      <c r="AP162" s="317">
        <f t="shared" si="28"/>
        <v>-312938.90218999994</v>
      </c>
      <c r="AQ162" s="317">
        <f t="shared" si="29"/>
        <v>0</v>
      </c>
      <c r="AS162" s="475">
        <v>-140747.98052000004</v>
      </c>
      <c r="AT162" s="174">
        <f t="shared" si="30"/>
        <v>-453686.88270999998</v>
      </c>
      <c r="AU162" s="174">
        <f t="shared" si="31"/>
        <v>0</v>
      </c>
    </row>
    <row r="163" spans="1:47">
      <c r="A163" t="s">
        <v>349</v>
      </c>
      <c r="B163" t="s">
        <v>2737</v>
      </c>
      <c r="C163" s="468">
        <v>-44851.25</v>
      </c>
      <c r="D163" s="468">
        <v>-36033.161083999999</v>
      </c>
      <c r="E163" s="473">
        <v>-67286.516527999978</v>
      </c>
      <c r="F163" s="474">
        <v>-63245.651627999992</v>
      </c>
      <c r="G163" s="450">
        <f t="shared" si="23"/>
        <v>-211416.57923999996</v>
      </c>
      <c r="I163" s="67">
        <f t="shared" si="24"/>
        <v>0</v>
      </c>
      <c r="J163" s="58" t="s">
        <v>349</v>
      </c>
      <c r="K163" t="s">
        <v>350</v>
      </c>
      <c r="L163" s="448">
        <v>-63245.651627999992</v>
      </c>
      <c r="M163" s="67" t="s">
        <v>2591</v>
      </c>
      <c r="N163" s="317"/>
      <c r="P163" t="s">
        <v>349</v>
      </c>
      <c r="Q163" t="s">
        <v>2737</v>
      </c>
      <c r="R163" s="211">
        <v>-49181.599999999999</v>
      </c>
      <c r="S163" s="211">
        <v>-44851.25</v>
      </c>
      <c r="T163" s="211">
        <v>-36033.161083999999</v>
      </c>
      <c r="U163" s="274">
        <v>-67286.516527999978</v>
      </c>
      <c r="V163" s="79">
        <f t="shared" si="32"/>
        <v>-197352.52761199998</v>
      </c>
      <c r="Z163" s="172">
        <f t="shared" si="25"/>
        <v>0</v>
      </c>
      <c r="AB163" t="s">
        <v>349</v>
      </c>
      <c r="AC163" t="s">
        <v>2737</v>
      </c>
      <c r="AD163" s="464">
        <v>-49181.599999999999</v>
      </c>
      <c r="AE163" s="464">
        <v>-44851.25</v>
      </c>
      <c r="AF163" s="464">
        <v>-36033.161083999999</v>
      </c>
      <c r="AG163" s="464">
        <v>-67286.516527999978</v>
      </c>
      <c r="AH163" s="464">
        <v>-197352.52761199998</v>
      </c>
      <c r="AJ163" s="464">
        <f t="shared" si="26"/>
        <v>-148170.92761199997</v>
      </c>
      <c r="AM163" s="464">
        <f t="shared" si="27"/>
        <v>-44851.25</v>
      </c>
      <c r="AN163" s="464">
        <v>-36033.161083999999</v>
      </c>
      <c r="AO163" s="464">
        <v>-67286.516527999978</v>
      </c>
      <c r="AP163" s="317">
        <f t="shared" si="28"/>
        <v>-148170.92761199997</v>
      </c>
      <c r="AQ163" s="317">
        <f t="shared" si="29"/>
        <v>0</v>
      </c>
      <c r="AS163" s="475">
        <v>-63245.651627999992</v>
      </c>
      <c r="AT163" s="174">
        <f t="shared" si="30"/>
        <v>-211416.57923999996</v>
      </c>
      <c r="AU163" s="174">
        <f t="shared" si="31"/>
        <v>0</v>
      </c>
    </row>
    <row r="164" spans="1:47">
      <c r="A164" t="s">
        <v>351</v>
      </c>
      <c r="B164" t="s">
        <v>2738</v>
      </c>
      <c r="C164" s="468">
        <v>-35799.33</v>
      </c>
      <c r="D164" s="468">
        <v>86968.705808000261</v>
      </c>
      <c r="E164" s="473">
        <v>43134.259329999608</v>
      </c>
      <c r="F164" s="474">
        <v>53290.983080000035</v>
      </c>
      <c r="G164" s="450">
        <f t="shared" si="23"/>
        <v>147594.6182179999</v>
      </c>
      <c r="I164" s="67">
        <f t="shared" si="24"/>
        <v>0</v>
      </c>
      <c r="J164" s="58" t="s">
        <v>351</v>
      </c>
      <c r="K164" t="s">
        <v>352</v>
      </c>
      <c r="L164" s="448">
        <v>53290.983080000035</v>
      </c>
      <c r="M164" s="67" t="s">
        <v>2591</v>
      </c>
      <c r="N164" s="317"/>
      <c r="P164" t="s">
        <v>351</v>
      </c>
      <c r="Q164" t="s">
        <v>2738</v>
      </c>
      <c r="R164" s="211">
        <v>-129789.3</v>
      </c>
      <c r="S164" s="211">
        <v>-35799.33</v>
      </c>
      <c r="T164" s="211">
        <v>86968.705808000261</v>
      </c>
      <c r="U164" s="274">
        <v>172923.55932999961</v>
      </c>
      <c r="V164" s="79">
        <f t="shared" si="32"/>
        <v>94303.635137999867</v>
      </c>
      <c r="Z164" s="172">
        <f t="shared" si="25"/>
        <v>0</v>
      </c>
      <c r="AB164" t="s">
        <v>351</v>
      </c>
      <c r="AC164" t="s">
        <v>2738</v>
      </c>
      <c r="AD164" s="464">
        <v>0</v>
      </c>
      <c r="AE164" s="464">
        <v>-35799.33</v>
      </c>
      <c r="AF164" s="464">
        <v>86968.705808000261</v>
      </c>
      <c r="AG164" s="464">
        <v>43134.259329999608</v>
      </c>
      <c r="AH164" s="464">
        <v>94303.635137999867</v>
      </c>
      <c r="AJ164" s="464">
        <f t="shared" si="26"/>
        <v>94303.635137999867</v>
      </c>
      <c r="AM164" s="464">
        <f t="shared" si="27"/>
        <v>-35799.33</v>
      </c>
      <c r="AN164" s="464">
        <v>86968.705808000261</v>
      </c>
      <c r="AO164" s="464">
        <v>43134.259329999608</v>
      </c>
      <c r="AP164" s="317">
        <f t="shared" si="28"/>
        <v>94303.635137999867</v>
      </c>
      <c r="AQ164" s="317">
        <f t="shared" si="29"/>
        <v>0</v>
      </c>
      <c r="AS164" s="475">
        <v>53290.983080000035</v>
      </c>
      <c r="AT164" s="174">
        <f t="shared" si="30"/>
        <v>147594.6182179999</v>
      </c>
      <c r="AU164" s="174">
        <f t="shared" si="31"/>
        <v>0</v>
      </c>
    </row>
    <row r="165" spans="1:47">
      <c r="A165" t="s">
        <v>353</v>
      </c>
      <c r="B165" t="s">
        <v>2739</v>
      </c>
      <c r="C165" s="468">
        <v>-139487.31</v>
      </c>
      <c r="D165" s="468">
        <v>-63412.22119999992</v>
      </c>
      <c r="E165" s="473">
        <v>1374.1864750001114</v>
      </c>
      <c r="F165" s="474">
        <v>-74013.351280000163</v>
      </c>
      <c r="G165" s="450">
        <f t="shared" si="23"/>
        <v>-275538.69600499998</v>
      </c>
      <c r="I165" s="67">
        <f t="shared" si="24"/>
        <v>0</v>
      </c>
      <c r="J165" s="58" t="s">
        <v>353</v>
      </c>
      <c r="K165" t="s">
        <v>354</v>
      </c>
      <c r="L165" s="448">
        <v>-74013.351280000163</v>
      </c>
      <c r="M165" s="67" t="s">
        <v>2591</v>
      </c>
      <c r="N165" s="317"/>
      <c r="P165" t="s">
        <v>353</v>
      </c>
      <c r="Q165" t="s">
        <v>2739</v>
      </c>
      <c r="R165" s="211">
        <v>-79939.77</v>
      </c>
      <c r="S165" s="211">
        <v>-139487.31</v>
      </c>
      <c r="T165" s="211">
        <v>-63412.22119999992</v>
      </c>
      <c r="U165" s="274">
        <v>1374.1864750001114</v>
      </c>
      <c r="V165" s="79">
        <f t="shared" si="32"/>
        <v>-281465.11472499982</v>
      </c>
      <c r="Z165" s="172">
        <f t="shared" si="25"/>
        <v>0</v>
      </c>
      <c r="AB165" t="s">
        <v>353</v>
      </c>
      <c r="AC165" t="s">
        <v>2739</v>
      </c>
      <c r="AD165" s="464">
        <v>-79939.77</v>
      </c>
      <c r="AE165" s="464">
        <v>-139487.31</v>
      </c>
      <c r="AF165" s="464">
        <v>-63412.22119999992</v>
      </c>
      <c r="AG165" s="464">
        <v>1374.1864750001114</v>
      </c>
      <c r="AH165" s="464">
        <v>-281465.11472499982</v>
      </c>
      <c r="AJ165" s="464">
        <f t="shared" si="26"/>
        <v>-201525.3447249998</v>
      </c>
      <c r="AM165" s="464">
        <f t="shared" si="27"/>
        <v>-139487.31</v>
      </c>
      <c r="AN165" s="464">
        <v>-63412.22119999992</v>
      </c>
      <c r="AO165" s="464">
        <v>1374.1864750001114</v>
      </c>
      <c r="AP165" s="317">
        <f t="shared" si="28"/>
        <v>-201525.3447249998</v>
      </c>
      <c r="AQ165" s="317">
        <f t="shared" si="29"/>
        <v>0</v>
      </c>
      <c r="AS165" s="475">
        <v>-74013.351280000163</v>
      </c>
      <c r="AT165" s="174">
        <f t="shared" si="30"/>
        <v>-275538.69600499998</v>
      </c>
      <c r="AU165" s="174">
        <f t="shared" si="31"/>
        <v>0</v>
      </c>
    </row>
    <row r="166" spans="1:47">
      <c r="A166" t="s">
        <v>355</v>
      </c>
      <c r="B166" t="s">
        <v>2740</v>
      </c>
      <c r="C166" s="468">
        <v>-45809.54</v>
      </c>
      <c r="D166" s="468">
        <v>-53267.641173999997</v>
      </c>
      <c r="E166" s="473">
        <v>-58207.793790000025</v>
      </c>
      <c r="F166" s="474">
        <v>-16408.024164999973</v>
      </c>
      <c r="G166" s="450">
        <f t="shared" si="23"/>
        <v>-173692.999129</v>
      </c>
      <c r="I166" s="67">
        <f t="shared" si="24"/>
        <v>0</v>
      </c>
      <c r="J166" s="58" t="s">
        <v>355</v>
      </c>
      <c r="K166" t="s">
        <v>356</v>
      </c>
      <c r="L166" s="448">
        <v>-16408.024164999973</v>
      </c>
      <c r="M166" s="67" t="s">
        <v>2591</v>
      </c>
      <c r="N166" s="317"/>
      <c r="P166" t="s">
        <v>355</v>
      </c>
      <c r="Q166" t="s">
        <v>2740</v>
      </c>
      <c r="R166" s="211">
        <v>-124166.91</v>
      </c>
      <c r="S166" s="211">
        <v>-45809.54</v>
      </c>
      <c r="T166" s="211">
        <v>-53267.641173999997</v>
      </c>
      <c r="U166" s="274">
        <v>-58207.793790000025</v>
      </c>
      <c r="V166" s="79">
        <f t="shared" si="32"/>
        <v>-281451.88496400003</v>
      </c>
      <c r="Z166" s="172">
        <f t="shared" si="25"/>
        <v>0</v>
      </c>
      <c r="AB166" t="s">
        <v>355</v>
      </c>
      <c r="AC166" t="s">
        <v>2740</v>
      </c>
      <c r="AD166" s="464">
        <v>-124166.91</v>
      </c>
      <c r="AE166" s="464">
        <v>-45809.54</v>
      </c>
      <c r="AF166" s="464">
        <v>-53267.641173999997</v>
      </c>
      <c r="AG166" s="464">
        <v>-58207.793790000025</v>
      </c>
      <c r="AH166" s="464">
        <v>-281451.88496400003</v>
      </c>
      <c r="AJ166" s="464">
        <f t="shared" si="26"/>
        <v>-157284.97496400002</v>
      </c>
      <c r="AM166" s="464">
        <f t="shared" si="27"/>
        <v>-45809.54</v>
      </c>
      <c r="AN166" s="464">
        <v>-53267.641173999997</v>
      </c>
      <c r="AO166" s="464">
        <v>-58207.793790000025</v>
      </c>
      <c r="AP166" s="317">
        <f t="shared" si="28"/>
        <v>-157284.97496400002</v>
      </c>
      <c r="AQ166" s="317">
        <f t="shared" si="29"/>
        <v>0</v>
      </c>
      <c r="AS166" s="475">
        <v>-16408.024164999973</v>
      </c>
      <c r="AT166" s="174">
        <f t="shared" si="30"/>
        <v>-173692.999129</v>
      </c>
      <c r="AU166" s="174">
        <f t="shared" si="31"/>
        <v>0</v>
      </c>
    </row>
    <row r="167" spans="1:47">
      <c r="A167" t="s">
        <v>357</v>
      </c>
      <c r="B167" t="s">
        <v>2741</v>
      </c>
      <c r="C167" s="468">
        <v>-1101612.05</v>
      </c>
      <c r="D167" s="468">
        <v>-658525.62757999974</v>
      </c>
      <c r="E167" s="473">
        <v>-157362.82635232899</v>
      </c>
      <c r="F167" s="474">
        <v>255513.91446310899</v>
      </c>
      <c r="G167" s="450">
        <f t="shared" si="23"/>
        <v>-1661986.58946922</v>
      </c>
      <c r="I167" s="67">
        <f t="shared" si="24"/>
        <v>0</v>
      </c>
      <c r="J167" s="58" t="s">
        <v>357</v>
      </c>
      <c r="K167" t="s">
        <v>358</v>
      </c>
      <c r="L167" s="448">
        <v>255513.91446310899</v>
      </c>
      <c r="M167" s="67" t="s">
        <v>2591</v>
      </c>
      <c r="N167" s="317"/>
      <c r="P167" t="s">
        <v>357</v>
      </c>
      <c r="Q167" t="s">
        <v>2741</v>
      </c>
      <c r="R167" s="211">
        <v>-767306.53</v>
      </c>
      <c r="S167" s="211">
        <v>-1101612.05</v>
      </c>
      <c r="T167" s="211">
        <v>-658525.62757999974</v>
      </c>
      <c r="U167" s="274">
        <v>-157362.82635232899</v>
      </c>
      <c r="V167" s="79">
        <f t="shared" si="32"/>
        <v>-2684807.0339323287</v>
      </c>
      <c r="Z167" s="172">
        <f t="shared" si="25"/>
        <v>0</v>
      </c>
      <c r="AB167" t="s">
        <v>357</v>
      </c>
      <c r="AC167" t="s">
        <v>2741</v>
      </c>
      <c r="AD167" s="464">
        <v>-767306.53</v>
      </c>
      <c r="AE167" s="464">
        <v>-1101612.05</v>
      </c>
      <c r="AF167" s="464">
        <v>-658525.62757999974</v>
      </c>
      <c r="AG167" s="464">
        <v>-157362.82635232899</v>
      </c>
      <c r="AH167" s="464">
        <v>-2684807.0339323287</v>
      </c>
      <c r="AJ167" s="464">
        <f t="shared" si="26"/>
        <v>-1917500.5039323289</v>
      </c>
      <c r="AM167" s="464">
        <f t="shared" si="27"/>
        <v>-1101612.05</v>
      </c>
      <c r="AN167" s="464">
        <v>-658525.62757999974</v>
      </c>
      <c r="AO167" s="464">
        <v>-157362.82635232899</v>
      </c>
      <c r="AP167" s="317">
        <f t="shared" si="28"/>
        <v>-1917500.5039323289</v>
      </c>
      <c r="AQ167" s="317">
        <f t="shared" si="29"/>
        <v>0</v>
      </c>
      <c r="AS167" s="475">
        <v>255513.91446310899</v>
      </c>
      <c r="AT167" s="174">
        <f t="shared" si="30"/>
        <v>-1661986.58946922</v>
      </c>
      <c r="AU167" s="174">
        <f t="shared" si="31"/>
        <v>0</v>
      </c>
    </row>
    <row r="168" spans="1:47">
      <c r="A168" t="s">
        <v>359</v>
      </c>
      <c r="B168" t="s">
        <v>2742</v>
      </c>
      <c r="C168" s="468">
        <v>-15586.9</v>
      </c>
      <c r="D168" s="468">
        <v>-8786.1536320000123</v>
      </c>
      <c r="E168" s="473">
        <v>58568.694999000021</v>
      </c>
      <c r="F168" s="474">
        <v>-5206.2245560000083</v>
      </c>
      <c r="G168" s="450">
        <f t="shared" si="23"/>
        <v>28989.416811000003</v>
      </c>
      <c r="I168" s="67">
        <f t="shared" si="24"/>
        <v>0</v>
      </c>
      <c r="J168" s="58" t="s">
        <v>359</v>
      </c>
      <c r="K168" t="s">
        <v>360</v>
      </c>
      <c r="L168" s="448">
        <v>-5206.2245560000083</v>
      </c>
      <c r="M168" s="67" t="s">
        <v>2591</v>
      </c>
      <c r="N168" s="317"/>
      <c r="P168" t="s">
        <v>359</v>
      </c>
      <c r="Q168" t="s">
        <v>2742</v>
      </c>
      <c r="R168" s="211">
        <v>-6853.9</v>
      </c>
      <c r="S168" s="211">
        <v>-15586.9</v>
      </c>
      <c r="T168" s="211">
        <v>-8786.1536320000123</v>
      </c>
      <c r="U168" s="274">
        <v>65422.594999000023</v>
      </c>
      <c r="V168" s="79">
        <f t="shared" si="32"/>
        <v>34195.641367000011</v>
      </c>
      <c r="Z168" s="172">
        <f t="shared" si="25"/>
        <v>0</v>
      </c>
      <c r="AB168" t="s">
        <v>359</v>
      </c>
      <c r="AC168" t="s">
        <v>2742</v>
      </c>
      <c r="AD168" s="464">
        <v>0</v>
      </c>
      <c r="AE168" s="464">
        <v>-15586.9</v>
      </c>
      <c r="AF168" s="464">
        <v>-8786.1536320000123</v>
      </c>
      <c r="AG168" s="464">
        <v>58568.694999000021</v>
      </c>
      <c r="AH168" s="464">
        <v>34195.641367000011</v>
      </c>
      <c r="AJ168" s="464">
        <f t="shared" si="26"/>
        <v>34195.641367000011</v>
      </c>
      <c r="AM168" s="464">
        <f t="shared" si="27"/>
        <v>-15586.9</v>
      </c>
      <c r="AN168" s="464">
        <v>-8786.1536320000123</v>
      </c>
      <c r="AO168" s="464">
        <v>58568.694999000021</v>
      </c>
      <c r="AP168" s="317">
        <f t="shared" si="28"/>
        <v>34195.641367000011</v>
      </c>
      <c r="AQ168" s="317">
        <f t="shared" si="29"/>
        <v>0</v>
      </c>
      <c r="AS168" s="475">
        <v>-5206.2245560000083</v>
      </c>
      <c r="AT168" s="174">
        <f t="shared" si="30"/>
        <v>28989.416811000003</v>
      </c>
      <c r="AU168" s="174">
        <f t="shared" si="31"/>
        <v>0</v>
      </c>
    </row>
    <row r="169" spans="1:47">
      <c r="A169" t="s">
        <v>361</v>
      </c>
      <c r="B169" t="s">
        <v>2743</v>
      </c>
      <c r="C169" s="468">
        <v>-64265.780000000006</v>
      </c>
      <c r="D169" s="468">
        <v>24308.356998247971</v>
      </c>
      <c r="E169" s="473">
        <v>-12763.446739591658</v>
      </c>
      <c r="F169" s="474">
        <v>-232813.05159741582</v>
      </c>
      <c r="G169" s="450">
        <f t="shared" si="23"/>
        <v>-285533.92133875948</v>
      </c>
      <c r="I169" s="67">
        <f t="shared" si="24"/>
        <v>0</v>
      </c>
      <c r="J169" s="58" t="s">
        <v>361</v>
      </c>
      <c r="K169" t="s">
        <v>362</v>
      </c>
      <c r="L169" s="448">
        <v>-232813.05159741582</v>
      </c>
      <c r="M169" s="67" t="s">
        <v>2591</v>
      </c>
      <c r="N169" s="317"/>
      <c r="P169" t="s">
        <v>361</v>
      </c>
      <c r="Q169" t="s">
        <v>2743</v>
      </c>
      <c r="R169" s="211">
        <v>1430.8199999999997</v>
      </c>
      <c r="S169" s="211">
        <v>-65696.600000000006</v>
      </c>
      <c r="T169" s="211">
        <v>24308.356998247971</v>
      </c>
      <c r="U169" s="274">
        <v>-12763.446739591658</v>
      </c>
      <c r="V169" s="79">
        <f t="shared" si="32"/>
        <v>-52720.869741343689</v>
      </c>
      <c r="Z169" s="172">
        <f t="shared" si="25"/>
        <v>0</v>
      </c>
      <c r="AB169" t="s">
        <v>361</v>
      </c>
      <c r="AC169" t="s">
        <v>2743</v>
      </c>
      <c r="AD169" s="464">
        <v>1430.8199999999997</v>
      </c>
      <c r="AE169" s="464">
        <v>-65696.600000000006</v>
      </c>
      <c r="AF169" s="464">
        <v>24308.356998247971</v>
      </c>
      <c r="AG169" s="464">
        <v>-12763.446739591658</v>
      </c>
      <c r="AH169" s="464">
        <v>-52720.869741343689</v>
      </c>
      <c r="AJ169" s="464">
        <f t="shared" si="26"/>
        <v>-54151.689741343696</v>
      </c>
      <c r="AM169" s="465">
        <f>+AD169+AE169</f>
        <v>-64265.780000000006</v>
      </c>
      <c r="AN169" s="464">
        <v>24308.356998247971</v>
      </c>
      <c r="AO169" s="464">
        <v>-12763.446739591658</v>
      </c>
      <c r="AP169" s="317">
        <f t="shared" si="28"/>
        <v>-52720.869741343689</v>
      </c>
      <c r="AQ169" s="466">
        <f>+AP169-AH169</f>
        <v>0</v>
      </c>
      <c r="AS169" s="475">
        <v>-232813.05159741582</v>
      </c>
      <c r="AT169" s="174">
        <f t="shared" si="30"/>
        <v>-285533.92133875948</v>
      </c>
      <c r="AU169" s="174">
        <f t="shared" si="31"/>
        <v>0</v>
      </c>
    </row>
    <row r="170" spans="1:47">
      <c r="A170" t="s">
        <v>363</v>
      </c>
      <c r="B170" t="s">
        <v>2744</v>
      </c>
      <c r="C170" s="468">
        <v>133164.65</v>
      </c>
      <c r="D170" s="468">
        <v>334191.68943247548</v>
      </c>
      <c r="E170" s="473">
        <v>-53713.668623075355</v>
      </c>
      <c r="F170" s="474">
        <v>-83120.006480000302</v>
      </c>
      <c r="G170" s="450">
        <f t="shared" si="23"/>
        <v>330522.66432939982</v>
      </c>
      <c r="I170" s="67">
        <f t="shared" si="24"/>
        <v>0</v>
      </c>
      <c r="J170" s="58" t="s">
        <v>363</v>
      </c>
      <c r="K170" t="s">
        <v>364</v>
      </c>
      <c r="L170" s="448">
        <v>-83120.006480000302</v>
      </c>
      <c r="M170" s="67" t="s">
        <v>2591</v>
      </c>
      <c r="N170" s="317"/>
      <c r="P170" t="s">
        <v>363</v>
      </c>
      <c r="Q170" t="s">
        <v>2744</v>
      </c>
      <c r="R170" s="211">
        <v>-243955.53</v>
      </c>
      <c r="S170" s="211">
        <v>133164.65</v>
      </c>
      <c r="T170" s="211">
        <v>578147.21943247551</v>
      </c>
      <c r="U170" s="274">
        <v>-53713.668623075355</v>
      </c>
      <c r="V170" s="79">
        <f t="shared" si="32"/>
        <v>413642.67080940015</v>
      </c>
      <c r="Z170" s="172">
        <f t="shared" si="25"/>
        <v>0</v>
      </c>
      <c r="AB170" t="s">
        <v>363</v>
      </c>
      <c r="AC170" t="s">
        <v>2744</v>
      </c>
      <c r="AD170" s="464">
        <v>0</v>
      </c>
      <c r="AE170" s="464">
        <v>133164.65</v>
      </c>
      <c r="AF170" s="464">
        <v>334191.68943247548</v>
      </c>
      <c r="AG170" s="464">
        <v>-53713.668623075355</v>
      </c>
      <c r="AH170" s="464">
        <v>413642.67080940015</v>
      </c>
      <c r="AJ170" s="464">
        <f t="shared" si="26"/>
        <v>413642.67080940015</v>
      </c>
      <c r="AM170" s="464">
        <f t="shared" si="27"/>
        <v>133164.65</v>
      </c>
      <c r="AN170" s="464">
        <v>334191.68943247548</v>
      </c>
      <c r="AO170" s="464">
        <v>-53713.668623075355</v>
      </c>
      <c r="AP170" s="317">
        <f t="shared" si="28"/>
        <v>413642.67080940015</v>
      </c>
      <c r="AQ170" s="317">
        <f t="shared" si="29"/>
        <v>0</v>
      </c>
      <c r="AS170" s="475">
        <v>-83120.006480000302</v>
      </c>
      <c r="AT170" s="174">
        <f t="shared" si="30"/>
        <v>330522.66432939982</v>
      </c>
      <c r="AU170" s="174">
        <f t="shared" si="31"/>
        <v>0</v>
      </c>
    </row>
    <row r="171" spans="1:47">
      <c r="A171" s="436" t="s">
        <v>365</v>
      </c>
      <c r="B171" s="437" t="s">
        <v>366</v>
      </c>
      <c r="C171" s="478">
        <v>0</v>
      </c>
      <c r="D171" s="467"/>
      <c r="E171" s="473"/>
      <c r="F171" s="474"/>
      <c r="G171" s="450">
        <f t="shared" si="23"/>
        <v>0</v>
      </c>
      <c r="I171" s="67">
        <f t="shared" si="24"/>
        <v>0</v>
      </c>
      <c r="J171" s="436" t="s">
        <v>365</v>
      </c>
      <c r="K171" s="437" t="s">
        <v>366</v>
      </c>
      <c r="L171" s="448"/>
      <c r="M171" s="67"/>
      <c r="N171" s="317"/>
      <c r="P171" s="291" t="s">
        <v>365</v>
      </c>
      <c r="Q171" s="292" t="s">
        <v>366</v>
      </c>
      <c r="R171" s="211"/>
      <c r="S171" s="211"/>
      <c r="T171" s="211"/>
      <c r="U171" s="274"/>
      <c r="V171" s="79"/>
      <c r="Z171" s="172">
        <f t="shared" si="25"/>
        <v>0</v>
      </c>
      <c r="AB171" t="s">
        <v>365</v>
      </c>
      <c r="AC171" t="s">
        <v>366</v>
      </c>
      <c r="AD171" s="464"/>
      <c r="AE171" s="464"/>
      <c r="AF171" s="464"/>
      <c r="AG171" s="464"/>
      <c r="AH171" s="464"/>
      <c r="AJ171" s="464">
        <f t="shared" si="26"/>
        <v>0</v>
      </c>
      <c r="AM171" s="464">
        <f t="shared" si="27"/>
        <v>0</v>
      </c>
      <c r="AN171" s="464"/>
      <c r="AO171" s="464"/>
      <c r="AP171" s="317">
        <f t="shared" si="28"/>
        <v>0</v>
      </c>
      <c r="AQ171" s="317">
        <f t="shared" si="29"/>
        <v>0</v>
      </c>
      <c r="AS171" s="475"/>
      <c r="AT171" s="174">
        <f t="shared" si="30"/>
        <v>0</v>
      </c>
      <c r="AU171" s="174">
        <f t="shared" si="31"/>
        <v>0</v>
      </c>
    </row>
    <row r="172" spans="1:47">
      <c r="A172" t="s">
        <v>367</v>
      </c>
      <c r="B172" t="s">
        <v>2745</v>
      </c>
      <c r="C172" s="479">
        <v>-470712.84</v>
      </c>
      <c r="D172" s="468">
        <v>-498114.97839499969</v>
      </c>
      <c r="E172" s="473">
        <v>-314525.32392800041</v>
      </c>
      <c r="F172" s="474">
        <v>-197204.02557200007</v>
      </c>
      <c r="G172" s="450">
        <f t="shared" si="23"/>
        <v>-1480557.1678950002</v>
      </c>
      <c r="I172" s="67">
        <f t="shared" si="24"/>
        <v>0</v>
      </c>
      <c r="J172" t="s">
        <v>367</v>
      </c>
      <c r="K172" t="s">
        <v>2745</v>
      </c>
      <c r="L172" s="448">
        <v>-197204.02557200007</v>
      </c>
      <c r="M172" s="67" t="s">
        <v>2591</v>
      </c>
      <c r="N172" s="317"/>
      <c r="P172" t="s">
        <v>367</v>
      </c>
      <c r="Q172" t="s">
        <v>2745</v>
      </c>
      <c r="R172" s="211">
        <v>-300500.92</v>
      </c>
      <c r="S172" s="211">
        <v>-470712.84</v>
      </c>
      <c r="T172" s="211">
        <v>-498114.97839499969</v>
      </c>
      <c r="U172" s="274">
        <v>-314525.32392800041</v>
      </c>
      <c r="V172" s="79">
        <f>SUM(R172:U172)</f>
        <v>-1583854.062323</v>
      </c>
      <c r="Z172" s="172">
        <f t="shared" si="25"/>
        <v>0</v>
      </c>
      <c r="AB172" t="s">
        <v>367</v>
      </c>
      <c r="AC172" t="s">
        <v>2745</v>
      </c>
      <c r="AD172" s="464">
        <v>-300500.92</v>
      </c>
      <c r="AE172" s="464">
        <v>-470712.84</v>
      </c>
      <c r="AF172" s="464">
        <v>-498114.97839499969</v>
      </c>
      <c r="AG172" s="464">
        <v>-314525.32392800041</v>
      </c>
      <c r="AH172" s="464">
        <v>-1583854.062323</v>
      </c>
      <c r="AJ172" s="464">
        <f t="shared" si="26"/>
        <v>-1283353.1423230001</v>
      </c>
      <c r="AM172" s="464">
        <f t="shared" si="27"/>
        <v>-470712.84</v>
      </c>
      <c r="AN172" s="464">
        <v>-498114.97839499969</v>
      </c>
      <c r="AO172" s="464">
        <v>-314525.32392800041</v>
      </c>
      <c r="AP172" s="317">
        <f t="shared" si="28"/>
        <v>-1283353.1423230001</v>
      </c>
      <c r="AQ172" s="317">
        <f t="shared" si="29"/>
        <v>0</v>
      </c>
      <c r="AS172" s="475">
        <v>-197204.02557200007</v>
      </c>
      <c r="AT172" s="174">
        <f t="shared" si="30"/>
        <v>-1480557.1678950002</v>
      </c>
      <c r="AU172" s="174">
        <f t="shared" si="31"/>
        <v>0</v>
      </c>
    </row>
    <row r="173" spans="1:47">
      <c r="A173" s="442" t="s">
        <v>369</v>
      </c>
      <c r="B173" s="443" t="s">
        <v>370</v>
      </c>
      <c r="C173" s="479">
        <v>0</v>
      </c>
      <c r="D173" s="468"/>
      <c r="E173" s="473"/>
      <c r="F173" s="474"/>
      <c r="G173" s="450">
        <f t="shared" si="23"/>
        <v>0</v>
      </c>
      <c r="I173" s="67">
        <f t="shared" si="24"/>
        <v>0</v>
      </c>
      <c r="J173" s="442" t="s">
        <v>369</v>
      </c>
      <c r="K173" s="443" t="s">
        <v>370</v>
      </c>
      <c r="L173" s="448"/>
      <c r="M173" s="67"/>
      <c r="N173" s="317"/>
      <c r="P173" s="296" t="s">
        <v>369</v>
      </c>
      <c r="Q173" s="287" t="s">
        <v>370</v>
      </c>
      <c r="R173" s="211"/>
      <c r="S173" s="211"/>
      <c r="T173" s="211"/>
      <c r="U173" s="274"/>
      <c r="V173" s="79"/>
      <c r="Z173" s="172">
        <f t="shared" si="25"/>
        <v>0</v>
      </c>
      <c r="AB173" t="s">
        <v>369</v>
      </c>
      <c r="AC173" t="s">
        <v>370</v>
      </c>
      <c r="AD173" s="464"/>
      <c r="AE173" s="464"/>
      <c r="AF173" s="464"/>
      <c r="AG173" s="464"/>
      <c r="AH173" s="464"/>
      <c r="AJ173" s="464">
        <f t="shared" si="26"/>
        <v>0</v>
      </c>
      <c r="AM173" s="464">
        <f t="shared" si="27"/>
        <v>0</v>
      </c>
      <c r="AN173" s="464"/>
      <c r="AO173" s="464"/>
      <c r="AP173" s="317">
        <f t="shared" si="28"/>
        <v>0</v>
      </c>
      <c r="AQ173" s="317">
        <f t="shared" si="29"/>
        <v>0</v>
      </c>
      <c r="AS173" s="475"/>
      <c r="AT173" s="174">
        <f t="shared" si="30"/>
        <v>0</v>
      </c>
      <c r="AU173" s="174">
        <f t="shared" si="31"/>
        <v>0</v>
      </c>
    </row>
    <row r="174" spans="1:47">
      <c r="A174" t="s">
        <v>371</v>
      </c>
      <c r="B174" t="s">
        <v>2746</v>
      </c>
      <c r="C174" s="479">
        <v>-1776049.08</v>
      </c>
      <c r="D174" s="468">
        <v>-295.94858400069643</v>
      </c>
      <c r="E174" s="473">
        <v>0</v>
      </c>
      <c r="F174" s="474">
        <v>-90601.082346167997</v>
      </c>
      <c r="G174" s="450">
        <f t="shared" si="23"/>
        <v>-1866946.1109301685</v>
      </c>
      <c r="I174" s="67">
        <f t="shared" si="24"/>
        <v>0</v>
      </c>
      <c r="J174" s="58" t="s">
        <v>371</v>
      </c>
      <c r="K174" t="s">
        <v>372</v>
      </c>
      <c r="L174" s="448">
        <v>-90601.082346167997</v>
      </c>
      <c r="M174" s="67" t="s">
        <v>2591</v>
      </c>
      <c r="N174" s="317"/>
      <c r="P174" t="s">
        <v>371</v>
      </c>
      <c r="Q174" t="s">
        <v>2746</v>
      </c>
      <c r="R174" s="211">
        <v>-754882.94</v>
      </c>
      <c r="S174" s="211">
        <v>-1776049.08</v>
      </c>
      <c r="T174" s="211">
        <v>-295.94858400069643</v>
      </c>
      <c r="U174" s="274">
        <v>500821.1577360006</v>
      </c>
      <c r="V174" s="79">
        <f t="shared" ref="V174:V190" si="33">SUM(R174:U174)</f>
        <v>-2030406.810848</v>
      </c>
      <c r="Z174" s="172">
        <f t="shared" si="25"/>
        <v>0</v>
      </c>
      <c r="AB174" t="s">
        <v>371</v>
      </c>
      <c r="AC174" t="s">
        <v>2746</v>
      </c>
      <c r="AD174" s="464">
        <v>-254061.78226399934</v>
      </c>
      <c r="AE174" s="464">
        <v>-1776049.08</v>
      </c>
      <c r="AF174" s="464">
        <v>-295.94858400069643</v>
      </c>
      <c r="AG174" s="464">
        <v>0</v>
      </c>
      <c r="AH174" s="464">
        <v>-2030406.810848</v>
      </c>
      <c r="AJ174" s="464">
        <f t="shared" si="26"/>
        <v>-1776345.0285840007</v>
      </c>
      <c r="AM174" s="464">
        <f t="shared" si="27"/>
        <v>-1776049.08</v>
      </c>
      <c r="AN174" s="464">
        <v>-295.94858400069643</v>
      </c>
      <c r="AO174" s="464">
        <v>0</v>
      </c>
      <c r="AP174" s="317">
        <f t="shared" si="28"/>
        <v>-1776345.0285840007</v>
      </c>
      <c r="AQ174" s="317">
        <f t="shared" si="29"/>
        <v>0</v>
      </c>
      <c r="AS174" s="475">
        <v>-90601.082346167997</v>
      </c>
      <c r="AT174" s="174">
        <f t="shared" si="30"/>
        <v>-1866946.1109301685</v>
      </c>
      <c r="AU174" s="174">
        <f t="shared" si="31"/>
        <v>0</v>
      </c>
    </row>
    <row r="175" spans="1:47">
      <c r="A175" t="s">
        <v>373</v>
      </c>
      <c r="B175" t="s">
        <v>2747</v>
      </c>
      <c r="C175" s="479">
        <v>-191764.77</v>
      </c>
      <c r="D175" s="468">
        <v>-33111.315049999917</v>
      </c>
      <c r="E175" s="473">
        <v>-97272.827544999891</v>
      </c>
      <c r="F175" s="474">
        <v>-288705.22216052451</v>
      </c>
      <c r="G175" s="450">
        <f t="shared" si="23"/>
        <v>-610854.13475552434</v>
      </c>
      <c r="I175" s="67">
        <f t="shared" si="24"/>
        <v>0</v>
      </c>
      <c r="J175" s="58" t="s">
        <v>373</v>
      </c>
      <c r="K175" t="s">
        <v>374</v>
      </c>
      <c r="L175" s="448">
        <v>-288705.22216052451</v>
      </c>
      <c r="M175" s="67" t="s">
        <v>2591</v>
      </c>
      <c r="N175" s="317"/>
      <c r="P175" t="s">
        <v>373</v>
      </c>
      <c r="Q175" t="s">
        <v>2747</v>
      </c>
      <c r="R175" s="211">
        <v>-131054.32</v>
      </c>
      <c r="S175" s="211">
        <v>-191764.77</v>
      </c>
      <c r="T175" s="211">
        <v>-33111.315049999917</v>
      </c>
      <c r="U175" s="274">
        <v>-97272.827544999891</v>
      </c>
      <c r="V175" s="79">
        <f t="shared" si="33"/>
        <v>-453203.23259499978</v>
      </c>
      <c r="Z175" s="172">
        <f t="shared" si="25"/>
        <v>0</v>
      </c>
      <c r="AB175" t="s">
        <v>373</v>
      </c>
      <c r="AC175" t="s">
        <v>2747</v>
      </c>
      <c r="AD175" s="464">
        <v>-131054.32</v>
      </c>
      <c r="AE175" s="464">
        <v>-191764.77</v>
      </c>
      <c r="AF175" s="464">
        <v>-33111.315049999917</v>
      </c>
      <c r="AG175" s="464">
        <v>-97272.827544999891</v>
      </c>
      <c r="AH175" s="464">
        <v>-453203.23259499978</v>
      </c>
      <c r="AJ175" s="464">
        <f t="shared" si="26"/>
        <v>-322148.91259499977</v>
      </c>
      <c r="AM175" s="464">
        <f t="shared" si="27"/>
        <v>-191764.77</v>
      </c>
      <c r="AN175" s="464">
        <v>-33111.315049999917</v>
      </c>
      <c r="AO175" s="464">
        <v>-97272.827544999891</v>
      </c>
      <c r="AP175" s="317">
        <f t="shared" si="28"/>
        <v>-322148.91259499977</v>
      </c>
      <c r="AQ175" s="317">
        <f t="shared" si="29"/>
        <v>0</v>
      </c>
      <c r="AS175" s="475">
        <v>-288705.22216052451</v>
      </c>
      <c r="AT175" s="174">
        <f t="shared" si="30"/>
        <v>-610854.13475552434</v>
      </c>
      <c r="AU175" s="174">
        <f t="shared" si="31"/>
        <v>0</v>
      </c>
    </row>
    <row r="176" spans="1:47">
      <c r="A176" t="s">
        <v>375</v>
      </c>
      <c r="B176" t="s">
        <v>2748</v>
      </c>
      <c r="C176" s="479">
        <v>-1621.73</v>
      </c>
      <c r="D176" s="468">
        <v>17895.482171532927</v>
      </c>
      <c r="E176" s="473">
        <v>12933.584014800639</v>
      </c>
      <c r="F176" s="474">
        <v>17982.505630999985</v>
      </c>
      <c r="G176" s="450">
        <f t="shared" si="23"/>
        <v>47189.841817333552</v>
      </c>
      <c r="I176" s="67">
        <f t="shared" si="24"/>
        <v>0</v>
      </c>
      <c r="J176" s="58" t="s">
        <v>375</v>
      </c>
      <c r="K176" t="s">
        <v>376</v>
      </c>
      <c r="L176" s="448">
        <v>17982.505630999985</v>
      </c>
      <c r="M176" s="67" t="s">
        <v>2591</v>
      </c>
      <c r="N176" s="317"/>
      <c r="P176" t="s">
        <v>375</v>
      </c>
      <c r="Q176" t="s">
        <v>2748</v>
      </c>
      <c r="R176" s="211">
        <v>-23175.78</v>
      </c>
      <c r="S176" s="211">
        <v>-1621.73</v>
      </c>
      <c r="T176" s="211">
        <v>17895.482171532927</v>
      </c>
      <c r="U176" s="274">
        <v>36109.364014800638</v>
      </c>
      <c r="V176" s="79">
        <f t="shared" si="33"/>
        <v>29207.336186333567</v>
      </c>
      <c r="Z176" s="172">
        <f t="shared" si="25"/>
        <v>0</v>
      </c>
      <c r="AB176" t="s">
        <v>375</v>
      </c>
      <c r="AC176" t="s">
        <v>2748</v>
      </c>
      <c r="AD176" s="464">
        <v>0</v>
      </c>
      <c r="AE176" s="464">
        <v>-1621.73</v>
      </c>
      <c r="AF176" s="464">
        <v>17895.482171532927</v>
      </c>
      <c r="AG176" s="464">
        <v>12933.584014800639</v>
      </c>
      <c r="AH176" s="464">
        <v>29207.336186333567</v>
      </c>
      <c r="AJ176" s="464">
        <f t="shared" si="26"/>
        <v>29207.336186333567</v>
      </c>
      <c r="AM176" s="464">
        <f t="shared" si="27"/>
        <v>-1621.73</v>
      </c>
      <c r="AN176" s="464">
        <v>17895.482171532927</v>
      </c>
      <c r="AO176" s="464">
        <v>12933.584014800639</v>
      </c>
      <c r="AP176" s="317">
        <f t="shared" si="28"/>
        <v>29207.336186333567</v>
      </c>
      <c r="AQ176" s="317">
        <f t="shared" si="29"/>
        <v>0</v>
      </c>
      <c r="AS176" s="475">
        <v>17982.505630999985</v>
      </c>
      <c r="AT176" s="174">
        <f t="shared" si="30"/>
        <v>47189.841817333552</v>
      </c>
      <c r="AU176" s="174">
        <f t="shared" si="31"/>
        <v>0</v>
      </c>
    </row>
    <row r="177" spans="1:47">
      <c r="A177" t="s">
        <v>377</v>
      </c>
      <c r="B177" t="s">
        <v>2749</v>
      </c>
      <c r="C177" s="479">
        <v>-52330.97</v>
      </c>
      <c r="D177" s="468">
        <v>-62324.005560000012</v>
      </c>
      <c r="E177" s="473">
        <v>-67033.690501000034</v>
      </c>
      <c r="F177" s="474">
        <v>7447.7265300000217</v>
      </c>
      <c r="G177" s="450">
        <f t="shared" si="23"/>
        <v>-174240.93953100004</v>
      </c>
      <c r="I177" s="67">
        <f t="shared" si="24"/>
        <v>0</v>
      </c>
      <c r="J177" s="58" t="s">
        <v>377</v>
      </c>
      <c r="K177" t="s">
        <v>2749</v>
      </c>
      <c r="L177" s="448">
        <v>7447.7265300000217</v>
      </c>
      <c r="M177" s="67" t="s">
        <v>2591</v>
      </c>
      <c r="N177" s="317"/>
      <c r="P177" t="s">
        <v>377</v>
      </c>
      <c r="Q177" t="s">
        <v>2749</v>
      </c>
      <c r="R177" s="211">
        <v>-52960.71</v>
      </c>
      <c r="S177" s="211">
        <v>-52330.97</v>
      </c>
      <c r="T177" s="211">
        <v>-62324.005560000012</v>
      </c>
      <c r="U177" s="274">
        <v>-67033.690501000034</v>
      </c>
      <c r="V177" s="79">
        <f t="shared" si="33"/>
        <v>-234649.37606100005</v>
      </c>
      <c r="Z177" s="172">
        <f t="shared" si="25"/>
        <v>0</v>
      </c>
      <c r="AB177" t="s">
        <v>377</v>
      </c>
      <c r="AC177" t="s">
        <v>2749</v>
      </c>
      <c r="AD177" s="464">
        <v>-52960.71</v>
      </c>
      <c r="AE177" s="464">
        <v>-52330.97</v>
      </c>
      <c r="AF177" s="464">
        <v>-62324.005560000012</v>
      </c>
      <c r="AG177" s="464">
        <v>-67033.690501000034</v>
      </c>
      <c r="AH177" s="464">
        <v>-234649.37606100005</v>
      </c>
      <c r="AJ177" s="464">
        <f t="shared" si="26"/>
        <v>-181688.66606100005</v>
      </c>
      <c r="AM177" s="464">
        <f t="shared" si="27"/>
        <v>-52330.97</v>
      </c>
      <c r="AN177" s="464">
        <v>-62324.005560000012</v>
      </c>
      <c r="AO177" s="464">
        <v>-67033.690501000034</v>
      </c>
      <c r="AP177" s="317">
        <f t="shared" si="28"/>
        <v>-181688.66606100005</v>
      </c>
      <c r="AQ177" s="317">
        <f t="shared" si="29"/>
        <v>0</v>
      </c>
      <c r="AS177" s="475">
        <v>7447.7265300000217</v>
      </c>
      <c r="AT177" s="174">
        <f t="shared" si="30"/>
        <v>-174240.93953100004</v>
      </c>
      <c r="AU177" s="174">
        <f t="shared" si="31"/>
        <v>0</v>
      </c>
    </row>
    <row r="178" spans="1:47">
      <c r="A178" t="s">
        <v>379</v>
      </c>
      <c r="B178" t="s">
        <v>2750</v>
      </c>
      <c r="C178" s="479">
        <v>-45079.32</v>
      </c>
      <c r="D178" s="468">
        <v>-32852.772935000023</v>
      </c>
      <c r="E178" s="473">
        <v>-76859.912744000016</v>
      </c>
      <c r="F178" s="474">
        <v>-231161.05609200004</v>
      </c>
      <c r="G178" s="450">
        <f t="shared" si="23"/>
        <v>-385953.0617710001</v>
      </c>
      <c r="I178" s="67">
        <f t="shared" si="24"/>
        <v>0</v>
      </c>
      <c r="J178" s="58" t="s">
        <v>379</v>
      </c>
      <c r="K178" t="s">
        <v>380</v>
      </c>
      <c r="L178" s="448">
        <v>-231161.05609200004</v>
      </c>
      <c r="M178" s="67" t="s">
        <v>2591</v>
      </c>
      <c r="N178" s="317"/>
      <c r="P178" t="s">
        <v>379</v>
      </c>
      <c r="Q178" t="s">
        <v>2750</v>
      </c>
      <c r="R178" s="211">
        <v>-92664.5</v>
      </c>
      <c r="S178" s="211">
        <v>-45079.32</v>
      </c>
      <c r="T178" s="211">
        <v>-32852.772935000023</v>
      </c>
      <c r="U178" s="274">
        <v>-76859.912744000016</v>
      </c>
      <c r="V178" s="79">
        <f t="shared" si="33"/>
        <v>-247456.50567900005</v>
      </c>
      <c r="Z178" s="172">
        <f t="shared" si="25"/>
        <v>0</v>
      </c>
      <c r="AB178" t="s">
        <v>379</v>
      </c>
      <c r="AC178" t="s">
        <v>2750</v>
      </c>
      <c r="AD178" s="464">
        <v>-92664.5</v>
      </c>
      <c r="AE178" s="464">
        <v>-45079.32</v>
      </c>
      <c r="AF178" s="464">
        <v>-32852.772935000023</v>
      </c>
      <c r="AG178" s="464">
        <v>-76859.912744000016</v>
      </c>
      <c r="AH178" s="464">
        <v>-247456.50567900005</v>
      </c>
      <c r="AJ178" s="464">
        <f t="shared" si="26"/>
        <v>-154792.00567900005</v>
      </c>
      <c r="AM178" s="464">
        <f t="shared" si="27"/>
        <v>-45079.32</v>
      </c>
      <c r="AN178" s="464">
        <v>-32852.772935000023</v>
      </c>
      <c r="AO178" s="464">
        <v>-76859.912744000016</v>
      </c>
      <c r="AP178" s="317">
        <f t="shared" si="28"/>
        <v>-154792.00567900005</v>
      </c>
      <c r="AQ178" s="317">
        <f t="shared" si="29"/>
        <v>0</v>
      </c>
      <c r="AS178" s="475">
        <v>-231161.05609200004</v>
      </c>
      <c r="AT178" s="174">
        <f t="shared" si="30"/>
        <v>-385953.0617710001</v>
      </c>
      <c r="AU178" s="174">
        <f t="shared" si="31"/>
        <v>0</v>
      </c>
    </row>
    <row r="179" spans="1:47">
      <c r="A179" t="s">
        <v>381</v>
      </c>
      <c r="B179" t="s">
        <v>2751</v>
      </c>
      <c r="C179" s="479">
        <v>-111460</v>
      </c>
      <c r="D179" s="468">
        <v>-63160.426460999974</v>
      </c>
      <c r="E179" s="473">
        <v>-47638.984994000057</v>
      </c>
      <c r="F179" s="474">
        <v>87163.224320000067</v>
      </c>
      <c r="G179" s="450">
        <f t="shared" si="23"/>
        <v>-135096.18713499996</v>
      </c>
      <c r="I179" s="67">
        <f t="shared" si="24"/>
        <v>0</v>
      </c>
      <c r="J179" s="58" t="s">
        <v>381</v>
      </c>
      <c r="K179" t="s">
        <v>382</v>
      </c>
      <c r="L179" s="448">
        <v>87163.224320000067</v>
      </c>
      <c r="M179" s="67" t="s">
        <v>2591</v>
      </c>
      <c r="N179" s="317"/>
      <c r="P179" t="s">
        <v>381</v>
      </c>
      <c r="Q179" t="s">
        <v>2751</v>
      </c>
      <c r="R179" s="211">
        <v>-187329.27</v>
      </c>
      <c r="S179" s="211">
        <v>-111460</v>
      </c>
      <c r="T179" s="211">
        <v>-63160.426460999974</v>
      </c>
      <c r="U179" s="274">
        <v>-47638.984994000057</v>
      </c>
      <c r="V179" s="79">
        <f t="shared" si="33"/>
        <v>-409588.68145500007</v>
      </c>
      <c r="Z179" s="172">
        <f t="shared" si="25"/>
        <v>0</v>
      </c>
      <c r="AB179" t="s">
        <v>381</v>
      </c>
      <c r="AC179" t="s">
        <v>2751</v>
      </c>
      <c r="AD179" s="464">
        <v>-187329.27</v>
      </c>
      <c r="AE179" s="464">
        <v>-111460</v>
      </c>
      <c r="AF179" s="464">
        <v>-63160.426460999974</v>
      </c>
      <c r="AG179" s="464">
        <v>-47638.984994000057</v>
      </c>
      <c r="AH179" s="464">
        <v>-409588.68145500007</v>
      </c>
      <c r="AJ179" s="464">
        <f t="shared" si="26"/>
        <v>-222259.41145500002</v>
      </c>
      <c r="AM179" s="464">
        <f t="shared" si="27"/>
        <v>-111460</v>
      </c>
      <c r="AN179" s="464">
        <v>-63160.426460999974</v>
      </c>
      <c r="AO179" s="464">
        <v>-47638.984994000057</v>
      </c>
      <c r="AP179" s="317">
        <f t="shared" si="28"/>
        <v>-222259.41145500002</v>
      </c>
      <c r="AQ179" s="317">
        <f t="shared" si="29"/>
        <v>0</v>
      </c>
      <c r="AS179" s="475">
        <v>87163.224320000067</v>
      </c>
      <c r="AT179" s="174">
        <f t="shared" si="30"/>
        <v>-135096.18713499996</v>
      </c>
      <c r="AU179" s="174">
        <f t="shared" si="31"/>
        <v>0</v>
      </c>
    </row>
    <row r="180" spans="1:47">
      <c r="A180" t="s">
        <v>383</v>
      </c>
      <c r="B180" t="s">
        <v>2752</v>
      </c>
      <c r="C180" s="479">
        <v>-123528.88</v>
      </c>
      <c r="D180" s="468">
        <v>-96740.19316999997</v>
      </c>
      <c r="E180" s="473">
        <v>0</v>
      </c>
      <c r="F180" s="474">
        <v>-165095.44952121488</v>
      </c>
      <c r="G180" s="450">
        <f t="shared" si="23"/>
        <v>-385364.52269121486</v>
      </c>
      <c r="I180" s="67">
        <f t="shared" si="24"/>
        <v>0</v>
      </c>
      <c r="J180" s="58" t="s">
        <v>383</v>
      </c>
      <c r="K180" t="s">
        <v>384</v>
      </c>
      <c r="L180" s="448">
        <v>-165095.44952121488</v>
      </c>
      <c r="M180" s="67" t="s">
        <v>2591</v>
      </c>
      <c r="N180" s="317"/>
      <c r="P180" t="s">
        <v>383</v>
      </c>
      <c r="Q180" t="s">
        <v>2752</v>
      </c>
      <c r="R180" s="211">
        <v>-209058.32</v>
      </c>
      <c r="S180" s="211">
        <v>-123528.88</v>
      </c>
      <c r="T180" s="211">
        <v>-96740.19316999997</v>
      </c>
      <c r="U180" s="274">
        <v>141669.18503457296</v>
      </c>
      <c r="V180" s="79">
        <f t="shared" si="33"/>
        <v>-287658.20813542703</v>
      </c>
      <c r="Z180" s="172">
        <f t="shared" si="25"/>
        <v>0</v>
      </c>
      <c r="AB180" t="s">
        <v>383</v>
      </c>
      <c r="AC180" t="s">
        <v>2752</v>
      </c>
      <c r="AD180" s="464">
        <v>-67389.134965427045</v>
      </c>
      <c r="AE180" s="464">
        <v>-123528.88</v>
      </c>
      <c r="AF180" s="464">
        <v>-96740.19316999997</v>
      </c>
      <c r="AG180" s="464">
        <v>0</v>
      </c>
      <c r="AH180" s="464">
        <v>-287658.20813542703</v>
      </c>
      <c r="AJ180" s="464">
        <f t="shared" si="26"/>
        <v>-220269.07316999999</v>
      </c>
      <c r="AM180" s="464">
        <f t="shared" si="27"/>
        <v>-123528.88</v>
      </c>
      <c r="AN180" s="464">
        <v>-96740.19316999997</v>
      </c>
      <c r="AO180" s="464">
        <v>0</v>
      </c>
      <c r="AP180" s="317">
        <f t="shared" si="28"/>
        <v>-220269.07316999999</v>
      </c>
      <c r="AQ180" s="317">
        <f t="shared" si="29"/>
        <v>0</v>
      </c>
      <c r="AS180" s="475">
        <v>-165095.44952121488</v>
      </c>
      <c r="AT180" s="174">
        <f t="shared" si="30"/>
        <v>-385364.52269121486</v>
      </c>
      <c r="AU180" s="174">
        <f t="shared" si="31"/>
        <v>0</v>
      </c>
    </row>
    <row r="181" spans="1:47">
      <c r="A181" t="s">
        <v>385</v>
      </c>
      <c r="B181" t="s">
        <v>2753</v>
      </c>
      <c r="C181" s="479">
        <v>161597.65000000002</v>
      </c>
      <c r="D181" s="468">
        <v>56155.033829000109</v>
      </c>
      <c r="E181" s="473">
        <v>89716.148205999983</v>
      </c>
      <c r="F181" s="474">
        <v>68959.471296999996</v>
      </c>
      <c r="G181" s="450">
        <f t="shared" si="23"/>
        <v>376428.3033320001</v>
      </c>
      <c r="I181" s="67">
        <f t="shared" si="24"/>
        <v>0</v>
      </c>
      <c r="J181" s="58" t="s">
        <v>385</v>
      </c>
      <c r="K181" t="s">
        <v>386</v>
      </c>
      <c r="L181" s="448">
        <v>68959.471296999996</v>
      </c>
      <c r="M181" s="67" t="s">
        <v>2591</v>
      </c>
      <c r="N181" s="317"/>
      <c r="P181" t="s">
        <v>385</v>
      </c>
      <c r="Q181" t="s">
        <v>2753</v>
      </c>
      <c r="R181" s="211">
        <v>-27237.61</v>
      </c>
      <c r="S181" s="211">
        <v>188835.26</v>
      </c>
      <c r="T181" s="211">
        <v>56155.033829000109</v>
      </c>
      <c r="U181" s="274">
        <v>89716.148205999983</v>
      </c>
      <c r="V181" s="79">
        <f t="shared" si="33"/>
        <v>307468.83203500009</v>
      </c>
      <c r="Z181" s="172">
        <f t="shared" si="25"/>
        <v>0</v>
      </c>
      <c r="AB181" t="s">
        <v>385</v>
      </c>
      <c r="AC181" t="s">
        <v>2753</v>
      </c>
      <c r="AD181" s="464">
        <v>0</v>
      </c>
      <c r="AE181" s="464">
        <v>161597.65000000002</v>
      </c>
      <c r="AF181" s="464">
        <v>56155.033829000109</v>
      </c>
      <c r="AG181" s="464">
        <v>89716.148205999983</v>
      </c>
      <c r="AH181" s="464">
        <v>307468.83203500009</v>
      </c>
      <c r="AJ181" s="464">
        <f t="shared" si="26"/>
        <v>307468.83203500009</v>
      </c>
      <c r="AM181" s="464">
        <f t="shared" si="27"/>
        <v>161597.65000000002</v>
      </c>
      <c r="AN181" s="464">
        <v>56155.033829000109</v>
      </c>
      <c r="AO181" s="464">
        <v>89716.148205999983</v>
      </c>
      <c r="AP181" s="317">
        <f t="shared" si="28"/>
        <v>307468.83203500009</v>
      </c>
      <c r="AQ181" s="317">
        <f t="shared" si="29"/>
        <v>0</v>
      </c>
      <c r="AS181" s="475">
        <v>68959.471296999996</v>
      </c>
      <c r="AT181" s="174">
        <f t="shared" si="30"/>
        <v>376428.3033320001</v>
      </c>
      <c r="AU181" s="174">
        <f t="shared" si="31"/>
        <v>0</v>
      </c>
    </row>
    <row r="182" spans="1:47">
      <c r="A182" t="s">
        <v>387</v>
      </c>
      <c r="B182" t="s">
        <v>2754</v>
      </c>
      <c r="C182" s="479">
        <v>-199110.36</v>
      </c>
      <c r="D182" s="468">
        <v>-110611.47984000001</v>
      </c>
      <c r="E182" s="473">
        <v>-176909.61581599986</v>
      </c>
      <c r="F182" s="474">
        <v>-158321.49606200005</v>
      </c>
      <c r="G182" s="450">
        <f t="shared" si="23"/>
        <v>-644952.951718</v>
      </c>
      <c r="I182" s="67">
        <f t="shared" si="24"/>
        <v>0</v>
      </c>
      <c r="J182" s="58" t="s">
        <v>387</v>
      </c>
      <c r="K182" t="s">
        <v>388</v>
      </c>
      <c r="L182" s="448">
        <v>-158321.49606200005</v>
      </c>
      <c r="M182" s="67" t="s">
        <v>2591</v>
      </c>
      <c r="N182" s="317"/>
      <c r="P182" t="s">
        <v>387</v>
      </c>
      <c r="Q182" t="s">
        <v>2754</v>
      </c>
      <c r="R182" s="211">
        <v>-148516.96</v>
      </c>
      <c r="S182" s="211">
        <v>-199110.36</v>
      </c>
      <c r="T182" s="211">
        <v>-110611.47984000001</v>
      </c>
      <c r="U182" s="274">
        <v>-176909.61581599986</v>
      </c>
      <c r="V182" s="79">
        <f t="shared" si="33"/>
        <v>-635148.41565599991</v>
      </c>
      <c r="Z182" s="172">
        <f t="shared" si="25"/>
        <v>0</v>
      </c>
      <c r="AB182" t="s">
        <v>387</v>
      </c>
      <c r="AC182" t="s">
        <v>2754</v>
      </c>
      <c r="AD182" s="464">
        <v>-148516.96</v>
      </c>
      <c r="AE182" s="464">
        <v>-199110.36</v>
      </c>
      <c r="AF182" s="464">
        <v>-110611.47984000001</v>
      </c>
      <c r="AG182" s="464">
        <v>-176909.61581599986</v>
      </c>
      <c r="AH182" s="464">
        <v>-635148.41565599991</v>
      </c>
      <c r="AJ182" s="464">
        <f t="shared" si="26"/>
        <v>-486631.45565599989</v>
      </c>
      <c r="AM182" s="464">
        <f t="shared" si="27"/>
        <v>-199110.36</v>
      </c>
      <c r="AN182" s="464">
        <v>-110611.47984000001</v>
      </c>
      <c r="AO182" s="464">
        <v>-176909.61581599986</v>
      </c>
      <c r="AP182" s="317">
        <f t="shared" si="28"/>
        <v>-486631.45565599989</v>
      </c>
      <c r="AQ182" s="317">
        <f t="shared" si="29"/>
        <v>0</v>
      </c>
      <c r="AS182" s="475">
        <v>-158321.49606200005</v>
      </c>
      <c r="AT182" s="174">
        <f t="shared" si="30"/>
        <v>-644952.951718</v>
      </c>
      <c r="AU182" s="174">
        <f t="shared" si="31"/>
        <v>0</v>
      </c>
    </row>
    <row r="183" spans="1:47">
      <c r="A183" t="s">
        <v>389</v>
      </c>
      <c r="B183" t="s">
        <v>2755</v>
      </c>
      <c r="C183" s="479">
        <v>-117439.2</v>
      </c>
      <c r="D183" s="468">
        <v>-109624.08280000038</v>
      </c>
      <c r="E183" s="473">
        <v>-192258.11630999995</v>
      </c>
      <c r="F183" s="474">
        <v>-222262.4778099996</v>
      </c>
      <c r="G183" s="450">
        <f t="shared" si="23"/>
        <v>-641583.87691999995</v>
      </c>
      <c r="I183" s="67">
        <f t="shared" si="24"/>
        <v>0</v>
      </c>
      <c r="J183" s="58" t="s">
        <v>389</v>
      </c>
      <c r="K183" t="s">
        <v>390</v>
      </c>
      <c r="L183" s="448">
        <v>-222262.4778099996</v>
      </c>
      <c r="M183" s="67" t="s">
        <v>2591</v>
      </c>
      <c r="N183" s="317"/>
      <c r="P183" t="s">
        <v>389</v>
      </c>
      <c r="Q183" t="s">
        <v>2755</v>
      </c>
      <c r="R183" s="211">
        <v>-49065.52</v>
      </c>
      <c r="S183" s="211">
        <v>-117439.2</v>
      </c>
      <c r="T183" s="211">
        <v>-109624.08280000038</v>
      </c>
      <c r="U183" s="274">
        <v>-192258.11630999995</v>
      </c>
      <c r="V183" s="79">
        <f t="shared" si="33"/>
        <v>-468386.91911000037</v>
      </c>
      <c r="Z183" s="172">
        <f t="shared" si="25"/>
        <v>0</v>
      </c>
      <c r="AB183" t="s">
        <v>389</v>
      </c>
      <c r="AC183" t="s">
        <v>2755</v>
      </c>
      <c r="AD183" s="464">
        <v>-49065.52</v>
      </c>
      <c r="AE183" s="464">
        <v>-117439.2</v>
      </c>
      <c r="AF183" s="464">
        <v>-109624.08280000038</v>
      </c>
      <c r="AG183" s="464">
        <v>-192258.11630999995</v>
      </c>
      <c r="AH183" s="464">
        <v>-468386.91911000037</v>
      </c>
      <c r="AJ183" s="464">
        <f t="shared" si="26"/>
        <v>-419321.39911000035</v>
      </c>
      <c r="AM183" s="464">
        <f t="shared" si="27"/>
        <v>-117439.2</v>
      </c>
      <c r="AN183" s="464">
        <v>-109624.08280000038</v>
      </c>
      <c r="AO183" s="464">
        <v>-192258.11630999995</v>
      </c>
      <c r="AP183" s="317">
        <f t="shared" si="28"/>
        <v>-419321.39911000035</v>
      </c>
      <c r="AQ183" s="317">
        <f t="shared" si="29"/>
        <v>0</v>
      </c>
      <c r="AS183" s="475">
        <v>-222262.4778099996</v>
      </c>
      <c r="AT183" s="174">
        <f t="shared" si="30"/>
        <v>-641583.87691999995</v>
      </c>
      <c r="AU183" s="174">
        <f t="shared" si="31"/>
        <v>0</v>
      </c>
    </row>
    <row r="184" spans="1:47">
      <c r="A184" t="s">
        <v>391</v>
      </c>
      <c r="B184" t="s">
        <v>2756</v>
      </c>
      <c r="C184" s="479">
        <v>-716774.12</v>
      </c>
      <c r="D184" s="468">
        <v>-664681.52552000026</v>
      </c>
      <c r="E184" s="473">
        <v>-280071.91371457558</v>
      </c>
      <c r="F184" s="474">
        <v>-730810.10282582149</v>
      </c>
      <c r="G184" s="450">
        <f t="shared" si="23"/>
        <v>-2392337.6620603972</v>
      </c>
      <c r="I184" s="67">
        <f t="shared" si="24"/>
        <v>0</v>
      </c>
      <c r="J184" s="58" t="s">
        <v>391</v>
      </c>
      <c r="K184" t="s">
        <v>392</v>
      </c>
      <c r="L184" s="448">
        <v>-730810.10282582149</v>
      </c>
      <c r="M184" s="67" t="s">
        <v>2591</v>
      </c>
      <c r="N184" s="317"/>
      <c r="P184" t="s">
        <v>391</v>
      </c>
      <c r="Q184" t="s">
        <v>2756</v>
      </c>
      <c r="R184" s="211">
        <v>-403481.21</v>
      </c>
      <c r="S184" s="211">
        <v>-716774.12</v>
      </c>
      <c r="T184" s="211">
        <v>-664681.52552000026</v>
      </c>
      <c r="U184" s="274">
        <v>-280071.91371457558</v>
      </c>
      <c r="V184" s="79">
        <f t="shared" si="33"/>
        <v>-2065008.7692345758</v>
      </c>
      <c r="Z184" s="172">
        <f t="shared" si="25"/>
        <v>0</v>
      </c>
      <c r="AB184" t="s">
        <v>391</v>
      </c>
      <c r="AC184" t="s">
        <v>2756</v>
      </c>
      <c r="AD184" s="464">
        <v>-403481.21</v>
      </c>
      <c r="AE184" s="464">
        <v>-716774.12</v>
      </c>
      <c r="AF184" s="464">
        <v>-664681.52552000026</v>
      </c>
      <c r="AG184" s="464">
        <v>-280071.91371457558</v>
      </c>
      <c r="AH184" s="464">
        <v>-2065008.7692345758</v>
      </c>
      <c r="AJ184" s="464">
        <f t="shared" si="26"/>
        <v>-1661527.5592345758</v>
      </c>
      <c r="AM184" s="464">
        <f t="shared" si="27"/>
        <v>-716774.12</v>
      </c>
      <c r="AN184" s="464">
        <v>-664681.52552000026</v>
      </c>
      <c r="AO184" s="464">
        <v>-280071.91371457558</v>
      </c>
      <c r="AP184" s="317">
        <f t="shared" si="28"/>
        <v>-1661527.5592345758</v>
      </c>
      <c r="AQ184" s="317">
        <f t="shared" si="29"/>
        <v>0</v>
      </c>
      <c r="AS184" s="475">
        <v>-730810.10282582149</v>
      </c>
      <c r="AT184" s="174">
        <f t="shared" si="30"/>
        <v>-2392337.6620603972</v>
      </c>
      <c r="AU184" s="174">
        <f t="shared" si="31"/>
        <v>0</v>
      </c>
    </row>
    <row r="185" spans="1:47">
      <c r="A185" t="s">
        <v>393</v>
      </c>
      <c r="B185" t="s">
        <v>2757</v>
      </c>
      <c r="C185" s="479">
        <v>-30189.34</v>
      </c>
      <c r="D185" s="468">
        <v>247515.68881599949</v>
      </c>
      <c r="E185" s="473">
        <v>-70273.318838491105</v>
      </c>
      <c r="F185" s="474">
        <v>-11169.619039254234</v>
      </c>
      <c r="G185" s="450">
        <f t="shared" si="23"/>
        <v>135883.41093825415</v>
      </c>
      <c r="I185" s="67">
        <f t="shared" si="24"/>
        <v>0</v>
      </c>
      <c r="J185" s="58" t="s">
        <v>393</v>
      </c>
      <c r="K185" t="s">
        <v>394</v>
      </c>
      <c r="L185" s="448">
        <v>-11169.619039254234</v>
      </c>
      <c r="M185" s="67" t="s">
        <v>2591</v>
      </c>
      <c r="N185" s="317"/>
      <c r="P185" t="s">
        <v>393</v>
      </c>
      <c r="Q185" t="s">
        <v>2757</v>
      </c>
      <c r="R185" s="211">
        <v>-87380.33</v>
      </c>
      <c r="S185" s="211">
        <v>-30189.34</v>
      </c>
      <c r="T185" s="211">
        <v>334896.0188159995</v>
      </c>
      <c r="U185" s="274">
        <v>-70273.318838491105</v>
      </c>
      <c r="V185" s="79">
        <f t="shared" si="33"/>
        <v>147053.02997750841</v>
      </c>
      <c r="Z185" s="172">
        <f t="shared" si="25"/>
        <v>0</v>
      </c>
      <c r="AB185" t="s">
        <v>393</v>
      </c>
      <c r="AC185" t="s">
        <v>2757</v>
      </c>
      <c r="AD185" s="464">
        <v>0</v>
      </c>
      <c r="AE185" s="464">
        <v>-30189.34</v>
      </c>
      <c r="AF185" s="464">
        <v>247515.68881599949</v>
      </c>
      <c r="AG185" s="464">
        <v>-70273.318838491105</v>
      </c>
      <c r="AH185" s="464">
        <v>147053.02997750838</v>
      </c>
      <c r="AJ185" s="464">
        <f t="shared" si="26"/>
        <v>147053.02997750838</v>
      </c>
      <c r="AM185" s="464">
        <f t="shared" si="27"/>
        <v>-30189.34</v>
      </c>
      <c r="AN185" s="464">
        <v>247515.68881599949</v>
      </c>
      <c r="AO185" s="464">
        <v>-70273.318838491105</v>
      </c>
      <c r="AP185" s="317">
        <f t="shared" si="28"/>
        <v>147053.02997750838</v>
      </c>
      <c r="AQ185" s="317">
        <f t="shared" si="29"/>
        <v>0</v>
      </c>
      <c r="AS185" s="475">
        <v>-11169.619039254234</v>
      </c>
      <c r="AT185" s="174">
        <f t="shared" si="30"/>
        <v>135883.41093825415</v>
      </c>
      <c r="AU185" s="174">
        <f t="shared" si="31"/>
        <v>0</v>
      </c>
    </row>
    <row r="186" spans="1:47">
      <c r="A186" t="s">
        <v>395</v>
      </c>
      <c r="B186" t="s">
        <v>2758</v>
      </c>
      <c r="C186" s="479">
        <v>-81758.53</v>
      </c>
      <c r="D186" s="468">
        <v>-27393.549347999993</v>
      </c>
      <c r="E186" s="473">
        <v>-93542.148549999998</v>
      </c>
      <c r="F186" s="474">
        <v>-85545.633719999969</v>
      </c>
      <c r="G186" s="450">
        <f t="shared" si="23"/>
        <v>-288239.86161799997</v>
      </c>
      <c r="I186" s="67">
        <f t="shared" si="24"/>
        <v>0</v>
      </c>
      <c r="J186" s="58" t="s">
        <v>395</v>
      </c>
      <c r="K186" t="s">
        <v>396</v>
      </c>
      <c r="L186" s="448">
        <v>-85545.633719999969</v>
      </c>
      <c r="M186" s="67" t="s">
        <v>2591</v>
      </c>
      <c r="N186" s="317"/>
      <c r="P186" t="s">
        <v>395</v>
      </c>
      <c r="Q186" t="s">
        <v>2758</v>
      </c>
      <c r="R186" s="211">
        <v>-81249.600000000006</v>
      </c>
      <c r="S186" s="211">
        <v>-81758.53</v>
      </c>
      <c r="T186" s="211">
        <v>-27393.549347999993</v>
      </c>
      <c r="U186" s="274">
        <v>-93542.148549999998</v>
      </c>
      <c r="V186" s="79">
        <f t="shared" si="33"/>
        <v>-283943.82789800002</v>
      </c>
      <c r="Z186" s="172">
        <f t="shared" si="25"/>
        <v>0</v>
      </c>
      <c r="AB186" t="s">
        <v>395</v>
      </c>
      <c r="AC186" t="s">
        <v>2758</v>
      </c>
      <c r="AD186" s="464">
        <v>-81249.600000000006</v>
      </c>
      <c r="AE186" s="464">
        <v>-81758.53</v>
      </c>
      <c r="AF186" s="464">
        <v>-27393.549347999993</v>
      </c>
      <c r="AG186" s="464">
        <v>-93542.148549999998</v>
      </c>
      <c r="AH186" s="464">
        <v>-283943.82789800002</v>
      </c>
      <c r="AJ186" s="464">
        <f t="shared" si="26"/>
        <v>-202694.22789799998</v>
      </c>
      <c r="AM186" s="464">
        <f t="shared" si="27"/>
        <v>-81758.53</v>
      </c>
      <c r="AN186" s="464">
        <v>-27393.549347999993</v>
      </c>
      <c r="AO186" s="464">
        <v>-93542.148549999998</v>
      </c>
      <c r="AP186" s="317">
        <f t="shared" si="28"/>
        <v>-202694.22789799998</v>
      </c>
      <c r="AQ186" s="317">
        <f t="shared" si="29"/>
        <v>0</v>
      </c>
      <c r="AS186" s="475">
        <v>-85545.633719999969</v>
      </c>
      <c r="AT186" s="174">
        <f t="shared" si="30"/>
        <v>-288239.86161799997</v>
      </c>
      <c r="AU186" s="174">
        <f t="shared" si="31"/>
        <v>0</v>
      </c>
    </row>
    <row r="187" spans="1:47">
      <c r="A187" t="s">
        <v>397</v>
      </c>
      <c r="B187" t="s">
        <v>2759</v>
      </c>
      <c r="C187" s="479">
        <v>-1042563.98</v>
      </c>
      <c r="D187" s="468">
        <v>-1630080.6883127913</v>
      </c>
      <c r="E187" s="473">
        <v>0</v>
      </c>
      <c r="F187" s="474">
        <v>-402688.93301690812</v>
      </c>
      <c r="G187" s="450">
        <f t="shared" si="23"/>
        <v>-3075333.6013296992</v>
      </c>
      <c r="I187" s="67">
        <f t="shared" si="24"/>
        <v>0</v>
      </c>
      <c r="J187" s="58" t="s">
        <v>397</v>
      </c>
      <c r="K187" t="s">
        <v>398</v>
      </c>
      <c r="L187" s="448">
        <v>-402688.93301690812</v>
      </c>
      <c r="M187" s="67" t="s">
        <v>2591</v>
      </c>
      <c r="N187" s="317"/>
      <c r="P187" t="s">
        <v>397</v>
      </c>
      <c r="Q187" t="s">
        <v>2759</v>
      </c>
      <c r="R187" s="211">
        <v>-948252.77</v>
      </c>
      <c r="S187" s="211">
        <v>-1042563.98</v>
      </c>
      <c r="T187" s="211">
        <v>-1630080.6883127913</v>
      </c>
      <c r="U187" s="274">
        <v>677090.52701453492</v>
      </c>
      <c r="V187" s="79">
        <f t="shared" si="33"/>
        <v>-2943806.9112982564</v>
      </c>
      <c r="Z187" s="172">
        <f t="shared" si="25"/>
        <v>0</v>
      </c>
      <c r="AB187" t="s">
        <v>397</v>
      </c>
      <c r="AC187" t="s">
        <v>2759</v>
      </c>
      <c r="AD187" s="464">
        <v>-271162.2429854651</v>
      </c>
      <c r="AE187" s="464">
        <v>-1042563.98</v>
      </c>
      <c r="AF187" s="464">
        <v>-1630080.6883127913</v>
      </c>
      <c r="AG187" s="464">
        <v>0</v>
      </c>
      <c r="AH187" s="464">
        <v>-2943806.9112982564</v>
      </c>
      <c r="AJ187" s="464">
        <f t="shared" si="26"/>
        <v>-2672644.6683127913</v>
      </c>
      <c r="AM187" s="464">
        <f t="shared" si="27"/>
        <v>-1042563.98</v>
      </c>
      <c r="AN187" s="464">
        <v>-1630080.6883127913</v>
      </c>
      <c r="AO187" s="464">
        <v>0</v>
      </c>
      <c r="AP187" s="317">
        <f t="shared" si="28"/>
        <v>-2672644.6683127913</v>
      </c>
      <c r="AQ187" s="317">
        <f t="shared" si="29"/>
        <v>0</v>
      </c>
      <c r="AS187" s="475">
        <v>-402688.93301690812</v>
      </c>
      <c r="AT187" s="174">
        <f t="shared" si="30"/>
        <v>-3075333.6013296992</v>
      </c>
      <c r="AU187" s="174">
        <f t="shared" si="31"/>
        <v>0</v>
      </c>
    </row>
    <row r="188" spans="1:47">
      <c r="A188" t="s">
        <v>399</v>
      </c>
      <c r="B188" t="s">
        <v>2760</v>
      </c>
      <c r="C188" s="479">
        <v>-3823.08</v>
      </c>
      <c r="D188" s="468">
        <v>-11556.393620000021</v>
      </c>
      <c r="E188" s="473">
        <v>-38270.439409999992</v>
      </c>
      <c r="F188" s="474">
        <v>-32182.364405000026</v>
      </c>
      <c r="G188" s="450">
        <f t="shared" si="23"/>
        <v>-85832.27743500004</v>
      </c>
      <c r="I188" s="67">
        <f t="shared" si="24"/>
        <v>0</v>
      </c>
      <c r="J188" s="58" t="s">
        <v>399</v>
      </c>
      <c r="K188" t="s">
        <v>400</v>
      </c>
      <c r="L188" s="448">
        <v>-32182.364405000026</v>
      </c>
      <c r="M188" s="67" t="s">
        <v>2591</v>
      </c>
      <c r="N188" s="317"/>
      <c r="P188" t="s">
        <v>399</v>
      </c>
      <c r="Q188" t="s">
        <v>2760</v>
      </c>
      <c r="R188" s="211">
        <v>-62664.49</v>
      </c>
      <c r="S188" s="211">
        <v>-3823.08</v>
      </c>
      <c r="T188" s="211">
        <v>-11556.393620000021</v>
      </c>
      <c r="U188" s="274">
        <v>-38270.439409999992</v>
      </c>
      <c r="V188" s="79">
        <f t="shared" si="33"/>
        <v>-116314.40303</v>
      </c>
      <c r="Z188" s="172">
        <f t="shared" si="25"/>
        <v>0</v>
      </c>
      <c r="AB188" t="s">
        <v>399</v>
      </c>
      <c r="AC188" t="s">
        <v>2760</v>
      </c>
      <c r="AD188" s="464">
        <v>-62664.49</v>
      </c>
      <c r="AE188" s="464">
        <v>-3823.08</v>
      </c>
      <c r="AF188" s="464">
        <v>-11556.393620000021</v>
      </c>
      <c r="AG188" s="464">
        <v>-38270.439409999992</v>
      </c>
      <c r="AH188" s="464">
        <v>-116314.40303</v>
      </c>
      <c r="AJ188" s="464">
        <f t="shared" si="26"/>
        <v>-53649.913030000011</v>
      </c>
      <c r="AM188" s="464">
        <f t="shared" si="27"/>
        <v>-3823.08</v>
      </c>
      <c r="AN188" s="464">
        <v>-11556.393620000021</v>
      </c>
      <c r="AO188" s="464">
        <v>-38270.439409999992</v>
      </c>
      <c r="AP188" s="317">
        <f t="shared" si="28"/>
        <v>-53649.913030000011</v>
      </c>
      <c r="AQ188" s="317">
        <f t="shared" si="29"/>
        <v>0</v>
      </c>
      <c r="AS188" s="475">
        <v>-32182.364405000026</v>
      </c>
      <c r="AT188" s="174">
        <f t="shared" si="30"/>
        <v>-85832.27743500004</v>
      </c>
      <c r="AU188" s="174">
        <f t="shared" si="31"/>
        <v>0</v>
      </c>
    </row>
    <row r="189" spans="1:47">
      <c r="A189" t="s">
        <v>401</v>
      </c>
      <c r="B189" t="s">
        <v>2761</v>
      </c>
      <c r="C189" s="479">
        <v>-1284834.3999999999</v>
      </c>
      <c r="D189" s="468">
        <v>-378362.15223929728</v>
      </c>
      <c r="E189" s="473">
        <v>951554.07508270815</v>
      </c>
      <c r="F189" s="474">
        <v>-711256.7057618351</v>
      </c>
      <c r="G189" s="450">
        <f t="shared" si="23"/>
        <v>-1422899.1829184243</v>
      </c>
      <c r="I189" s="67">
        <f t="shared" si="24"/>
        <v>0</v>
      </c>
      <c r="J189" s="58" t="s">
        <v>401</v>
      </c>
      <c r="K189" t="s">
        <v>402</v>
      </c>
      <c r="L189" s="448">
        <v>-711256.7057618351</v>
      </c>
      <c r="M189" s="67" t="s">
        <v>2591</v>
      </c>
      <c r="N189" s="317"/>
      <c r="P189" t="s">
        <v>401</v>
      </c>
      <c r="Q189" t="s">
        <v>2761</v>
      </c>
      <c r="R189" s="211">
        <v>80994.87</v>
      </c>
      <c r="S189" s="211">
        <v>-1365829.27</v>
      </c>
      <c r="T189" s="211">
        <v>-378362.15223929728</v>
      </c>
      <c r="U189" s="274">
        <v>951554.07508270815</v>
      </c>
      <c r="V189" s="79">
        <f t="shared" si="33"/>
        <v>-711642.47715658904</v>
      </c>
      <c r="Z189" s="172">
        <f t="shared" si="25"/>
        <v>0</v>
      </c>
      <c r="AB189" t="s">
        <v>401</v>
      </c>
      <c r="AC189" t="s">
        <v>2761</v>
      </c>
      <c r="AD189" s="464">
        <v>80994.87</v>
      </c>
      <c r="AE189" s="464">
        <v>-1365829.27</v>
      </c>
      <c r="AF189" s="464">
        <v>-378362.15223929728</v>
      </c>
      <c r="AG189" s="464">
        <v>951554.07508270815</v>
      </c>
      <c r="AH189" s="464">
        <v>-711642.47715658904</v>
      </c>
      <c r="AJ189" s="464">
        <f t="shared" si="26"/>
        <v>-792637.34715658915</v>
      </c>
      <c r="AM189" s="465">
        <f>+AD189+AE189</f>
        <v>-1284834.3999999999</v>
      </c>
      <c r="AN189" s="464">
        <v>-378362.15223929728</v>
      </c>
      <c r="AO189" s="464">
        <v>951554.07508270815</v>
      </c>
      <c r="AP189" s="317">
        <f t="shared" si="28"/>
        <v>-711642.47715658904</v>
      </c>
      <c r="AQ189" s="466">
        <f>+AP189-AH189</f>
        <v>0</v>
      </c>
      <c r="AS189" s="475">
        <v>-711256.7057618351</v>
      </c>
      <c r="AT189" s="174">
        <f t="shared" si="30"/>
        <v>-1422899.1829184243</v>
      </c>
      <c r="AU189" s="174">
        <f t="shared" si="31"/>
        <v>0</v>
      </c>
    </row>
    <row r="190" spans="1:47">
      <c r="A190" t="s">
        <v>403</v>
      </c>
      <c r="B190" t="s">
        <v>2762</v>
      </c>
      <c r="C190" s="479">
        <v>-996357.56</v>
      </c>
      <c r="D190" s="468">
        <v>-930911.565451</v>
      </c>
      <c r="E190" s="473">
        <v>-305525.37310400046</v>
      </c>
      <c r="F190" s="474">
        <v>-1193005.1335299995</v>
      </c>
      <c r="G190" s="450">
        <f t="shared" si="23"/>
        <v>-3425799.6320850002</v>
      </c>
      <c r="I190" s="67">
        <f t="shared" si="24"/>
        <v>0</v>
      </c>
      <c r="J190" s="58" t="s">
        <v>403</v>
      </c>
      <c r="K190" t="s">
        <v>404</v>
      </c>
      <c r="L190" s="448">
        <v>-1193005.1335299995</v>
      </c>
      <c r="M190" s="67" t="s">
        <v>2591</v>
      </c>
      <c r="N190" s="317"/>
      <c r="P190" t="s">
        <v>403</v>
      </c>
      <c r="Q190" t="s">
        <v>2762</v>
      </c>
      <c r="R190" s="211">
        <v>-634238.52</v>
      </c>
      <c r="S190" s="211">
        <v>-996357.56</v>
      </c>
      <c r="T190" s="211">
        <v>-930911.565451</v>
      </c>
      <c r="U190" s="274">
        <v>-305525.37310400046</v>
      </c>
      <c r="V190" s="79">
        <f t="shared" si="33"/>
        <v>-2867033.0185550004</v>
      </c>
      <c r="Z190" s="172">
        <f t="shared" si="25"/>
        <v>0</v>
      </c>
      <c r="AB190" t="s">
        <v>403</v>
      </c>
      <c r="AC190" t="s">
        <v>2762</v>
      </c>
      <c r="AD190" s="464">
        <v>-634238.52</v>
      </c>
      <c r="AE190" s="464">
        <v>-996357.56</v>
      </c>
      <c r="AF190" s="464">
        <v>-930911.565451</v>
      </c>
      <c r="AG190" s="464">
        <v>-305525.37310400046</v>
      </c>
      <c r="AH190" s="464">
        <v>-2867033.0185550004</v>
      </c>
      <c r="AJ190" s="464">
        <f t="shared" si="26"/>
        <v>-2232794.4985550004</v>
      </c>
      <c r="AM190" s="464">
        <f t="shared" si="27"/>
        <v>-996357.56</v>
      </c>
      <c r="AN190" s="464">
        <v>-930911.565451</v>
      </c>
      <c r="AO190" s="464">
        <v>-305525.37310400046</v>
      </c>
      <c r="AP190" s="317">
        <f t="shared" si="28"/>
        <v>-2232794.4985550004</v>
      </c>
      <c r="AQ190" s="317">
        <f t="shared" si="29"/>
        <v>0</v>
      </c>
      <c r="AS190" s="475">
        <v>-1193005.1335299995</v>
      </c>
      <c r="AT190" s="174">
        <f t="shared" si="30"/>
        <v>-3425799.6320850002</v>
      </c>
      <c r="AU190" s="174">
        <f t="shared" si="31"/>
        <v>0</v>
      </c>
    </row>
    <row r="191" spans="1:47">
      <c r="A191" s="436" t="s">
        <v>405</v>
      </c>
      <c r="B191" s="437" t="s">
        <v>406</v>
      </c>
      <c r="C191" s="478">
        <v>0</v>
      </c>
      <c r="D191" s="467"/>
      <c r="E191" s="473"/>
      <c r="F191" s="474"/>
      <c r="G191" s="450">
        <f t="shared" si="23"/>
        <v>0</v>
      </c>
      <c r="I191" s="67">
        <f t="shared" si="24"/>
        <v>0</v>
      </c>
      <c r="J191" s="436" t="s">
        <v>405</v>
      </c>
      <c r="K191" s="437" t="s">
        <v>406</v>
      </c>
      <c r="L191" s="448"/>
      <c r="M191" s="67"/>
      <c r="N191" s="317"/>
      <c r="P191" s="291" t="s">
        <v>405</v>
      </c>
      <c r="Q191" s="292" t="s">
        <v>406</v>
      </c>
      <c r="R191" s="211"/>
      <c r="S191" s="211"/>
      <c r="T191" s="211"/>
      <c r="U191" s="274"/>
      <c r="V191" s="79"/>
      <c r="Z191" s="172">
        <f t="shared" si="25"/>
        <v>0</v>
      </c>
      <c r="AB191" t="s">
        <v>405</v>
      </c>
      <c r="AC191" t="s">
        <v>406</v>
      </c>
      <c r="AD191" s="464">
        <v>0</v>
      </c>
      <c r="AE191" s="464"/>
      <c r="AF191" s="464"/>
      <c r="AG191" s="464"/>
      <c r="AH191" s="464"/>
      <c r="AJ191" s="464">
        <f t="shared" si="26"/>
        <v>0</v>
      </c>
      <c r="AM191" s="464">
        <f t="shared" si="27"/>
        <v>0</v>
      </c>
      <c r="AN191" s="464"/>
      <c r="AO191" s="464"/>
      <c r="AP191" s="317">
        <f t="shared" si="28"/>
        <v>0</v>
      </c>
      <c r="AQ191" s="317">
        <f t="shared" si="29"/>
        <v>0</v>
      </c>
      <c r="AS191" s="475"/>
      <c r="AT191" s="174">
        <f t="shared" si="30"/>
        <v>0</v>
      </c>
      <c r="AU191" s="174">
        <f t="shared" si="31"/>
        <v>0</v>
      </c>
    </row>
    <row r="192" spans="1:47">
      <c r="A192" t="s">
        <v>407</v>
      </c>
      <c r="B192" t="s">
        <v>2763</v>
      </c>
      <c r="C192" s="468">
        <v>-7968.42</v>
      </c>
      <c r="D192" s="468">
        <v>0</v>
      </c>
      <c r="E192" s="473">
        <v>-31572.615549999988</v>
      </c>
      <c r="F192" s="474">
        <v>-119234.20689600003</v>
      </c>
      <c r="G192" s="450">
        <f t="shared" si="23"/>
        <v>-158775.24244600002</v>
      </c>
      <c r="I192" s="67">
        <f t="shared" si="24"/>
        <v>0</v>
      </c>
      <c r="J192" s="58" t="s">
        <v>407</v>
      </c>
      <c r="K192" t="s">
        <v>408</v>
      </c>
      <c r="L192" s="448">
        <v>-119234.20689600003</v>
      </c>
      <c r="M192" s="67" t="s">
        <v>2591</v>
      </c>
      <c r="N192" s="317"/>
      <c r="P192" t="s">
        <v>407</v>
      </c>
      <c r="Q192" t="s">
        <v>2763</v>
      </c>
      <c r="R192" s="211">
        <v>-77142.41</v>
      </c>
      <c r="S192" s="211">
        <v>-7968.42</v>
      </c>
      <c r="T192" s="211">
        <v>50048.110447999992</v>
      </c>
      <c r="U192" s="274">
        <v>-31572.615549999988</v>
      </c>
      <c r="V192" s="79">
        <f t="shared" ref="V192:V201" si="34">SUM(R192:U192)</f>
        <v>-66635.335101999997</v>
      </c>
      <c r="Z192" s="172">
        <f t="shared" si="25"/>
        <v>0</v>
      </c>
      <c r="AB192" t="s">
        <v>407</v>
      </c>
      <c r="AC192" t="s">
        <v>2763</v>
      </c>
      <c r="AD192" s="464">
        <v>-27094.299552000011</v>
      </c>
      <c r="AE192" s="464">
        <v>-7968.42</v>
      </c>
      <c r="AF192" s="464">
        <v>0</v>
      </c>
      <c r="AG192" s="464">
        <v>-31572.615549999988</v>
      </c>
      <c r="AH192" s="464">
        <v>-66635.335101999997</v>
      </c>
      <c r="AJ192" s="464">
        <f t="shared" si="26"/>
        <v>-39541.035549999986</v>
      </c>
      <c r="AM192" s="464">
        <f t="shared" si="27"/>
        <v>-7968.42</v>
      </c>
      <c r="AN192" s="464">
        <v>0</v>
      </c>
      <c r="AO192" s="464">
        <v>-31572.615549999988</v>
      </c>
      <c r="AP192" s="317">
        <f t="shared" si="28"/>
        <v>-39541.035549999986</v>
      </c>
      <c r="AQ192" s="317">
        <f t="shared" si="29"/>
        <v>0</v>
      </c>
      <c r="AS192" s="475">
        <v>-119234.20689600003</v>
      </c>
      <c r="AT192" s="174">
        <f t="shared" si="30"/>
        <v>-158775.24244600002</v>
      </c>
      <c r="AU192" s="174">
        <f t="shared" si="31"/>
        <v>0</v>
      </c>
    </row>
    <row r="193" spans="1:47">
      <c r="A193" t="s">
        <v>409</v>
      </c>
      <c r="B193" t="s">
        <v>2764</v>
      </c>
      <c r="C193" s="468">
        <v>0</v>
      </c>
      <c r="D193" s="468">
        <v>0</v>
      </c>
      <c r="E193" s="473">
        <v>-27275.159621049766</v>
      </c>
      <c r="F193" s="474">
        <v>9591.3494654539827</v>
      </c>
      <c r="G193" s="450">
        <f t="shared" si="23"/>
        <v>-17683.810155595784</v>
      </c>
      <c r="I193" s="67">
        <f t="shared" si="24"/>
        <v>0</v>
      </c>
      <c r="J193" s="58" t="s">
        <v>409</v>
      </c>
      <c r="K193" t="s">
        <v>410</v>
      </c>
      <c r="L193" s="448">
        <v>9591.3494654539827</v>
      </c>
      <c r="M193" s="67" t="s">
        <v>2591</v>
      </c>
      <c r="N193" s="317"/>
      <c r="P193" t="s">
        <v>409</v>
      </c>
      <c r="Q193" t="s">
        <v>2764</v>
      </c>
      <c r="R193" s="211">
        <v>-97071.69</v>
      </c>
      <c r="S193" s="211">
        <v>6861.92</v>
      </c>
      <c r="T193" s="211">
        <v>37511.935489000025</v>
      </c>
      <c r="U193" s="274">
        <v>-27275.159621049766</v>
      </c>
      <c r="V193" s="79">
        <f t="shared" si="34"/>
        <v>-79972.994132049746</v>
      </c>
      <c r="Z193" s="172">
        <f t="shared" si="25"/>
        <v>0</v>
      </c>
      <c r="AB193" t="s">
        <v>409</v>
      </c>
      <c r="AC193" t="s">
        <v>2764</v>
      </c>
      <c r="AD193" s="464">
        <v>-52697.834510999979</v>
      </c>
      <c r="AE193" s="464">
        <v>0</v>
      </c>
      <c r="AF193" s="464">
        <v>0</v>
      </c>
      <c r="AG193" s="464">
        <v>-27275.159621049766</v>
      </c>
      <c r="AH193" s="464">
        <v>-79972.994132049746</v>
      </c>
      <c r="AJ193" s="464">
        <f t="shared" si="26"/>
        <v>-27275.159621049766</v>
      </c>
      <c r="AM193" s="464">
        <f t="shared" si="27"/>
        <v>0</v>
      </c>
      <c r="AN193" s="464">
        <v>0</v>
      </c>
      <c r="AO193" s="464">
        <v>-27275.159621049766</v>
      </c>
      <c r="AP193" s="317">
        <f t="shared" si="28"/>
        <v>-27275.159621049766</v>
      </c>
      <c r="AQ193" s="317">
        <f t="shared" si="29"/>
        <v>0</v>
      </c>
      <c r="AS193" s="475">
        <v>9591.3494654539827</v>
      </c>
      <c r="AT193" s="174">
        <f t="shared" si="30"/>
        <v>-17683.810155595784</v>
      </c>
      <c r="AU193" s="174">
        <f t="shared" si="31"/>
        <v>0</v>
      </c>
    </row>
    <row r="194" spans="1:47">
      <c r="A194" t="s">
        <v>411</v>
      </c>
      <c r="B194" t="s">
        <v>2765</v>
      </c>
      <c r="C194" s="468">
        <v>-100350.45</v>
      </c>
      <c r="D194" s="468">
        <v>0</v>
      </c>
      <c r="E194" s="473">
        <v>-84137.901187999989</v>
      </c>
      <c r="F194" s="474">
        <v>-121950.31709200004</v>
      </c>
      <c r="G194" s="450">
        <f t="shared" si="23"/>
        <v>-306438.66828000004</v>
      </c>
      <c r="I194" s="67">
        <f t="shared" si="24"/>
        <v>0</v>
      </c>
      <c r="J194" s="58" t="s">
        <v>411</v>
      </c>
      <c r="K194" t="s">
        <v>412</v>
      </c>
      <c r="L194" s="448">
        <v>-121950.31709200004</v>
      </c>
      <c r="M194" s="67" t="s">
        <v>2591</v>
      </c>
      <c r="N194" s="317"/>
      <c r="P194" t="s">
        <v>411</v>
      </c>
      <c r="Q194" t="s">
        <v>2765</v>
      </c>
      <c r="R194" s="211">
        <v>-238573.81</v>
      </c>
      <c r="S194" s="211">
        <v>-100350.45</v>
      </c>
      <c r="T194" s="211">
        <v>54995.173484999963</v>
      </c>
      <c r="U194" s="274">
        <v>-84137.901187999989</v>
      </c>
      <c r="V194" s="79">
        <f t="shared" si="34"/>
        <v>-368066.98770300002</v>
      </c>
      <c r="Z194" s="172">
        <f t="shared" si="25"/>
        <v>0</v>
      </c>
      <c r="AB194" t="s">
        <v>411</v>
      </c>
      <c r="AC194" t="s">
        <v>2765</v>
      </c>
      <c r="AD194" s="464">
        <v>-183578.63651500002</v>
      </c>
      <c r="AE194" s="464">
        <v>-100350.45</v>
      </c>
      <c r="AF194" s="464">
        <v>0</v>
      </c>
      <c r="AG194" s="464">
        <v>-84137.901187999989</v>
      </c>
      <c r="AH194" s="464">
        <v>-368066.98770300002</v>
      </c>
      <c r="AJ194" s="464">
        <f t="shared" si="26"/>
        <v>-184488.351188</v>
      </c>
      <c r="AM194" s="464">
        <f t="shared" si="27"/>
        <v>-100350.45</v>
      </c>
      <c r="AN194" s="464">
        <v>0</v>
      </c>
      <c r="AO194" s="464">
        <v>-84137.901187999989</v>
      </c>
      <c r="AP194" s="317">
        <f t="shared" si="28"/>
        <v>-184488.351188</v>
      </c>
      <c r="AQ194" s="317">
        <f t="shared" si="29"/>
        <v>0</v>
      </c>
      <c r="AS194" s="475">
        <v>-121950.31709200004</v>
      </c>
      <c r="AT194" s="174">
        <f t="shared" si="30"/>
        <v>-306438.66828000004</v>
      </c>
      <c r="AU194" s="174">
        <f t="shared" si="31"/>
        <v>0</v>
      </c>
    </row>
    <row r="195" spans="1:47">
      <c r="A195" t="s">
        <v>413</v>
      </c>
      <c r="B195" t="s">
        <v>2766</v>
      </c>
      <c r="C195" s="468">
        <v>-47234.58</v>
      </c>
      <c r="D195" s="468">
        <v>-51357.197805999967</v>
      </c>
      <c r="E195" s="473">
        <v>-17772.232054000022</v>
      </c>
      <c r="F195" s="474">
        <v>-16114.109550000016</v>
      </c>
      <c r="G195" s="450">
        <f t="shared" si="23"/>
        <v>-132478.11941000001</v>
      </c>
      <c r="I195" s="67">
        <f t="shared" si="24"/>
        <v>0</v>
      </c>
      <c r="J195" s="58" t="s">
        <v>413</v>
      </c>
      <c r="K195" t="s">
        <v>414</v>
      </c>
      <c r="L195" s="448">
        <v>-16114.109550000016</v>
      </c>
      <c r="M195" s="67" t="s">
        <v>2591</v>
      </c>
      <c r="N195" s="317"/>
      <c r="P195" t="s">
        <v>413</v>
      </c>
      <c r="Q195" t="s">
        <v>2766</v>
      </c>
      <c r="R195" s="211">
        <v>-48084.28</v>
      </c>
      <c r="S195" s="211">
        <v>-47234.58</v>
      </c>
      <c r="T195" s="211">
        <v>-51357.197805999967</v>
      </c>
      <c r="U195" s="274">
        <v>-17772.232054000022</v>
      </c>
      <c r="V195" s="79">
        <f t="shared" si="34"/>
        <v>-164448.28985999999</v>
      </c>
      <c r="Z195" s="172">
        <f t="shared" si="25"/>
        <v>0</v>
      </c>
      <c r="AB195" t="s">
        <v>413</v>
      </c>
      <c r="AC195" t="s">
        <v>2766</v>
      </c>
      <c r="AD195" s="464">
        <v>-48084.28</v>
      </c>
      <c r="AE195" s="464">
        <v>-47234.58</v>
      </c>
      <c r="AF195" s="464">
        <v>-51357.197805999967</v>
      </c>
      <c r="AG195" s="464">
        <v>-17772.232054000022</v>
      </c>
      <c r="AH195" s="464">
        <v>-164448.28985999999</v>
      </c>
      <c r="AJ195" s="464">
        <f t="shared" si="26"/>
        <v>-116364.00985999999</v>
      </c>
      <c r="AM195" s="464">
        <f t="shared" si="27"/>
        <v>-47234.58</v>
      </c>
      <c r="AN195" s="464">
        <v>-51357.197805999967</v>
      </c>
      <c r="AO195" s="464">
        <v>-17772.232054000022</v>
      </c>
      <c r="AP195" s="317">
        <f t="shared" si="28"/>
        <v>-116364.00985999999</v>
      </c>
      <c r="AQ195" s="317">
        <f t="shared" si="29"/>
        <v>0</v>
      </c>
      <c r="AS195" s="475">
        <v>-16114.109550000016</v>
      </c>
      <c r="AT195" s="174">
        <f t="shared" si="30"/>
        <v>-132478.11941000001</v>
      </c>
      <c r="AU195" s="174">
        <f t="shared" si="31"/>
        <v>0</v>
      </c>
    </row>
    <row r="196" spans="1:47">
      <c r="A196" t="s">
        <v>415</v>
      </c>
      <c r="B196" t="s">
        <v>2767</v>
      </c>
      <c r="C196" s="468">
        <v>-174326.58</v>
      </c>
      <c r="D196" s="468">
        <v>-120310.38222100005</v>
      </c>
      <c r="E196" s="473">
        <v>-154592.16988000006</v>
      </c>
      <c r="F196" s="474">
        <v>-147381.39797500003</v>
      </c>
      <c r="G196" s="450">
        <f t="shared" si="23"/>
        <v>-596610.53007600014</v>
      </c>
      <c r="I196" s="67">
        <f t="shared" si="24"/>
        <v>0</v>
      </c>
      <c r="J196" s="58" t="s">
        <v>415</v>
      </c>
      <c r="K196" t="s">
        <v>416</v>
      </c>
      <c r="L196" s="448">
        <v>-147381.39797500003</v>
      </c>
      <c r="M196" s="67" t="s">
        <v>2591</v>
      </c>
      <c r="N196" s="317"/>
      <c r="P196" t="s">
        <v>415</v>
      </c>
      <c r="Q196" t="s">
        <v>2767</v>
      </c>
      <c r="R196" s="211">
        <v>-116383.67</v>
      </c>
      <c r="S196" s="211">
        <v>-174326.58</v>
      </c>
      <c r="T196" s="211">
        <v>-120310.38222100005</v>
      </c>
      <c r="U196" s="274">
        <v>-154592.16988000006</v>
      </c>
      <c r="V196" s="79">
        <f t="shared" si="34"/>
        <v>-565612.8021010001</v>
      </c>
      <c r="Z196" s="172">
        <f t="shared" si="25"/>
        <v>0</v>
      </c>
      <c r="AB196" t="s">
        <v>415</v>
      </c>
      <c r="AC196" t="s">
        <v>2767</v>
      </c>
      <c r="AD196" s="464">
        <v>-116383.67</v>
      </c>
      <c r="AE196" s="464">
        <v>-174326.58</v>
      </c>
      <c r="AF196" s="464">
        <v>-120310.38222100005</v>
      </c>
      <c r="AG196" s="464">
        <v>-154592.16988000006</v>
      </c>
      <c r="AH196" s="464">
        <v>-565612.8021010001</v>
      </c>
      <c r="AJ196" s="464">
        <f t="shared" si="26"/>
        <v>-449229.13210100011</v>
      </c>
      <c r="AM196" s="464">
        <f t="shared" si="27"/>
        <v>-174326.58</v>
      </c>
      <c r="AN196" s="464">
        <v>-120310.38222100005</v>
      </c>
      <c r="AO196" s="464">
        <v>-154592.16988000006</v>
      </c>
      <c r="AP196" s="317">
        <f t="shared" si="28"/>
        <v>-449229.13210100011</v>
      </c>
      <c r="AQ196" s="317">
        <f t="shared" si="29"/>
        <v>0</v>
      </c>
      <c r="AS196" s="475">
        <v>-147381.39797500003</v>
      </c>
      <c r="AT196" s="174">
        <f t="shared" si="30"/>
        <v>-596610.53007600014</v>
      </c>
      <c r="AU196" s="174">
        <f t="shared" si="31"/>
        <v>0</v>
      </c>
    </row>
    <row r="197" spans="1:47">
      <c r="A197" t="s">
        <v>417</v>
      </c>
      <c r="B197" t="s">
        <v>2768</v>
      </c>
      <c r="C197" s="468">
        <v>-885210.18</v>
      </c>
      <c r="D197" s="468">
        <v>-1061322.3406508819</v>
      </c>
      <c r="E197" s="473">
        <v>0</v>
      </c>
      <c r="F197" s="474">
        <v>-674726.08915557002</v>
      </c>
      <c r="G197" s="450">
        <f t="shared" si="23"/>
        <v>-2621258.6098064519</v>
      </c>
      <c r="I197" s="67">
        <f t="shared" si="24"/>
        <v>0</v>
      </c>
      <c r="J197" s="58" t="s">
        <v>417</v>
      </c>
      <c r="K197" t="s">
        <v>418</v>
      </c>
      <c r="L197" s="448">
        <v>-674726.08915557002</v>
      </c>
      <c r="M197" s="67" t="s">
        <v>2591</v>
      </c>
      <c r="N197" s="317"/>
      <c r="P197" t="s">
        <v>417</v>
      </c>
      <c r="Q197" t="s">
        <v>2768</v>
      </c>
      <c r="R197" s="211">
        <v>-817479.6</v>
      </c>
      <c r="S197" s="211">
        <v>-885210.18</v>
      </c>
      <c r="T197" s="211">
        <v>-1061322.3406508819</v>
      </c>
      <c r="U197" s="274">
        <v>374924.08836635714</v>
      </c>
      <c r="V197" s="79">
        <f t="shared" si="34"/>
        <v>-2389088.0322845248</v>
      </c>
      <c r="Z197" s="172">
        <f t="shared" si="25"/>
        <v>0</v>
      </c>
      <c r="AB197" t="s">
        <v>417</v>
      </c>
      <c r="AC197" t="s">
        <v>2768</v>
      </c>
      <c r="AD197" s="464">
        <v>-442555.51163364283</v>
      </c>
      <c r="AE197" s="464">
        <v>-885210.18</v>
      </c>
      <c r="AF197" s="464">
        <v>-1061322.3406508819</v>
      </c>
      <c r="AG197" s="464">
        <v>0</v>
      </c>
      <c r="AH197" s="464">
        <v>-2389088.0322845248</v>
      </c>
      <c r="AJ197" s="464">
        <f t="shared" si="26"/>
        <v>-1946532.5206508818</v>
      </c>
      <c r="AM197" s="464">
        <f t="shared" si="27"/>
        <v>-885210.18</v>
      </c>
      <c r="AN197" s="464">
        <v>-1061322.3406508819</v>
      </c>
      <c r="AO197" s="464">
        <v>0</v>
      </c>
      <c r="AP197" s="317">
        <f t="shared" si="28"/>
        <v>-1946532.5206508818</v>
      </c>
      <c r="AQ197" s="317">
        <f t="shared" si="29"/>
        <v>0</v>
      </c>
      <c r="AS197" s="475">
        <v>-674726.08915557002</v>
      </c>
      <c r="AT197" s="174">
        <f t="shared" si="30"/>
        <v>-2621258.6098064519</v>
      </c>
      <c r="AU197" s="174">
        <f t="shared" si="31"/>
        <v>0</v>
      </c>
    </row>
    <row r="198" spans="1:47">
      <c r="A198" t="s">
        <v>419</v>
      </c>
      <c r="B198" t="s">
        <v>2769</v>
      </c>
      <c r="C198" s="468">
        <v>-55366.41</v>
      </c>
      <c r="D198" s="468">
        <v>0</v>
      </c>
      <c r="E198" s="473">
        <v>0</v>
      </c>
      <c r="F198" s="474">
        <v>110773.73492000022</v>
      </c>
      <c r="G198" s="450">
        <f t="shared" si="23"/>
        <v>55407.324920000217</v>
      </c>
      <c r="I198" s="67">
        <f t="shared" si="24"/>
        <v>0</v>
      </c>
      <c r="J198" s="58" t="s">
        <v>419</v>
      </c>
      <c r="K198" t="s">
        <v>420</v>
      </c>
      <c r="L198" s="448">
        <v>110773.73492000022</v>
      </c>
      <c r="M198" s="67" t="s">
        <v>2591</v>
      </c>
      <c r="N198" s="317"/>
      <c r="P198" t="s">
        <v>419</v>
      </c>
      <c r="Q198" t="s">
        <v>2769</v>
      </c>
      <c r="R198" s="211">
        <v>-194322.58</v>
      </c>
      <c r="S198" s="211">
        <v>-55366.41</v>
      </c>
      <c r="T198" s="211">
        <v>67421.841451999877</v>
      </c>
      <c r="U198" s="274">
        <v>45675.936365000089</v>
      </c>
      <c r="V198" s="79">
        <f t="shared" si="34"/>
        <v>-136591.21218300003</v>
      </c>
      <c r="Z198" s="172">
        <f t="shared" si="25"/>
        <v>0</v>
      </c>
      <c r="AB198" t="s">
        <v>419</v>
      </c>
      <c r="AC198" t="s">
        <v>2769</v>
      </c>
      <c r="AD198" s="464">
        <v>-81224.802183000022</v>
      </c>
      <c r="AE198" s="464">
        <v>-55366.41</v>
      </c>
      <c r="AF198" s="464">
        <v>0</v>
      </c>
      <c r="AG198" s="464">
        <v>0</v>
      </c>
      <c r="AH198" s="464">
        <v>-136591.21218300003</v>
      </c>
      <c r="AJ198" s="464">
        <f t="shared" si="26"/>
        <v>-55366.41</v>
      </c>
      <c r="AM198" s="464">
        <f t="shared" si="27"/>
        <v>-55366.41</v>
      </c>
      <c r="AN198" s="464">
        <v>0</v>
      </c>
      <c r="AO198" s="464">
        <v>0</v>
      </c>
      <c r="AP198" s="317">
        <f t="shared" si="28"/>
        <v>-55366.41</v>
      </c>
      <c r="AQ198" s="317">
        <f t="shared" si="29"/>
        <v>0</v>
      </c>
      <c r="AS198" s="475">
        <v>110773.73492000022</v>
      </c>
      <c r="AT198" s="174">
        <f t="shared" si="30"/>
        <v>55407.324920000217</v>
      </c>
      <c r="AU198" s="174">
        <f t="shared" si="31"/>
        <v>0</v>
      </c>
    </row>
    <row r="199" spans="1:47">
      <c r="A199" t="s">
        <v>421</v>
      </c>
      <c r="B199" t="s">
        <v>2770</v>
      </c>
      <c r="C199" s="468">
        <v>185692.19000000006</v>
      </c>
      <c r="D199" s="468">
        <v>100782.59518859815</v>
      </c>
      <c r="E199" s="473">
        <v>89979.936717999983</v>
      </c>
      <c r="F199" s="474">
        <v>75692.494293999902</v>
      </c>
      <c r="G199" s="450">
        <f t="shared" si="23"/>
        <v>452147.21620059811</v>
      </c>
      <c r="I199" s="67">
        <f t="shared" si="24"/>
        <v>0</v>
      </c>
      <c r="J199" s="58" t="s">
        <v>421</v>
      </c>
      <c r="K199" t="s">
        <v>422</v>
      </c>
      <c r="L199" s="448">
        <v>75692.494293999902</v>
      </c>
      <c r="M199" s="67" t="s">
        <v>2591</v>
      </c>
      <c r="N199" s="317"/>
      <c r="P199" t="s">
        <v>421</v>
      </c>
      <c r="Q199" t="s">
        <v>2770</v>
      </c>
      <c r="R199" s="211">
        <v>113457.54000000008</v>
      </c>
      <c r="S199" s="211">
        <v>72234.649999999994</v>
      </c>
      <c r="T199" s="211">
        <v>100782.59518859815</v>
      </c>
      <c r="U199" s="274">
        <v>89979.936717999983</v>
      </c>
      <c r="V199" s="79">
        <f t="shared" si="34"/>
        <v>376454.72190659819</v>
      </c>
      <c r="Z199" s="172">
        <f t="shared" si="25"/>
        <v>0</v>
      </c>
      <c r="AB199" t="s">
        <v>421</v>
      </c>
      <c r="AC199" t="s">
        <v>2770</v>
      </c>
      <c r="AD199" s="464">
        <v>113457.54000000008</v>
      </c>
      <c r="AE199" s="464">
        <v>72234.649999999994</v>
      </c>
      <c r="AF199" s="464">
        <v>100782.59518859815</v>
      </c>
      <c r="AG199" s="464">
        <v>89979.936717999983</v>
      </c>
      <c r="AH199" s="464">
        <v>376454.72190659819</v>
      </c>
      <c r="AJ199" s="464">
        <f t="shared" si="26"/>
        <v>262997.18190659815</v>
      </c>
      <c r="AM199" s="465">
        <f>+AD199+AE199</f>
        <v>185692.19000000006</v>
      </c>
      <c r="AN199" s="464">
        <v>100782.59518859815</v>
      </c>
      <c r="AO199" s="464">
        <v>89979.936717999983</v>
      </c>
      <c r="AP199" s="317">
        <f t="shared" si="28"/>
        <v>376454.72190659819</v>
      </c>
      <c r="AQ199" s="466">
        <f>+AP199-AH199</f>
        <v>0</v>
      </c>
      <c r="AS199" s="475">
        <v>75692.494293999902</v>
      </c>
      <c r="AT199" s="174">
        <f t="shared" si="30"/>
        <v>452147.21620059811</v>
      </c>
      <c r="AU199" s="174">
        <f t="shared" si="31"/>
        <v>0</v>
      </c>
    </row>
    <row r="200" spans="1:47">
      <c r="A200" t="s">
        <v>423</v>
      </c>
      <c r="B200" t="s">
        <v>2771</v>
      </c>
      <c r="C200" s="468">
        <v>-59773.33</v>
      </c>
      <c r="D200" s="468">
        <v>-36100.950751000004</v>
      </c>
      <c r="E200" s="473">
        <v>-45066.646125999985</v>
      </c>
      <c r="F200" s="474">
        <v>-50927.543875999996</v>
      </c>
      <c r="G200" s="450">
        <f t="shared" ref="G200:G263" si="35">SUM(C200:F200)</f>
        <v>-191868.470753</v>
      </c>
      <c r="I200" s="67">
        <f t="shared" ref="I200:I263" si="36">+J200-A200</f>
        <v>0</v>
      </c>
      <c r="J200" s="58" t="s">
        <v>423</v>
      </c>
      <c r="K200" t="s">
        <v>424</v>
      </c>
      <c r="L200" s="448">
        <v>-50927.543875999996</v>
      </c>
      <c r="M200" s="67" t="s">
        <v>2591</v>
      </c>
      <c r="N200" s="317"/>
      <c r="P200" t="s">
        <v>423</v>
      </c>
      <c r="Q200" t="s">
        <v>2771</v>
      </c>
      <c r="R200" s="211">
        <v>-70214.52</v>
      </c>
      <c r="S200" s="211">
        <v>-59773.33</v>
      </c>
      <c r="T200" s="211">
        <v>-36100.950751000004</v>
      </c>
      <c r="U200" s="274">
        <v>-45066.646125999985</v>
      </c>
      <c r="V200" s="79">
        <f t="shared" si="34"/>
        <v>-211155.44687699998</v>
      </c>
      <c r="Z200" s="172">
        <f t="shared" ref="Z200:Z263" si="37">+AB200-P200</f>
        <v>0</v>
      </c>
      <c r="AB200" t="s">
        <v>423</v>
      </c>
      <c r="AC200" t="s">
        <v>2771</v>
      </c>
      <c r="AD200" s="464">
        <v>-70214.52</v>
      </c>
      <c r="AE200" s="464">
        <v>-59773.33</v>
      </c>
      <c r="AF200" s="464">
        <v>-36100.950751000004</v>
      </c>
      <c r="AG200" s="464">
        <v>-45066.646125999985</v>
      </c>
      <c r="AH200" s="464">
        <v>-211155.44687699998</v>
      </c>
      <c r="AJ200" s="464">
        <f t="shared" ref="AJ200:AJ263" si="38">SUM(AE200:AG200)</f>
        <v>-140940.92687699999</v>
      </c>
      <c r="AM200" s="464">
        <f t="shared" ref="AM200:AM263" si="39">+AE200</f>
        <v>-59773.33</v>
      </c>
      <c r="AN200" s="464">
        <v>-36100.950751000004</v>
      </c>
      <c r="AO200" s="464">
        <v>-45066.646125999985</v>
      </c>
      <c r="AP200" s="317">
        <f t="shared" ref="AP200:AP263" si="40">SUM(AM200:AO200)</f>
        <v>-140940.92687699999</v>
      </c>
      <c r="AQ200" s="317">
        <f t="shared" ref="AQ200:AQ263" si="41">+AP200-AJ200</f>
        <v>0</v>
      </c>
      <c r="AS200" s="475">
        <v>-50927.543875999996</v>
      </c>
      <c r="AT200" s="174">
        <f t="shared" ref="AT200:AT263" si="42">+AS200+AP200</f>
        <v>-191868.470753</v>
      </c>
      <c r="AU200" s="174">
        <f t="shared" ref="AU200:AU263" si="43">+AT200-G200</f>
        <v>0</v>
      </c>
    </row>
    <row r="201" spans="1:47">
      <c r="A201" t="s">
        <v>425</v>
      </c>
      <c r="B201" t="s">
        <v>2772</v>
      </c>
      <c r="C201" s="468">
        <v>-83842.97</v>
      </c>
      <c r="D201" s="468">
        <v>-135347.04663200001</v>
      </c>
      <c r="E201" s="473">
        <v>-65636.717180000036</v>
      </c>
      <c r="F201" s="474">
        <v>-106366.61859199993</v>
      </c>
      <c r="G201" s="450">
        <f t="shared" si="35"/>
        <v>-391193.35240399995</v>
      </c>
      <c r="I201" s="67">
        <f t="shared" si="36"/>
        <v>0</v>
      </c>
      <c r="J201" s="58" t="s">
        <v>425</v>
      </c>
      <c r="K201" t="s">
        <v>2772</v>
      </c>
      <c r="L201" s="448">
        <v>-106366.61859199993</v>
      </c>
      <c r="M201" s="67" t="s">
        <v>2591</v>
      </c>
      <c r="N201" s="317"/>
      <c r="P201" t="s">
        <v>425</v>
      </c>
      <c r="Q201" t="s">
        <v>2772</v>
      </c>
      <c r="R201" s="211">
        <v>-49483.35</v>
      </c>
      <c r="S201" s="211">
        <v>-83842.97</v>
      </c>
      <c r="T201" s="211">
        <v>-135347.04663200001</v>
      </c>
      <c r="U201" s="274">
        <v>-65636.717180000036</v>
      </c>
      <c r="V201" s="79">
        <f t="shared" si="34"/>
        <v>-334310.08381200006</v>
      </c>
      <c r="Z201" s="172">
        <f t="shared" si="37"/>
        <v>0</v>
      </c>
      <c r="AB201" t="s">
        <v>425</v>
      </c>
      <c r="AC201" t="s">
        <v>2772</v>
      </c>
      <c r="AD201" s="464">
        <v>-49483.35</v>
      </c>
      <c r="AE201" s="464">
        <v>-83842.97</v>
      </c>
      <c r="AF201" s="464">
        <v>-135347.04663200001</v>
      </c>
      <c r="AG201" s="464">
        <v>-65636.717180000036</v>
      </c>
      <c r="AH201" s="464">
        <v>-334310.08381200006</v>
      </c>
      <c r="AJ201" s="464">
        <f t="shared" si="38"/>
        <v>-284826.73381200002</v>
      </c>
      <c r="AM201" s="464">
        <f t="shared" si="39"/>
        <v>-83842.97</v>
      </c>
      <c r="AN201" s="464">
        <v>-135347.04663200001</v>
      </c>
      <c r="AO201" s="464">
        <v>-65636.717180000036</v>
      </c>
      <c r="AP201" s="317">
        <f t="shared" si="40"/>
        <v>-284826.73381200002</v>
      </c>
      <c r="AQ201" s="317">
        <f t="shared" si="41"/>
        <v>0</v>
      </c>
      <c r="AS201" s="475">
        <v>-106366.61859199993</v>
      </c>
      <c r="AT201" s="174">
        <f t="shared" si="42"/>
        <v>-391193.35240399995</v>
      </c>
      <c r="AU201" s="174">
        <f t="shared" si="43"/>
        <v>0</v>
      </c>
    </row>
    <row r="202" spans="1:47">
      <c r="A202" s="436" t="s">
        <v>427</v>
      </c>
      <c r="B202" s="437" t="s">
        <v>428</v>
      </c>
      <c r="C202" s="478">
        <v>0</v>
      </c>
      <c r="D202" s="467"/>
      <c r="E202" s="473"/>
      <c r="F202" s="474"/>
      <c r="G202" s="450">
        <f t="shared" si="35"/>
        <v>0</v>
      </c>
      <c r="I202" s="67">
        <f t="shared" si="36"/>
        <v>0</v>
      </c>
      <c r="J202" s="436" t="s">
        <v>427</v>
      </c>
      <c r="K202" s="437" t="s">
        <v>428</v>
      </c>
      <c r="L202" s="448"/>
      <c r="M202" s="67"/>
      <c r="N202" s="317"/>
      <c r="P202" s="291" t="s">
        <v>427</v>
      </c>
      <c r="Q202" s="292" t="s">
        <v>428</v>
      </c>
      <c r="R202" s="211"/>
      <c r="S202" s="211"/>
      <c r="T202" s="211"/>
      <c r="U202" s="274"/>
      <c r="V202" s="79"/>
      <c r="Z202" s="172">
        <f t="shared" si="37"/>
        <v>0</v>
      </c>
      <c r="AB202" t="s">
        <v>427</v>
      </c>
      <c r="AC202" t="s">
        <v>428</v>
      </c>
      <c r="AD202" s="464"/>
      <c r="AE202" s="464"/>
      <c r="AF202" s="464"/>
      <c r="AG202" s="464"/>
      <c r="AH202" s="464"/>
      <c r="AJ202" s="464">
        <f t="shared" si="38"/>
        <v>0</v>
      </c>
      <c r="AM202" s="464">
        <f t="shared" si="39"/>
        <v>0</v>
      </c>
      <c r="AN202" s="464"/>
      <c r="AO202" s="464"/>
      <c r="AP202" s="317">
        <f t="shared" si="40"/>
        <v>0</v>
      </c>
      <c r="AQ202" s="317">
        <f t="shared" si="41"/>
        <v>0</v>
      </c>
      <c r="AS202" s="475"/>
      <c r="AT202" s="174">
        <f t="shared" si="42"/>
        <v>0</v>
      </c>
      <c r="AU202" s="174">
        <f t="shared" si="43"/>
        <v>0</v>
      </c>
    </row>
    <row r="203" spans="1:47">
      <c r="A203" t="s">
        <v>429</v>
      </c>
      <c r="B203" t="s">
        <v>2773</v>
      </c>
      <c r="C203" s="479">
        <v>-37285.480000000003</v>
      </c>
      <c r="D203" s="468">
        <v>-65702.291271999973</v>
      </c>
      <c r="E203" s="473">
        <v>-47466.549693999994</v>
      </c>
      <c r="F203" s="474">
        <v>-55689.262915999992</v>
      </c>
      <c r="G203" s="450">
        <f t="shared" si="35"/>
        <v>-206143.58388199995</v>
      </c>
      <c r="I203" s="67">
        <f t="shared" si="36"/>
        <v>0</v>
      </c>
      <c r="J203" s="58" t="s">
        <v>429</v>
      </c>
      <c r="K203" t="s">
        <v>430</v>
      </c>
      <c r="L203" s="448">
        <v>-55689.262915999992</v>
      </c>
      <c r="M203" s="67" t="s">
        <v>2591</v>
      </c>
      <c r="N203" s="317"/>
      <c r="P203" t="s">
        <v>429</v>
      </c>
      <c r="Q203" t="s">
        <v>2773</v>
      </c>
      <c r="R203" s="211">
        <v>-30041.47</v>
      </c>
      <c r="S203" s="211">
        <v>-37285.480000000003</v>
      </c>
      <c r="T203" s="211">
        <v>-65702.291271999973</v>
      </c>
      <c r="U203" s="274">
        <v>-47466.549693999994</v>
      </c>
      <c r="V203" s="79">
        <f t="shared" ref="V203:V244" si="44">SUM(R203:U203)</f>
        <v>-180495.79096599997</v>
      </c>
      <c r="Z203" s="172">
        <f t="shared" si="37"/>
        <v>0</v>
      </c>
      <c r="AB203" t="s">
        <v>429</v>
      </c>
      <c r="AC203" t="s">
        <v>2773</v>
      </c>
      <c r="AD203" s="464">
        <v>-30041.47</v>
      </c>
      <c r="AE203" s="464">
        <v>-37285.480000000003</v>
      </c>
      <c r="AF203" s="464">
        <v>-65702.291271999973</v>
      </c>
      <c r="AG203" s="464">
        <v>-47466.549693999994</v>
      </c>
      <c r="AH203" s="464">
        <v>-180495.79096599997</v>
      </c>
      <c r="AJ203" s="464">
        <f t="shared" si="38"/>
        <v>-150454.32096599997</v>
      </c>
      <c r="AM203" s="464">
        <f t="shared" si="39"/>
        <v>-37285.480000000003</v>
      </c>
      <c r="AN203" s="464">
        <v>-65702.291271999973</v>
      </c>
      <c r="AO203" s="464">
        <v>-47466.549693999994</v>
      </c>
      <c r="AP203" s="317">
        <f t="shared" si="40"/>
        <v>-150454.32096599997</v>
      </c>
      <c r="AQ203" s="317">
        <f t="shared" si="41"/>
        <v>0</v>
      </c>
      <c r="AS203" s="475">
        <v>-55689.262915999992</v>
      </c>
      <c r="AT203" s="174">
        <f t="shared" si="42"/>
        <v>-206143.58388199995</v>
      </c>
      <c r="AU203" s="174">
        <f t="shared" si="43"/>
        <v>0</v>
      </c>
    </row>
    <row r="204" spans="1:47">
      <c r="A204" t="s">
        <v>431</v>
      </c>
      <c r="B204" t="s">
        <v>2774</v>
      </c>
      <c r="C204" s="479">
        <v>720.84</v>
      </c>
      <c r="D204" s="468">
        <v>-87299.863230000003</v>
      </c>
      <c r="E204" s="473">
        <v>-49310.580900999979</v>
      </c>
      <c r="F204" s="474">
        <v>-17132.761788000018</v>
      </c>
      <c r="G204" s="450">
        <f t="shared" si="35"/>
        <v>-153022.365919</v>
      </c>
      <c r="I204" s="67">
        <f t="shared" si="36"/>
        <v>0</v>
      </c>
      <c r="J204" s="58" t="s">
        <v>431</v>
      </c>
      <c r="K204" t="s">
        <v>432</v>
      </c>
      <c r="L204" s="448">
        <v>-17132.761788000018</v>
      </c>
      <c r="M204" s="67" t="s">
        <v>2591</v>
      </c>
      <c r="N204" s="317"/>
      <c r="P204" t="s">
        <v>431</v>
      </c>
      <c r="Q204" t="s">
        <v>2774</v>
      </c>
      <c r="R204" s="211">
        <v>-31331.37</v>
      </c>
      <c r="S204" s="211">
        <v>720.84</v>
      </c>
      <c r="T204" s="211">
        <v>-87299.863230000003</v>
      </c>
      <c r="U204" s="274">
        <v>-49310.580900999979</v>
      </c>
      <c r="V204" s="79">
        <f t="shared" si="44"/>
        <v>-167220.974131</v>
      </c>
      <c r="Z204" s="172">
        <f t="shared" si="37"/>
        <v>0</v>
      </c>
      <c r="AB204" t="s">
        <v>431</v>
      </c>
      <c r="AC204" t="s">
        <v>2774</v>
      </c>
      <c r="AD204" s="464">
        <v>-31331.37</v>
      </c>
      <c r="AE204" s="464">
        <v>720.84</v>
      </c>
      <c r="AF204" s="464">
        <v>-87299.863230000003</v>
      </c>
      <c r="AG204" s="464">
        <v>-49310.580900999979</v>
      </c>
      <c r="AH204" s="464">
        <v>-167220.974131</v>
      </c>
      <c r="AJ204" s="464">
        <f t="shared" si="38"/>
        <v>-135889.604131</v>
      </c>
      <c r="AM204" s="464">
        <f t="shared" si="39"/>
        <v>720.84</v>
      </c>
      <c r="AN204" s="464">
        <v>-87299.863230000003</v>
      </c>
      <c r="AO204" s="464">
        <v>-49310.580900999979</v>
      </c>
      <c r="AP204" s="317">
        <f t="shared" si="40"/>
        <v>-135889.604131</v>
      </c>
      <c r="AQ204" s="317">
        <f t="shared" si="41"/>
        <v>0</v>
      </c>
      <c r="AS204" s="475">
        <v>-17132.761788000018</v>
      </c>
      <c r="AT204" s="174">
        <f t="shared" si="42"/>
        <v>-153022.365919</v>
      </c>
      <c r="AU204" s="174">
        <f t="shared" si="43"/>
        <v>0</v>
      </c>
    </row>
    <row r="205" spans="1:47">
      <c r="A205" t="s">
        <v>433</v>
      </c>
      <c r="B205" t="s">
        <v>2775</v>
      </c>
      <c r="C205" s="479">
        <v>-84831.039999999994</v>
      </c>
      <c r="D205" s="468">
        <v>-17745.723837999991</v>
      </c>
      <c r="E205" s="473">
        <v>-72964.940655999992</v>
      </c>
      <c r="F205" s="474">
        <v>-38470.547368000021</v>
      </c>
      <c r="G205" s="450">
        <f t="shared" si="35"/>
        <v>-214012.251862</v>
      </c>
      <c r="I205" s="67">
        <f t="shared" si="36"/>
        <v>0</v>
      </c>
      <c r="J205" s="58" t="s">
        <v>433</v>
      </c>
      <c r="K205" t="s">
        <v>434</v>
      </c>
      <c r="L205" s="448">
        <v>-38470.547368000021</v>
      </c>
      <c r="M205" s="67" t="s">
        <v>2591</v>
      </c>
      <c r="N205" s="317"/>
      <c r="P205" t="s">
        <v>433</v>
      </c>
      <c r="Q205" t="s">
        <v>2775</v>
      </c>
      <c r="R205" s="211">
        <v>-82992.289999999994</v>
      </c>
      <c r="S205" s="211">
        <v>-84831.039999999994</v>
      </c>
      <c r="T205" s="211">
        <v>-17745.723837999991</v>
      </c>
      <c r="U205" s="274">
        <v>-72964.940655999992</v>
      </c>
      <c r="V205" s="79">
        <f t="shared" si="44"/>
        <v>-258533.99449399998</v>
      </c>
      <c r="Z205" s="172">
        <f t="shared" si="37"/>
        <v>0</v>
      </c>
      <c r="AB205" t="s">
        <v>433</v>
      </c>
      <c r="AC205" t="s">
        <v>2775</v>
      </c>
      <c r="AD205" s="464">
        <v>-82992.289999999994</v>
      </c>
      <c r="AE205" s="464">
        <v>-84831.039999999994</v>
      </c>
      <c r="AF205" s="464">
        <v>-17745.723837999991</v>
      </c>
      <c r="AG205" s="464">
        <v>-72964.940655999992</v>
      </c>
      <c r="AH205" s="464">
        <v>-258533.99449399998</v>
      </c>
      <c r="AJ205" s="464">
        <f t="shared" si="38"/>
        <v>-175541.70449399998</v>
      </c>
      <c r="AM205" s="464">
        <f t="shared" si="39"/>
        <v>-84831.039999999994</v>
      </c>
      <c r="AN205" s="464">
        <v>-17745.723837999991</v>
      </c>
      <c r="AO205" s="464">
        <v>-72964.940655999992</v>
      </c>
      <c r="AP205" s="317">
        <f t="shared" si="40"/>
        <v>-175541.70449399998</v>
      </c>
      <c r="AQ205" s="317">
        <f t="shared" si="41"/>
        <v>0</v>
      </c>
      <c r="AS205" s="475">
        <v>-38470.547368000021</v>
      </c>
      <c r="AT205" s="174">
        <f t="shared" si="42"/>
        <v>-214012.251862</v>
      </c>
      <c r="AU205" s="174">
        <f t="shared" si="43"/>
        <v>0</v>
      </c>
    </row>
    <row r="206" spans="1:47">
      <c r="A206" t="s">
        <v>435</v>
      </c>
      <c r="B206" t="s">
        <v>2776</v>
      </c>
      <c r="C206" s="479">
        <v>-348888.78</v>
      </c>
      <c r="D206" s="468">
        <v>-198471.95965199999</v>
      </c>
      <c r="E206" s="473">
        <v>0</v>
      </c>
      <c r="F206" s="474">
        <v>-311481.48091199994</v>
      </c>
      <c r="G206" s="450">
        <f t="shared" si="35"/>
        <v>-858842.22056399996</v>
      </c>
      <c r="I206" s="67">
        <f t="shared" si="36"/>
        <v>0</v>
      </c>
      <c r="J206" s="58" t="s">
        <v>435</v>
      </c>
      <c r="K206" t="s">
        <v>436</v>
      </c>
      <c r="L206" s="448">
        <v>-311481.48091199994</v>
      </c>
      <c r="M206" s="67" t="s">
        <v>2591</v>
      </c>
      <c r="N206" s="317"/>
      <c r="P206" t="s">
        <v>435</v>
      </c>
      <c r="Q206" t="s">
        <v>2776</v>
      </c>
      <c r="R206" s="211">
        <v>-242789.27</v>
      </c>
      <c r="S206" s="211">
        <v>-348888.78</v>
      </c>
      <c r="T206" s="211">
        <v>-198471.95965199999</v>
      </c>
      <c r="U206" s="274">
        <v>41796.567958999658</v>
      </c>
      <c r="V206" s="79">
        <f t="shared" si="44"/>
        <v>-748353.44169300038</v>
      </c>
      <c r="Z206" s="172">
        <f t="shared" si="37"/>
        <v>0</v>
      </c>
      <c r="AB206" t="s">
        <v>435</v>
      </c>
      <c r="AC206" t="s">
        <v>2776</v>
      </c>
      <c r="AD206" s="464">
        <v>-200992.70204100033</v>
      </c>
      <c r="AE206" s="464">
        <v>-348888.78</v>
      </c>
      <c r="AF206" s="464">
        <v>-198471.95965199999</v>
      </c>
      <c r="AG206" s="464">
        <v>0</v>
      </c>
      <c r="AH206" s="464">
        <v>-748353.44169300038</v>
      </c>
      <c r="AJ206" s="464">
        <f t="shared" si="38"/>
        <v>-547360.73965200002</v>
      </c>
      <c r="AM206" s="464">
        <f t="shared" si="39"/>
        <v>-348888.78</v>
      </c>
      <c r="AN206" s="464">
        <v>-198471.95965199999</v>
      </c>
      <c r="AO206" s="464">
        <v>0</v>
      </c>
      <c r="AP206" s="317">
        <f t="shared" si="40"/>
        <v>-547360.73965200002</v>
      </c>
      <c r="AQ206" s="317">
        <f t="shared" si="41"/>
        <v>0</v>
      </c>
      <c r="AS206" s="475">
        <v>-311481.48091199994</v>
      </c>
      <c r="AT206" s="174">
        <f t="shared" si="42"/>
        <v>-858842.22056399996</v>
      </c>
      <c r="AU206" s="174">
        <f t="shared" si="43"/>
        <v>0</v>
      </c>
    </row>
    <row r="207" spans="1:47">
      <c r="A207" t="s">
        <v>437</v>
      </c>
      <c r="B207" t="s">
        <v>2777</v>
      </c>
      <c r="C207" s="479">
        <v>-80367.61</v>
      </c>
      <c r="D207" s="468">
        <v>-138869.25699999946</v>
      </c>
      <c r="E207" s="473">
        <v>16544.88651299935</v>
      </c>
      <c r="F207" s="474">
        <v>120976.28655900003</v>
      </c>
      <c r="G207" s="450">
        <f t="shared" si="35"/>
        <v>-81715.693928000052</v>
      </c>
      <c r="I207" s="67">
        <f t="shared" si="36"/>
        <v>0</v>
      </c>
      <c r="J207" s="58" t="s">
        <v>437</v>
      </c>
      <c r="K207" t="s">
        <v>438</v>
      </c>
      <c r="L207" s="448">
        <v>120976.28655900003</v>
      </c>
      <c r="M207" s="67" t="s">
        <v>2591</v>
      </c>
      <c r="N207" s="317"/>
      <c r="P207" t="s">
        <v>437</v>
      </c>
      <c r="Q207" t="s">
        <v>2777</v>
      </c>
      <c r="R207" s="211">
        <v>-71104.17</v>
      </c>
      <c r="S207" s="211">
        <v>-80367.61</v>
      </c>
      <c r="T207" s="211">
        <v>-138869.25699999946</v>
      </c>
      <c r="U207" s="274">
        <v>87649.056512999348</v>
      </c>
      <c r="V207" s="79">
        <f t="shared" si="44"/>
        <v>-202691.98048700008</v>
      </c>
      <c r="Z207" s="172">
        <f t="shared" si="37"/>
        <v>0</v>
      </c>
      <c r="AB207" t="s">
        <v>437</v>
      </c>
      <c r="AC207" t="s">
        <v>2777</v>
      </c>
      <c r="AD207" s="464">
        <v>0</v>
      </c>
      <c r="AE207" s="464">
        <v>-80367.61</v>
      </c>
      <c r="AF207" s="464">
        <v>-138869.25699999946</v>
      </c>
      <c r="AG207" s="464">
        <v>16544.88651299935</v>
      </c>
      <c r="AH207" s="464">
        <v>-202691.98048700008</v>
      </c>
      <c r="AJ207" s="464">
        <f t="shared" si="38"/>
        <v>-202691.98048700008</v>
      </c>
      <c r="AM207" s="464">
        <f t="shared" si="39"/>
        <v>-80367.61</v>
      </c>
      <c r="AN207" s="464">
        <v>-138869.25699999946</v>
      </c>
      <c r="AO207" s="464">
        <v>16544.88651299935</v>
      </c>
      <c r="AP207" s="317">
        <f t="shared" si="40"/>
        <v>-202691.98048700008</v>
      </c>
      <c r="AQ207" s="317">
        <f t="shared" si="41"/>
        <v>0</v>
      </c>
      <c r="AS207" s="475">
        <v>120976.28655900003</v>
      </c>
      <c r="AT207" s="174">
        <f t="shared" si="42"/>
        <v>-81715.693928000052</v>
      </c>
      <c r="AU207" s="174">
        <f t="shared" si="43"/>
        <v>0</v>
      </c>
    </row>
    <row r="208" spans="1:47">
      <c r="A208" t="s">
        <v>439</v>
      </c>
      <c r="B208" t="s">
        <v>2778</v>
      </c>
      <c r="C208" s="479">
        <v>-2891.28</v>
      </c>
      <c r="D208" s="468">
        <v>-34907.156202999991</v>
      </c>
      <c r="E208" s="473">
        <v>-70301.438900000008</v>
      </c>
      <c r="F208" s="474">
        <v>9137.0849760000019</v>
      </c>
      <c r="G208" s="450">
        <f t="shared" si="35"/>
        <v>-98962.790127</v>
      </c>
      <c r="I208" s="67">
        <f t="shared" si="36"/>
        <v>0</v>
      </c>
      <c r="J208" s="58" t="s">
        <v>439</v>
      </c>
      <c r="K208" t="s">
        <v>440</v>
      </c>
      <c r="L208" s="448">
        <v>9137.0849760000019</v>
      </c>
      <c r="M208" s="67" t="s">
        <v>2591</v>
      </c>
      <c r="N208" s="317"/>
      <c r="P208" t="s">
        <v>439</v>
      </c>
      <c r="Q208" t="s">
        <v>2778</v>
      </c>
      <c r="R208" s="211">
        <v>-22035.62</v>
      </c>
      <c r="S208" s="211">
        <v>-2891.28</v>
      </c>
      <c r="T208" s="211">
        <v>-34907.156202999991</v>
      </c>
      <c r="U208" s="274">
        <v>-70301.438900000008</v>
      </c>
      <c r="V208" s="79">
        <f t="shared" si="44"/>
        <v>-130135.49510299999</v>
      </c>
      <c r="Z208" s="172">
        <f t="shared" si="37"/>
        <v>0</v>
      </c>
      <c r="AB208" t="s">
        <v>439</v>
      </c>
      <c r="AC208" t="s">
        <v>2778</v>
      </c>
      <c r="AD208" s="464">
        <v>-22035.62</v>
      </c>
      <c r="AE208" s="464">
        <v>-2891.28</v>
      </c>
      <c r="AF208" s="464">
        <v>-34907.156202999991</v>
      </c>
      <c r="AG208" s="464">
        <v>-70301.438900000008</v>
      </c>
      <c r="AH208" s="464">
        <v>-130135.49510299999</v>
      </c>
      <c r="AJ208" s="464">
        <f t="shared" si="38"/>
        <v>-108099.875103</v>
      </c>
      <c r="AM208" s="464">
        <f t="shared" si="39"/>
        <v>-2891.28</v>
      </c>
      <c r="AN208" s="464">
        <v>-34907.156202999991</v>
      </c>
      <c r="AO208" s="464">
        <v>-70301.438900000008</v>
      </c>
      <c r="AP208" s="317">
        <f t="shared" si="40"/>
        <v>-108099.875103</v>
      </c>
      <c r="AQ208" s="317">
        <f t="shared" si="41"/>
        <v>0</v>
      </c>
      <c r="AS208" s="475">
        <v>9137.0849760000019</v>
      </c>
      <c r="AT208" s="174">
        <f t="shared" si="42"/>
        <v>-98962.790127</v>
      </c>
      <c r="AU208" s="174">
        <f t="shared" si="43"/>
        <v>0</v>
      </c>
    </row>
    <row r="209" spans="1:47">
      <c r="A209" t="s">
        <v>441</v>
      </c>
      <c r="B209" t="s">
        <v>442</v>
      </c>
      <c r="C209" s="479">
        <v>-49351.34</v>
      </c>
      <c r="D209" s="468">
        <v>-111072.262336</v>
      </c>
      <c r="E209" s="473">
        <v>-35888.837627999994</v>
      </c>
      <c r="F209" s="474">
        <v>-56746.518771999967</v>
      </c>
      <c r="G209" s="450">
        <f t="shared" si="35"/>
        <v>-253058.958736</v>
      </c>
      <c r="I209" s="67">
        <f t="shared" si="36"/>
        <v>0</v>
      </c>
      <c r="J209" s="58" t="s">
        <v>441</v>
      </c>
      <c r="K209" t="s">
        <v>442</v>
      </c>
      <c r="L209" s="448">
        <v>-56746.518771999967</v>
      </c>
      <c r="M209" s="67" t="s">
        <v>2591</v>
      </c>
      <c r="N209" s="317"/>
      <c r="P209" t="s">
        <v>441</v>
      </c>
      <c r="Q209" t="s">
        <v>442</v>
      </c>
      <c r="R209" s="211">
        <v>-44442.5</v>
      </c>
      <c r="S209" s="211">
        <v>-49351.34</v>
      </c>
      <c r="T209" s="211">
        <v>-111072.262336</v>
      </c>
      <c r="U209" s="274">
        <v>-35888.837627999994</v>
      </c>
      <c r="V209" s="79">
        <f t="shared" si="44"/>
        <v>-240754.93996400002</v>
      </c>
      <c r="Z209" s="172">
        <f t="shared" si="37"/>
        <v>0</v>
      </c>
      <c r="AB209" t="s">
        <v>441</v>
      </c>
      <c r="AC209" t="s">
        <v>442</v>
      </c>
      <c r="AD209" s="464">
        <v>-44442.5</v>
      </c>
      <c r="AE209" s="464">
        <v>-49351.34</v>
      </c>
      <c r="AF209" s="464">
        <v>-111072.262336</v>
      </c>
      <c r="AG209" s="464">
        <v>-35888.837627999994</v>
      </c>
      <c r="AH209" s="464">
        <v>-240754.93996400002</v>
      </c>
      <c r="AJ209" s="464">
        <f t="shared" si="38"/>
        <v>-196312.43996400002</v>
      </c>
      <c r="AM209" s="464">
        <f t="shared" si="39"/>
        <v>-49351.34</v>
      </c>
      <c r="AN209" s="464">
        <v>-111072.262336</v>
      </c>
      <c r="AO209" s="464">
        <v>-35888.837627999994</v>
      </c>
      <c r="AP209" s="317">
        <f t="shared" si="40"/>
        <v>-196312.43996400002</v>
      </c>
      <c r="AQ209" s="317">
        <f t="shared" si="41"/>
        <v>0</v>
      </c>
      <c r="AS209" s="475">
        <v>-56746.518771999967</v>
      </c>
      <c r="AT209" s="174">
        <f t="shared" si="42"/>
        <v>-253058.958736</v>
      </c>
      <c r="AU209" s="174">
        <f t="shared" si="43"/>
        <v>0</v>
      </c>
    </row>
    <row r="210" spans="1:47">
      <c r="A210" t="s">
        <v>445</v>
      </c>
      <c r="B210" t="s">
        <v>2779</v>
      </c>
      <c r="C210" s="479">
        <v>1138230.9500000002</v>
      </c>
      <c r="D210" s="468">
        <v>-113935.88396300015</v>
      </c>
      <c r="E210" s="473">
        <v>1600764.2540800013</v>
      </c>
      <c r="F210" s="474">
        <v>626971.13763400272</v>
      </c>
      <c r="G210" s="450">
        <f t="shared" si="35"/>
        <v>3252030.457751004</v>
      </c>
      <c r="I210" s="67">
        <f t="shared" si="36"/>
        <v>0</v>
      </c>
      <c r="J210" s="58" t="s">
        <v>445</v>
      </c>
      <c r="K210" t="s">
        <v>446</v>
      </c>
      <c r="L210" s="448">
        <v>626971.13763400272</v>
      </c>
      <c r="M210" s="67" t="s">
        <v>2591</v>
      </c>
      <c r="N210" s="317"/>
      <c r="P210" t="s">
        <v>445</v>
      </c>
      <c r="Q210" t="s">
        <v>2779</v>
      </c>
      <c r="R210" s="211">
        <v>1668318.85</v>
      </c>
      <c r="S210" s="211">
        <v>-530087.9</v>
      </c>
      <c r="T210" s="211">
        <v>-113935.88396300015</v>
      </c>
      <c r="U210" s="274">
        <v>1600764.2540800013</v>
      </c>
      <c r="V210" s="79">
        <f t="shared" si="44"/>
        <v>2625059.3201170014</v>
      </c>
      <c r="Z210" s="172">
        <f t="shared" si="37"/>
        <v>0</v>
      </c>
      <c r="AB210" t="s">
        <v>445</v>
      </c>
      <c r="AC210" t="s">
        <v>2779</v>
      </c>
      <c r="AD210" s="464">
        <v>1668318.85</v>
      </c>
      <c r="AE210" s="464">
        <v>-530087.9</v>
      </c>
      <c r="AF210" s="464">
        <v>-113935.88396300015</v>
      </c>
      <c r="AG210" s="464">
        <v>1600764.2540800013</v>
      </c>
      <c r="AH210" s="464">
        <v>2625059.3201170014</v>
      </c>
      <c r="AJ210" s="464">
        <f t="shared" si="38"/>
        <v>956740.4701170011</v>
      </c>
      <c r="AM210" s="465">
        <f>+AD210+AE210</f>
        <v>1138230.9500000002</v>
      </c>
      <c r="AN210" s="464">
        <v>-113935.88396300015</v>
      </c>
      <c r="AO210" s="464">
        <v>1600764.2540800013</v>
      </c>
      <c r="AP210" s="317">
        <f t="shared" si="40"/>
        <v>2625059.3201170014</v>
      </c>
      <c r="AQ210" s="466">
        <f>+AP210-AH210</f>
        <v>0</v>
      </c>
      <c r="AS210" s="475">
        <v>626971.13763400272</v>
      </c>
      <c r="AT210" s="174">
        <f t="shared" si="42"/>
        <v>3252030.457751004</v>
      </c>
      <c r="AU210" s="174">
        <f t="shared" si="43"/>
        <v>0</v>
      </c>
    </row>
    <row r="211" spans="1:47">
      <c r="A211" t="s">
        <v>447</v>
      </c>
      <c r="B211" t="s">
        <v>2780</v>
      </c>
      <c r="C211" s="479">
        <v>-36770.42</v>
      </c>
      <c r="D211" s="468">
        <v>-5725.6914650000508</v>
      </c>
      <c r="E211" s="473">
        <v>0</v>
      </c>
      <c r="F211" s="474">
        <v>-21978.505359999999</v>
      </c>
      <c r="G211" s="450">
        <f t="shared" si="35"/>
        <v>-64474.616825000048</v>
      </c>
      <c r="I211" s="67">
        <f t="shared" si="36"/>
        <v>0</v>
      </c>
      <c r="J211" s="58" t="s">
        <v>447</v>
      </c>
      <c r="K211" t="s">
        <v>448</v>
      </c>
      <c r="L211" s="448">
        <v>-21978.505359999999</v>
      </c>
      <c r="M211" s="67" t="s">
        <v>2591</v>
      </c>
      <c r="N211" s="317"/>
      <c r="P211" t="s">
        <v>447</v>
      </c>
      <c r="Q211" t="s">
        <v>2780</v>
      </c>
      <c r="R211" s="211">
        <v>-79857.740000000005</v>
      </c>
      <c r="S211" s="211">
        <v>-36770.42</v>
      </c>
      <c r="T211" s="211">
        <v>-5725.6914650000508</v>
      </c>
      <c r="U211" s="274">
        <v>9495.2837289999588</v>
      </c>
      <c r="V211" s="79">
        <f t="shared" si="44"/>
        <v>-112858.5677360001</v>
      </c>
      <c r="Z211" s="172">
        <f t="shared" si="37"/>
        <v>0</v>
      </c>
      <c r="AB211" t="s">
        <v>447</v>
      </c>
      <c r="AC211" t="s">
        <v>2780</v>
      </c>
      <c r="AD211" s="464">
        <v>-70362.456271000046</v>
      </c>
      <c r="AE211" s="464">
        <v>-36770.42</v>
      </c>
      <c r="AF211" s="464">
        <v>-5725.6914650000508</v>
      </c>
      <c r="AG211" s="464">
        <v>0</v>
      </c>
      <c r="AH211" s="464">
        <v>-112858.5677360001</v>
      </c>
      <c r="AJ211" s="464">
        <f t="shared" si="38"/>
        <v>-42496.111465000053</v>
      </c>
      <c r="AM211" s="464">
        <f t="shared" si="39"/>
        <v>-36770.42</v>
      </c>
      <c r="AN211" s="464">
        <v>-5725.6914650000508</v>
      </c>
      <c r="AO211" s="464">
        <v>0</v>
      </c>
      <c r="AP211" s="317">
        <f t="shared" si="40"/>
        <v>-42496.111465000053</v>
      </c>
      <c r="AQ211" s="317">
        <f t="shared" si="41"/>
        <v>0</v>
      </c>
      <c r="AS211" s="475">
        <v>-21978.505359999999</v>
      </c>
      <c r="AT211" s="174">
        <f t="shared" si="42"/>
        <v>-64474.616825000048</v>
      </c>
      <c r="AU211" s="174">
        <f t="shared" si="43"/>
        <v>0</v>
      </c>
    </row>
    <row r="212" spans="1:47">
      <c r="A212" t="s">
        <v>449</v>
      </c>
      <c r="B212" t="s">
        <v>2781</v>
      </c>
      <c r="C212" s="479">
        <v>-29533.55</v>
      </c>
      <c r="D212" s="468">
        <v>-111384.00835199999</v>
      </c>
      <c r="E212" s="473">
        <v>-47126.986149999982</v>
      </c>
      <c r="F212" s="474">
        <v>-72561.552079999965</v>
      </c>
      <c r="G212" s="450">
        <f t="shared" si="35"/>
        <v>-260606.09658199994</v>
      </c>
      <c r="I212" s="67">
        <f t="shared" si="36"/>
        <v>0</v>
      </c>
      <c r="J212" s="58" t="s">
        <v>449</v>
      </c>
      <c r="K212" t="s">
        <v>450</v>
      </c>
      <c r="L212" s="448">
        <v>-72561.552079999965</v>
      </c>
      <c r="M212" s="67" t="s">
        <v>2591</v>
      </c>
      <c r="N212" s="317"/>
      <c r="P212" t="s">
        <v>449</v>
      </c>
      <c r="Q212" t="s">
        <v>2781</v>
      </c>
      <c r="R212" s="211">
        <v>-37167.64</v>
      </c>
      <c r="S212" s="211">
        <v>-29533.55</v>
      </c>
      <c r="T212" s="211">
        <v>-111384.00835199999</v>
      </c>
      <c r="U212" s="274">
        <v>-47126.986149999982</v>
      </c>
      <c r="V212" s="79">
        <f t="shared" si="44"/>
        <v>-225212.18450199996</v>
      </c>
      <c r="Z212" s="172">
        <f t="shared" si="37"/>
        <v>0</v>
      </c>
      <c r="AB212" t="s">
        <v>449</v>
      </c>
      <c r="AC212" t="s">
        <v>2781</v>
      </c>
      <c r="AD212" s="464">
        <v>-37167.64</v>
      </c>
      <c r="AE212" s="464">
        <v>-29533.55</v>
      </c>
      <c r="AF212" s="464">
        <v>-111384.00835199999</v>
      </c>
      <c r="AG212" s="464">
        <v>-47126.986149999982</v>
      </c>
      <c r="AH212" s="464">
        <v>-225212.18450199996</v>
      </c>
      <c r="AJ212" s="464">
        <f t="shared" si="38"/>
        <v>-188044.54450199998</v>
      </c>
      <c r="AM212" s="464">
        <f t="shared" si="39"/>
        <v>-29533.55</v>
      </c>
      <c r="AN212" s="464">
        <v>-111384.00835199999</v>
      </c>
      <c r="AO212" s="464">
        <v>-47126.986149999982</v>
      </c>
      <c r="AP212" s="317">
        <f t="shared" si="40"/>
        <v>-188044.54450199998</v>
      </c>
      <c r="AQ212" s="317">
        <f t="shared" si="41"/>
        <v>0</v>
      </c>
      <c r="AS212" s="475">
        <v>-72561.552079999965</v>
      </c>
      <c r="AT212" s="174">
        <f t="shared" si="42"/>
        <v>-260606.09658199994</v>
      </c>
      <c r="AU212" s="174">
        <f t="shared" si="43"/>
        <v>0</v>
      </c>
    </row>
    <row r="213" spans="1:47">
      <c r="A213" t="s">
        <v>451</v>
      </c>
      <c r="B213" t="s">
        <v>2782</v>
      </c>
      <c r="C213" s="479">
        <v>-43176.85</v>
      </c>
      <c r="D213" s="468">
        <v>0</v>
      </c>
      <c r="E213" s="473">
        <v>-22568.612170000008</v>
      </c>
      <c r="F213" s="474">
        <v>-22528.43390400003</v>
      </c>
      <c r="G213" s="450">
        <f t="shared" si="35"/>
        <v>-88273.896074000048</v>
      </c>
      <c r="I213" s="67">
        <f t="shared" si="36"/>
        <v>0</v>
      </c>
      <c r="J213" s="58" t="s">
        <v>451</v>
      </c>
      <c r="K213" t="s">
        <v>452</v>
      </c>
      <c r="L213" s="448">
        <v>-22528.43390400003</v>
      </c>
      <c r="M213" s="67" t="s">
        <v>2591</v>
      </c>
      <c r="N213" s="317"/>
      <c r="P213" t="s">
        <v>451</v>
      </c>
      <c r="Q213" t="s">
        <v>2782</v>
      </c>
      <c r="R213" s="211">
        <v>-48267.42</v>
      </c>
      <c r="S213" s="211">
        <v>-43176.85</v>
      </c>
      <c r="T213" s="211">
        <v>12407.700939999966</v>
      </c>
      <c r="U213" s="274">
        <v>-22568.612170000008</v>
      </c>
      <c r="V213" s="79">
        <f t="shared" si="44"/>
        <v>-101605.18123000003</v>
      </c>
      <c r="Z213" s="172">
        <f t="shared" si="37"/>
        <v>0</v>
      </c>
      <c r="AB213" t="s">
        <v>451</v>
      </c>
      <c r="AC213" t="s">
        <v>2782</v>
      </c>
      <c r="AD213" s="464">
        <v>-35859.719060000032</v>
      </c>
      <c r="AE213" s="464">
        <v>-43176.85</v>
      </c>
      <c r="AF213" s="464">
        <v>0</v>
      </c>
      <c r="AG213" s="464">
        <v>-22568.612170000008</v>
      </c>
      <c r="AH213" s="464">
        <v>-101605.18123000005</v>
      </c>
      <c r="AJ213" s="464">
        <f t="shared" si="38"/>
        <v>-65745.462170000013</v>
      </c>
      <c r="AM213" s="464">
        <f t="shared" si="39"/>
        <v>-43176.85</v>
      </c>
      <c r="AN213" s="464">
        <v>0</v>
      </c>
      <c r="AO213" s="464">
        <v>-22568.612170000008</v>
      </c>
      <c r="AP213" s="317">
        <f t="shared" si="40"/>
        <v>-65745.462170000013</v>
      </c>
      <c r="AQ213" s="317">
        <f t="shared" si="41"/>
        <v>0</v>
      </c>
      <c r="AS213" s="475">
        <v>-22528.43390400003</v>
      </c>
      <c r="AT213" s="174">
        <f t="shared" si="42"/>
        <v>-88273.896074000048</v>
      </c>
      <c r="AU213" s="174">
        <f t="shared" si="43"/>
        <v>0</v>
      </c>
    </row>
    <row r="214" spans="1:47">
      <c r="A214" t="s">
        <v>453</v>
      </c>
      <c r="B214" t="s">
        <v>2783</v>
      </c>
      <c r="C214" s="479">
        <v>192781.30999999997</v>
      </c>
      <c r="D214" s="468">
        <v>336353.26434302388</v>
      </c>
      <c r="E214" s="473">
        <v>357454.22675941652</v>
      </c>
      <c r="F214" s="474">
        <v>-271155.26346893399</v>
      </c>
      <c r="G214" s="450">
        <f t="shared" si="35"/>
        <v>615433.53763350635</v>
      </c>
      <c r="I214" s="67">
        <f t="shared" si="36"/>
        <v>0</v>
      </c>
      <c r="J214" s="58" t="s">
        <v>453</v>
      </c>
      <c r="K214" t="s">
        <v>454</v>
      </c>
      <c r="L214" s="448">
        <v>-271155.26346893399</v>
      </c>
      <c r="M214" s="67" t="s">
        <v>2591</v>
      </c>
      <c r="N214" s="317"/>
      <c r="P214" t="s">
        <v>453</v>
      </c>
      <c r="Q214" t="s">
        <v>2783</v>
      </c>
      <c r="R214" s="211">
        <v>-232701.42</v>
      </c>
      <c r="S214" s="211">
        <v>425482.73</v>
      </c>
      <c r="T214" s="211">
        <v>336353.26434302388</v>
      </c>
      <c r="U214" s="274">
        <v>357454.22675941652</v>
      </c>
      <c r="V214" s="79">
        <f t="shared" si="44"/>
        <v>886588.80110244034</v>
      </c>
      <c r="Z214" s="172">
        <f t="shared" si="37"/>
        <v>0</v>
      </c>
      <c r="AB214" t="s">
        <v>453</v>
      </c>
      <c r="AC214" t="s">
        <v>2783</v>
      </c>
      <c r="AD214" s="464">
        <v>0</v>
      </c>
      <c r="AE214" s="464">
        <v>192781.30999999997</v>
      </c>
      <c r="AF214" s="464">
        <v>336353.26434302388</v>
      </c>
      <c r="AG214" s="464">
        <v>357454.22675941652</v>
      </c>
      <c r="AH214" s="464">
        <v>886588.80110244034</v>
      </c>
      <c r="AJ214" s="464">
        <f t="shared" si="38"/>
        <v>886588.80110244034</v>
      </c>
      <c r="AM214" s="464">
        <f t="shared" si="39"/>
        <v>192781.30999999997</v>
      </c>
      <c r="AN214" s="464">
        <v>336353.26434302388</v>
      </c>
      <c r="AO214" s="464">
        <v>357454.22675941652</v>
      </c>
      <c r="AP214" s="317">
        <f t="shared" si="40"/>
        <v>886588.80110244034</v>
      </c>
      <c r="AQ214" s="317">
        <f t="shared" si="41"/>
        <v>0</v>
      </c>
      <c r="AS214" s="475">
        <v>-271155.26346893399</v>
      </c>
      <c r="AT214" s="174">
        <f t="shared" si="42"/>
        <v>615433.53763350635</v>
      </c>
      <c r="AU214" s="174">
        <f t="shared" si="43"/>
        <v>0</v>
      </c>
    </row>
    <row r="215" spans="1:47">
      <c r="A215" s="273" t="s">
        <v>455</v>
      </c>
      <c r="B215" s="275" t="s">
        <v>2784</v>
      </c>
      <c r="C215" s="480">
        <v>0</v>
      </c>
      <c r="D215" s="472"/>
      <c r="E215" s="473">
        <v>-18365.97</v>
      </c>
      <c r="F215" s="474">
        <v>-37969.758999999998</v>
      </c>
      <c r="G215" s="450">
        <f t="shared" si="35"/>
        <v>-56335.728999999999</v>
      </c>
      <c r="I215" s="67">
        <f t="shared" si="36"/>
        <v>0</v>
      </c>
      <c r="J215" s="435" t="s">
        <v>455</v>
      </c>
      <c r="K215" t="s">
        <v>2785</v>
      </c>
      <c r="L215" s="448">
        <v>-37969.758999999998</v>
      </c>
      <c r="M215" s="67" t="s">
        <v>2591</v>
      </c>
      <c r="N215" s="317"/>
      <c r="P215" s="273" t="s">
        <v>455</v>
      </c>
      <c r="Q215" s="275" t="s">
        <v>2784</v>
      </c>
      <c r="R215" s="211"/>
      <c r="S215" s="211"/>
      <c r="T215" s="211"/>
      <c r="U215" s="274">
        <v>-18365.97</v>
      </c>
      <c r="V215" s="79">
        <f t="shared" si="44"/>
        <v>-18365.97</v>
      </c>
      <c r="Z215" s="172">
        <f t="shared" si="37"/>
        <v>0</v>
      </c>
      <c r="AB215" t="s">
        <v>455</v>
      </c>
      <c r="AC215" t="s">
        <v>2784</v>
      </c>
      <c r="AD215" s="464"/>
      <c r="AE215" s="464"/>
      <c r="AF215" s="464"/>
      <c r="AG215" s="464">
        <v>-18365.97</v>
      </c>
      <c r="AH215" s="464">
        <v>-18365.97</v>
      </c>
      <c r="AJ215" s="464">
        <f t="shared" si="38"/>
        <v>-18365.97</v>
      </c>
      <c r="AM215" s="464">
        <f t="shared" si="39"/>
        <v>0</v>
      </c>
      <c r="AN215" s="464"/>
      <c r="AO215" s="464">
        <v>-18365.97</v>
      </c>
      <c r="AP215" s="317">
        <f t="shared" si="40"/>
        <v>-18365.97</v>
      </c>
      <c r="AQ215" s="317">
        <f t="shared" si="41"/>
        <v>0</v>
      </c>
      <c r="AS215" s="475">
        <v>-37969.758999999998</v>
      </c>
      <c r="AT215" s="174">
        <f t="shared" si="42"/>
        <v>-56335.728999999999</v>
      </c>
      <c r="AU215" s="174">
        <f t="shared" si="43"/>
        <v>0</v>
      </c>
    </row>
    <row r="216" spans="1:47">
      <c r="A216" t="s">
        <v>457</v>
      </c>
      <c r="B216" t="s">
        <v>2786</v>
      </c>
      <c r="C216" s="468">
        <v>-69665.23</v>
      </c>
      <c r="D216" s="468">
        <v>-102655.05035899999</v>
      </c>
      <c r="E216" s="473">
        <v>100043.16950400005</v>
      </c>
      <c r="F216" s="474">
        <v>17146.257820999977</v>
      </c>
      <c r="G216" s="450">
        <f t="shared" si="35"/>
        <v>-55130.853033999942</v>
      </c>
      <c r="I216" s="67">
        <f t="shared" si="36"/>
        <v>0</v>
      </c>
      <c r="J216" s="58" t="s">
        <v>457</v>
      </c>
      <c r="K216" t="s">
        <v>458</v>
      </c>
      <c r="L216" s="448">
        <v>17146.257820999977</v>
      </c>
      <c r="M216" s="67" t="s">
        <v>2591</v>
      </c>
      <c r="N216" s="317"/>
      <c r="P216" t="s">
        <v>457</v>
      </c>
      <c r="Q216" t="s">
        <v>2786</v>
      </c>
      <c r="R216" s="211">
        <v>-25386.43</v>
      </c>
      <c r="S216" s="211">
        <v>-69665.23</v>
      </c>
      <c r="T216" s="211">
        <v>-102655.05035899999</v>
      </c>
      <c r="U216" s="274">
        <v>125429.59950400004</v>
      </c>
      <c r="V216" s="79">
        <f t="shared" si="44"/>
        <v>-72277.110854999948</v>
      </c>
      <c r="Z216" s="172">
        <f t="shared" si="37"/>
        <v>0</v>
      </c>
      <c r="AB216" t="s">
        <v>457</v>
      </c>
      <c r="AC216" t="s">
        <v>2786</v>
      </c>
      <c r="AD216" s="464">
        <v>0</v>
      </c>
      <c r="AE216" s="464">
        <v>-69665.23</v>
      </c>
      <c r="AF216" s="464">
        <v>-102655.05035899999</v>
      </c>
      <c r="AG216" s="464">
        <v>100043.16950400005</v>
      </c>
      <c r="AH216" s="464">
        <v>-72277.110854999919</v>
      </c>
      <c r="AJ216" s="464">
        <f t="shared" si="38"/>
        <v>-72277.110854999919</v>
      </c>
      <c r="AM216" s="464">
        <f t="shared" si="39"/>
        <v>-69665.23</v>
      </c>
      <c r="AN216" s="464">
        <v>-102655.05035899999</v>
      </c>
      <c r="AO216" s="464">
        <v>100043.16950400005</v>
      </c>
      <c r="AP216" s="317">
        <f t="shared" si="40"/>
        <v>-72277.110854999919</v>
      </c>
      <c r="AQ216" s="317">
        <f t="shared" si="41"/>
        <v>0</v>
      </c>
      <c r="AS216" s="475">
        <v>17146.257820999977</v>
      </c>
      <c r="AT216" s="174">
        <f t="shared" si="42"/>
        <v>-55130.853033999942</v>
      </c>
      <c r="AU216" s="174">
        <f t="shared" si="43"/>
        <v>0</v>
      </c>
    </row>
    <row r="217" spans="1:47">
      <c r="A217" t="s">
        <v>459</v>
      </c>
      <c r="B217" t="s">
        <v>2787</v>
      </c>
      <c r="C217" s="468">
        <v>-76110.509999999995</v>
      </c>
      <c r="D217" s="468">
        <v>-54343.707399999999</v>
      </c>
      <c r="E217" s="473">
        <v>-35389.512925000017</v>
      </c>
      <c r="F217" s="474">
        <v>-23238.558769999967</v>
      </c>
      <c r="G217" s="450">
        <f t="shared" si="35"/>
        <v>-189082.28909499999</v>
      </c>
      <c r="I217" s="67">
        <f t="shared" si="36"/>
        <v>0</v>
      </c>
      <c r="J217" s="58" t="s">
        <v>459</v>
      </c>
      <c r="K217" t="s">
        <v>460</v>
      </c>
      <c r="L217" s="448">
        <v>-23238.558769999967</v>
      </c>
      <c r="M217" s="67" t="s">
        <v>2591</v>
      </c>
      <c r="N217" s="317"/>
      <c r="P217" t="s">
        <v>459</v>
      </c>
      <c r="Q217" t="s">
        <v>2787</v>
      </c>
      <c r="R217" s="211">
        <v>-66877.39</v>
      </c>
      <c r="S217" s="211">
        <v>-76110.509999999995</v>
      </c>
      <c r="T217" s="211">
        <v>-54343.707399999999</v>
      </c>
      <c r="U217" s="274">
        <v>-35389.512925000017</v>
      </c>
      <c r="V217" s="79">
        <f t="shared" si="44"/>
        <v>-232721.120325</v>
      </c>
      <c r="Z217" s="172">
        <f t="shared" si="37"/>
        <v>0</v>
      </c>
      <c r="AB217" t="s">
        <v>459</v>
      </c>
      <c r="AC217" t="s">
        <v>2787</v>
      </c>
      <c r="AD217" s="464">
        <v>-66877.39</v>
      </c>
      <c r="AE217" s="464">
        <v>-76110.509999999995</v>
      </c>
      <c r="AF217" s="464">
        <v>-54343.707399999999</v>
      </c>
      <c r="AG217" s="464">
        <v>-35389.512925000017</v>
      </c>
      <c r="AH217" s="464">
        <v>-232721.120325</v>
      </c>
      <c r="AJ217" s="464">
        <f t="shared" si="38"/>
        <v>-165843.73032500001</v>
      </c>
      <c r="AM217" s="464">
        <f t="shared" si="39"/>
        <v>-76110.509999999995</v>
      </c>
      <c r="AN217" s="464">
        <v>-54343.707399999999</v>
      </c>
      <c r="AO217" s="464">
        <v>-35389.512925000017</v>
      </c>
      <c r="AP217" s="317">
        <f t="shared" si="40"/>
        <v>-165843.73032500001</v>
      </c>
      <c r="AQ217" s="317">
        <f t="shared" si="41"/>
        <v>0</v>
      </c>
      <c r="AS217" s="475">
        <v>-23238.558769999967</v>
      </c>
      <c r="AT217" s="174">
        <f t="shared" si="42"/>
        <v>-189082.28909499999</v>
      </c>
      <c r="AU217" s="174">
        <f t="shared" si="43"/>
        <v>0</v>
      </c>
    </row>
    <row r="218" spans="1:47">
      <c r="A218" t="s">
        <v>461</v>
      </c>
      <c r="B218" t="s">
        <v>2788</v>
      </c>
      <c r="C218" s="468">
        <v>-78562.36</v>
      </c>
      <c r="D218" s="468">
        <v>42326.618560000061</v>
      </c>
      <c r="E218" s="473">
        <v>364183.14908799971</v>
      </c>
      <c r="F218" s="474">
        <v>328386.99120799982</v>
      </c>
      <c r="G218" s="450">
        <f t="shared" si="35"/>
        <v>656334.39885599958</v>
      </c>
      <c r="I218" s="67">
        <f t="shared" si="36"/>
        <v>0</v>
      </c>
      <c r="J218" s="58" t="s">
        <v>461</v>
      </c>
      <c r="K218" t="s">
        <v>462</v>
      </c>
      <c r="L218" s="448">
        <v>328386.99120799982</v>
      </c>
      <c r="M218" s="67" t="s">
        <v>2591</v>
      </c>
      <c r="N218" s="317"/>
      <c r="P218" t="s">
        <v>461</v>
      </c>
      <c r="Q218" t="s">
        <v>2788</v>
      </c>
      <c r="R218" s="211">
        <v>-175481.83</v>
      </c>
      <c r="S218" s="211">
        <v>-78562.36</v>
      </c>
      <c r="T218" s="211">
        <v>217808.44856000005</v>
      </c>
      <c r="U218" s="274">
        <v>364183.14908799971</v>
      </c>
      <c r="V218" s="79">
        <f t="shared" si="44"/>
        <v>327947.40764799976</v>
      </c>
      <c r="Z218" s="172">
        <f t="shared" si="37"/>
        <v>0</v>
      </c>
      <c r="AB218" t="s">
        <v>461</v>
      </c>
      <c r="AC218" t="s">
        <v>2788</v>
      </c>
      <c r="AD218" s="464">
        <v>0</v>
      </c>
      <c r="AE218" s="464">
        <v>-78562.36</v>
      </c>
      <c r="AF218" s="464">
        <v>42326.618560000061</v>
      </c>
      <c r="AG218" s="464">
        <v>364183.14908799971</v>
      </c>
      <c r="AH218" s="464">
        <v>327947.40764799976</v>
      </c>
      <c r="AJ218" s="464">
        <f t="shared" si="38"/>
        <v>327947.40764799976</v>
      </c>
      <c r="AM218" s="464">
        <f t="shared" si="39"/>
        <v>-78562.36</v>
      </c>
      <c r="AN218" s="464">
        <v>42326.618560000061</v>
      </c>
      <c r="AO218" s="464">
        <v>364183.14908799971</v>
      </c>
      <c r="AP218" s="317">
        <f t="shared" si="40"/>
        <v>327947.40764799976</v>
      </c>
      <c r="AQ218" s="317">
        <f t="shared" si="41"/>
        <v>0</v>
      </c>
      <c r="AS218" s="475">
        <v>328386.99120799982</v>
      </c>
      <c r="AT218" s="174">
        <f t="shared" si="42"/>
        <v>656334.39885599958</v>
      </c>
      <c r="AU218" s="174">
        <f t="shared" si="43"/>
        <v>0</v>
      </c>
    </row>
    <row r="219" spans="1:47">
      <c r="A219" t="s">
        <v>463</v>
      </c>
      <c r="B219" t="s">
        <v>2789</v>
      </c>
      <c r="C219" s="468">
        <v>-179344.31</v>
      </c>
      <c r="D219" s="468">
        <v>-176517.56296300003</v>
      </c>
      <c r="E219" s="473">
        <v>-164706.81697999989</v>
      </c>
      <c r="F219" s="474">
        <v>-462088.90240599989</v>
      </c>
      <c r="G219" s="450">
        <f t="shared" si="35"/>
        <v>-982657.59234899981</v>
      </c>
      <c r="I219" s="67">
        <f t="shared" si="36"/>
        <v>0</v>
      </c>
      <c r="J219" s="58" t="s">
        <v>463</v>
      </c>
      <c r="K219" t="s">
        <v>464</v>
      </c>
      <c r="L219" s="448">
        <v>-462088.90240599989</v>
      </c>
      <c r="M219" s="67" t="s">
        <v>2591</v>
      </c>
      <c r="N219" s="317"/>
      <c r="P219" t="s">
        <v>463</v>
      </c>
      <c r="Q219" t="s">
        <v>2789</v>
      </c>
      <c r="R219" s="211">
        <v>-111191.01</v>
      </c>
      <c r="S219" s="211">
        <v>-179344.31</v>
      </c>
      <c r="T219" s="211">
        <v>-176517.56296300003</v>
      </c>
      <c r="U219" s="274">
        <v>-164706.81697999989</v>
      </c>
      <c r="V219" s="79">
        <f t="shared" si="44"/>
        <v>-631759.69994299999</v>
      </c>
      <c r="Z219" s="172">
        <f t="shared" si="37"/>
        <v>0</v>
      </c>
      <c r="AB219" t="s">
        <v>463</v>
      </c>
      <c r="AC219" t="s">
        <v>2789</v>
      </c>
      <c r="AD219" s="464">
        <v>-111191.01</v>
      </c>
      <c r="AE219" s="464">
        <v>-179344.31</v>
      </c>
      <c r="AF219" s="464">
        <v>-176517.56296300003</v>
      </c>
      <c r="AG219" s="464">
        <v>-164706.81697999989</v>
      </c>
      <c r="AH219" s="464">
        <v>-631759.69994299999</v>
      </c>
      <c r="AJ219" s="464">
        <f t="shared" si="38"/>
        <v>-520568.68994299992</v>
      </c>
      <c r="AM219" s="464">
        <f t="shared" si="39"/>
        <v>-179344.31</v>
      </c>
      <c r="AN219" s="464">
        <v>-176517.56296300003</v>
      </c>
      <c r="AO219" s="464">
        <v>-164706.81697999989</v>
      </c>
      <c r="AP219" s="317">
        <f t="shared" si="40"/>
        <v>-520568.68994299992</v>
      </c>
      <c r="AQ219" s="317">
        <f t="shared" si="41"/>
        <v>0</v>
      </c>
      <c r="AS219" s="475">
        <v>-462088.90240599989</v>
      </c>
      <c r="AT219" s="174">
        <f t="shared" si="42"/>
        <v>-982657.59234899981</v>
      </c>
      <c r="AU219" s="174">
        <f t="shared" si="43"/>
        <v>0</v>
      </c>
    </row>
    <row r="220" spans="1:47">
      <c r="A220" t="s">
        <v>465</v>
      </c>
      <c r="B220" t="s">
        <v>2790</v>
      </c>
      <c r="C220" s="468">
        <v>-127276.21</v>
      </c>
      <c r="D220" s="468">
        <v>-296080.13575000002</v>
      </c>
      <c r="E220" s="473">
        <v>-266590.21613200003</v>
      </c>
      <c r="F220" s="474">
        <v>-308599.99358900002</v>
      </c>
      <c r="G220" s="450">
        <f t="shared" si="35"/>
        <v>-998546.55547100003</v>
      </c>
      <c r="I220" s="67">
        <f t="shared" si="36"/>
        <v>0</v>
      </c>
      <c r="J220" s="58" t="s">
        <v>465</v>
      </c>
      <c r="K220" t="s">
        <v>466</v>
      </c>
      <c r="L220" s="448">
        <v>-308599.99358900002</v>
      </c>
      <c r="M220" s="67" t="s">
        <v>2591</v>
      </c>
      <c r="N220" s="317"/>
      <c r="P220" t="s">
        <v>465</v>
      </c>
      <c r="Q220" t="s">
        <v>2790</v>
      </c>
      <c r="R220" s="211">
        <v>-68982.36</v>
      </c>
      <c r="S220" s="211">
        <v>-127276.21</v>
      </c>
      <c r="T220" s="211">
        <v>-296080.13575000002</v>
      </c>
      <c r="U220" s="274">
        <v>-266590.21613200003</v>
      </c>
      <c r="V220" s="79">
        <f t="shared" si="44"/>
        <v>-758928.92188200005</v>
      </c>
      <c r="Z220" s="172">
        <f t="shared" si="37"/>
        <v>0</v>
      </c>
      <c r="AB220" t="s">
        <v>465</v>
      </c>
      <c r="AC220" t="s">
        <v>2790</v>
      </c>
      <c r="AD220" s="464">
        <v>-68982.36</v>
      </c>
      <c r="AE220" s="464">
        <v>-127276.21</v>
      </c>
      <c r="AF220" s="464">
        <v>-296080.13575000002</v>
      </c>
      <c r="AG220" s="464">
        <v>-266590.21613200003</v>
      </c>
      <c r="AH220" s="464">
        <v>-758928.92188200005</v>
      </c>
      <c r="AJ220" s="464">
        <f t="shared" si="38"/>
        <v>-689946.56188200007</v>
      </c>
      <c r="AM220" s="464">
        <f t="shared" si="39"/>
        <v>-127276.21</v>
      </c>
      <c r="AN220" s="464">
        <v>-296080.13575000002</v>
      </c>
      <c r="AO220" s="464">
        <v>-266590.21613200003</v>
      </c>
      <c r="AP220" s="317">
        <f t="shared" si="40"/>
        <v>-689946.56188200007</v>
      </c>
      <c r="AQ220" s="317">
        <f t="shared" si="41"/>
        <v>0</v>
      </c>
      <c r="AS220" s="475">
        <v>-308599.99358900002</v>
      </c>
      <c r="AT220" s="174">
        <f t="shared" si="42"/>
        <v>-998546.55547100003</v>
      </c>
      <c r="AU220" s="174">
        <f t="shared" si="43"/>
        <v>0</v>
      </c>
    </row>
    <row r="221" spans="1:47">
      <c r="A221" t="s">
        <v>467</v>
      </c>
      <c r="B221" t="s">
        <v>468</v>
      </c>
      <c r="C221" s="468">
        <v>-1518.72</v>
      </c>
      <c r="D221" s="468">
        <v>-20034.877979999994</v>
      </c>
      <c r="E221" s="473">
        <v>0</v>
      </c>
      <c r="F221" s="474">
        <v>-120658.144875</v>
      </c>
      <c r="G221" s="450">
        <f t="shared" si="35"/>
        <v>-142211.74285499999</v>
      </c>
      <c r="I221" s="67">
        <f t="shared" si="36"/>
        <v>0</v>
      </c>
      <c r="J221" s="149" t="s">
        <v>467</v>
      </c>
      <c r="K221" s="74" t="s">
        <v>468</v>
      </c>
      <c r="L221" s="448">
        <v>-120658.144875</v>
      </c>
      <c r="M221" s="67" t="s">
        <v>2591</v>
      </c>
      <c r="N221" s="317"/>
      <c r="P221" t="s">
        <v>467</v>
      </c>
      <c r="Q221" t="s">
        <v>468</v>
      </c>
      <c r="R221" s="211">
        <v>-39341.74</v>
      </c>
      <c r="S221" s="211">
        <v>-1518.72</v>
      </c>
      <c r="T221" s="211">
        <v>-20034.877979999994</v>
      </c>
      <c r="U221" s="274">
        <v>17993.128481999971</v>
      </c>
      <c r="V221" s="79">
        <f t="shared" si="44"/>
        <v>-42902.209498000026</v>
      </c>
      <c r="Z221" s="172">
        <f t="shared" si="37"/>
        <v>0</v>
      </c>
      <c r="AB221" t="s">
        <v>467</v>
      </c>
      <c r="AC221" t="s">
        <v>468</v>
      </c>
      <c r="AD221" s="464">
        <v>-21348.611518000027</v>
      </c>
      <c r="AE221" s="464">
        <v>-1518.72</v>
      </c>
      <c r="AF221" s="464">
        <v>-20034.877979999994</v>
      </c>
      <c r="AG221" s="464">
        <v>0</v>
      </c>
      <c r="AH221" s="464">
        <v>-42902.209498000026</v>
      </c>
      <c r="AJ221" s="464">
        <f t="shared" si="38"/>
        <v>-21553.597979999995</v>
      </c>
      <c r="AM221" s="464">
        <f t="shared" si="39"/>
        <v>-1518.72</v>
      </c>
      <c r="AN221" s="464">
        <v>-20034.877979999994</v>
      </c>
      <c r="AO221" s="464">
        <v>0</v>
      </c>
      <c r="AP221" s="317">
        <f t="shared" si="40"/>
        <v>-21553.597979999995</v>
      </c>
      <c r="AQ221" s="317">
        <f t="shared" si="41"/>
        <v>0</v>
      </c>
      <c r="AS221" s="475">
        <v>-120658.144875</v>
      </c>
      <c r="AT221" s="174">
        <f t="shared" si="42"/>
        <v>-142211.74285499999</v>
      </c>
      <c r="AU221" s="174">
        <f t="shared" si="43"/>
        <v>0</v>
      </c>
    </row>
    <row r="222" spans="1:47">
      <c r="A222" t="s">
        <v>469</v>
      </c>
      <c r="B222" t="s">
        <v>2791</v>
      </c>
      <c r="C222" s="468">
        <v>-257019.09</v>
      </c>
      <c r="D222" s="468">
        <v>-59322.863083999924</v>
      </c>
      <c r="E222" s="473">
        <v>-232131.31226499984</v>
      </c>
      <c r="F222" s="474">
        <v>-203411.85644599999</v>
      </c>
      <c r="G222" s="450">
        <f t="shared" si="35"/>
        <v>-751885.12179499981</v>
      </c>
      <c r="I222" s="67">
        <f t="shared" si="36"/>
        <v>0</v>
      </c>
      <c r="J222" s="58" t="s">
        <v>469</v>
      </c>
      <c r="K222" t="s">
        <v>470</v>
      </c>
      <c r="L222" s="448">
        <v>-203411.85644599999</v>
      </c>
      <c r="M222" s="67" t="s">
        <v>2591</v>
      </c>
      <c r="N222" s="317"/>
      <c r="P222" t="s">
        <v>469</v>
      </c>
      <c r="Q222" t="s">
        <v>2791</v>
      </c>
      <c r="R222" s="211">
        <v>-203120.47</v>
      </c>
      <c r="S222" s="211">
        <v>-257019.09</v>
      </c>
      <c r="T222" s="211">
        <v>-59322.863083999924</v>
      </c>
      <c r="U222" s="274">
        <v>-232131.31226499984</v>
      </c>
      <c r="V222" s="79">
        <f t="shared" si="44"/>
        <v>-751593.73534899973</v>
      </c>
      <c r="Z222" s="172">
        <f t="shared" si="37"/>
        <v>0</v>
      </c>
      <c r="AB222" t="s">
        <v>469</v>
      </c>
      <c r="AC222" t="s">
        <v>2791</v>
      </c>
      <c r="AD222" s="464">
        <v>-203120.47</v>
      </c>
      <c r="AE222" s="464">
        <v>-257019.09</v>
      </c>
      <c r="AF222" s="464">
        <v>-59322.863083999924</v>
      </c>
      <c r="AG222" s="464">
        <v>-232131.31226499984</v>
      </c>
      <c r="AH222" s="464">
        <v>-751593.73534899973</v>
      </c>
      <c r="AJ222" s="464">
        <f t="shared" si="38"/>
        <v>-548473.26534899976</v>
      </c>
      <c r="AM222" s="464">
        <f t="shared" si="39"/>
        <v>-257019.09</v>
      </c>
      <c r="AN222" s="464">
        <v>-59322.863083999924</v>
      </c>
      <c r="AO222" s="464">
        <v>-232131.31226499984</v>
      </c>
      <c r="AP222" s="317">
        <f t="shared" si="40"/>
        <v>-548473.26534899976</v>
      </c>
      <c r="AQ222" s="317">
        <f t="shared" si="41"/>
        <v>0</v>
      </c>
      <c r="AS222" s="475">
        <v>-203411.85644599999</v>
      </c>
      <c r="AT222" s="174">
        <f t="shared" si="42"/>
        <v>-751885.12179499981</v>
      </c>
      <c r="AU222" s="174">
        <f t="shared" si="43"/>
        <v>0</v>
      </c>
    </row>
    <row r="223" spans="1:47">
      <c r="A223" t="s">
        <v>471</v>
      </c>
      <c r="B223" t="s">
        <v>2792</v>
      </c>
      <c r="C223" s="468">
        <v>-222694.59</v>
      </c>
      <c r="D223" s="468">
        <v>-369866.79981484055</v>
      </c>
      <c r="E223" s="473">
        <v>0</v>
      </c>
      <c r="F223" s="474">
        <v>-220003.81077650058</v>
      </c>
      <c r="G223" s="450">
        <f t="shared" si="35"/>
        <v>-812565.20059134113</v>
      </c>
      <c r="I223" s="67">
        <f t="shared" si="36"/>
        <v>0</v>
      </c>
      <c r="J223" s="58" t="s">
        <v>471</v>
      </c>
      <c r="K223" t="s">
        <v>472</v>
      </c>
      <c r="L223" s="448">
        <v>-220003.81077650058</v>
      </c>
      <c r="M223" s="67" t="s">
        <v>2591</v>
      </c>
      <c r="N223" s="317"/>
      <c r="P223" t="s">
        <v>471</v>
      </c>
      <c r="Q223" t="s">
        <v>2792</v>
      </c>
      <c r="R223" s="211">
        <v>-139589.91</v>
      </c>
      <c r="S223" s="211">
        <v>-222694.59</v>
      </c>
      <c r="T223" s="211">
        <v>-369866.79981484055</v>
      </c>
      <c r="U223" s="274">
        <v>18203.100045592058</v>
      </c>
      <c r="V223" s="79">
        <f t="shared" si="44"/>
        <v>-713948.19976924849</v>
      </c>
      <c r="Z223" s="172">
        <f t="shared" si="37"/>
        <v>0</v>
      </c>
      <c r="AB223" t="s">
        <v>471</v>
      </c>
      <c r="AC223" t="s">
        <v>2792</v>
      </c>
      <c r="AD223" s="464">
        <v>-121386.80995440795</v>
      </c>
      <c r="AE223" s="464">
        <v>-222694.59</v>
      </c>
      <c r="AF223" s="464">
        <v>-369866.79981484055</v>
      </c>
      <c r="AG223" s="464">
        <v>0</v>
      </c>
      <c r="AH223" s="464">
        <v>-713948.19976924849</v>
      </c>
      <c r="AJ223" s="464">
        <f t="shared" si="38"/>
        <v>-592561.38981484051</v>
      </c>
      <c r="AM223" s="464">
        <f t="shared" si="39"/>
        <v>-222694.59</v>
      </c>
      <c r="AN223" s="464">
        <v>-369866.79981484055</v>
      </c>
      <c r="AO223" s="464">
        <v>0</v>
      </c>
      <c r="AP223" s="317">
        <f t="shared" si="40"/>
        <v>-592561.38981484051</v>
      </c>
      <c r="AQ223" s="317">
        <f t="shared" si="41"/>
        <v>0</v>
      </c>
      <c r="AS223" s="475">
        <v>-220003.81077650058</v>
      </c>
      <c r="AT223" s="174">
        <f t="shared" si="42"/>
        <v>-812565.20059134113</v>
      </c>
      <c r="AU223" s="174">
        <f t="shared" si="43"/>
        <v>0</v>
      </c>
    </row>
    <row r="224" spans="1:47">
      <c r="A224" s="297" t="s">
        <v>473</v>
      </c>
      <c r="B224" s="277" t="s">
        <v>2793</v>
      </c>
      <c r="C224" s="471">
        <v>0</v>
      </c>
      <c r="D224" s="471"/>
      <c r="E224" s="473">
        <v>-27685.309999999998</v>
      </c>
      <c r="F224" s="474">
        <v>-64188.611000000012</v>
      </c>
      <c r="G224" s="450">
        <f t="shared" si="35"/>
        <v>-91873.921000000002</v>
      </c>
      <c r="I224" s="67">
        <f t="shared" si="36"/>
        <v>0</v>
      </c>
      <c r="J224" s="435" t="s">
        <v>473</v>
      </c>
      <c r="K224" t="s">
        <v>2794</v>
      </c>
      <c r="L224" s="448">
        <v>-64188.611000000012</v>
      </c>
      <c r="M224" s="67" t="s">
        <v>2591</v>
      </c>
      <c r="N224" s="317"/>
      <c r="P224" s="297" t="s">
        <v>473</v>
      </c>
      <c r="Q224" s="277" t="s">
        <v>2793</v>
      </c>
      <c r="R224" s="211"/>
      <c r="S224" s="211"/>
      <c r="T224" s="211"/>
      <c r="U224" s="274">
        <v>-27685.309999999998</v>
      </c>
      <c r="V224" s="79">
        <f t="shared" si="44"/>
        <v>-27685.309999999998</v>
      </c>
      <c r="Z224" s="172">
        <f t="shared" si="37"/>
        <v>0</v>
      </c>
      <c r="AB224" t="s">
        <v>473</v>
      </c>
      <c r="AC224" t="s">
        <v>2793</v>
      </c>
      <c r="AD224" s="464"/>
      <c r="AE224" s="464"/>
      <c r="AF224" s="464"/>
      <c r="AG224" s="464">
        <v>-27685.309999999998</v>
      </c>
      <c r="AH224" s="464">
        <v>-27685.309999999998</v>
      </c>
      <c r="AJ224" s="464">
        <f t="shared" si="38"/>
        <v>-27685.309999999998</v>
      </c>
      <c r="AM224" s="464">
        <f t="shared" si="39"/>
        <v>0</v>
      </c>
      <c r="AN224" s="464"/>
      <c r="AO224" s="464">
        <v>-27685.309999999998</v>
      </c>
      <c r="AP224" s="317">
        <f t="shared" si="40"/>
        <v>-27685.309999999998</v>
      </c>
      <c r="AQ224" s="317">
        <f t="shared" si="41"/>
        <v>0</v>
      </c>
      <c r="AS224" s="475">
        <v>-64188.611000000012</v>
      </c>
      <c r="AT224" s="174">
        <f t="shared" si="42"/>
        <v>-91873.921000000002</v>
      </c>
      <c r="AU224" s="174">
        <f t="shared" si="43"/>
        <v>0</v>
      </c>
    </row>
    <row r="225" spans="1:47">
      <c r="A225" t="s">
        <v>475</v>
      </c>
      <c r="B225" t="s">
        <v>2795</v>
      </c>
      <c r="C225" s="468">
        <v>-482010.83</v>
      </c>
      <c r="D225" s="468">
        <v>-2540877.9880818184</v>
      </c>
      <c r="E225" s="473">
        <v>0</v>
      </c>
      <c r="F225" s="474">
        <v>-95278.441975299851</v>
      </c>
      <c r="G225" s="450">
        <f t="shared" si="35"/>
        <v>-3118167.2600571183</v>
      </c>
      <c r="I225" s="67">
        <f t="shared" si="36"/>
        <v>0</v>
      </c>
      <c r="J225" s="58" t="s">
        <v>475</v>
      </c>
      <c r="K225" t="s">
        <v>476</v>
      </c>
      <c r="L225" s="448">
        <v>-95278.441975299851</v>
      </c>
      <c r="M225" s="67" t="s">
        <v>2591</v>
      </c>
      <c r="N225" s="317"/>
      <c r="P225" t="s">
        <v>475</v>
      </c>
      <c r="Q225" t="s">
        <v>2795</v>
      </c>
      <c r="R225" s="211">
        <v>-921780</v>
      </c>
      <c r="S225" s="211">
        <v>-482010.83</v>
      </c>
      <c r="T225" s="211">
        <v>-2540877.9880818184</v>
      </c>
      <c r="U225" s="274">
        <v>700930.62905067392</v>
      </c>
      <c r="V225" s="79">
        <f t="shared" si="44"/>
        <v>-3243738.1890311446</v>
      </c>
      <c r="Z225" s="172">
        <f t="shared" si="37"/>
        <v>0</v>
      </c>
      <c r="AB225" t="s">
        <v>475</v>
      </c>
      <c r="AC225" t="s">
        <v>2795</v>
      </c>
      <c r="AD225" s="464">
        <v>-220849.37094932608</v>
      </c>
      <c r="AE225" s="464">
        <v>-482010.83</v>
      </c>
      <c r="AF225" s="464">
        <v>-2540877.9880818184</v>
      </c>
      <c r="AG225" s="464">
        <v>0</v>
      </c>
      <c r="AH225" s="464">
        <v>-3243738.1890311446</v>
      </c>
      <c r="AJ225" s="464">
        <f t="shared" si="38"/>
        <v>-3022888.8180818185</v>
      </c>
      <c r="AM225" s="464">
        <f t="shared" si="39"/>
        <v>-482010.83</v>
      </c>
      <c r="AN225" s="464">
        <v>-2540877.9880818184</v>
      </c>
      <c r="AO225" s="464">
        <v>0</v>
      </c>
      <c r="AP225" s="317">
        <f t="shared" si="40"/>
        <v>-3022888.8180818185</v>
      </c>
      <c r="AQ225" s="317">
        <f t="shared" si="41"/>
        <v>0</v>
      </c>
      <c r="AS225" s="475">
        <v>-95278.441975299851</v>
      </c>
      <c r="AT225" s="174">
        <f t="shared" si="42"/>
        <v>-3118167.2600571183</v>
      </c>
      <c r="AU225" s="174">
        <f t="shared" si="43"/>
        <v>0</v>
      </c>
    </row>
    <row r="226" spans="1:47">
      <c r="A226" t="s">
        <v>477</v>
      </c>
      <c r="B226" t="s">
        <v>478</v>
      </c>
      <c r="C226" s="468">
        <v>-93856.06</v>
      </c>
      <c r="D226" s="468">
        <v>-80043.325723999995</v>
      </c>
      <c r="E226" s="473">
        <v>-97293.078928000003</v>
      </c>
      <c r="F226" s="474">
        <v>-78842.365851999988</v>
      </c>
      <c r="G226" s="450">
        <f t="shared" si="35"/>
        <v>-350034.83050399995</v>
      </c>
      <c r="I226" s="67">
        <f t="shared" si="36"/>
        <v>0</v>
      </c>
      <c r="J226" s="58" t="s">
        <v>477</v>
      </c>
      <c r="K226" t="s">
        <v>478</v>
      </c>
      <c r="L226" s="448">
        <v>-78842.365851999988</v>
      </c>
      <c r="M226" s="67" t="s">
        <v>2591</v>
      </c>
      <c r="N226" s="317"/>
      <c r="P226" t="s">
        <v>477</v>
      </c>
      <c r="Q226" t="s">
        <v>478</v>
      </c>
      <c r="R226" s="211">
        <v>-101753.9</v>
      </c>
      <c r="S226" s="211">
        <v>-93856.06</v>
      </c>
      <c r="T226" s="211">
        <v>-80043.325723999995</v>
      </c>
      <c r="U226" s="274">
        <v>-97293.078928000003</v>
      </c>
      <c r="V226" s="79">
        <f t="shared" si="44"/>
        <v>-372946.36465199996</v>
      </c>
      <c r="Z226" s="172">
        <f t="shared" si="37"/>
        <v>0</v>
      </c>
      <c r="AB226" t="s">
        <v>477</v>
      </c>
      <c r="AC226" t="s">
        <v>478</v>
      </c>
      <c r="AD226" s="464">
        <v>-101753.9</v>
      </c>
      <c r="AE226" s="464">
        <v>-93856.06</v>
      </c>
      <c r="AF226" s="464">
        <v>-80043.325723999995</v>
      </c>
      <c r="AG226" s="464">
        <v>-97293.078928000003</v>
      </c>
      <c r="AH226" s="464">
        <v>-372946.36465199996</v>
      </c>
      <c r="AJ226" s="464">
        <f t="shared" si="38"/>
        <v>-271192.464652</v>
      </c>
      <c r="AM226" s="464">
        <f t="shared" si="39"/>
        <v>-93856.06</v>
      </c>
      <c r="AN226" s="464">
        <v>-80043.325723999995</v>
      </c>
      <c r="AO226" s="464">
        <v>-97293.078928000003</v>
      </c>
      <c r="AP226" s="317">
        <f t="shared" si="40"/>
        <v>-271192.464652</v>
      </c>
      <c r="AQ226" s="317">
        <f t="shared" si="41"/>
        <v>0</v>
      </c>
      <c r="AS226" s="475">
        <v>-78842.365851999988</v>
      </c>
      <c r="AT226" s="174">
        <f t="shared" si="42"/>
        <v>-350034.83050399995</v>
      </c>
      <c r="AU226" s="174">
        <f t="shared" si="43"/>
        <v>0</v>
      </c>
    </row>
    <row r="227" spans="1:47">
      <c r="A227" t="s">
        <v>479</v>
      </c>
      <c r="B227" t="s">
        <v>2796</v>
      </c>
      <c r="C227" s="468">
        <v>-36853.269999999997</v>
      </c>
      <c r="D227" s="468">
        <v>-95750.726506000021</v>
      </c>
      <c r="E227" s="473">
        <v>-75626.15386599995</v>
      </c>
      <c r="F227" s="474">
        <v>-135499.49552364225</v>
      </c>
      <c r="G227" s="450">
        <f t="shared" si="35"/>
        <v>-343729.64589564223</v>
      </c>
      <c r="I227" s="67">
        <f t="shared" si="36"/>
        <v>0</v>
      </c>
      <c r="J227" s="58" t="s">
        <v>479</v>
      </c>
      <c r="K227" t="s">
        <v>480</v>
      </c>
      <c r="L227" s="448">
        <v>-135499.49552364225</v>
      </c>
      <c r="M227" s="67" t="s">
        <v>2591</v>
      </c>
      <c r="N227" s="317"/>
      <c r="P227" t="s">
        <v>479</v>
      </c>
      <c r="Q227" t="s">
        <v>2796</v>
      </c>
      <c r="R227" s="211">
        <v>-72243.039999999994</v>
      </c>
      <c r="S227" s="211">
        <v>-36853.269999999997</v>
      </c>
      <c r="T227" s="211">
        <v>-95750.726506000021</v>
      </c>
      <c r="U227" s="274">
        <v>-75626.15386599995</v>
      </c>
      <c r="V227" s="79">
        <f t="shared" si="44"/>
        <v>-280473.19037199998</v>
      </c>
      <c r="Z227" s="172">
        <f t="shared" si="37"/>
        <v>0</v>
      </c>
      <c r="AB227" t="s">
        <v>479</v>
      </c>
      <c r="AC227" t="s">
        <v>2796</v>
      </c>
      <c r="AD227" s="464">
        <v>-72243.039999999994</v>
      </c>
      <c r="AE227" s="464">
        <v>-36853.269999999997</v>
      </c>
      <c r="AF227" s="464">
        <v>-95750.726506000021</v>
      </c>
      <c r="AG227" s="464">
        <v>-75626.15386599995</v>
      </c>
      <c r="AH227" s="464">
        <v>-280473.19037199998</v>
      </c>
      <c r="AJ227" s="464">
        <f t="shared" si="38"/>
        <v>-208230.15037199997</v>
      </c>
      <c r="AM227" s="464">
        <f t="shared" si="39"/>
        <v>-36853.269999999997</v>
      </c>
      <c r="AN227" s="464">
        <v>-95750.726506000021</v>
      </c>
      <c r="AO227" s="464">
        <v>-75626.15386599995</v>
      </c>
      <c r="AP227" s="317">
        <f t="shared" si="40"/>
        <v>-208230.15037199997</v>
      </c>
      <c r="AQ227" s="317">
        <f t="shared" si="41"/>
        <v>0</v>
      </c>
      <c r="AS227" s="475">
        <v>-135499.49552364225</v>
      </c>
      <c r="AT227" s="174">
        <f t="shared" si="42"/>
        <v>-343729.64589564223</v>
      </c>
      <c r="AU227" s="174">
        <f t="shared" si="43"/>
        <v>0</v>
      </c>
    </row>
    <row r="228" spans="1:47">
      <c r="A228" s="443" t="s">
        <v>481</v>
      </c>
      <c r="B228" s="443" t="s">
        <v>2797</v>
      </c>
      <c r="C228" s="468">
        <v>-98816.77</v>
      </c>
      <c r="D228" s="468">
        <v>-152385.72</v>
      </c>
      <c r="E228" s="473">
        <v>-103419.53899999999</v>
      </c>
      <c r="F228" s="474"/>
      <c r="G228" s="450">
        <f t="shared" si="35"/>
        <v>-354622.02899999998</v>
      </c>
      <c r="I228" s="67">
        <f t="shared" si="36"/>
        <v>0</v>
      </c>
      <c r="J228" s="443" t="s">
        <v>481</v>
      </c>
      <c r="K228" s="443" t="s">
        <v>2797</v>
      </c>
      <c r="L228" s="448"/>
      <c r="M228" s="67"/>
      <c r="N228" s="317"/>
      <c r="P228" t="s">
        <v>481</v>
      </c>
      <c r="Q228" t="s">
        <v>2797</v>
      </c>
      <c r="R228" s="211">
        <v>-5296.78</v>
      </c>
      <c r="S228" s="211">
        <v>-98816.77</v>
      </c>
      <c r="T228" s="211">
        <v>-152385.72</v>
      </c>
      <c r="U228" s="274">
        <v>-103419.53899999999</v>
      </c>
      <c r="V228" s="79">
        <f t="shared" si="44"/>
        <v>-359918.80900000001</v>
      </c>
      <c r="Z228" s="172">
        <f t="shared" si="37"/>
        <v>0</v>
      </c>
      <c r="AB228" t="s">
        <v>481</v>
      </c>
      <c r="AC228" t="s">
        <v>2797</v>
      </c>
      <c r="AD228" s="464">
        <v>-5296.78</v>
      </c>
      <c r="AE228" s="464">
        <v>-98816.77</v>
      </c>
      <c r="AF228" s="464">
        <v>-152385.72</v>
      </c>
      <c r="AG228" s="464">
        <v>-103419.53899999999</v>
      </c>
      <c r="AH228" s="464">
        <v>-359918.80900000001</v>
      </c>
      <c r="AJ228" s="464">
        <f t="shared" si="38"/>
        <v>-354622.02899999998</v>
      </c>
      <c r="AM228" s="464">
        <f t="shared" si="39"/>
        <v>-98816.77</v>
      </c>
      <c r="AN228" s="464">
        <v>-152385.72</v>
      </c>
      <c r="AO228" s="464">
        <v>-103419.53899999999</v>
      </c>
      <c r="AP228" s="317">
        <f t="shared" si="40"/>
        <v>-354622.02899999998</v>
      </c>
      <c r="AQ228" s="317">
        <f t="shared" si="41"/>
        <v>0</v>
      </c>
      <c r="AS228" s="475"/>
      <c r="AT228" s="174">
        <f t="shared" si="42"/>
        <v>-354622.02899999998</v>
      </c>
      <c r="AU228" s="174">
        <f t="shared" si="43"/>
        <v>0</v>
      </c>
    </row>
    <row r="229" spans="1:47">
      <c r="A229" t="s">
        <v>483</v>
      </c>
      <c r="B229" t="s">
        <v>2798</v>
      </c>
      <c r="C229" s="468">
        <v>-287729.59000000003</v>
      </c>
      <c r="D229" s="468">
        <v>-152390.1612</v>
      </c>
      <c r="E229" s="473">
        <v>-178454.26219599985</v>
      </c>
      <c r="F229" s="474">
        <v>-330863.23447950417</v>
      </c>
      <c r="G229" s="450">
        <f t="shared" si="35"/>
        <v>-949437.24787550408</v>
      </c>
      <c r="I229" s="67">
        <f t="shared" si="36"/>
        <v>0</v>
      </c>
      <c r="J229" s="58" t="s">
        <v>483</v>
      </c>
      <c r="K229" t="s">
        <v>484</v>
      </c>
      <c r="L229" s="448">
        <v>-330863.23447950417</v>
      </c>
      <c r="M229" s="67" t="s">
        <v>2591</v>
      </c>
      <c r="N229" s="317"/>
      <c r="P229" t="s">
        <v>483</v>
      </c>
      <c r="Q229" t="s">
        <v>2798</v>
      </c>
      <c r="R229" s="211">
        <v>-243242.63</v>
      </c>
      <c r="S229" s="211">
        <v>-287729.59000000003</v>
      </c>
      <c r="T229" s="211">
        <v>-152390.1612</v>
      </c>
      <c r="U229" s="274">
        <v>-178454.26219599985</v>
      </c>
      <c r="V229" s="79">
        <f t="shared" si="44"/>
        <v>-861816.6433959998</v>
      </c>
      <c r="Z229" s="172">
        <f t="shared" si="37"/>
        <v>0</v>
      </c>
      <c r="AB229" t="s">
        <v>483</v>
      </c>
      <c r="AC229" t="s">
        <v>2798</v>
      </c>
      <c r="AD229" s="464">
        <v>-243242.63</v>
      </c>
      <c r="AE229" s="464">
        <v>-287729.59000000003</v>
      </c>
      <c r="AF229" s="464">
        <v>-152390.1612</v>
      </c>
      <c r="AG229" s="464">
        <v>-178454.26219599985</v>
      </c>
      <c r="AH229" s="464">
        <v>-861816.6433959998</v>
      </c>
      <c r="AJ229" s="464">
        <f t="shared" si="38"/>
        <v>-618574.01339599991</v>
      </c>
      <c r="AM229" s="464">
        <f t="shared" si="39"/>
        <v>-287729.59000000003</v>
      </c>
      <c r="AN229" s="464">
        <v>-152390.1612</v>
      </c>
      <c r="AO229" s="464">
        <v>-178454.26219599985</v>
      </c>
      <c r="AP229" s="317">
        <f t="shared" si="40"/>
        <v>-618574.01339599991</v>
      </c>
      <c r="AQ229" s="317">
        <f t="shared" si="41"/>
        <v>0</v>
      </c>
      <c r="AS229" s="475">
        <v>-330863.23447950417</v>
      </c>
      <c r="AT229" s="174">
        <f t="shared" si="42"/>
        <v>-949437.24787550408</v>
      </c>
      <c r="AU229" s="174">
        <f t="shared" si="43"/>
        <v>0</v>
      </c>
    </row>
    <row r="230" spans="1:47">
      <c r="A230" t="s">
        <v>485</v>
      </c>
      <c r="B230" t="s">
        <v>2799</v>
      </c>
      <c r="C230" s="468">
        <v>-12093.87</v>
      </c>
      <c r="D230" s="468">
        <v>-19146.094232999985</v>
      </c>
      <c r="E230" s="473">
        <v>-77395.518276000075</v>
      </c>
      <c r="F230" s="474">
        <v>-55420.191395000002</v>
      </c>
      <c r="G230" s="450">
        <f t="shared" si="35"/>
        <v>-164055.67390400005</v>
      </c>
      <c r="I230" s="67">
        <f t="shared" si="36"/>
        <v>0</v>
      </c>
      <c r="J230" s="58" t="s">
        <v>485</v>
      </c>
      <c r="K230" t="s">
        <v>486</v>
      </c>
      <c r="L230" s="448">
        <v>-55420.191395000002</v>
      </c>
      <c r="M230" s="67" t="s">
        <v>2591</v>
      </c>
      <c r="N230" s="317"/>
      <c r="P230" t="s">
        <v>485</v>
      </c>
      <c r="Q230" t="s">
        <v>2799</v>
      </c>
      <c r="R230" s="211">
        <v>-67684.72</v>
      </c>
      <c r="S230" s="211">
        <v>-12093.87</v>
      </c>
      <c r="T230" s="211">
        <v>-19146.094232999985</v>
      </c>
      <c r="U230" s="274">
        <v>-77395.518276000075</v>
      </c>
      <c r="V230" s="79">
        <f t="shared" si="44"/>
        <v>-176320.20250900005</v>
      </c>
      <c r="Z230" s="172">
        <f t="shared" si="37"/>
        <v>0</v>
      </c>
      <c r="AB230" t="s">
        <v>485</v>
      </c>
      <c r="AC230" t="s">
        <v>2799</v>
      </c>
      <c r="AD230" s="464">
        <v>-67684.72</v>
      </c>
      <c r="AE230" s="464">
        <v>-12093.87</v>
      </c>
      <c r="AF230" s="464">
        <v>-19146.094232999985</v>
      </c>
      <c r="AG230" s="464">
        <v>-77395.518276000075</v>
      </c>
      <c r="AH230" s="464">
        <v>-176320.20250900005</v>
      </c>
      <c r="AJ230" s="464">
        <f t="shared" si="38"/>
        <v>-108635.48250900005</v>
      </c>
      <c r="AM230" s="464">
        <f t="shared" si="39"/>
        <v>-12093.87</v>
      </c>
      <c r="AN230" s="464">
        <v>-19146.094232999985</v>
      </c>
      <c r="AO230" s="464">
        <v>-77395.518276000075</v>
      </c>
      <c r="AP230" s="317">
        <f t="shared" si="40"/>
        <v>-108635.48250900005</v>
      </c>
      <c r="AQ230" s="317">
        <f t="shared" si="41"/>
        <v>0</v>
      </c>
      <c r="AS230" s="475">
        <v>-55420.191395000002</v>
      </c>
      <c r="AT230" s="174">
        <f t="shared" si="42"/>
        <v>-164055.67390400005</v>
      </c>
      <c r="AU230" s="174">
        <f t="shared" si="43"/>
        <v>0</v>
      </c>
    </row>
    <row r="231" spans="1:47">
      <c r="A231" t="s">
        <v>487</v>
      </c>
      <c r="B231" t="s">
        <v>2800</v>
      </c>
      <c r="C231" s="468">
        <v>-263886.27</v>
      </c>
      <c r="D231" s="468">
        <v>-205558.26806899998</v>
      </c>
      <c r="E231" s="473">
        <v>20866.607084000017</v>
      </c>
      <c r="F231" s="474">
        <v>-5624.3005379999522</v>
      </c>
      <c r="G231" s="450">
        <f t="shared" si="35"/>
        <v>-454202.23152299994</v>
      </c>
      <c r="I231" s="67">
        <f t="shared" si="36"/>
        <v>0</v>
      </c>
      <c r="J231" s="58" t="s">
        <v>487</v>
      </c>
      <c r="K231" t="s">
        <v>488</v>
      </c>
      <c r="L231" s="448">
        <v>-5624.3005379999522</v>
      </c>
      <c r="M231" s="67" t="s">
        <v>2591</v>
      </c>
      <c r="N231" s="317"/>
      <c r="P231" t="s">
        <v>487</v>
      </c>
      <c r="Q231" t="s">
        <v>2800</v>
      </c>
      <c r="R231" s="211">
        <v>-298716.82</v>
      </c>
      <c r="S231" s="211">
        <v>-263886.27</v>
      </c>
      <c r="T231" s="211">
        <v>-205558.26806899998</v>
      </c>
      <c r="U231" s="274">
        <v>20866.607084000017</v>
      </c>
      <c r="V231" s="79">
        <f t="shared" si="44"/>
        <v>-747294.75098500005</v>
      </c>
      <c r="Z231" s="172">
        <f t="shared" si="37"/>
        <v>0</v>
      </c>
      <c r="AB231" t="s">
        <v>487</v>
      </c>
      <c r="AC231" t="s">
        <v>2800</v>
      </c>
      <c r="AD231" s="464">
        <v>-298716.82</v>
      </c>
      <c r="AE231" s="464">
        <v>-263886.27</v>
      </c>
      <c r="AF231" s="464">
        <v>-205558.26806899998</v>
      </c>
      <c r="AG231" s="464">
        <v>20866.607084000017</v>
      </c>
      <c r="AH231" s="464">
        <v>-747294.75098500005</v>
      </c>
      <c r="AJ231" s="464">
        <f t="shared" si="38"/>
        <v>-448577.93098499998</v>
      </c>
      <c r="AM231" s="464">
        <f t="shared" si="39"/>
        <v>-263886.27</v>
      </c>
      <c r="AN231" s="464">
        <v>-205558.26806899998</v>
      </c>
      <c r="AO231" s="464">
        <v>20866.607084000017</v>
      </c>
      <c r="AP231" s="317">
        <f t="shared" si="40"/>
        <v>-448577.93098499998</v>
      </c>
      <c r="AQ231" s="317">
        <f t="shared" si="41"/>
        <v>0</v>
      </c>
      <c r="AS231" s="475">
        <v>-5624.3005379999522</v>
      </c>
      <c r="AT231" s="174">
        <f t="shared" si="42"/>
        <v>-454202.23152299994</v>
      </c>
      <c r="AU231" s="174">
        <f t="shared" si="43"/>
        <v>0</v>
      </c>
    </row>
    <row r="232" spans="1:47">
      <c r="A232" t="s">
        <v>489</v>
      </c>
      <c r="B232" t="s">
        <v>2801</v>
      </c>
      <c r="C232" s="468">
        <v>-151869.34</v>
      </c>
      <c r="D232" s="468">
        <v>-67546.536266000068</v>
      </c>
      <c r="E232" s="473">
        <v>-1983.0119699999923</v>
      </c>
      <c r="F232" s="474">
        <v>-146848.08393999992</v>
      </c>
      <c r="G232" s="450">
        <f t="shared" si="35"/>
        <v>-368246.97217600001</v>
      </c>
      <c r="I232" s="67">
        <f t="shared" si="36"/>
        <v>0</v>
      </c>
      <c r="J232" s="58" t="s">
        <v>489</v>
      </c>
      <c r="K232" t="s">
        <v>490</v>
      </c>
      <c r="L232" s="448">
        <v>-146848.08393999992</v>
      </c>
      <c r="M232" s="67" t="s">
        <v>2591</v>
      </c>
      <c r="N232" s="317"/>
      <c r="P232" t="s">
        <v>489</v>
      </c>
      <c r="Q232" t="s">
        <v>2801</v>
      </c>
      <c r="R232" s="211">
        <v>-107183.94</v>
      </c>
      <c r="S232" s="211">
        <v>-151869.34</v>
      </c>
      <c r="T232" s="211">
        <v>-67546.536266000068</v>
      </c>
      <c r="U232" s="274">
        <v>-1983.0119699999923</v>
      </c>
      <c r="V232" s="79">
        <f t="shared" si="44"/>
        <v>-328582.82823600003</v>
      </c>
      <c r="Z232" s="172">
        <f t="shared" si="37"/>
        <v>0</v>
      </c>
      <c r="AB232" t="s">
        <v>489</v>
      </c>
      <c r="AC232" t="s">
        <v>2801</v>
      </c>
      <c r="AD232" s="464">
        <v>-107183.94</v>
      </c>
      <c r="AE232" s="464">
        <v>-151869.34</v>
      </c>
      <c r="AF232" s="464">
        <v>-67546.536266000068</v>
      </c>
      <c r="AG232" s="464">
        <v>-1983.0119699999923</v>
      </c>
      <c r="AH232" s="464">
        <v>-328582.82823600003</v>
      </c>
      <c r="AJ232" s="464">
        <f t="shared" si="38"/>
        <v>-221398.88823600006</v>
      </c>
      <c r="AM232" s="464">
        <f t="shared" si="39"/>
        <v>-151869.34</v>
      </c>
      <c r="AN232" s="464">
        <v>-67546.536266000068</v>
      </c>
      <c r="AO232" s="464">
        <v>-1983.0119699999923</v>
      </c>
      <c r="AP232" s="317">
        <f t="shared" si="40"/>
        <v>-221398.88823600006</v>
      </c>
      <c r="AQ232" s="317">
        <f t="shared" si="41"/>
        <v>0</v>
      </c>
      <c r="AS232" s="475">
        <v>-146848.08393999992</v>
      </c>
      <c r="AT232" s="174">
        <f t="shared" si="42"/>
        <v>-368246.97217600001</v>
      </c>
      <c r="AU232" s="174">
        <f t="shared" si="43"/>
        <v>0</v>
      </c>
    </row>
    <row r="233" spans="1:47">
      <c r="A233" t="s">
        <v>491</v>
      </c>
      <c r="B233" t="s">
        <v>2802</v>
      </c>
      <c r="C233" s="468">
        <v>-60827.54</v>
      </c>
      <c r="D233" s="468">
        <v>-41900.470999999998</v>
      </c>
      <c r="E233" s="473">
        <v>-89900.424999999974</v>
      </c>
      <c r="F233" s="474">
        <v>-66635.681638000024</v>
      </c>
      <c r="G233" s="450">
        <f t="shared" si="35"/>
        <v>-259264.117638</v>
      </c>
      <c r="I233" s="67">
        <f t="shared" si="36"/>
        <v>0</v>
      </c>
      <c r="J233" s="149" t="s">
        <v>491</v>
      </c>
      <c r="K233" s="74" t="s">
        <v>2802</v>
      </c>
      <c r="L233" s="448">
        <v>-66635.681638000024</v>
      </c>
      <c r="M233" s="67" t="s">
        <v>2591</v>
      </c>
      <c r="N233" s="317"/>
      <c r="P233" t="s">
        <v>491</v>
      </c>
      <c r="Q233" t="s">
        <v>2802</v>
      </c>
      <c r="R233" s="211">
        <v>-81652.97</v>
      </c>
      <c r="S233" s="211">
        <v>-60827.54</v>
      </c>
      <c r="T233" s="211">
        <v>-41900.470999999998</v>
      </c>
      <c r="U233" s="274">
        <v>-89900.424999999974</v>
      </c>
      <c r="V233" s="79">
        <f t="shared" si="44"/>
        <v>-274281.40599999996</v>
      </c>
      <c r="Z233" s="172">
        <f t="shared" si="37"/>
        <v>0</v>
      </c>
      <c r="AB233" t="s">
        <v>491</v>
      </c>
      <c r="AC233" t="s">
        <v>2802</v>
      </c>
      <c r="AD233" s="464">
        <v>-81652.97</v>
      </c>
      <c r="AE233" s="464">
        <v>-60827.54</v>
      </c>
      <c r="AF233" s="464">
        <v>-41900.470999999998</v>
      </c>
      <c r="AG233" s="464">
        <v>-89900.424999999974</v>
      </c>
      <c r="AH233" s="464">
        <v>-274281.40599999996</v>
      </c>
      <c r="AJ233" s="464">
        <f t="shared" si="38"/>
        <v>-192628.43599999999</v>
      </c>
      <c r="AM233" s="464">
        <f t="shared" si="39"/>
        <v>-60827.54</v>
      </c>
      <c r="AN233" s="464">
        <v>-41900.470999999998</v>
      </c>
      <c r="AO233" s="464">
        <v>-89900.424999999974</v>
      </c>
      <c r="AP233" s="317">
        <f t="shared" si="40"/>
        <v>-192628.43599999999</v>
      </c>
      <c r="AQ233" s="317">
        <f t="shared" si="41"/>
        <v>0</v>
      </c>
      <c r="AS233" s="475">
        <v>-66635.681638000024</v>
      </c>
      <c r="AT233" s="174">
        <f t="shared" si="42"/>
        <v>-259264.117638</v>
      </c>
      <c r="AU233" s="174">
        <f t="shared" si="43"/>
        <v>0</v>
      </c>
    </row>
    <row r="234" spans="1:47">
      <c r="A234" s="443" t="s">
        <v>493</v>
      </c>
      <c r="B234" s="441" t="s">
        <v>494</v>
      </c>
      <c r="C234" s="470">
        <v>0</v>
      </c>
      <c r="D234" s="470">
        <v>-14062.004999999997</v>
      </c>
      <c r="E234" s="473">
        <v>-31411.993000000017</v>
      </c>
      <c r="F234" s="474">
        <v>-116902.22</v>
      </c>
      <c r="G234" s="450">
        <f t="shared" si="35"/>
        <v>-162376.21800000002</v>
      </c>
      <c r="I234" s="67">
        <f t="shared" si="36"/>
        <v>0</v>
      </c>
      <c r="J234" s="434" t="s">
        <v>493</v>
      </c>
      <c r="K234" s="74" t="s">
        <v>2803</v>
      </c>
      <c r="L234" s="448">
        <v>-116902.22</v>
      </c>
      <c r="M234" s="67" t="s">
        <v>2591</v>
      </c>
      <c r="N234" s="317"/>
      <c r="P234" t="s">
        <v>493</v>
      </c>
      <c r="Q234" s="74" t="s">
        <v>494</v>
      </c>
      <c r="R234" s="211">
        <v>-59922.36</v>
      </c>
      <c r="S234" s="211"/>
      <c r="T234" s="211">
        <v>-14062.004999999997</v>
      </c>
      <c r="U234" s="274">
        <v>-31411.993000000017</v>
      </c>
      <c r="V234" s="79">
        <f t="shared" si="44"/>
        <v>-105396.35800000001</v>
      </c>
      <c r="Z234" s="172">
        <f t="shared" si="37"/>
        <v>0</v>
      </c>
      <c r="AB234" t="s">
        <v>493</v>
      </c>
      <c r="AC234" t="s">
        <v>494</v>
      </c>
      <c r="AD234" s="464">
        <v>-59922.36</v>
      </c>
      <c r="AE234" s="464"/>
      <c r="AF234" s="464">
        <v>-14062.004999999997</v>
      </c>
      <c r="AG234" s="464">
        <v>-31411.993000000017</v>
      </c>
      <c r="AH234" s="464">
        <v>-105396.35800000001</v>
      </c>
      <c r="AJ234" s="464">
        <f t="shared" si="38"/>
        <v>-45473.998000000014</v>
      </c>
      <c r="AM234" s="464">
        <f t="shared" si="39"/>
        <v>0</v>
      </c>
      <c r="AN234" s="464">
        <v>-14062.004999999997</v>
      </c>
      <c r="AO234" s="464">
        <v>-31411.993000000017</v>
      </c>
      <c r="AP234" s="317">
        <f t="shared" si="40"/>
        <v>-45473.998000000014</v>
      </c>
      <c r="AQ234" s="317">
        <f t="shared" si="41"/>
        <v>0</v>
      </c>
      <c r="AS234" s="475">
        <v>-116902.22</v>
      </c>
      <c r="AT234" s="174">
        <f t="shared" si="42"/>
        <v>-162376.21800000002</v>
      </c>
      <c r="AU234" s="174">
        <f t="shared" si="43"/>
        <v>0</v>
      </c>
    </row>
    <row r="235" spans="1:47">
      <c r="A235" t="s">
        <v>495</v>
      </c>
      <c r="B235" t="s">
        <v>2804</v>
      </c>
      <c r="C235" s="468">
        <v>-113716.92</v>
      </c>
      <c r="D235" s="468">
        <v>-10785.558647999991</v>
      </c>
      <c r="E235" s="473">
        <v>-19470.008844000055</v>
      </c>
      <c r="F235" s="474">
        <v>-83395.094760000007</v>
      </c>
      <c r="G235" s="450">
        <f t="shared" si="35"/>
        <v>-227367.58225200005</v>
      </c>
      <c r="I235" s="67">
        <f t="shared" si="36"/>
        <v>0</v>
      </c>
      <c r="J235" s="58" t="s">
        <v>495</v>
      </c>
      <c r="K235" t="s">
        <v>496</v>
      </c>
      <c r="L235" s="448">
        <v>-83395.094760000007</v>
      </c>
      <c r="M235" s="67" t="s">
        <v>2591</v>
      </c>
      <c r="N235" s="317"/>
      <c r="P235" t="s">
        <v>495</v>
      </c>
      <c r="Q235" t="s">
        <v>2804</v>
      </c>
      <c r="R235" s="211">
        <v>-103201.19</v>
      </c>
      <c r="S235" s="211">
        <v>-113716.92</v>
      </c>
      <c r="T235" s="211">
        <v>-10785.558647999991</v>
      </c>
      <c r="U235" s="274">
        <v>-19470.008844000055</v>
      </c>
      <c r="V235" s="79">
        <f t="shared" si="44"/>
        <v>-247173.67749200005</v>
      </c>
      <c r="Z235" s="172">
        <f t="shared" si="37"/>
        <v>0</v>
      </c>
      <c r="AB235" t="s">
        <v>495</v>
      </c>
      <c r="AC235" t="s">
        <v>2804</v>
      </c>
      <c r="AD235" s="464">
        <v>-103201.19</v>
      </c>
      <c r="AE235" s="464">
        <v>-113716.92</v>
      </c>
      <c r="AF235" s="464">
        <v>-10785.558647999991</v>
      </c>
      <c r="AG235" s="464">
        <v>-19470.008844000055</v>
      </c>
      <c r="AH235" s="464">
        <v>-247173.67749200005</v>
      </c>
      <c r="AJ235" s="464">
        <f t="shared" si="38"/>
        <v>-143972.48749200004</v>
      </c>
      <c r="AM235" s="464">
        <f t="shared" si="39"/>
        <v>-113716.92</v>
      </c>
      <c r="AN235" s="464">
        <v>-10785.558647999991</v>
      </c>
      <c r="AO235" s="464">
        <v>-19470.008844000055</v>
      </c>
      <c r="AP235" s="317">
        <f t="shared" si="40"/>
        <v>-143972.48749200004</v>
      </c>
      <c r="AQ235" s="317">
        <f t="shared" si="41"/>
        <v>0</v>
      </c>
      <c r="AS235" s="475">
        <v>-83395.094760000007</v>
      </c>
      <c r="AT235" s="174">
        <f t="shared" si="42"/>
        <v>-227367.58225200005</v>
      </c>
      <c r="AU235" s="174">
        <f t="shared" si="43"/>
        <v>0</v>
      </c>
    </row>
    <row r="236" spans="1:47">
      <c r="A236" t="s">
        <v>497</v>
      </c>
      <c r="B236" t="s">
        <v>2805</v>
      </c>
      <c r="C236" s="468">
        <v>-73353.89</v>
      </c>
      <c r="D236" s="468">
        <v>-70859.221733000057</v>
      </c>
      <c r="E236" s="473">
        <v>-17344.319573000015</v>
      </c>
      <c r="F236" s="474">
        <v>-225459.94650000002</v>
      </c>
      <c r="G236" s="450">
        <f t="shared" si="35"/>
        <v>-387017.37780600006</v>
      </c>
      <c r="I236" s="67">
        <f t="shared" si="36"/>
        <v>0</v>
      </c>
      <c r="J236" s="58" t="s">
        <v>497</v>
      </c>
      <c r="K236" t="s">
        <v>2805</v>
      </c>
      <c r="L236" s="448">
        <v>-225459.94650000002</v>
      </c>
      <c r="M236" s="67" t="s">
        <v>2591</v>
      </c>
      <c r="N236" s="317"/>
      <c r="P236" t="s">
        <v>497</v>
      </c>
      <c r="Q236" t="s">
        <v>2805</v>
      </c>
      <c r="R236" s="211">
        <v>-92663.38</v>
      </c>
      <c r="S236" s="211">
        <v>-73353.89</v>
      </c>
      <c r="T236" s="211">
        <v>-70859.221733000057</v>
      </c>
      <c r="U236" s="274">
        <v>-17344.319573000015</v>
      </c>
      <c r="V236" s="79">
        <f t="shared" si="44"/>
        <v>-254220.81130600011</v>
      </c>
      <c r="Z236" s="172">
        <f t="shared" si="37"/>
        <v>0</v>
      </c>
      <c r="AB236" t="s">
        <v>497</v>
      </c>
      <c r="AC236" t="s">
        <v>2805</v>
      </c>
      <c r="AD236" s="464">
        <v>-92663.38</v>
      </c>
      <c r="AE236" s="464">
        <v>-73353.89</v>
      </c>
      <c r="AF236" s="464">
        <v>-70859.221733000057</v>
      </c>
      <c r="AG236" s="464">
        <v>-17344.319573000015</v>
      </c>
      <c r="AH236" s="464">
        <v>-254220.81130600011</v>
      </c>
      <c r="AJ236" s="464">
        <f t="shared" si="38"/>
        <v>-161557.43130600007</v>
      </c>
      <c r="AM236" s="464">
        <f t="shared" si="39"/>
        <v>-73353.89</v>
      </c>
      <c r="AN236" s="464">
        <v>-70859.221733000057</v>
      </c>
      <c r="AO236" s="464">
        <v>-17344.319573000015</v>
      </c>
      <c r="AP236" s="317">
        <f t="shared" si="40"/>
        <v>-161557.43130600007</v>
      </c>
      <c r="AQ236" s="317">
        <f t="shared" si="41"/>
        <v>0</v>
      </c>
      <c r="AS236" s="475">
        <v>-225459.94650000002</v>
      </c>
      <c r="AT236" s="174">
        <f t="shared" si="42"/>
        <v>-387017.37780600006</v>
      </c>
      <c r="AU236" s="174">
        <f t="shared" si="43"/>
        <v>0</v>
      </c>
    </row>
    <row r="237" spans="1:47">
      <c r="A237" t="s">
        <v>499</v>
      </c>
      <c r="B237" t="s">
        <v>2806</v>
      </c>
      <c r="C237" s="468">
        <v>-882496.45</v>
      </c>
      <c r="D237" s="468">
        <v>-1046897.085175865</v>
      </c>
      <c r="E237" s="473">
        <v>-411272.12316168193</v>
      </c>
      <c r="F237" s="474">
        <v>-118490.50251825177</v>
      </c>
      <c r="G237" s="450">
        <f t="shared" si="35"/>
        <v>-2459156.160855799</v>
      </c>
      <c r="I237" s="67">
        <f t="shared" si="36"/>
        <v>0</v>
      </c>
      <c r="J237" s="58" t="s">
        <v>499</v>
      </c>
      <c r="K237" t="s">
        <v>500</v>
      </c>
      <c r="L237" s="448">
        <v>-118490.50251825177</v>
      </c>
      <c r="M237" s="67" t="s">
        <v>2591</v>
      </c>
      <c r="N237" s="317"/>
      <c r="P237" t="s">
        <v>499</v>
      </c>
      <c r="Q237" t="s">
        <v>2806</v>
      </c>
      <c r="R237" s="211">
        <v>-1067630.9200000064</v>
      </c>
      <c r="S237" s="211">
        <v>-882496.45</v>
      </c>
      <c r="T237" s="211">
        <v>-1046897.085175865</v>
      </c>
      <c r="U237" s="274">
        <v>-411272.12316168193</v>
      </c>
      <c r="V237" s="79">
        <f t="shared" si="44"/>
        <v>-3408296.5783375534</v>
      </c>
      <c r="Z237" s="172">
        <f t="shared" si="37"/>
        <v>0</v>
      </c>
      <c r="AB237" t="s">
        <v>499</v>
      </c>
      <c r="AC237" t="s">
        <v>2806</v>
      </c>
      <c r="AD237" s="464">
        <v>-1067630.9200000064</v>
      </c>
      <c r="AE237" s="464">
        <v>-882496.45</v>
      </c>
      <c r="AF237" s="464">
        <v>-1046897.085175865</v>
      </c>
      <c r="AG237" s="464">
        <v>-411272.12316168193</v>
      </c>
      <c r="AH237" s="464">
        <v>-3408296.5783375534</v>
      </c>
      <c r="AJ237" s="464">
        <f t="shared" si="38"/>
        <v>-2340665.658337547</v>
      </c>
      <c r="AM237" s="464">
        <f t="shared" si="39"/>
        <v>-882496.45</v>
      </c>
      <c r="AN237" s="464">
        <v>-1046897.085175865</v>
      </c>
      <c r="AO237" s="464">
        <v>-411272.12316168193</v>
      </c>
      <c r="AP237" s="317">
        <f t="shared" si="40"/>
        <v>-2340665.658337547</v>
      </c>
      <c r="AQ237" s="317">
        <f t="shared" si="41"/>
        <v>0</v>
      </c>
      <c r="AS237" s="475">
        <v>-118490.50251825177</v>
      </c>
      <c r="AT237" s="174">
        <f t="shared" si="42"/>
        <v>-2459156.160855799</v>
      </c>
      <c r="AU237" s="174">
        <f t="shared" si="43"/>
        <v>0</v>
      </c>
    </row>
    <row r="238" spans="1:47">
      <c r="A238" t="s">
        <v>501</v>
      </c>
      <c r="B238" t="s">
        <v>2807</v>
      </c>
      <c r="C238" s="468">
        <v>-159167.43</v>
      </c>
      <c r="D238" s="468">
        <v>-132692.11338099994</v>
      </c>
      <c r="E238" s="473">
        <v>-64022.365625000035</v>
      </c>
      <c r="F238" s="474">
        <v>-118582.06733099994</v>
      </c>
      <c r="G238" s="450">
        <f t="shared" si="35"/>
        <v>-474463.97633699991</v>
      </c>
      <c r="I238" s="67">
        <f t="shared" si="36"/>
        <v>0</v>
      </c>
      <c r="J238" s="58" t="s">
        <v>501</v>
      </c>
      <c r="K238" t="s">
        <v>502</v>
      </c>
      <c r="L238" s="448">
        <v>-118582.06733099994</v>
      </c>
      <c r="M238" s="67" t="s">
        <v>2591</v>
      </c>
      <c r="N238" s="317"/>
      <c r="P238" t="s">
        <v>501</v>
      </c>
      <c r="Q238" t="s">
        <v>2807</v>
      </c>
      <c r="R238" s="211">
        <v>-202433.52</v>
      </c>
      <c r="S238" s="211">
        <v>-159167.43</v>
      </c>
      <c r="T238" s="211">
        <v>-132692.11338099994</v>
      </c>
      <c r="U238" s="274">
        <v>-64022.365625000035</v>
      </c>
      <c r="V238" s="79">
        <f t="shared" si="44"/>
        <v>-558315.42900599993</v>
      </c>
      <c r="Z238" s="172">
        <f t="shared" si="37"/>
        <v>0</v>
      </c>
      <c r="AB238" t="s">
        <v>501</v>
      </c>
      <c r="AC238" t="s">
        <v>2807</v>
      </c>
      <c r="AD238" s="464">
        <v>-202433.52</v>
      </c>
      <c r="AE238" s="464">
        <v>-159167.43</v>
      </c>
      <c r="AF238" s="464">
        <v>-132692.11338099994</v>
      </c>
      <c r="AG238" s="464">
        <v>-64022.365625000035</v>
      </c>
      <c r="AH238" s="464">
        <v>-558315.42900599993</v>
      </c>
      <c r="AJ238" s="464">
        <f t="shared" si="38"/>
        <v>-355881.90900599997</v>
      </c>
      <c r="AM238" s="464">
        <f t="shared" si="39"/>
        <v>-159167.43</v>
      </c>
      <c r="AN238" s="464">
        <v>-132692.11338099994</v>
      </c>
      <c r="AO238" s="464">
        <v>-64022.365625000035</v>
      </c>
      <c r="AP238" s="317">
        <f t="shared" si="40"/>
        <v>-355881.90900599997</v>
      </c>
      <c r="AQ238" s="317">
        <f t="shared" si="41"/>
        <v>0</v>
      </c>
      <c r="AS238" s="475">
        <v>-118582.06733099994</v>
      </c>
      <c r="AT238" s="174">
        <f t="shared" si="42"/>
        <v>-474463.97633699991</v>
      </c>
      <c r="AU238" s="174">
        <f t="shared" si="43"/>
        <v>0</v>
      </c>
    </row>
    <row r="239" spans="1:47">
      <c r="A239" t="s">
        <v>503</v>
      </c>
      <c r="B239" t="s">
        <v>2808</v>
      </c>
      <c r="C239" s="468">
        <v>-366861.36</v>
      </c>
      <c r="D239" s="468">
        <v>0</v>
      </c>
      <c r="E239" s="473">
        <v>866446.1414899379</v>
      </c>
      <c r="F239" s="474">
        <v>338635.79078151379</v>
      </c>
      <c r="G239" s="450">
        <f t="shared" si="35"/>
        <v>838220.5722714517</v>
      </c>
      <c r="I239" s="67">
        <f t="shared" si="36"/>
        <v>0</v>
      </c>
      <c r="J239" s="58" t="s">
        <v>503</v>
      </c>
      <c r="K239" t="s">
        <v>504</v>
      </c>
      <c r="L239" s="448">
        <v>338635.79078151379</v>
      </c>
      <c r="M239" s="67" t="s">
        <v>2591</v>
      </c>
      <c r="N239" s="317"/>
      <c r="P239" t="s">
        <v>503</v>
      </c>
      <c r="Q239" t="s">
        <v>2808</v>
      </c>
      <c r="R239" s="211">
        <v>-791246.78</v>
      </c>
      <c r="S239" s="211">
        <v>-366861.36</v>
      </c>
      <c r="T239" s="211">
        <v>578923.80415524612</v>
      </c>
      <c r="U239" s="274">
        <v>1078769.1173346918</v>
      </c>
      <c r="V239" s="79">
        <f t="shared" si="44"/>
        <v>499584.7814899378</v>
      </c>
      <c r="Z239" s="172">
        <f t="shared" si="37"/>
        <v>0</v>
      </c>
      <c r="AB239" t="s">
        <v>503</v>
      </c>
      <c r="AC239" t="s">
        <v>2808</v>
      </c>
      <c r="AD239" s="464">
        <v>0</v>
      </c>
      <c r="AE239" s="464">
        <v>-366861.36</v>
      </c>
      <c r="AF239" s="464">
        <v>0</v>
      </c>
      <c r="AG239" s="464">
        <v>866446.1414899379</v>
      </c>
      <c r="AH239" s="464">
        <v>499584.78148993792</v>
      </c>
      <c r="AJ239" s="464">
        <f t="shared" si="38"/>
        <v>499584.78148993792</v>
      </c>
      <c r="AM239" s="464">
        <f t="shared" si="39"/>
        <v>-366861.36</v>
      </c>
      <c r="AN239" s="464">
        <v>0</v>
      </c>
      <c r="AO239" s="464">
        <v>866446.1414899379</v>
      </c>
      <c r="AP239" s="317">
        <f t="shared" si="40"/>
        <v>499584.78148993792</v>
      </c>
      <c r="AQ239" s="317">
        <f t="shared" si="41"/>
        <v>0</v>
      </c>
      <c r="AS239" s="475">
        <v>338635.79078151379</v>
      </c>
      <c r="AT239" s="174">
        <f t="shared" si="42"/>
        <v>838220.5722714517</v>
      </c>
      <c r="AU239" s="174">
        <f t="shared" si="43"/>
        <v>0</v>
      </c>
    </row>
    <row r="240" spans="1:47">
      <c r="A240" t="s">
        <v>505</v>
      </c>
      <c r="B240" t="s">
        <v>2809</v>
      </c>
      <c r="C240" s="468">
        <v>-24225.64</v>
      </c>
      <c r="D240" s="468">
        <v>-54025.385362000263</v>
      </c>
      <c r="E240" s="473">
        <v>5558.0503580000513</v>
      </c>
      <c r="F240" s="474">
        <v>86864.096677999885</v>
      </c>
      <c r="G240" s="450">
        <f t="shared" si="35"/>
        <v>14171.121673999674</v>
      </c>
      <c r="I240" s="67">
        <f t="shared" si="36"/>
        <v>0</v>
      </c>
      <c r="J240" s="58" t="s">
        <v>505</v>
      </c>
      <c r="K240" t="s">
        <v>506</v>
      </c>
      <c r="L240" s="448">
        <v>86864.096677999885</v>
      </c>
      <c r="M240" s="67" t="s">
        <v>2591</v>
      </c>
      <c r="N240" s="317"/>
      <c r="P240" t="s">
        <v>505</v>
      </c>
      <c r="Q240" t="s">
        <v>2809</v>
      </c>
      <c r="R240" s="211">
        <v>-51714.83</v>
      </c>
      <c r="S240" s="211">
        <v>-24225.64</v>
      </c>
      <c r="T240" s="211">
        <v>-54025.385362000263</v>
      </c>
      <c r="U240" s="274">
        <v>57272.880358000053</v>
      </c>
      <c r="V240" s="79">
        <f t="shared" si="44"/>
        <v>-72692.975004000211</v>
      </c>
      <c r="Z240" s="172">
        <f t="shared" si="37"/>
        <v>0</v>
      </c>
      <c r="AB240" t="s">
        <v>505</v>
      </c>
      <c r="AC240" t="s">
        <v>2809</v>
      </c>
      <c r="AD240" s="464">
        <v>0</v>
      </c>
      <c r="AE240" s="464">
        <v>-24225.64</v>
      </c>
      <c r="AF240" s="464">
        <v>-54025.385362000263</v>
      </c>
      <c r="AG240" s="464">
        <v>5558.0503580000513</v>
      </c>
      <c r="AH240" s="464">
        <v>-72692.975004000211</v>
      </c>
      <c r="AJ240" s="464">
        <f t="shared" si="38"/>
        <v>-72692.975004000211</v>
      </c>
      <c r="AM240" s="464">
        <f t="shared" si="39"/>
        <v>-24225.64</v>
      </c>
      <c r="AN240" s="464">
        <v>-54025.385362000263</v>
      </c>
      <c r="AO240" s="464">
        <v>5558.0503580000513</v>
      </c>
      <c r="AP240" s="317">
        <f t="shared" si="40"/>
        <v>-72692.975004000211</v>
      </c>
      <c r="AQ240" s="317">
        <f t="shared" si="41"/>
        <v>0</v>
      </c>
      <c r="AS240" s="475">
        <v>86864.096677999885</v>
      </c>
      <c r="AT240" s="174">
        <f t="shared" si="42"/>
        <v>14171.121673999674</v>
      </c>
      <c r="AU240" s="174">
        <f t="shared" si="43"/>
        <v>0</v>
      </c>
    </row>
    <row r="241" spans="1:47">
      <c r="A241" t="s">
        <v>507</v>
      </c>
      <c r="B241" t="s">
        <v>2810</v>
      </c>
      <c r="C241" s="468">
        <v>-98553.17</v>
      </c>
      <c r="D241" s="468">
        <v>-34050.782236999999</v>
      </c>
      <c r="E241" s="473">
        <v>-94322.305059999984</v>
      </c>
      <c r="F241" s="474">
        <v>-60769.374959999972</v>
      </c>
      <c r="G241" s="450">
        <f t="shared" si="35"/>
        <v>-287695.63225699996</v>
      </c>
      <c r="I241" s="67">
        <f t="shared" si="36"/>
        <v>0</v>
      </c>
      <c r="J241" s="58" t="s">
        <v>507</v>
      </c>
      <c r="K241" t="s">
        <v>508</v>
      </c>
      <c r="L241" s="448">
        <v>-60769.374959999972</v>
      </c>
      <c r="M241" s="67" t="s">
        <v>2591</v>
      </c>
      <c r="N241" s="317"/>
      <c r="P241" t="s">
        <v>507</v>
      </c>
      <c r="Q241" t="s">
        <v>2810</v>
      </c>
      <c r="R241" s="211">
        <v>-101914.82</v>
      </c>
      <c r="S241" s="211">
        <v>-98553.17</v>
      </c>
      <c r="T241" s="211">
        <v>-34050.782236999999</v>
      </c>
      <c r="U241" s="274">
        <v>-94322.305059999984</v>
      </c>
      <c r="V241" s="79">
        <f t="shared" si="44"/>
        <v>-328841.07729699998</v>
      </c>
      <c r="Z241" s="172">
        <f t="shared" si="37"/>
        <v>0</v>
      </c>
      <c r="AB241" t="s">
        <v>507</v>
      </c>
      <c r="AC241" t="s">
        <v>2810</v>
      </c>
      <c r="AD241" s="464">
        <v>-101914.82</v>
      </c>
      <c r="AE241" s="464">
        <v>-98553.17</v>
      </c>
      <c r="AF241" s="464">
        <v>-34050.782236999999</v>
      </c>
      <c r="AG241" s="464">
        <v>-94322.305059999984</v>
      </c>
      <c r="AH241" s="464">
        <v>-328841.07729699998</v>
      </c>
      <c r="AJ241" s="464">
        <f t="shared" si="38"/>
        <v>-226926.25729699997</v>
      </c>
      <c r="AM241" s="464">
        <f t="shared" si="39"/>
        <v>-98553.17</v>
      </c>
      <c r="AN241" s="464">
        <v>-34050.782236999999</v>
      </c>
      <c r="AO241" s="464">
        <v>-94322.305059999984</v>
      </c>
      <c r="AP241" s="317">
        <f t="shared" si="40"/>
        <v>-226926.25729699997</v>
      </c>
      <c r="AQ241" s="317">
        <f t="shared" si="41"/>
        <v>0</v>
      </c>
      <c r="AS241" s="475">
        <v>-60769.374959999972</v>
      </c>
      <c r="AT241" s="174">
        <f t="shared" si="42"/>
        <v>-287695.63225699996</v>
      </c>
      <c r="AU241" s="174">
        <f t="shared" si="43"/>
        <v>0</v>
      </c>
    </row>
    <row r="242" spans="1:47">
      <c r="A242" t="s">
        <v>509</v>
      </c>
      <c r="B242" t="s">
        <v>2811</v>
      </c>
      <c r="C242" s="468">
        <v>-153406.84</v>
      </c>
      <c r="D242" s="468">
        <v>-99214.160899999988</v>
      </c>
      <c r="E242" s="473">
        <v>0</v>
      </c>
      <c r="F242" s="474">
        <v>97197.684343999979</v>
      </c>
      <c r="G242" s="450">
        <f t="shared" si="35"/>
        <v>-155423.31655600001</v>
      </c>
      <c r="I242" s="67">
        <f t="shared" si="36"/>
        <v>0</v>
      </c>
      <c r="J242" s="58" t="s">
        <v>509</v>
      </c>
      <c r="K242" t="s">
        <v>510</v>
      </c>
      <c r="L242" s="448">
        <v>97197.684343999979</v>
      </c>
      <c r="M242" s="67" t="s">
        <v>2591</v>
      </c>
      <c r="N242" s="317"/>
      <c r="P242" t="s">
        <v>509</v>
      </c>
      <c r="Q242" t="s">
        <v>2811</v>
      </c>
      <c r="R242" s="211">
        <v>-154892.89000000001</v>
      </c>
      <c r="S242" s="211">
        <v>-153406.84</v>
      </c>
      <c r="T242" s="211">
        <v>-99214.160899999988</v>
      </c>
      <c r="U242" s="274">
        <v>63626.941201000009</v>
      </c>
      <c r="V242" s="79">
        <f t="shared" si="44"/>
        <v>-343886.94969899999</v>
      </c>
      <c r="Z242" s="172">
        <f t="shared" si="37"/>
        <v>0</v>
      </c>
      <c r="AB242" t="s">
        <v>509</v>
      </c>
      <c r="AC242" t="s">
        <v>2811</v>
      </c>
      <c r="AD242" s="464">
        <v>-91265.948799000005</v>
      </c>
      <c r="AE242" s="464">
        <v>-153406.84</v>
      </c>
      <c r="AF242" s="464">
        <v>-99214.160899999988</v>
      </c>
      <c r="AG242" s="464">
        <v>0</v>
      </c>
      <c r="AH242" s="464">
        <v>-343886.94969899999</v>
      </c>
      <c r="AJ242" s="464">
        <f t="shared" si="38"/>
        <v>-252621.00089999998</v>
      </c>
      <c r="AM242" s="464">
        <f t="shared" si="39"/>
        <v>-153406.84</v>
      </c>
      <c r="AN242" s="464">
        <v>-99214.160899999988</v>
      </c>
      <c r="AO242" s="464">
        <v>0</v>
      </c>
      <c r="AP242" s="317">
        <f t="shared" si="40"/>
        <v>-252621.00089999998</v>
      </c>
      <c r="AQ242" s="317">
        <f t="shared" si="41"/>
        <v>0</v>
      </c>
      <c r="AS242" s="475">
        <v>97197.684343999979</v>
      </c>
      <c r="AT242" s="174">
        <f t="shared" si="42"/>
        <v>-155423.31655600001</v>
      </c>
      <c r="AU242" s="174">
        <f t="shared" si="43"/>
        <v>0</v>
      </c>
    </row>
    <row r="243" spans="1:47">
      <c r="A243" t="s">
        <v>511</v>
      </c>
      <c r="B243" t="s">
        <v>2812</v>
      </c>
      <c r="C243" s="468">
        <v>-364433.07</v>
      </c>
      <c r="D243" s="468">
        <v>-574907.32105999999</v>
      </c>
      <c r="E243" s="473">
        <v>-78968.891994999722</v>
      </c>
      <c r="F243" s="474">
        <v>-167953.46703999976</v>
      </c>
      <c r="G243" s="450">
        <f t="shared" si="35"/>
        <v>-1186262.7500949996</v>
      </c>
      <c r="I243" s="67">
        <f t="shared" si="36"/>
        <v>0</v>
      </c>
      <c r="J243" s="58" t="s">
        <v>511</v>
      </c>
      <c r="K243" t="s">
        <v>512</v>
      </c>
      <c r="L243" s="448">
        <v>-167953.46703999976</v>
      </c>
      <c r="M243" s="67" t="s">
        <v>2591</v>
      </c>
      <c r="N243" s="317"/>
      <c r="P243" t="s">
        <v>511</v>
      </c>
      <c r="Q243" t="s">
        <v>2812</v>
      </c>
      <c r="R243" s="211">
        <v>-133366.69</v>
      </c>
      <c r="S243" s="211">
        <v>-364433.07</v>
      </c>
      <c r="T243" s="211">
        <v>-574907.32105999999</v>
      </c>
      <c r="U243" s="274">
        <v>-78968.891994999722</v>
      </c>
      <c r="V243" s="79">
        <f t="shared" si="44"/>
        <v>-1151675.9730549997</v>
      </c>
      <c r="Z243" s="172">
        <f t="shared" si="37"/>
        <v>0</v>
      </c>
      <c r="AB243" t="s">
        <v>511</v>
      </c>
      <c r="AC243" t="s">
        <v>2812</v>
      </c>
      <c r="AD243" s="464">
        <v>-133366.69</v>
      </c>
      <c r="AE243" s="464">
        <v>-364433.07</v>
      </c>
      <c r="AF243" s="464">
        <v>-574907.32105999999</v>
      </c>
      <c r="AG243" s="464">
        <v>-78968.891994999722</v>
      </c>
      <c r="AH243" s="464">
        <v>-1151675.9730549997</v>
      </c>
      <c r="AJ243" s="464">
        <f t="shared" si="38"/>
        <v>-1018309.2830549998</v>
      </c>
      <c r="AM243" s="464">
        <f t="shared" si="39"/>
        <v>-364433.07</v>
      </c>
      <c r="AN243" s="464">
        <v>-574907.32105999999</v>
      </c>
      <c r="AO243" s="464">
        <v>-78968.891994999722</v>
      </c>
      <c r="AP243" s="317">
        <f t="shared" si="40"/>
        <v>-1018309.2830549998</v>
      </c>
      <c r="AQ243" s="317">
        <f t="shared" si="41"/>
        <v>0</v>
      </c>
      <c r="AS243" s="475">
        <v>-167953.46703999976</v>
      </c>
      <c r="AT243" s="174">
        <f t="shared" si="42"/>
        <v>-1186262.7500949996</v>
      </c>
      <c r="AU243" s="174">
        <f t="shared" si="43"/>
        <v>0</v>
      </c>
    </row>
    <row r="244" spans="1:47">
      <c r="A244" t="s">
        <v>513</v>
      </c>
      <c r="B244" t="s">
        <v>2813</v>
      </c>
      <c r="C244" s="468">
        <v>-40474.97</v>
      </c>
      <c r="D244" s="468">
        <v>98560.942594000007</v>
      </c>
      <c r="E244" s="473">
        <v>205799.82022399979</v>
      </c>
      <c r="F244" s="474">
        <v>175823.57701600002</v>
      </c>
      <c r="G244" s="450">
        <f t="shared" si="35"/>
        <v>439709.36983399978</v>
      </c>
      <c r="I244" s="67">
        <f t="shared" si="36"/>
        <v>0</v>
      </c>
      <c r="J244" s="58" t="s">
        <v>513</v>
      </c>
      <c r="K244" t="s">
        <v>514</v>
      </c>
      <c r="L244" s="448">
        <v>175823.57701600002</v>
      </c>
      <c r="M244" s="67" t="s">
        <v>2591</v>
      </c>
      <c r="N244" s="317"/>
      <c r="P244" t="s">
        <v>513</v>
      </c>
      <c r="Q244" t="s">
        <v>2813</v>
      </c>
      <c r="R244" s="211">
        <v>-100051.23</v>
      </c>
      <c r="S244" s="211">
        <v>-40474.97</v>
      </c>
      <c r="T244" s="211">
        <v>98560.942594000007</v>
      </c>
      <c r="U244" s="274">
        <v>305851.05022399977</v>
      </c>
      <c r="V244" s="79">
        <f t="shared" si="44"/>
        <v>263885.79281799978</v>
      </c>
      <c r="Z244" s="172">
        <f t="shared" si="37"/>
        <v>0</v>
      </c>
      <c r="AB244" t="s">
        <v>513</v>
      </c>
      <c r="AC244" t="s">
        <v>2813</v>
      </c>
      <c r="AD244" s="464">
        <v>0</v>
      </c>
      <c r="AE244" s="464">
        <v>-40474.97</v>
      </c>
      <c r="AF244" s="464">
        <v>98560.942594000007</v>
      </c>
      <c r="AG244" s="464">
        <v>205799.82022399979</v>
      </c>
      <c r="AH244" s="464">
        <v>263885.79281799978</v>
      </c>
      <c r="AJ244" s="464">
        <f t="shared" si="38"/>
        <v>263885.79281799978</v>
      </c>
      <c r="AM244" s="464">
        <f t="shared" si="39"/>
        <v>-40474.97</v>
      </c>
      <c r="AN244" s="464">
        <v>98560.942594000007</v>
      </c>
      <c r="AO244" s="464">
        <v>205799.82022399979</v>
      </c>
      <c r="AP244" s="317">
        <f t="shared" si="40"/>
        <v>263885.79281799978</v>
      </c>
      <c r="AQ244" s="317">
        <f t="shared" si="41"/>
        <v>0</v>
      </c>
      <c r="AS244" s="475">
        <v>175823.57701600002</v>
      </c>
      <c r="AT244" s="174">
        <f t="shared" si="42"/>
        <v>439709.36983399978</v>
      </c>
      <c r="AU244" s="174">
        <f t="shared" si="43"/>
        <v>0</v>
      </c>
    </row>
    <row r="245" spans="1:47">
      <c r="A245" s="436" t="s">
        <v>517</v>
      </c>
      <c r="B245" s="437" t="s">
        <v>518</v>
      </c>
      <c r="C245" s="478">
        <v>0</v>
      </c>
      <c r="D245" s="467"/>
      <c r="E245" s="473"/>
      <c r="F245" s="474"/>
      <c r="G245" s="450">
        <f t="shared" si="35"/>
        <v>0</v>
      </c>
      <c r="I245" s="67">
        <f t="shared" si="36"/>
        <v>0</v>
      </c>
      <c r="J245" s="436" t="s">
        <v>517</v>
      </c>
      <c r="K245" s="437" t="s">
        <v>518</v>
      </c>
      <c r="L245" s="448"/>
      <c r="M245" s="67"/>
      <c r="N245" s="317"/>
      <c r="P245" s="291" t="s">
        <v>517</v>
      </c>
      <c r="Q245" s="292" t="s">
        <v>518</v>
      </c>
      <c r="R245" s="211"/>
      <c r="S245" s="211"/>
      <c r="T245" s="211"/>
      <c r="U245" s="274"/>
      <c r="V245" s="79"/>
      <c r="Z245" s="172">
        <f t="shared" si="37"/>
        <v>0</v>
      </c>
      <c r="AB245" t="s">
        <v>517</v>
      </c>
      <c r="AC245" t="s">
        <v>518</v>
      </c>
      <c r="AD245" s="464"/>
      <c r="AE245" s="464"/>
      <c r="AF245" s="464"/>
      <c r="AG245" s="464"/>
      <c r="AH245" s="464"/>
      <c r="AJ245" s="464">
        <f t="shared" si="38"/>
        <v>0</v>
      </c>
      <c r="AM245" s="464">
        <f t="shared" si="39"/>
        <v>0</v>
      </c>
      <c r="AN245" s="464"/>
      <c r="AO245" s="464"/>
      <c r="AP245" s="317">
        <f t="shared" si="40"/>
        <v>0</v>
      </c>
      <c r="AQ245" s="317">
        <f t="shared" si="41"/>
        <v>0</v>
      </c>
      <c r="AS245" s="475"/>
      <c r="AT245" s="174">
        <f t="shared" si="42"/>
        <v>0</v>
      </c>
      <c r="AU245" s="174">
        <f t="shared" si="43"/>
        <v>0</v>
      </c>
    </row>
    <row r="246" spans="1:47">
      <c r="A246" t="s">
        <v>519</v>
      </c>
      <c r="B246" t="s">
        <v>2814</v>
      </c>
      <c r="C246" s="479">
        <v>-31040.47</v>
      </c>
      <c r="D246" s="468">
        <v>-19951.080036000047</v>
      </c>
      <c r="E246" s="473">
        <v>-19978.076143999991</v>
      </c>
      <c r="F246" s="474">
        <v>-14465.273208999988</v>
      </c>
      <c r="G246" s="450">
        <f t="shared" si="35"/>
        <v>-85434.899389000027</v>
      </c>
      <c r="I246" s="67">
        <f t="shared" si="36"/>
        <v>0</v>
      </c>
      <c r="J246" s="58" t="s">
        <v>519</v>
      </c>
      <c r="K246" t="s">
        <v>520</v>
      </c>
      <c r="L246" s="448">
        <v>-14465.273208999988</v>
      </c>
      <c r="M246" s="67" t="s">
        <v>2591</v>
      </c>
      <c r="N246" s="317"/>
      <c r="P246" t="s">
        <v>519</v>
      </c>
      <c r="Q246" t="s">
        <v>2814</v>
      </c>
      <c r="R246" s="211">
        <v>-30669.26</v>
      </c>
      <c r="S246" s="211">
        <v>-31040.47</v>
      </c>
      <c r="T246" s="211">
        <v>-19951.080036000047</v>
      </c>
      <c r="U246" s="274">
        <v>-19978.076143999991</v>
      </c>
      <c r="V246" s="79">
        <f t="shared" ref="V246:V254" si="45">SUM(R246:U246)</f>
        <v>-101638.88618000003</v>
      </c>
      <c r="Z246" s="172">
        <f t="shared" si="37"/>
        <v>0</v>
      </c>
      <c r="AB246" t="s">
        <v>519</v>
      </c>
      <c r="AC246" t="s">
        <v>2814</v>
      </c>
      <c r="AD246" s="464">
        <v>-30669.26</v>
      </c>
      <c r="AE246" s="464">
        <v>-31040.47</v>
      </c>
      <c r="AF246" s="464">
        <v>-19951.080036000047</v>
      </c>
      <c r="AG246" s="464">
        <v>-19978.076143999991</v>
      </c>
      <c r="AH246" s="464">
        <v>-101638.88618000003</v>
      </c>
      <c r="AJ246" s="464">
        <f t="shared" si="38"/>
        <v>-70969.626180000036</v>
      </c>
      <c r="AM246" s="464">
        <f t="shared" si="39"/>
        <v>-31040.47</v>
      </c>
      <c r="AN246" s="464">
        <v>-19951.080036000047</v>
      </c>
      <c r="AO246" s="464">
        <v>-19978.076143999991</v>
      </c>
      <c r="AP246" s="317">
        <f t="shared" si="40"/>
        <v>-70969.626180000036</v>
      </c>
      <c r="AQ246" s="317">
        <f t="shared" si="41"/>
        <v>0</v>
      </c>
      <c r="AS246" s="475">
        <v>-14465.273208999988</v>
      </c>
      <c r="AT246" s="174">
        <f t="shared" si="42"/>
        <v>-85434.899389000027</v>
      </c>
      <c r="AU246" s="174">
        <f t="shared" si="43"/>
        <v>0</v>
      </c>
    </row>
    <row r="247" spans="1:47">
      <c r="A247" t="s">
        <v>521</v>
      </c>
      <c r="B247" t="s">
        <v>2815</v>
      </c>
      <c r="C247" s="479">
        <v>-5501.46</v>
      </c>
      <c r="D247" s="468">
        <v>-192748.99807764377</v>
      </c>
      <c r="E247" s="473">
        <v>13148.699136000243</v>
      </c>
      <c r="F247" s="474">
        <v>88087.528395999994</v>
      </c>
      <c r="G247" s="450">
        <f t="shared" si="35"/>
        <v>-97014.230545643528</v>
      </c>
      <c r="I247" s="67">
        <f t="shared" si="36"/>
        <v>0</v>
      </c>
      <c r="J247" s="58" t="s">
        <v>521</v>
      </c>
      <c r="K247" t="s">
        <v>522</v>
      </c>
      <c r="L247" s="448">
        <v>88087.528395999994</v>
      </c>
      <c r="M247" s="67" t="s">
        <v>2591</v>
      </c>
      <c r="N247" s="317"/>
      <c r="P247" t="s">
        <v>521</v>
      </c>
      <c r="Q247" t="s">
        <v>2815</v>
      </c>
      <c r="R247" s="211">
        <v>-130071.37</v>
      </c>
      <c r="S247" s="211">
        <v>-5501.46</v>
      </c>
      <c r="T247" s="211">
        <v>-192748.99807764377</v>
      </c>
      <c r="U247" s="274">
        <v>143220.06913600024</v>
      </c>
      <c r="V247" s="79">
        <f t="shared" si="45"/>
        <v>-185101.75894164352</v>
      </c>
      <c r="Z247" s="172">
        <f t="shared" si="37"/>
        <v>0</v>
      </c>
      <c r="AB247" t="s">
        <v>521</v>
      </c>
      <c r="AC247" t="s">
        <v>2815</v>
      </c>
      <c r="AD247" s="464">
        <v>0</v>
      </c>
      <c r="AE247" s="464">
        <v>-5501.46</v>
      </c>
      <c r="AF247" s="464">
        <v>-192748.99807764377</v>
      </c>
      <c r="AG247" s="464">
        <v>13148.699136000243</v>
      </c>
      <c r="AH247" s="464">
        <v>-185101.75894164352</v>
      </c>
      <c r="AJ247" s="464">
        <f t="shared" si="38"/>
        <v>-185101.75894164352</v>
      </c>
      <c r="AM247" s="464">
        <f t="shared" si="39"/>
        <v>-5501.46</v>
      </c>
      <c r="AN247" s="464">
        <v>-192748.99807764377</v>
      </c>
      <c r="AO247" s="464">
        <v>13148.699136000243</v>
      </c>
      <c r="AP247" s="317">
        <f t="shared" si="40"/>
        <v>-185101.75894164352</v>
      </c>
      <c r="AQ247" s="317">
        <f t="shared" si="41"/>
        <v>0</v>
      </c>
      <c r="AS247" s="475">
        <v>88087.528395999994</v>
      </c>
      <c r="AT247" s="174">
        <f t="shared" si="42"/>
        <v>-97014.230545643528</v>
      </c>
      <c r="AU247" s="174">
        <f t="shared" si="43"/>
        <v>0</v>
      </c>
    </row>
    <row r="248" spans="1:47">
      <c r="A248" t="s">
        <v>523</v>
      </c>
      <c r="B248" t="s">
        <v>2816</v>
      </c>
      <c r="C248" s="479">
        <v>-130355.56</v>
      </c>
      <c r="D248" s="468">
        <v>-149452.19531399992</v>
      </c>
      <c r="E248" s="473">
        <v>-99080.271149999928</v>
      </c>
      <c r="F248" s="474">
        <v>-130473.12811499994</v>
      </c>
      <c r="G248" s="450">
        <f t="shared" si="35"/>
        <v>-509361.15457899985</v>
      </c>
      <c r="I248" s="67">
        <f t="shared" si="36"/>
        <v>0</v>
      </c>
      <c r="J248" s="58" t="s">
        <v>523</v>
      </c>
      <c r="K248" t="s">
        <v>524</v>
      </c>
      <c r="L248" s="448">
        <v>-130473.12811499994</v>
      </c>
      <c r="M248" s="67" t="s">
        <v>2591</v>
      </c>
      <c r="N248" s="317"/>
      <c r="P248" t="s">
        <v>523</v>
      </c>
      <c r="Q248" t="s">
        <v>2816</v>
      </c>
      <c r="R248" s="211">
        <v>-203289.85</v>
      </c>
      <c r="S248" s="211">
        <v>-130355.56</v>
      </c>
      <c r="T248" s="211">
        <v>-149452.19531399992</v>
      </c>
      <c r="U248" s="274">
        <v>-99080.271149999928</v>
      </c>
      <c r="V248" s="79">
        <f t="shared" si="45"/>
        <v>-582177.87646399986</v>
      </c>
      <c r="Z248" s="172">
        <f t="shared" si="37"/>
        <v>0</v>
      </c>
      <c r="AB248" t="s">
        <v>523</v>
      </c>
      <c r="AC248" t="s">
        <v>2816</v>
      </c>
      <c r="AD248" s="464">
        <v>-203289.85</v>
      </c>
      <c r="AE248" s="464">
        <v>-130355.56</v>
      </c>
      <c r="AF248" s="464">
        <v>-149452.19531399992</v>
      </c>
      <c r="AG248" s="464">
        <v>-99080.271149999928</v>
      </c>
      <c r="AH248" s="464">
        <v>-582177.87646399986</v>
      </c>
      <c r="AJ248" s="464">
        <f t="shared" si="38"/>
        <v>-378888.02646399988</v>
      </c>
      <c r="AM248" s="464">
        <f t="shared" si="39"/>
        <v>-130355.56</v>
      </c>
      <c r="AN248" s="464">
        <v>-149452.19531399992</v>
      </c>
      <c r="AO248" s="464">
        <v>-99080.271149999928</v>
      </c>
      <c r="AP248" s="317">
        <f t="shared" si="40"/>
        <v>-378888.02646399988</v>
      </c>
      <c r="AQ248" s="317">
        <f t="shared" si="41"/>
        <v>0</v>
      </c>
      <c r="AS248" s="475">
        <v>-130473.12811499994</v>
      </c>
      <c r="AT248" s="174">
        <f t="shared" si="42"/>
        <v>-509361.15457899985</v>
      </c>
      <c r="AU248" s="174">
        <f t="shared" si="43"/>
        <v>0</v>
      </c>
    </row>
    <row r="249" spans="1:47">
      <c r="A249" t="s">
        <v>525</v>
      </c>
      <c r="B249" t="s">
        <v>2817</v>
      </c>
      <c r="C249" s="479">
        <v>-23801.22</v>
      </c>
      <c r="D249" s="468">
        <v>-21458.096560000002</v>
      </c>
      <c r="E249" s="473">
        <v>-30701.7804</v>
      </c>
      <c r="F249" s="474">
        <v>-61760.512143999993</v>
      </c>
      <c r="G249" s="450">
        <f t="shared" si="35"/>
        <v>-137721.609104</v>
      </c>
      <c r="I249" s="67">
        <f t="shared" si="36"/>
        <v>0</v>
      </c>
      <c r="J249" s="58" t="s">
        <v>525</v>
      </c>
      <c r="K249" t="s">
        <v>526</v>
      </c>
      <c r="L249" s="448">
        <v>-61760.512143999993</v>
      </c>
      <c r="M249" s="67" t="s">
        <v>2591</v>
      </c>
      <c r="N249" s="317"/>
      <c r="P249" t="s">
        <v>525</v>
      </c>
      <c r="Q249" t="s">
        <v>2817</v>
      </c>
      <c r="R249" s="211">
        <v>-17771.28</v>
      </c>
      <c r="S249" s="211">
        <v>-23801.22</v>
      </c>
      <c r="T249" s="211">
        <v>-21458.096560000002</v>
      </c>
      <c r="U249" s="274">
        <v>-30701.7804</v>
      </c>
      <c r="V249" s="79">
        <f t="shared" si="45"/>
        <v>-93732.376960000009</v>
      </c>
      <c r="Z249" s="172">
        <f t="shared" si="37"/>
        <v>0</v>
      </c>
      <c r="AB249" t="s">
        <v>525</v>
      </c>
      <c r="AC249" t="s">
        <v>2817</v>
      </c>
      <c r="AD249" s="464">
        <v>-17771.28</v>
      </c>
      <c r="AE249" s="464">
        <v>-23801.22</v>
      </c>
      <c r="AF249" s="464">
        <v>-21458.096560000002</v>
      </c>
      <c r="AG249" s="464">
        <v>-30701.7804</v>
      </c>
      <c r="AH249" s="464">
        <v>-93732.376960000009</v>
      </c>
      <c r="AJ249" s="464">
        <f t="shared" si="38"/>
        <v>-75961.09696000001</v>
      </c>
      <c r="AM249" s="464">
        <f t="shared" si="39"/>
        <v>-23801.22</v>
      </c>
      <c r="AN249" s="464">
        <v>-21458.096560000002</v>
      </c>
      <c r="AO249" s="464">
        <v>-30701.7804</v>
      </c>
      <c r="AP249" s="317">
        <f t="shared" si="40"/>
        <v>-75961.09696000001</v>
      </c>
      <c r="AQ249" s="317">
        <f t="shared" si="41"/>
        <v>0</v>
      </c>
      <c r="AS249" s="475">
        <v>-61760.512143999993</v>
      </c>
      <c r="AT249" s="174">
        <f t="shared" si="42"/>
        <v>-137721.609104</v>
      </c>
      <c r="AU249" s="174">
        <f t="shared" si="43"/>
        <v>0</v>
      </c>
    </row>
    <row r="250" spans="1:47">
      <c r="A250" t="s">
        <v>527</v>
      </c>
      <c r="B250" t="s">
        <v>2818</v>
      </c>
      <c r="C250" s="479">
        <v>-4079306.84</v>
      </c>
      <c r="D250" s="468">
        <v>0</v>
      </c>
      <c r="E250" s="473">
        <v>0</v>
      </c>
      <c r="F250" s="474">
        <v>-1870452.9653209841</v>
      </c>
      <c r="G250" s="450">
        <f t="shared" si="35"/>
        <v>-5949759.8053209838</v>
      </c>
      <c r="I250" s="67">
        <f t="shared" si="36"/>
        <v>0</v>
      </c>
      <c r="J250" s="58" t="s">
        <v>527</v>
      </c>
      <c r="K250" t="s">
        <v>528</v>
      </c>
      <c r="L250" s="448">
        <v>-1870452.9653209841</v>
      </c>
      <c r="M250" s="67" t="s">
        <v>2591</v>
      </c>
      <c r="N250" s="317"/>
      <c r="P250" t="s">
        <v>527</v>
      </c>
      <c r="Q250" t="s">
        <v>2818</v>
      </c>
      <c r="R250" s="211">
        <v>-2837268.81</v>
      </c>
      <c r="S250" s="211">
        <v>-4079306.84</v>
      </c>
      <c r="T250" s="211">
        <v>703302.66066594142</v>
      </c>
      <c r="U250" s="274">
        <v>284128.3382306695</v>
      </c>
      <c r="V250" s="79">
        <f t="shared" si="45"/>
        <v>-5929144.6511033894</v>
      </c>
      <c r="Z250" s="172">
        <f t="shared" si="37"/>
        <v>0</v>
      </c>
      <c r="AB250" t="s">
        <v>527</v>
      </c>
      <c r="AC250" t="s">
        <v>2818</v>
      </c>
      <c r="AD250" s="464">
        <v>-1849837.8111033891</v>
      </c>
      <c r="AE250" s="464">
        <v>-4079306.84</v>
      </c>
      <c r="AF250" s="464">
        <v>0</v>
      </c>
      <c r="AG250" s="464">
        <v>0</v>
      </c>
      <c r="AH250" s="464">
        <v>-5929144.6511033885</v>
      </c>
      <c r="AJ250" s="464">
        <f t="shared" si="38"/>
        <v>-4079306.84</v>
      </c>
      <c r="AM250" s="464">
        <f t="shared" si="39"/>
        <v>-4079306.84</v>
      </c>
      <c r="AN250" s="464">
        <v>0</v>
      </c>
      <c r="AO250" s="464">
        <v>0</v>
      </c>
      <c r="AP250" s="317">
        <f t="shared" si="40"/>
        <v>-4079306.84</v>
      </c>
      <c r="AQ250" s="317">
        <f t="shared" si="41"/>
        <v>0</v>
      </c>
      <c r="AS250" s="475">
        <v>-1870452.9653209841</v>
      </c>
      <c r="AT250" s="174">
        <f t="shared" si="42"/>
        <v>-5949759.8053209838</v>
      </c>
      <c r="AU250" s="174">
        <f t="shared" si="43"/>
        <v>0</v>
      </c>
    </row>
    <row r="251" spans="1:47">
      <c r="A251" t="s">
        <v>529</v>
      </c>
      <c r="B251" t="s">
        <v>2819</v>
      </c>
      <c r="C251" s="479">
        <v>-151529.82</v>
      </c>
      <c r="D251" s="468">
        <v>133825.9191186979</v>
      </c>
      <c r="E251" s="473">
        <v>59062.152351612749</v>
      </c>
      <c r="F251" s="474">
        <v>228172.61822816703</v>
      </c>
      <c r="G251" s="450">
        <f t="shared" si="35"/>
        <v>269530.86969847768</v>
      </c>
      <c r="I251" s="67">
        <f t="shared" si="36"/>
        <v>0</v>
      </c>
      <c r="J251" s="58" t="s">
        <v>529</v>
      </c>
      <c r="K251" t="s">
        <v>530</v>
      </c>
      <c r="L251" s="448">
        <v>228172.61822816703</v>
      </c>
      <c r="M251" s="67" t="s">
        <v>2591</v>
      </c>
      <c r="N251" s="317"/>
      <c r="P251" t="s">
        <v>529</v>
      </c>
      <c r="Q251" t="s">
        <v>2819</v>
      </c>
      <c r="R251" s="211">
        <v>-176657.56</v>
      </c>
      <c r="S251" s="211">
        <v>-151529.82</v>
      </c>
      <c r="T251" s="211">
        <v>133825.9191186979</v>
      </c>
      <c r="U251" s="274">
        <v>235719.71235161275</v>
      </c>
      <c r="V251" s="79">
        <f t="shared" si="45"/>
        <v>41358.251470310643</v>
      </c>
      <c r="Z251" s="172">
        <f t="shared" si="37"/>
        <v>0</v>
      </c>
      <c r="AB251" t="s">
        <v>529</v>
      </c>
      <c r="AC251" t="s">
        <v>2819</v>
      </c>
      <c r="AD251" s="464">
        <v>0</v>
      </c>
      <c r="AE251" s="464">
        <v>-151529.82</v>
      </c>
      <c r="AF251" s="464">
        <v>133825.9191186979</v>
      </c>
      <c r="AG251" s="464">
        <v>59062.152351612749</v>
      </c>
      <c r="AH251" s="464">
        <v>41358.251470310643</v>
      </c>
      <c r="AJ251" s="464">
        <f t="shared" si="38"/>
        <v>41358.251470310643</v>
      </c>
      <c r="AM251" s="464">
        <f t="shared" si="39"/>
        <v>-151529.82</v>
      </c>
      <c r="AN251" s="464">
        <v>133825.9191186979</v>
      </c>
      <c r="AO251" s="464">
        <v>59062.152351612749</v>
      </c>
      <c r="AP251" s="317">
        <f t="shared" si="40"/>
        <v>41358.251470310643</v>
      </c>
      <c r="AQ251" s="317">
        <f t="shared" si="41"/>
        <v>0</v>
      </c>
      <c r="AS251" s="475">
        <v>228172.61822816703</v>
      </c>
      <c r="AT251" s="174">
        <f t="shared" si="42"/>
        <v>269530.86969847768</v>
      </c>
      <c r="AU251" s="174">
        <f t="shared" si="43"/>
        <v>0</v>
      </c>
    </row>
    <row r="252" spans="1:47">
      <c r="A252" t="s">
        <v>531</v>
      </c>
      <c r="B252" t="s">
        <v>2820</v>
      </c>
      <c r="C252" s="479">
        <v>329844.73999999935</v>
      </c>
      <c r="D252" s="468">
        <v>148107.87123000028</v>
      </c>
      <c r="E252" s="473">
        <v>65592.166261999635</v>
      </c>
      <c r="F252" s="474">
        <v>108108.66157000029</v>
      </c>
      <c r="G252" s="450">
        <f t="shared" si="35"/>
        <v>651653.43906199955</v>
      </c>
      <c r="I252" s="67">
        <f t="shared" si="36"/>
        <v>0</v>
      </c>
      <c r="J252" s="58" t="s">
        <v>531</v>
      </c>
      <c r="K252" t="s">
        <v>532</v>
      </c>
      <c r="L252" s="448">
        <v>108108.66157000029</v>
      </c>
      <c r="M252" s="67" t="s">
        <v>2591</v>
      </c>
      <c r="N252" s="317"/>
      <c r="P252" t="s">
        <v>531</v>
      </c>
      <c r="Q252" t="s">
        <v>2820</v>
      </c>
      <c r="R252" s="211">
        <v>124381.44999999934</v>
      </c>
      <c r="S252" s="211">
        <v>205463.29</v>
      </c>
      <c r="T252" s="211">
        <v>148107.87123000028</v>
      </c>
      <c r="U252" s="274">
        <v>65592.166261999635</v>
      </c>
      <c r="V252" s="79">
        <f t="shared" si="45"/>
        <v>543544.77749199932</v>
      </c>
      <c r="Z252" s="172">
        <f t="shared" si="37"/>
        <v>0</v>
      </c>
      <c r="AB252" t="s">
        <v>531</v>
      </c>
      <c r="AC252" t="s">
        <v>2820</v>
      </c>
      <c r="AD252" s="464">
        <v>124381.44999999934</v>
      </c>
      <c r="AE252" s="464">
        <v>205463.29</v>
      </c>
      <c r="AF252" s="464">
        <v>148107.87123000028</v>
      </c>
      <c r="AG252" s="464">
        <v>65592.166261999635</v>
      </c>
      <c r="AH252" s="464">
        <v>543544.77749199932</v>
      </c>
      <c r="AJ252" s="464">
        <f t="shared" si="38"/>
        <v>419163.32749199995</v>
      </c>
      <c r="AM252" s="465">
        <f>+AD252+AE252</f>
        <v>329844.73999999935</v>
      </c>
      <c r="AN252" s="464">
        <v>148107.87123000028</v>
      </c>
      <c r="AO252" s="464">
        <v>65592.166261999635</v>
      </c>
      <c r="AP252" s="317">
        <f t="shared" si="40"/>
        <v>543544.77749199932</v>
      </c>
      <c r="AQ252" s="466">
        <f>+AP252-AH252</f>
        <v>0</v>
      </c>
      <c r="AS252" s="475">
        <v>108108.66157000029</v>
      </c>
      <c r="AT252" s="174">
        <f t="shared" si="42"/>
        <v>651653.43906199955</v>
      </c>
      <c r="AU252" s="174">
        <f t="shared" si="43"/>
        <v>0</v>
      </c>
    </row>
    <row r="253" spans="1:47">
      <c r="A253" t="s">
        <v>533</v>
      </c>
      <c r="B253" t="s">
        <v>2821</v>
      </c>
      <c r="C253" s="479">
        <v>-100718.52</v>
      </c>
      <c r="D253" s="468">
        <v>-98379.251505000051</v>
      </c>
      <c r="E253" s="473">
        <v>-92117.626439999993</v>
      </c>
      <c r="F253" s="474">
        <v>-95225.18925499999</v>
      </c>
      <c r="G253" s="450">
        <f t="shared" si="35"/>
        <v>-386440.58720000007</v>
      </c>
      <c r="I253" s="67">
        <f t="shared" si="36"/>
        <v>0</v>
      </c>
      <c r="J253" s="58" t="s">
        <v>533</v>
      </c>
      <c r="K253" t="s">
        <v>534</v>
      </c>
      <c r="L253" s="448">
        <v>-95225.18925499999</v>
      </c>
      <c r="M253" s="67" t="s">
        <v>2591</v>
      </c>
      <c r="N253" s="317"/>
      <c r="P253" t="s">
        <v>533</v>
      </c>
      <c r="Q253" t="s">
        <v>2821</v>
      </c>
      <c r="R253" s="211">
        <v>-101605.46</v>
      </c>
      <c r="S253" s="211">
        <v>-100718.52</v>
      </c>
      <c r="T253" s="211">
        <v>-98379.251505000051</v>
      </c>
      <c r="U253" s="274">
        <v>-92117.626439999993</v>
      </c>
      <c r="V253" s="79">
        <f t="shared" si="45"/>
        <v>-392820.85794500005</v>
      </c>
      <c r="Z253" s="172">
        <f t="shared" si="37"/>
        <v>0</v>
      </c>
      <c r="AB253" t="s">
        <v>533</v>
      </c>
      <c r="AC253" t="s">
        <v>2821</v>
      </c>
      <c r="AD253" s="464">
        <v>-101605.46</v>
      </c>
      <c r="AE253" s="464">
        <v>-100718.52</v>
      </c>
      <c r="AF253" s="464">
        <v>-98379.251505000051</v>
      </c>
      <c r="AG253" s="464">
        <v>-92117.626439999993</v>
      </c>
      <c r="AH253" s="464">
        <v>-392820.85794500005</v>
      </c>
      <c r="AJ253" s="464">
        <f t="shared" si="38"/>
        <v>-291215.39794500009</v>
      </c>
      <c r="AM253" s="464">
        <f t="shared" si="39"/>
        <v>-100718.52</v>
      </c>
      <c r="AN253" s="464">
        <v>-98379.251505000051</v>
      </c>
      <c r="AO253" s="464">
        <v>-92117.626439999993</v>
      </c>
      <c r="AP253" s="317">
        <f t="shared" si="40"/>
        <v>-291215.39794500009</v>
      </c>
      <c r="AQ253" s="317">
        <f t="shared" si="41"/>
        <v>0</v>
      </c>
      <c r="AS253" s="475">
        <v>-95225.18925499999</v>
      </c>
      <c r="AT253" s="174">
        <f t="shared" si="42"/>
        <v>-386440.58720000007</v>
      </c>
      <c r="AU253" s="174">
        <f t="shared" si="43"/>
        <v>0</v>
      </c>
    </row>
    <row r="254" spans="1:47">
      <c r="A254" t="s">
        <v>535</v>
      </c>
      <c r="B254" t="s">
        <v>2822</v>
      </c>
      <c r="C254" s="479">
        <v>-15736.5</v>
      </c>
      <c r="D254" s="468">
        <v>30989.001104999974</v>
      </c>
      <c r="E254" s="473">
        <v>142670.24432800012</v>
      </c>
      <c r="F254" s="474">
        <v>-216440.45271000022</v>
      </c>
      <c r="G254" s="450">
        <f t="shared" si="35"/>
        <v>-58517.707277000125</v>
      </c>
      <c r="I254" s="67">
        <f t="shared" si="36"/>
        <v>0</v>
      </c>
      <c r="J254" s="58" t="s">
        <v>535</v>
      </c>
      <c r="K254" t="s">
        <v>536</v>
      </c>
      <c r="L254" s="448">
        <v>-216440.45271000022</v>
      </c>
      <c r="M254" s="67" t="s">
        <v>2591</v>
      </c>
      <c r="N254" s="317"/>
      <c r="P254" t="s">
        <v>535</v>
      </c>
      <c r="Q254" t="s">
        <v>2822</v>
      </c>
      <c r="R254" s="211">
        <v>-151909.89000000001</v>
      </c>
      <c r="S254" s="211">
        <v>-15736.5</v>
      </c>
      <c r="T254" s="211">
        <v>182898.89110499999</v>
      </c>
      <c r="U254" s="274">
        <v>142670.24432800012</v>
      </c>
      <c r="V254" s="79">
        <f t="shared" si="45"/>
        <v>157922.74543300009</v>
      </c>
      <c r="Z254" s="172">
        <f t="shared" si="37"/>
        <v>0</v>
      </c>
      <c r="AB254" t="s">
        <v>535</v>
      </c>
      <c r="AC254" t="s">
        <v>2822</v>
      </c>
      <c r="AD254" s="464">
        <v>0</v>
      </c>
      <c r="AE254" s="464">
        <v>-15736.5</v>
      </c>
      <c r="AF254" s="464">
        <v>30989.001104999974</v>
      </c>
      <c r="AG254" s="464">
        <v>142670.24432800012</v>
      </c>
      <c r="AH254" s="464">
        <v>157922.74543300009</v>
      </c>
      <c r="AJ254" s="464">
        <f t="shared" si="38"/>
        <v>157922.74543300009</v>
      </c>
      <c r="AM254" s="464">
        <f t="shared" si="39"/>
        <v>-15736.5</v>
      </c>
      <c r="AN254" s="464">
        <v>30989.001104999974</v>
      </c>
      <c r="AO254" s="464">
        <v>142670.24432800012</v>
      </c>
      <c r="AP254" s="317">
        <f t="shared" si="40"/>
        <v>157922.74543300009</v>
      </c>
      <c r="AQ254" s="317">
        <f t="shared" si="41"/>
        <v>0</v>
      </c>
      <c r="AS254" s="475">
        <v>-216440.45271000022</v>
      </c>
      <c r="AT254" s="174">
        <f t="shared" si="42"/>
        <v>-58517.707277000125</v>
      </c>
      <c r="AU254" s="174">
        <f t="shared" si="43"/>
        <v>0</v>
      </c>
    </row>
    <row r="255" spans="1:47">
      <c r="A255" s="436" t="s">
        <v>537</v>
      </c>
      <c r="B255" s="437" t="s">
        <v>538</v>
      </c>
      <c r="C255" s="478">
        <v>0</v>
      </c>
      <c r="D255" s="467"/>
      <c r="E255" s="473"/>
      <c r="F255" s="474"/>
      <c r="G255" s="450">
        <f t="shared" si="35"/>
        <v>0</v>
      </c>
      <c r="I255" s="67">
        <f t="shared" si="36"/>
        <v>0</v>
      </c>
      <c r="J255" s="436" t="s">
        <v>537</v>
      </c>
      <c r="K255" s="437" t="s">
        <v>538</v>
      </c>
      <c r="L255" s="448"/>
      <c r="M255" s="67"/>
      <c r="N255" s="317"/>
      <c r="P255" s="291" t="s">
        <v>537</v>
      </c>
      <c r="Q255" s="292" t="s">
        <v>538</v>
      </c>
      <c r="R255" s="211"/>
      <c r="S255" s="211"/>
      <c r="T255" s="211"/>
      <c r="U255" s="274"/>
      <c r="V255" s="79"/>
      <c r="Z255" s="172">
        <f t="shared" si="37"/>
        <v>0</v>
      </c>
      <c r="AB255" t="s">
        <v>537</v>
      </c>
      <c r="AC255" t="s">
        <v>538</v>
      </c>
      <c r="AD255" s="464"/>
      <c r="AE255" s="464"/>
      <c r="AF255" s="464"/>
      <c r="AG255" s="464"/>
      <c r="AH255" s="464"/>
      <c r="AJ255" s="464">
        <f t="shared" si="38"/>
        <v>0</v>
      </c>
      <c r="AM255" s="464">
        <f t="shared" si="39"/>
        <v>0</v>
      </c>
      <c r="AN255" s="464"/>
      <c r="AO255" s="464"/>
      <c r="AP255" s="317">
        <f t="shared" si="40"/>
        <v>0</v>
      </c>
      <c r="AQ255" s="317">
        <f t="shared" si="41"/>
        <v>0</v>
      </c>
      <c r="AS255" s="475"/>
      <c r="AT255" s="174">
        <f t="shared" si="42"/>
        <v>0</v>
      </c>
      <c r="AU255" s="174">
        <f t="shared" si="43"/>
        <v>0</v>
      </c>
    </row>
    <row r="256" spans="1:47">
      <c r="A256" t="s">
        <v>539</v>
      </c>
      <c r="B256" t="s">
        <v>2823</v>
      </c>
      <c r="C256" s="468">
        <v>515849.70000000164</v>
      </c>
      <c r="D256" s="468">
        <v>-119169.26690182563</v>
      </c>
      <c r="E256" s="473">
        <v>688758.06454539881</v>
      </c>
      <c r="F256" s="474">
        <v>310829.49709983252</v>
      </c>
      <c r="G256" s="450">
        <f t="shared" si="35"/>
        <v>1396267.9947434072</v>
      </c>
      <c r="I256" s="67">
        <f t="shared" si="36"/>
        <v>0</v>
      </c>
      <c r="J256" s="58" t="s">
        <v>539</v>
      </c>
      <c r="K256" t="s">
        <v>540</v>
      </c>
      <c r="L256" s="448">
        <v>310829.49709983252</v>
      </c>
      <c r="M256" s="67" t="s">
        <v>2591</v>
      </c>
      <c r="N256" s="317"/>
      <c r="P256" t="s">
        <v>539</v>
      </c>
      <c r="Q256" t="s">
        <v>2823</v>
      </c>
      <c r="R256" s="211">
        <v>823248.78000000166</v>
      </c>
      <c r="S256" s="211">
        <v>-307399.08</v>
      </c>
      <c r="T256" s="211">
        <v>-119169.26690182563</v>
      </c>
      <c r="U256" s="274">
        <v>688758.06454539881</v>
      </c>
      <c r="V256" s="79">
        <f t="shared" ref="V256:V271" si="46">SUM(R256:U256)</f>
        <v>1085438.4976435748</v>
      </c>
      <c r="Z256" s="172">
        <f t="shared" si="37"/>
        <v>0</v>
      </c>
      <c r="AB256" t="s">
        <v>539</v>
      </c>
      <c r="AC256" t="s">
        <v>2823</v>
      </c>
      <c r="AD256" s="464">
        <v>823248.78000000166</v>
      </c>
      <c r="AE256" s="464">
        <v>-307399.08</v>
      </c>
      <c r="AF256" s="464">
        <v>-119169.26690182563</v>
      </c>
      <c r="AG256" s="464">
        <v>688758.06454539881</v>
      </c>
      <c r="AH256" s="464">
        <v>1085438.4976435748</v>
      </c>
      <c r="AJ256" s="464">
        <f t="shared" si="38"/>
        <v>262189.71764357318</v>
      </c>
      <c r="AM256" s="465">
        <f>+AD256+AE256</f>
        <v>515849.70000000164</v>
      </c>
      <c r="AN256" s="464">
        <v>-119169.26690182563</v>
      </c>
      <c r="AO256" s="464">
        <v>688758.06454539881</v>
      </c>
      <c r="AP256" s="317">
        <f t="shared" si="40"/>
        <v>1085438.4976435748</v>
      </c>
      <c r="AQ256" s="466">
        <f>+AP256-AH256</f>
        <v>0</v>
      </c>
      <c r="AS256" s="475">
        <v>310829.49709983252</v>
      </c>
      <c r="AT256" s="174">
        <f t="shared" si="42"/>
        <v>1396267.9947434072</v>
      </c>
      <c r="AU256" s="174">
        <f t="shared" si="43"/>
        <v>0</v>
      </c>
    </row>
    <row r="257" spans="1:47">
      <c r="A257" t="s">
        <v>541</v>
      </c>
      <c r="B257" t="s">
        <v>2824</v>
      </c>
      <c r="C257" s="468">
        <v>-647491.83999999997</v>
      </c>
      <c r="D257" s="468">
        <v>77064.489171666792</v>
      </c>
      <c r="E257" s="473">
        <v>273920.58455105126</v>
      </c>
      <c r="F257" s="474">
        <v>22178.091608894814</v>
      </c>
      <c r="G257" s="450">
        <f t="shared" si="35"/>
        <v>-274328.6746683871</v>
      </c>
      <c r="I257" s="67">
        <f t="shared" si="36"/>
        <v>0</v>
      </c>
      <c r="J257" s="58" t="s">
        <v>541</v>
      </c>
      <c r="K257" t="s">
        <v>542</v>
      </c>
      <c r="L257" s="448">
        <v>22178.091608894814</v>
      </c>
      <c r="M257" s="67" t="s">
        <v>2591</v>
      </c>
      <c r="N257" s="317"/>
      <c r="P257" t="s">
        <v>541</v>
      </c>
      <c r="Q257" t="s">
        <v>2824</v>
      </c>
      <c r="R257" s="211">
        <v>-388170.26</v>
      </c>
      <c r="S257" s="211">
        <v>-647491.83999999997</v>
      </c>
      <c r="T257" s="211">
        <v>465234.7491716668</v>
      </c>
      <c r="U257" s="274">
        <v>273920.58455105126</v>
      </c>
      <c r="V257" s="79">
        <f t="shared" si="46"/>
        <v>-296506.76627728192</v>
      </c>
      <c r="Z257" s="172">
        <f t="shared" si="37"/>
        <v>0</v>
      </c>
      <c r="AB257" t="s">
        <v>541</v>
      </c>
      <c r="AC257" t="s">
        <v>2824</v>
      </c>
      <c r="AD257" s="464">
        <v>0</v>
      </c>
      <c r="AE257" s="464">
        <v>-647491.83999999997</v>
      </c>
      <c r="AF257" s="464">
        <v>77064.489171666792</v>
      </c>
      <c r="AG257" s="464">
        <v>273920.58455105126</v>
      </c>
      <c r="AH257" s="464">
        <v>-296506.76627728192</v>
      </c>
      <c r="AJ257" s="464">
        <f t="shared" si="38"/>
        <v>-296506.76627728192</v>
      </c>
      <c r="AM257" s="464">
        <f t="shared" si="39"/>
        <v>-647491.83999999997</v>
      </c>
      <c r="AN257" s="464">
        <v>77064.489171666792</v>
      </c>
      <c r="AO257" s="464">
        <v>273920.58455105126</v>
      </c>
      <c r="AP257" s="317">
        <f t="shared" si="40"/>
        <v>-296506.76627728192</v>
      </c>
      <c r="AQ257" s="317">
        <f t="shared" si="41"/>
        <v>0</v>
      </c>
      <c r="AS257" s="475">
        <v>22178.091608894814</v>
      </c>
      <c r="AT257" s="174">
        <f t="shared" si="42"/>
        <v>-274328.6746683871</v>
      </c>
      <c r="AU257" s="174">
        <f t="shared" si="43"/>
        <v>0</v>
      </c>
    </row>
    <row r="258" spans="1:47">
      <c r="A258" t="s">
        <v>543</v>
      </c>
      <c r="B258" t="s">
        <v>2825</v>
      </c>
      <c r="C258" s="468">
        <v>-61298.96</v>
      </c>
      <c r="D258" s="468">
        <v>-55487.455696000005</v>
      </c>
      <c r="E258" s="473">
        <v>-51014.796050000012</v>
      </c>
      <c r="F258" s="474">
        <v>-78278.155970000022</v>
      </c>
      <c r="G258" s="450">
        <f t="shared" si="35"/>
        <v>-246079.36771600004</v>
      </c>
      <c r="I258" s="67">
        <f t="shared" si="36"/>
        <v>0</v>
      </c>
      <c r="J258" s="58" t="s">
        <v>543</v>
      </c>
      <c r="K258" t="s">
        <v>544</v>
      </c>
      <c r="L258" s="448">
        <v>-78278.155970000022</v>
      </c>
      <c r="M258" s="67" t="s">
        <v>2591</v>
      </c>
      <c r="N258" s="317"/>
      <c r="P258" t="s">
        <v>543</v>
      </c>
      <c r="Q258" t="s">
        <v>2825</v>
      </c>
      <c r="R258" s="211">
        <v>-25995.29</v>
      </c>
      <c r="S258" s="211">
        <v>-61298.96</v>
      </c>
      <c r="T258" s="211">
        <v>-55487.455696000005</v>
      </c>
      <c r="U258" s="274">
        <v>-51014.796050000012</v>
      </c>
      <c r="V258" s="79">
        <f t="shared" si="46"/>
        <v>-193796.50174600002</v>
      </c>
      <c r="Z258" s="172">
        <f t="shared" si="37"/>
        <v>0</v>
      </c>
      <c r="AB258" t="s">
        <v>543</v>
      </c>
      <c r="AC258" t="s">
        <v>2825</v>
      </c>
      <c r="AD258" s="464">
        <v>-25995.29</v>
      </c>
      <c r="AE258" s="464">
        <v>-61298.96</v>
      </c>
      <c r="AF258" s="464">
        <v>-55487.455696000005</v>
      </c>
      <c r="AG258" s="464">
        <v>-51014.796050000012</v>
      </c>
      <c r="AH258" s="464">
        <v>-193796.50174600002</v>
      </c>
      <c r="AJ258" s="464">
        <f t="shared" si="38"/>
        <v>-167801.21174600002</v>
      </c>
      <c r="AM258" s="464">
        <f t="shared" si="39"/>
        <v>-61298.96</v>
      </c>
      <c r="AN258" s="464">
        <v>-55487.455696000005</v>
      </c>
      <c r="AO258" s="464">
        <v>-51014.796050000012</v>
      </c>
      <c r="AP258" s="317">
        <f t="shared" si="40"/>
        <v>-167801.21174600002</v>
      </c>
      <c r="AQ258" s="317">
        <f t="shared" si="41"/>
        <v>0</v>
      </c>
      <c r="AS258" s="475">
        <v>-78278.155970000022</v>
      </c>
      <c r="AT258" s="174">
        <f t="shared" si="42"/>
        <v>-246079.36771600004</v>
      </c>
      <c r="AU258" s="174">
        <f t="shared" si="43"/>
        <v>0</v>
      </c>
    </row>
    <row r="259" spans="1:47">
      <c r="A259" t="s">
        <v>545</v>
      </c>
      <c r="B259" t="s">
        <v>2826</v>
      </c>
      <c r="C259" s="468">
        <v>-73954.37</v>
      </c>
      <c r="D259" s="468">
        <v>-52354.519844000002</v>
      </c>
      <c r="E259" s="473">
        <v>-72404.951320000007</v>
      </c>
      <c r="F259" s="474">
        <v>-73162.914210000003</v>
      </c>
      <c r="G259" s="450">
        <f t="shared" si="35"/>
        <v>-271876.755374</v>
      </c>
      <c r="I259" s="67">
        <f t="shared" si="36"/>
        <v>0</v>
      </c>
      <c r="J259" s="58" t="s">
        <v>545</v>
      </c>
      <c r="K259" t="s">
        <v>546</v>
      </c>
      <c r="L259" s="448">
        <v>-73162.914210000003</v>
      </c>
      <c r="M259" s="67" t="s">
        <v>2591</v>
      </c>
      <c r="N259" s="317"/>
      <c r="P259" t="s">
        <v>545</v>
      </c>
      <c r="Q259" t="s">
        <v>2826</v>
      </c>
      <c r="R259" s="211">
        <v>-99373.47</v>
      </c>
      <c r="S259" s="211">
        <v>-73954.37</v>
      </c>
      <c r="T259" s="211">
        <v>-52354.519844000002</v>
      </c>
      <c r="U259" s="274">
        <v>-72404.951320000007</v>
      </c>
      <c r="V259" s="79">
        <f t="shared" si="46"/>
        <v>-298087.31116400001</v>
      </c>
      <c r="Z259" s="172">
        <f t="shared" si="37"/>
        <v>0</v>
      </c>
      <c r="AB259" t="s">
        <v>545</v>
      </c>
      <c r="AC259" t="s">
        <v>2826</v>
      </c>
      <c r="AD259" s="464">
        <v>-99373.47</v>
      </c>
      <c r="AE259" s="464">
        <v>-73954.37</v>
      </c>
      <c r="AF259" s="464">
        <v>-52354.519844000002</v>
      </c>
      <c r="AG259" s="464">
        <v>-72404.951320000007</v>
      </c>
      <c r="AH259" s="464">
        <v>-298087.31116400001</v>
      </c>
      <c r="AJ259" s="464">
        <f t="shared" si="38"/>
        <v>-198713.84116399998</v>
      </c>
      <c r="AM259" s="464">
        <f t="shared" si="39"/>
        <v>-73954.37</v>
      </c>
      <c r="AN259" s="464">
        <v>-52354.519844000002</v>
      </c>
      <c r="AO259" s="464">
        <v>-72404.951320000007</v>
      </c>
      <c r="AP259" s="317">
        <f t="shared" si="40"/>
        <v>-198713.84116399998</v>
      </c>
      <c r="AQ259" s="317">
        <f t="shared" si="41"/>
        <v>0</v>
      </c>
      <c r="AS259" s="475">
        <v>-73162.914210000003</v>
      </c>
      <c r="AT259" s="174">
        <f t="shared" si="42"/>
        <v>-271876.755374</v>
      </c>
      <c r="AU259" s="174">
        <f t="shared" si="43"/>
        <v>0</v>
      </c>
    </row>
    <row r="260" spans="1:47">
      <c r="A260" t="s">
        <v>547</v>
      </c>
      <c r="B260" t="s">
        <v>2827</v>
      </c>
      <c r="C260" s="468">
        <v>-35661.879999999997</v>
      </c>
      <c r="D260" s="468">
        <v>15723.009424999764</v>
      </c>
      <c r="E260" s="473">
        <v>380042.73760000052</v>
      </c>
      <c r="F260" s="474">
        <v>140460.94030169991</v>
      </c>
      <c r="G260" s="450">
        <f t="shared" si="35"/>
        <v>500564.80732670019</v>
      </c>
      <c r="I260" s="67">
        <f t="shared" si="36"/>
        <v>0</v>
      </c>
      <c r="J260" s="58" t="s">
        <v>547</v>
      </c>
      <c r="K260" t="s">
        <v>548</v>
      </c>
      <c r="L260" s="448">
        <v>140460.94030169991</v>
      </c>
      <c r="M260" s="67" t="s">
        <v>2591</v>
      </c>
      <c r="N260" s="317"/>
      <c r="P260" t="s">
        <v>547</v>
      </c>
      <c r="Q260" t="s">
        <v>2827</v>
      </c>
      <c r="R260" s="211">
        <v>-135902.94</v>
      </c>
      <c r="S260" s="211">
        <v>-35661.879999999997</v>
      </c>
      <c r="T260" s="211">
        <v>15723.009424999764</v>
      </c>
      <c r="U260" s="274">
        <v>515945.67760000052</v>
      </c>
      <c r="V260" s="79">
        <f t="shared" si="46"/>
        <v>360103.86702500028</v>
      </c>
      <c r="Z260" s="172">
        <f t="shared" si="37"/>
        <v>0</v>
      </c>
      <c r="AB260" t="s">
        <v>547</v>
      </c>
      <c r="AC260" t="s">
        <v>2827</v>
      </c>
      <c r="AD260" s="464">
        <v>0</v>
      </c>
      <c r="AE260" s="464">
        <v>-35661.879999999997</v>
      </c>
      <c r="AF260" s="464">
        <v>15723.009424999764</v>
      </c>
      <c r="AG260" s="464">
        <v>380042.73760000052</v>
      </c>
      <c r="AH260" s="464">
        <v>360103.86702500028</v>
      </c>
      <c r="AJ260" s="464">
        <f t="shared" si="38"/>
        <v>360103.86702500028</v>
      </c>
      <c r="AM260" s="464">
        <f t="shared" si="39"/>
        <v>-35661.879999999997</v>
      </c>
      <c r="AN260" s="464">
        <v>15723.009424999764</v>
      </c>
      <c r="AO260" s="464">
        <v>380042.73760000052</v>
      </c>
      <c r="AP260" s="317">
        <f t="shared" si="40"/>
        <v>360103.86702500028</v>
      </c>
      <c r="AQ260" s="317">
        <f t="shared" si="41"/>
        <v>0</v>
      </c>
      <c r="AS260" s="475">
        <v>140460.94030169991</v>
      </c>
      <c r="AT260" s="174">
        <f t="shared" si="42"/>
        <v>500564.80732670019</v>
      </c>
      <c r="AU260" s="174">
        <f t="shared" si="43"/>
        <v>0</v>
      </c>
    </row>
    <row r="261" spans="1:47">
      <c r="A261" t="s">
        <v>549</v>
      </c>
      <c r="B261" t="s">
        <v>2828</v>
      </c>
      <c r="C261" s="468">
        <v>-834016.95</v>
      </c>
      <c r="D261" s="468">
        <v>-1052956.6755058398</v>
      </c>
      <c r="E261" s="473">
        <v>-529843.71187395277</v>
      </c>
      <c r="F261" s="474">
        <v>-781990.54889062885</v>
      </c>
      <c r="G261" s="450">
        <f t="shared" si="35"/>
        <v>-3198807.8862704216</v>
      </c>
      <c r="I261" s="67">
        <f t="shared" si="36"/>
        <v>0</v>
      </c>
      <c r="J261" s="58" t="s">
        <v>549</v>
      </c>
      <c r="K261" t="s">
        <v>550</v>
      </c>
      <c r="L261" s="448">
        <v>-781990.54889062885</v>
      </c>
      <c r="M261" s="67" t="s">
        <v>2591</v>
      </c>
      <c r="N261" s="317"/>
      <c r="P261" t="s">
        <v>549</v>
      </c>
      <c r="Q261" t="s">
        <v>2828</v>
      </c>
      <c r="R261" s="211">
        <v>-788419.02</v>
      </c>
      <c r="S261" s="211">
        <v>-834016.95</v>
      </c>
      <c r="T261" s="211">
        <v>-1052956.6755058398</v>
      </c>
      <c r="U261" s="274">
        <v>-529843.71187395277</v>
      </c>
      <c r="V261" s="79">
        <f t="shared" si="46"/>
        <v>-3205236.3573797927</v>
      </c>
      <c r="Z261" s="172">
        <f t="shared" si="37"/>
        <v>0</v>
      </c>
      <c r="AB261" t="s">
        <v>549</v>
      </c>
      <c r="AC261" t="s">
        <v>2828</v>
      </c>
      <c r="AD261" s="464">
        <v>-788419.02</v>
      </c>
      <c r="AE261" s="464">
        <v>-834016.95</v>
      </c>
      <c r="AF261" s="464">
        <v>-1052956.6755058398</v>
      </c>
      <c r="AG261" s="464">
        <v>-529843.71187395277</v>
      </c>
      <c r="AH261" s="464">
        <v>-3205236.3573797927</v>
      </c>
      <c r="AJ261" s="464">
        <f t="shared" si="38"/>
        <v>-2416817.3373797927</v>
      </c>
      <c r="AM261" s="464">
        <f t="shared" si="39"/>
        <v>-834016.95</v>
      </c>
      <c r="AN261" s="464">
        <v>-1052956.6755058398</v>
      </c>
      <c r="AO261" s="464">
        <v>-529843.71187395277</v>
      </c>
      <c r="AP261" s="317">
        <f t="shared" si="40"/>
        <v>-2416817.3373797927</v>
      </c>
      <c r="AQ261" s="317">
        <f t="shared" si="41"/>
        <v>0</v>
      </c>
      <c r="AS261" s="475">
        <v>-781990.54889062885</v>
      </c>
      <c r="AT261" s="174">
        <f t="shared" si="42"/>
        <v>-3198807.8862704216</v>
      </c>
      <c r="AU261" s="174">
        <f t="shared" si="43"/>
        <v>0</v>
      </c>
    </row>
    <row r="262" spans="1:47">
      <c r="A262" t="s">
        <v>551</v>
      </c>
      <c r="B262" t="s">
        <v>2829</v>
      </c>
      <c r="C262" s="468">
        <v>-18779.59</v>
      </c>
      <c r="D262" s="468">
        <v>-75808.295680000025</v>
      </c>
      <c r="E262" s="473">
        <v>-64050.303435999958</v>
      </c>
      <c r="F262" s="474">
        <v>-99307.677473000047</v>
      </c>
      <c r="G262" s="450">
        <f t="shared" si="35"/>
        <v>-257945.86658900001</v>
      </c>
      <c r="I262" s="67">
        <f t="shared" si="36"/>
        <v>0</v>
      </c>
      <c r="J262" s="58" t="s">
        <v>551</v>
      </c>
      <c r="K262" t="s">
        <v>552</v>
      </c>
      <c r="L262" s="448">
        <v>-99307.677473000047</v>
      </c>
      <c r="M262" s="67" t="s">
        <v>2591</v>
      </c>
      <c r="N262" s="317"/>
      <c r="P262" t="s">
        <v>551</v>
      </c>
      <c r="Q262" t="s">
        <v>2829</v>
      </c>
      <c r="R262" s="211">
        <v>-168878.65</v>
      </c>
      <c r="S262" s="211">
        <v>-18779.59</v>
      </c>
      <c r="T262" s="211">
        <v>-75808.295680000025</v>
      </c>
      <c r="U262" s="274">
        <v>-64050.303435999958</v>
      </c>
      <c r="V262" s="79">
        <f t="shared" si="46"/>
        <v>-327516.83911599999</v>
      </c>
      <c r="Z262" s="172">
        <f t="shared" si="37"/>
        <v>0</v>
      </c>
      <c r="AB262" t="s">
        <v>551</v>
      </c>
      <c r="AC262" t="s">
        <v>2829</v>
      </c>
      <c r="AD262" s="464">
        <v>-168878.65</v>
      </c>
      <c r="AE262" s="464">
        <v>-18779.59</v>
      </c>
      <c r="AF262" s="464">
        <v>-75808.295680000025</v>
      </c>
      <c r="AG262" s="464">
        <v>-64050.303435999958</v>
      </c>
      <c r="AH262" s="464">
        <v>-327516.83911599999</v>
      </c>
      <c r="AJ262" s="464">
        <f t="shared" si="38"/>
        <v>-158638.18911599996</v>
      </c>
      <c r="AM262" s="464">
        <f t="shared" si="39"/>
        <v>-18779.59</v>
      </c>
      <c r="AN262" s="464">
        <v>-75808.295680000025</v>
      </c>
      <c r="AO262" s="464">
        <v>-64050.303435999958</v>
      </c>
      <c r="AP262" s="317">
        <f t="shared" si="40"/>
        <v>-158638.18911599996</v>
      </c>
      <c r="AQ262" s="317">
        <f t="shared" si="41"/>
        <v>0</v>
      </c>
      <c r="AS262" s="475">
        <v>-99307.677473000047</v>
      </c>
      <c r="AT262" s="174">
        <f t="shared" si="42"/>
        <v>-257945.86658900001</v>
      </c>
      <c r="AU262" s="174">
        <f t="shared" si="43"/>
        <v>0</v>
      </c>
    </row>
    <row r="263" spans="1:47">
      <c r="A263" t="s">
        <v>553</v>
      </c>
      <c r="B263" t="s">
        <v>2830</v>
      </c>
      <c r="C263" s="468">
        <v>-34103.72</v>
      </c>
      <c r="D263" s="468">
        <v>0</v>
      </c>
      <c r="E263" s="473">
        <v>-28824.448685000069</v>
      </c>
      <c r="F263" s="474">
        <v>-44670.754329999982</v>
      </c>
      <c r="G263" s="450">
        <f t="shared" si="35"/>
        <v>-107598.92301500005</v>
      </c>
      <c r="I263" s="67">
        <f t="shared" si="36"/>
        <v>0</v>
      </c>
      <c r="J263" s="58" t="s">
        <v>553</v>
      </c>
      <c r="K263" t="s">
        <v>554</v>
      </c>
      <c r="L263" s="448">
        <v>-44670.754329999982</v>
      </c>
      <c r="M263" s="67" t="s">
        <v>2591</v>
      </c>
      <c r="N263" s="317"/>
      <c r="P263" t="s">
        <v>553</v>
      </c>
      <c r="Q263" t="s">
        <v>2830</v>
      </c>
      <c r="R263" s="211">
        <v>-47492.41</v>
      </c>
      <c r="S263" s="211">
        <v>-34103.72</v>
      </c>
      <c r="T263" s="211">
        <v>709.77103999997416</v>
      </c>
      <c r="U263" s="274">
        <v>-28824.448685000069</v>
      </c>
      <c r="V263" s="79">
        <f t="shared" si="46"/>
        <v>-109710.8076450001</v>
      </c>
      <c r="Z263" s="172">
        <f t="shared" si="37"/>
        <v>0</v>
      </c>
      <c r="AB263" t="s">
        <v>553</v>
      </c>
      <c r="AC263" t="s">
        <v>2830</v>
      </c>
      <c r="AD263" s="464">
        <v>-46782.638960000026</v>
      </c>
      <c r="AE263" s="464">
        <v>-34103.72</v>
      </c>
      <c r="AF263" s="464">
        <v>0</v>
      </c>
      <c r="AG263" s="464">
        <v>-28824.448685000069</v>
      </c>
      <c r="AH263" s="464">
        <v>-109710.8076450001</v>
      </c>
      <c r="AJ263" s="464">
        <f t="shared" si="38"/>
        <v>-62928.16868500007</v>
      </c>
      <c r="AM263" s="464">
        <f t="shared" si="39"/>
        <v>-34103.72</v>
      </c>
      <c r="AN263" s="464">
        <v>0</v>
      </c>
      <c r="AO263" s="464">
        <v>-28824.448685000069</v>
      </c>
      <c r="AP263" s="317">
        <f t="shared" si="40"/>
        <v>-62928.16868500007</v>
      </c>
      <c r="AQ263" s="317">
        <f t="shared" si="41"/>
        <v>0</v>
      </c>
      <c r="AS263" s="475">
        <v>-44670.754329999982</v>
      </c>
      <c r="AT263" s="174">
        <f t="shared" si="42"/>
        <v>-107598.92301500005</v>
      </c>
      <c r="AU263" s="174">
        <f t="shared" si="43"/>
        <v>0</v>
      </c>
    </row>
    <row r="264" spans="1:47">
      <c r="A264" t="s">
        <v>555</v>
      </c>
      <c r="B264" t="s">
        <v>2831</v>
      </c>
      <c r="C264" s="468">
        <v>504217.35000000003</v>
      </c>
      <c r="D264" s="468">
        <v>-173599.53973795092</v>
      </c>
      <c r="E264" s="473">
        <v>570732.52924617007</v>
      </c>
      <c r="F264" s="474">
        <v>-243983.23626993207</v>
      </c>
      <c r="G264" s="450">
        <f t="shared" ref="G264:G327" si="47">SUM(C264:F264)</f>
        <v>657367.10323828715</v>
      </c>
      <c r="I264" s="67">
        <f t="shared" ref="I264:I327" si="48">+J264-A264</f>
        <v>0</v>
      </c>
      <c r="J264" s="58" t="s">
        <v>555</v>
      </c>
      <c r="K264" t="s">
        <v>556</v>
      </c>
      <c r="L264" s="448">
        <v>-243983.23626993207</v>
      </c>
      <c r="M264" s="67" t="s">
        <v>2591</v>
      </c>
      <c r="N264" s="317"/>
      <c r="P264" t="s">
        <v>555</v>
      </c>
      <c r="Q264" t="s">
        <v>2831</v>
      </c>
      <c r="R264" s="211">
        <v>-120176.07</v>
      </c>
      <c r="S264" s="211">
        <v>624393.42000000004</v>
      </c>
      <c r="T264" s="211">
        <v>-173599.53973795092</v>
      </c>
      <c r="U264" s="274">
        <v>570732.52924617007</v>
      </c>
      <c r="V264" s="79">
        <f t="shared" si="46"/>
        <v>901350.33950821916</v>
      </c>
      <c r="Z264" s="172">
        <f t="shared" ref="Z264:Z327" si="49">+AB264-P264</f>
        <v>0</v>
      </c>
      <c r="AB264" t="s">
        <v>555</v>
      </c>
      <c r="AC264" t="s">
        <v>2831</v>
      </c>
      <c r="AD264" s="464">
        <v>0</v>
      </c>
      <c r="AE264" s="464">
        <v>504217.35000000003</v>
      </c>
      <c r="AF264" s="464">
        <v>-173599.53973795092</v>
      </c>
      <c r="AG264" s="464">
        <v>570732.52924617007</v>
      </c>
      <c r="AH264" s="464">
        <v>901350.33950821916</v>
      </c>
      <c r="AJ264" s="464">
        <f t="shared" ref="AJ264:AJ327" si="50">SUM(AE264:AG264)</f>
        <v>901350.33950821916</v>
      </c>
      <c r="AM264" s="464">
        <f t="shared" ref="AM264:AM327" si="51">+AE264</f>
        <v>504217.35000000003</v>
      </c>
      <c r="AN264" s="464">
        <v>-173599.53973795092</v>
      </c>
      <c r="AO264" s="464">
        <v>570732.52924617007</v>
      </c>
      <c r="AP264" s="317">
        <f t="shared" ref="AP264:AP327" si="52">SUM(AM264:AO264)</f>
        <v>901350.33950821916</v>
      </c>
      <c r="AQ264" s="317">
        <f t="shared" ref="AQ264:AQ327" si="53">+AP264-AJ264</f>
        <v>0</v>
      </c>
      <c r="AS264" s="475">
        <v>-243983.23626993207</v>
      </c>
      <c r="AT264" s="174">
        <f t="shared" ref="AT264:AT327" si="54">+AS264+AP264</f>
        <v>657367.10323828715</v>
      </c>
      <c r="AU264" s="174">
        <f t="shared" ref="AU264:AU327" si="55">+AT264-G264</f>
        <v>0</v>
      </c>
    </row>
    <row r="265" spans="1:47">
      <c r="A265" t="s">
        <v>557</v>
      </c>
      <c r="B265" t="s">
        <v>2832</v>
      </c>
      <c r="C265" s="468">
        <v>-263115.71999999997</v>
      </c>
      <c r="D265" s="468">
        <v>-141821.17311999999</v>
      </c>
      <c r="E265" s="473">
        <v>-231546.51909199997</v>
      </c>
      <c r="F265" s="474">
        <v>-278198.0517689999</v>
      </c>
      <c r="G265" s="450">
        <f t="shared" si="47"/>
        <v>-914681.46398099989</v>
      </c>
      <c r="I265" s="67">
        <f t="shared" si="48"/>
        <v>0</v>
      </c>
      <c r="J265" s="58" t="s">
        <v>557</v>
      </c>
      <c r="K265" t="s">
        <v>558</v>
      </c>
      <c r="L265" s="448">
        <v>-278198.0517689999</v>
      </c>
      <c r="M265" s="67" t="s">
        <v>2591</v>
      </c>
      <c r="N265" s="317"/>
      <c r="P265" t="s">
        <v>557</v>
      </c>
      <c r="Q265" t="s">
        <v>2832</v>
      </c>
      <c r="R265" s="211">
        <v>-234546.43</v>
      </c>
      <c r="S265" s="211">
        <v>-263115.71999999997</v>
      </c>
      <c r="T265" s="211">
        <v>-141821.17311999999</v>
      </c>
      <c r="U265" s="274">
        <v>-231546.51909199997</v>
      </c>
      <c r="V265" s="79">
        <f t="shared" si="46"/>
        <v>-871029.84221199993</v>
      </c>
      <c r="Z265" s="172">
        <f t="shared" si="49"/>
        <v>0</v>
      </c>
      <c r="AB265" t="s">
        <v>557</v>
      </c>
      <c r="AC265" t="s">
        <v>2832</v>
      </c>
      <c r="AD265" s="464">
        <v>-234546.43</v>
      </c>
      <c r="AE265" s="464">
        <v>-263115.71999999997</v>
      </c>
      <c r="AF265" s="464">
        <v>-141821.17311999999</v>
      </c>
      <c r="AG265" s="464">
        <v>-231546.51909199997</v>
      </c>
      <c r="AH265" s="464">
        <v>-871029.84221199993</v>
      </c>
      <c r="AJ265" s="464">
        <f t="shared" si="50"/>
        <v>-636483.412212</v>
      </c>
      <c r="AM265" s="464">
        <f t="shared" si="51"/>
        <v>-263115.71999999997</v>
      </c>
      <c r="AN265" s="464">
        <v>-141821.17311999999</v>
      </c>
      <c r="AO265" s="464">
        <v>-231546.51909199997</v>
      </c>
      <c r="AP265" s="317">
        <f t="shared" si="52"/>
        <v>-636483.412212</v>
      </c>
      <c r="AQ265" s="317">
        <f t="shared" si="53"/>
        <v>0</v>
      </c>
      <c r="AS265" s="475">
        <v>-278198.0517689999</v>
      </c>
      <c r="AT265" s="174">
        <f t="shared" si="54"/>
        <v>-914681.46398099989</v>
      </c>
      <c r="AU265" s="174">
        <f t="shared" si="55"/>
        <v>0</v>
      </c>
    </row>
    <row r="266" spans="1:47">
      <c r="A266" t="s">
        <v>559</v>
      </c>
      <c r="B266" t="s">
        <v>2833</v>
      </c>
      <c r="C266" s="468">
        <v>-18842.57</v>
      </c>
      <c r="D266" s="468">
        <v>0</v>
      </c>
      <c r="E266" s="473">
        <v>-9458.3793559999904</v>
      </c>
      <c r="F266" s="474">
        <v>-20870.449752000011</v>
      </c>
      <c r="G266" s="450">
        <f t="shared" si="47"/>
        <v>-49171.399107999998</v>
      </c>
      <c r="I266" s="67">
        <f t="shared" si="48"/>
        <v>0</v>
      </c>
      <c r="J266" s="58" t="s">
        <v>559</v>
      </c>
      <c r="K266" t="s">
        <v>560</v>
      </c>
      <c r="L266" s="448">
        <v>-20870.449752000011</v>
      </c>
      <c r="M266" s="67" t="s">
        <v>2591</v>
      </c>
      <c r="N266" s="317"/>
      <c r="P266" t="s">
        <v>559</v>
      </c>
      <c r="Q266" t="s">
        <v>2833</v>
      </c>
      <c r="R266" s="211">
        <v>-9744.06</v>
      </c>
      <c r="S266" s="211">
        <v>-18842.57</v>
      </c>
      <c r="T266" s="211">
        <v>7272.2539500000148</v>
      </c>
      <c r="U266" s="274">
        <v>-9458.3793559999904</v>
      </c>
      <c r="V266" s="79">
        <f t="shared" si="46"/>
        <v>-30772.755405999975</v>
      </c>
      <c r="Z266" s="172">
        <f t="shared" si="49"/>
        <v>0</v>
      </c>
      <c r="AB266" t="s">
        <v>559</v>
      </c>
      <c r="AC266" t="s">
        <v>2833</v>
      </c>
      <c r="AD266" s="464">
        <v>-2471.8060499999847</v>
      </c>
      <c r="AE266" s="464">
        <v>-18842.57</v>
      </c>
      <c r="AF266" s="464">
        <v>0</v>
      </c>
      <c r="AG266" s="464">
        <v>-9458.3793559999904</v>
      </c>
      <c r="AH266" s="464">
        <v>-30772.755405999975</v>
      </c>
      <c r="AJ266" s="464">
        <f t="shared" si="50"/>
        <v>-28300.94935599999</v>
      </c>
      <c r="AM266" s="464">
        <f t="shared" si="51"/>
        <v>-18842.57</v>
      </c>
      <c r="AN266" s="464">
        <v>0</v>
      </c>
      <c r="AO266" s="464">
        <v>-9458.3793559999904</v>
      </c>
      <c r="AP266" s="317">
        <f t="shared" si="52"/>
        <v>-28300.94935599999</v>
      </c>
      <c r="AQ266" s="317">
        <f t="shared" si="53"/>
        <v>0</v>
      </c>
      <c r="AS266" s="475">
        <v>-20870.449752000011</v>
      </c>
      <c r="AT266" s="174">
        <f t="shared" si="54"/>
        <v>-49171.399107999998</v>
      </c>
      <c r="AU266" s="174">
        <f t="shared" si="55"/>
        <v>0</v>
      </c>
    </row>
    <row r="267" spans="1:47">
      <c r="A267" t="s">
        <v>561</v>
      </c>
      <c r="B267" t="s">
        <v>2834</v>
      </c>
      <c r="C267" s="468">
        <v>-914481.04</v>
      </c>
      <c r="D267" s="468">
        <v>1047959.7337636823</v>
      </c>
      <c r="E267" s="473">
        <v>1799476.5237534654</v>
      </c>
      <c r="F267" s="474">
        <v>928928.11038640304</v>
      </c>
      <c r="G267" s="450">
        <f t="shared" si="47"/>
        <v>2861883.327903551</v>
      </c>
      <c r="I267" s="67">
        <f t="shared" si="48"/>
        <v>0</v>
      </c>
      <c r="J267" s="58" t="s">
        <v>561</v>
      </c>
      <c r="K267" t="s">
        <v>562</v>
      </c>
      <c r="L267" s="448">
        <v>928928.11038640304</v>
      </c>
      <c r="M267" s="67" t="s">
        <v>2591</v>
      </c>
      <c r="N267" s="317"/>
      <c r="P267" t="s">
        <v>561</v>
      </c>
      <c r="Q267" t="s">
        <v>2834</v>
      </c>
      <c r="R267" s="211">
        <v>-1964886.78</v>
      </c>
      <c r="S267" s="211">
        <v>-914481.04</v>
      </c>
      <c r="T267" s="211">
        <v>1047959.7337636823</v>
      </c>
      <c r="U267" s="274">
        <v>3764363.3037534654</v>
      </c>
      <c r="V267" s="79">
        <f t="shared" si="46"/>
        <v>1932955.2175171473</v>
      </c>
      <c r="Z267" s="172">
        <f t="shared" si="49"/>
        <v>0</v>
      </c>
      <c r="AB267" t="s">
        <v>561</v>
      </c>
      <c r="AC267" t="s">
        <v>2834</v>
      </c>
      <c r="AD267" s="464">
        <v>0</v>
      </c>
      <c r="AE267" s="464">
        <v>-914481.04</v>
      </c>
      <c r="AF267" s="464">
        <v>1047959.7337636823</v>
      </c>
      <c r="AG267" s="464">
        <v>1799476.5237534654</v>
      </c>
      <c r="AH267" s="464">
        <v>1932955.2175171478</v>
      </c>
      <c r="AJ267" s="464">
        <f t="shared" si="50"/>
        <v>1932955.2175171478</v>
      </c>
      <c r="AM267" s="464">
        <f t="shared" si="51"/>
        <v>-914481.04</v>
      </c>
      <c r="AN267" s="464">
        <v>1047959.7337636823</v>
      </c>
      <c r="AO267" s="464">
        <v>1799476.5237534654</v>
      </c>
      <c r="AP267" s="317">
        <f t="shared" si="52"/>
        <v>1932955.2175171478</v>
      </c>
      <c r="AQ267" s="317">
        <f t="shared" si="53"/>
        <v>0</v>
      </c>
      <c r="AS267" s="475">
        <v>928928.11038640304</v>
      </c>
      <c r="AT267" s="174">
        <f t="shared" si="54"/>
        <v>2861883.327903551</v>
      </c>
      <c r="AU267" s="174">
        <f t="shared" si="55"/>
        <v>0</v>
      </c>
    </row>
    <row r="268" spans="1:47">
      <c r="A268" t="s">
        <v>563</v>
      </c>
      <c r="B268" t="s">
        <v>2835</v>
      </c>
      <c r="C268" s="468">
        <v>-49551.8</v>
      </c>
      <c r="D268" s="468">
        <v>0</v>
      </c>
      <c r="E268" s="473">
        <v>-71355.868557999958</v>
      </c>
      <c r="F268" s="474">
        <v>-107523.48939199993</v>
      </c>
      <c r="G268" s="450">
        <f t="shared" si="47"/>
        <v>-228431.15794999991</v>
      </c>
      <c r="I268" s="67">
        <f t="shared" si="48"/>
        <v>0</v>
      </c>
      <c r="J268" s="149" t="s">
        <v>563</v>
      </c>
      <c r="K268" s="74" t="s">
        <v>2836</v>
      </c>
      <c r="L268" s="448">
        <v>-107523.48939199993</v>
      </c>
      <c r="M268" s="67" t="s">
        <v>2591</v>
      </c>
      <c r="N268" s="317"/>
      <c r="P268" t="s">
        <v>563</v>
      </c>
      <c r="Q268" t="s">
        <v>2835</v>
      </c>
      <c r="R268" s="211">
        <v>-8700.24</v>
      </c>
      <c r="S268" s="211">
        <v>-49551.8</v>
      </c>
      <c r="T268" s="211">
        <v>0</v>
      </c>
      <c r="U268" s="274">
        <v>-71355.868557999958</v>
      </c>
      <c r="V268" s="79">
        <f t="shared" si="46"/>
        <v>-129607.90855799997</v>
      </c>
      <c r="Z268" s="172">
        <f t="shared" si="49"/>
        <v>0</v>
      </c>
      <c r="AB268" t="s">
        <v>563</v>
      </c>
      <c r="AC268" t="s">
        <v>2835</v>
      </c>
      <c r="AD268" s="464">
        <v>-8700.24</v>
      </c>
      <c r="AE268" s="464">
        <v>-49551.8</v>
      </c>
      <c r="AF268" s="464">
        <v>0</v>
      </c>
      <c r="AG268" s="464">
        <v>-71355.868557999958</v>
      </c>
      <c r="AH268" s="464">
        <v>-129607.90855799997</v>
      </c>
      <c r="AJ268" s="464">
        <f t="shared" si="50"/>
        <v>-120907.66855799996</v>
      </c>
      <c r="AM268" s="464">
        <f t="shared" si="51"/>
        <v>-49551.8</v>
      </c>
      <c r="AN268" s="464">
        <v>0</v>
      </c>
      <c r="AO268" s="464">
        <v>-71355.868557999958</v>
      </c>
      <c r="AP268" s="317">
        <f t="shared" si="52"/>
        <v>-120907.66855799996</v>
      </c>
      <c r="AQ268" s="317">
        <f t="shared" si="53"/>
        <v>0</v>
      </c>
      <c r="AS268" s="475">
        <v>-107523.48939199993</v>
      </c>
      <c r="AT268" s="174">
        <f t="shared" si="54"/>
        <v>-228431.15794999991</v>
      </c>
      <c r="AU268" s="174">
        <f t="shared" si="55"/>
        <v>0</v>
      </c>
    </row>
    <row r="269" spans="1:47">
      <c r="A269" t="s">
        <v>565</v>
      </c>
      <c r="B269" t="s">
        <v>2837</v>
      </c>
      <c r="C269" s="468">
        <v>-24758.11</v>
      </c>
      <c r="D269" s="468">
        <v>-58824.915562999995</v>
      </c>
      <c r="E269" s="473">
        <v>-42495.452113000007</v>
      </c>
      <c r="F269" s="474">
        <v>-46906.800111000004</v>
      </c>
      <c r="G269" s="450">
        <f t="shared" si="47"/>
        <v>-172985.277787</v>
      </c>
      <c r="I269" s="67">
        <f t="shared" si="48"/>
        <v>0</v>
      </c>
      <c r="J269" s="58" t="s">
        <v>565</v>
      </c>
      <c r="K269" t="s">
        <v>566</v>
      </c>
      <c r="L269" s="448">
        <v>-46906.800111000004</v>
      </c>
      <c r="M269" s="67" t="s">
        <v>2591</v>
      </c>
      <c r="N269" s="317"/>
      <c r="P269" t="s">
        <v>565</v>
      </c>
      <c r="Q269" t="s">
        <v>2837</v>
      </c>
      <c r="R269" s="211">
        <v>-71516.570000000007</v>
      </c>
      <c r="S269" s="211">
        <v>-24758.11</v>
      </c>
      <c r="T269" s="211">
        <v>-58824.915562999995</v>
      </c>
      <c r="U269" s="274">
        <v>-42495.452113000007</v>
      </c>
      <c r="V269" s="79">
        <f t="shared" si="46"/>
        <v>-197595.04767600002</v>
      </c>
      <c r="Z269" s="172">
        <f t="shared" si="49"/>
        <v>0</v>
      </c>
      <c r="AB269" t="s">
        <v>565</v>
      </c>
      <c r="AC269" t="s">
        <v>2837</v>
      </c>
      <c r="AD269" s="464">
        <v>-71516.570000000007</v>
      </c>
      <c r="AE269" s="464">
        <v>-24758.11</v>
      </c>
      <c r="AF269" s="464">
        <v>-58824.915562999995</v>
      </c>
      <c r="AG269" s="464">
        <v>-42495.452113000007</v>
      </c>
      <c r="AH269" s="464">
        <v>-197595.04767600002</v>
      </c>
      <c r="AJ269" s="464">
        <f t="shared" si="50"/>
        <v>-126078.47767600001</v>
      </c>
      <c r="AM269" s="464">
        <f t="shared" si="51"/>
        <v>-24758.11</v>
      </c>
      <c r="AN269" s="464">
        <v>-58824.915562999995</v>
      </c>
      <c r="AO269" s="464">
        <v>-42495.452113000007</v>
      </c>
      <c r="AP269" s="317">
        <f t="shared" si="52"/>
        <v>-126078.47767600001</v>
      </c>
      <c r="AQ269" s="317">
        <f t="shared" si="53"/>
        <v>0</v>
      </c>
      <c r="AS269" s="475">
        <v>-46906.800111000004</v>
      </c>
      <c r="AT269" s="174">
        <f t="shared" si="54"/>
        <v>-172985.277787</v>
      </c>
      <c r="AU269" s="174">
        <f t="shared" si="55"/>
        <v>0</v>
      </c>
    </row>
    <row r="270" spans="1:47">
      <c r="A270" t="s">
        <v>567</v>
      </c>
      <c r="B270" t="s">
        <v>2838</v>
      </c>
      <c r="C270" s="468">
        <v>-103815.7</v>
      </c>
      <c r="D270" s="468">
        <v>-110689.854232</v>
      </c>
      <c r="E270" s="473">
        <v>-88548.762519999989</v>
      </c>
      <c r="F270" s="474">
        <v>-112800.114548</v>
      </c>
      <c r="G270" s="450">
        <f t="shared" si="47"/>
        <v>-415854.4313</v>
      </c>
      <c r="I270" s="67">
        <f t="shared" si="48"/>
        <v>0</v>
      </c>
      <c r="J270" s="58" t="s">
        <v>567</v>
      </c>
      <c r="K270" t="s">
        <v>2839</v>
      </c>
      <c r="L270" s="448">
        <v>-112800.114548</v>
      </c>
      <c r="M270" s="67" t="s">
        <v>2591</v>
      </c>
      <c r="N270" s="317"/>
      <c r="P270" t="s">
        <v>567</v>
      </c>
      <c r="Q270" t="s">
        <v>2838</v>
      </c>
      <c r="R270" s="211">
        <v>-98137.19</v>
      </c>
      <c r="S270" s="211">
        <v>-103815.7</v>
      </c>
      <c r="T270" s="211">
        <v>-110689.854232</v>
      </c>
      <c r="U270" s="274">
        <v>-88548.762519999989</v>
      </c>
      <c r="V270" s="79">
        <f t="shared" si="46"/>
        <v>-401191.50675200002</v>
      </c>
      <c r="Z270" s="172">
        <f t="shared" si="49"/>
        <v>0</v>
      </c>
      <c r="AB270" t="s">
        <v>567</v>
      </c>
      <c r="AC270" t="s">
        <v>2838</v>
      </c>
      <c r="AD270" s="464">
        <v>-98137.19</v>
      </c>
      <c r="AE270" s="464">
        <v>-103815.7</v>
      </c>
      <c r="AF270" s="464">
        <v>-110689.854232</v>
      </c>
      <c r="AG270" s="464">
        <v>-88548.762519999989</v>
      </c>
      <c r="AH270" s="464">
        <v>-401191.50675200002</v>
      </c>
      <c r="AJ270" s="464">
        <f t="shared" si="50"/>
        <v>-303054.31675200001</v>
      </c>
      <c r="AM270" s="464">
        <f t="shared" si="51"/>
        <v>-103815.7</v>
      </c>
      <c r="AN270" s="464">
        <v>-110689.854232</v>
      </c>
      <c r="AO270" s="464">
        <v>-88548.762519999989</v>
      </c>
      <c r="AP270" s="317">
        <f t="shared" si="52"/>
        <v>-303054.31675200001</v>
      </c>
      <c r="AQ270" s="317">
        <f t="shared" si="53"/>
        <v>0</v>
      </c>
      <c r="AS270" s="475">
        <v>-112800.114548</v>
      </c>
      <c r="AT270" s="174">
        <f t="shared" si="54"/>
        <v>-415854.4313</v>
      </c>
      <c r="AU270" s="174">
        <f t="shared" si="55"/>
        <v>0</v>
      </c>
    </row>
    <row r="271" spans="1:47">
      <c r="A271" t="s">
        <v>569</v>
      </c>
      <c r="B271" t="s">
        <v>2840</v>
      </c>
      <c r="C271" s="468">
        <v>-581759.54</v>
      </c>
      <c r="D271" s="468">
        <v>-741202.79307599994</v>
      </c>
      <c r="E271" s="473">
        <v>-252886.89768495038</v>
      </c>
      <c r="F271" s="474">
        <v>-880736.21975599974</v>
      </c>
      <c r="G271" s="450">
        <f t="shared" si="47"/>
        <v>-2456585.4505169503</v>
      </c>
      <c r="I271" s="67">
        <f t="shared" si="48"/>
        <v>0</v>
      </c>
      <c r="J271" s="58" t="s">
        <v>569</v>
      </c>
      <c r="K271" t="s">
        <v>570</v>
      </c>
      <c r="L271" s="448">
        <v>-880736.21975599974</v>
      </c>
      <c r="M271" s="67" t="s">
        <v>2591</v>
      </c>
      <c r="N271" s="317"/>
      <c r="P271" t="s">
        <v>569</v>
      </c>
      <c r="Q271" t="s">
        <v>2840</v>
      </c>
      <c r="R271" s="211">
        <v>-585235.14</v>
      </c>
      <c r="S271" s="211">
        <v>-581759.54</v>
      </c>
      <c r="T271" s="211">
        <v>-741202.79307599994</v>
      </c>
      <c r="U271" s="274">
        <v>-252886.89768495038</v>
      </c>
      <c r="V271" s="79">
        <f t="shared" si="46"/>
        <v>-2161084.3707609503</v>
      </c>
      <c r="Z271" s="172">
        <f t="shared" si="49"/>
        <v>0</v>
      </c>
      <c r="AB271" t="s">
        <v>569</v>
      </c>
      <c r="AC271" t="s">
        <v>2840</v>
      </c>
      <c r="AD271" s="464">
        <v>-585235.14</v>
      </c>
      <c r="AE271" s="464">
        <v>-581759.54</v>
      </c>
      <c r="AF271" s="464">
        <v>-741202.79307599994</v>
      </c>
      <c r="AG271" s="464">
        <v>-252886.89768495038</v>
      </c>
      <c r="AH271" s="464">
        <v>-2161084.3707609503</v>
      </c>
      <c r="AJ271" s="464">
        <f t="shared" si="50"/>
        <v>-1575849.2307609504</v>
      </c>
      <c r="AM271" s="464">
        <f t="shared" si="51"/>
        <v>-581759.54</v>
      </c>
      <c r="AN271" s="464">
        <v>-741202.79307599994</v>
      </c>
      <c r="AO271" s="464">
        <v>-252886.89768495038</v>
      </c>
      <c r="AP271" s="317">
        <f t="shared" si="52"/>
        <v>-1575849.2307609504</v>
      </c>
      <c r="AQ271" s="317">
        <f t="shared" si="53"/>
        <v>0</v>
      </c>
      <c r="AS271" s="475">
        <v>-880736.21975599974</v>
      </c>
      <c r="AT271" s="174">
        <f t="shared" si="54"/>
        <v>-2456585.4505169503</v>
      </c>
      <c r="AU271" s="174">
        <f t="shared" si="55"/>
        <v>0</v>
      </c>
    </row>
    <row r="272" spans="1:47">
      <c r="A272" s="436" t="s">
        <v>571</v>
      </c>
      <c r="B272" s="437" t="s">
        <v>572</v>
      </c>
      <c r="C272" s="478">
        <v>0</v>
      </c>
      <c r="D272" s="467"/>
      <c r="E272" s="473"/>
      <c r="F272" s="474"/>
      <c r="G272" s="450">
        <f t="shared" si="47"/>
        <v>0</v>
      </c>
      <c r="I272" s="67">
        <f t="shared" si="48"/>
        <v>0</v>
      </c>
      <c r="J272" s="436" t="s">
        <v>571</v>
      </c>
      <c r="K272" s="437" t="s">
        <v>572</v>
      </c>
      <c r="L272" s="448"/>
      <c r="M272" s="67"/>
      <c r="N272" s="317"/>
      <c r="P272" s="291" t="s">
        <v>571</v>
      </c>
      <c r="Q272" s="292" t="s">
        <v>572</v>
      </c>
      <c r="R272" s="211"/>
      <c r="S272" s="211"/>
      <c r="T272" s="211"/>
      <c r="U272" s="274"/>
      <c r="V272" s="79"/>
      <c r="Z272" s="172">
        <f t="shared" si="49"/>
        <v>0</v>
      </c>
      <c r="AB272" t="s">
        <v>571</v>
      </c>
      <c r="AC272" t="s">
        <v>572</v>
      </c>
      <c r="AD272" s="464"/>
      <c r="AE272" s="464"/>
      <c r="AF272" s="464"/>
      <c r="AG272" s="464"/>
      <c r="AH272" s="464"/>
      <c r="AJ272" s="464">
        <f t="shared" si="50"/>
        <v>0</v>
      </c>
      <c r="AM272" s="464">
        <f t="shared" si="51"/>
        <v>0</v>
      </c>
      <c r="AN272" s="464"/>
      <c r="AO272" s="464"/>
      <c r="AP272" s="317">
        <f t="shared" si="52"/>
        <v>0</v>
      </c>
      <c r="AQ272" s="317">
        <f t="shared" si="53"/>
        <v>0</v>
      </c>
      <c r="AS272" s="475"/>
      <c r="AT272" s="174">
        <f t="shared" si="54"/>
        <v>0</v>
      </c>
      <c r="AU272" s="174">
        <f t="shared" si="55"/>
        <v>0</v>
      </c>
    </row>
    <row r="273" spans="1:47">
      <c r="A273" s="447" t="s">
        <v>573</v>
      </c>
      <c r="B273" t="s">
        <v>574</v>
      </c>
      <c r="C273" s="479">
        <v>0</v>
      </c>
      <c r="D273" s="468"/>
      <c r="E273" s="473">
        <v>-62648.210387000014</v>
      </c>
      <c r="F273" s="474">
        <v>-31719.806906000013</v>
      </c>
      <c r="G273" s="450">
        <f t="shared" si="47"/>
        <v>-94368.017293000026</v>
      </c>
      <c r="I273" s="67">
        <f t="shared" si="48"/>
        <v>0</v>
      </c>
      <c r="J273" s="446" t="s">
        <v>573</v>
      </c>
      <c r="K273" t="s">
        <v>574</v>
      </c>
      <c r="L273" s="448">
        <v>-31719.806906000013</v>
      </c>
      <c r="M273" s="67" t="s">
        <v>2591</v>
      </c>
      <c r="N273" s="317"/>
      <c r="P273" s="276" t="s">
        <v>573</v>
      </c>
      <c r="Q273" t="s">
        <v>574</v>
      </c>
      <c r="R273" s="211"/>
      <c r="S273" s="211"/>
      <c r="T273" s="211"/>
      <c r="U273" s="274">
        <v>-62648.210387000014</v>
      </c>
      <c r="V273" s="79">
        <f>SUM(R273:U273)</f>
        <v>-62648.210387000014</v>
      </c>
      <c r="Z273" s="172">
        <f t="shared" si="49"/>
        <v>0</v>
      </c>
      <c r="AB273" t="s">
        <v>573</v>
      </c>
      <c r="AC273" t="s">
        <v>574</v>
      </c>
      <c r="AD273" s="464"/>
      <c r="AE273" s="464"/>
      <c r="AF273" s="464"/>
      <c r="AG273" s="464">
        <v>-62648.210387000014</v>
      </c>
      <c r="AH273" s="464">
        <v>-62648.210387000014</v>
      </c>
      <c r="AJ273" s="464">
        <f t="shared" si="50"/>
        <v>-62648.210387000014</v>
      </c>
      <c r="AM273" s="464">
        <f t="shared" si="51"/>
        <v>0</v>
      </c>
      <c r="AN273" s="464"/>
      <c r="AO273" s="464">
        <v>-62648.210387000014</v>
      </c>
      <c r="AP273" s="317">
        <f t="shared" si="52"/>
        <v>-62648.210387000014</v>
      </c>
      <c r="AQ273" s="317">
        <f t="shared" si="53"/>
        <v>0</v>
      </c>
      <c r="AS273" s="475">
        <v>-31719.806906000013</v>
      </c>
      <c r="AT273" s="174">
        <f t="shared" si="54"/>
        <v>-94368.017293000026</v>
      </c>
      <c r="AU273" s="174">
        <f t="shared" si="55"/>
        <v>0</v>
      </c>
    </row>
    <row r="274" spans="1:47">
      <c r="A274" s="436" t="s">
        <v>575</v>
      </c>
      <c r="B274" s="437" t="s">
        <v>576</v>
      </c>
      <c r="C274" s="478">
        <v>0</v>
      </c>
      <c r="D274" s="467"/>
      <c r="E274" s="473"/>
      <c r="F274" s="474"/>
      <c r="G274" s="450">
        <f t="shared" si="47"/>
        <v>0</v>
      </c>
      <c r="I274" s="67">
        <f t="shared" si="48"/>
        <v>0</v>
      </c>
      <c r="J274" s="436" t="s">
        <v>575</v>
      </c>
      <c r="K274" s="437" t="s">
        <v>576</v>
      </c>
      <c r="L274" s="448"/>
      <c r="M274" s="67"/>
      <c r="N274" s="317"/>
      <c r="P274" s="291" t="s">
        <v>575</v>
      </c>
      <c r="Q274" s="292" t="s">
        <v>576</v>
      </c>
      <c r="R274" s="211"/>
      <c r="S274" s="211"/>
      <c r="T274" s="211"/>
      <c r="U274" s="274"/>
      <c r="V274" s="79"/>
      <c r="Z274" s="172">
        <f t="shared" si="49"/>
        <v>0</v>
      </c>
      <c r="AB274" t="s">
        <v>575</v>
      </c>
      <c r="AC274" t="s">
        <v>576</v>
      </c>
      <c r="AD274" s="464"/>
      <c r="AE274" s="464"/>
      <c r="AF274" s="464"/>
      <c r="AG274" s="464"/>
      <c r="AH274" s="464"/>
      <c r="AJ274" s="464">
        <f t="shared" si="50"/>
        <v>0</v>
      </c>
      <c r="AM274" s="464">
        <f t="shared" si="51"/>
        <v>0</v>
      </c>
      <c r="AN274" s="464"/>
      <c r="AO274" s="464"/>
      <c r="AP274" s="317">
        <f t="shared" si="52"/>
        <v>0</v>
      </c>
      <c r="AQ274" s="317">
        <f t="shared" si="53"/>
        <v>0</v>
      </c>
      <c r="AS274" s="475"/>
      <c r="AT274" s="174">
        <f t="shared" si="54"/>
        <v>0</v>
      </c>
      <c r="AU274" s="174">
        <f t="shared" si="55"/>
        <v>0</v>
      </c>
    </row>
    <row r="275" spans="1:47">
      <c r="A275" t="s">
        <v>577</v>
      </c>
      <c r="B275" t="s">
        <v>2841</v>
      </c>
      <c r="C275" s="479">
        <v>-120324.63</v>
      </c>
      <c r="D275" s="468">
        <v>-30112.744849999784</v>
      </c>
      <c r="E275" s="473">
        <v>11075.164526000095</v>
      </c>
      <c r="F275" s="474">
        <v>65677.098313000053</v>
      </c>
      <c r="G275" s="450">
        <f t="shared" si="47"/>
        <v>-73685.112010999641</v>
      </c>
      <c r="I275" s="67">
        <f t="shared" si="48"/>
        <v>0</v>
      </c>
      <c r="J275" t="s">
        <v>577</v>
      </c>
      <c r="K275" t="s">
        <v>2841</v>
      </c>
      <c r="L275" s="448">
        <v>65677.098313000053</v>
      </c>
      <c r="M275" s="67" t="s">
        <v>2591</v>
      </c>
      <c r="N275" s="317"/>
      <c r="P275" t="s">
        <v>577</v>
      </c>
      <c r="Q275" t="s">
        <v>2841</v>
      </c>
      <c r="R275" s="211">
        <v>-139809.19</v>
      </c>
      <c r="S275" s="211">
        <v>-120324.63</v>
      </c>
      <c r="T275" s="211">
        <v>-30112.744849999784</v>
      </c>
      <c r="U275" s="274">
        <v>150884.3545260001</v>
      </c>
      <c r="V275" s="79">
        <f>SUM(R275:U275)</f>
        <v>-139362.21032399969</v>
      </c>
      <c r="Z275" s="172">
        <f t="shared" si="49"/>
        <v>0</v>
      </c>
      <c r="AB275" t="s">
        <v>577</v>
      </c>
      <c r="AC275" t="s">
        <v>2841</v>
      </c>
      <c r="AD275" s="464">
        <v>0</v>
      </c>
      <c r="AE275" s="464">
        <v>-120324.63</v>
      </c>
      <c r="AF275" s="464">
        <v>-30112.744849999784</v>
      </c>
      <c r="AG275" s="464">
        <v>11075.164526000095</v>
      </c>
      <c r="AH275" s="464">
        <v>-139362.21032399969</v>
      </c>
      <c r="AJ275" s="464">
        <f t="shared" si="50"/>
        <v>-139362.21032399969</v>
      </c>
      <c r="AM275" s="464">
        <f t="shared" si="51"/>
        <v>-120324.63</v>
      </c>
      <c r="AN275" s="464">
        <v>-30112.744849999784</v>
      </c>
      <c r="AO275" s="464">
        <v>11075.164526000095</v>
      </c>
      <c r="AP275" s="317">
        <f t="shared" si="52"/>
        <v>-139362.21032399969</v>
      </c>
      <c r="AQ275" s="317">
        <f t="shared" si="53"/>
        <v>0</v>
      </c>
      <c r="AS275" s="475">
        <v>65677.098313000053</v>
      </c>
      <c r="AT275" s="174">
        <f t="shared" si="54"/>
        <v>-73685.112010999641</v>
      </c>
      <c r="AU275" s="174">
        <f t="shared" si="55"/>
        <v>0</v>
      </c>
    </row>
    <row r="276" spans="1:47">
      <c r="A276" s="436" t="s">
        <v>579</v>
      </c>
      <c r="B276" s="437" t="s">
        <v>580</v>
      </c>
      <c r="C276" s="478">
        <v>0</v>
      </c>
      <c r="D276" s="467"/>
      <c r="E276" s="473"/>
      <c r="F276" s="474"/>
      <c r="G276" s="450">
        <f t="shared" si="47"/>
        <v>0</v>
      </c>
      <c r="I276" s="67">
        <f t="shared" si="48"/>
        <v>0</v>
      </c>
      <c r="J276" s="436" t="s">
        <v>579</v>
      </c>
      <c r="K276" s="437" t="s">
        <v>580</v>
      </c>
      <c r="L276" s="448"/>
      <c r="M276" s="67"/>
      <c r="N276" s="317"/>
      <c r="P276" s="291" t="s">
        <v>579</v>
      </c>
      <c r="Q276" s="292" t="s">
        <v>580</v>
      </c>
      <c r="R276" s="211"/>
      <c r="S276" s="211"/>
      <c r="T276" s="211"/>
      <c r="U276" s="274"/>
      <c r="V276" s="79"/>
      <c r="Z276" s="172">
        <f t="shared" si="49"/>
        <v>0</v>
      </c>
      <c r="AB276" t="s">
        <v>579</v>
      </c>
      <c r="AC276" t="s">
        <v>580</v>
      </c>
      <c r="AD276" s="464"/>
      <c r="AE276" s="464"/>
      <c r="AF276" s="464"/>
      <c r="AG276" s="464"/>
      <c r="AH276" s="464"/>
      <c r="AJ276" s="464">
        <f t="shared" si="50"/>
        <v>0</v>
      </c>
      <c r="AM276" s="464">
        <f t="shared" si="51"/>
        <v>0</v>
      </c>
      <c r="AN276" s="464"/>
      <c r="AO276" s="464"/>
      <c r="AP276" s="317">
        <f t="shared" si="52"/>
        <v>0</v>
      </c>
      <c r="AQ276" s="317">
        <f t="shared" si="53"/>
        <v>0</v>
      </c>
      <c r="AS276" s="475"/>
      <c r="AT276" s="174">
        <f t="shared" si="54"/>
        <v>0</v>
      </c>
      <c r="AU276" s="174">
        <f t="shared" si="55"/>
        <v>0</v>
      </c>
    </row>
    <row r="277" spans="1:47">
      <c r="A277" t="s">
        <v>581</v>
      </c>
      <c r="B277" t="s">
        <v>582</v>
      </c>
      <c r="C277" s="468">
        <v>-117142.04</v>
      </c>
      <c r="D277" s="468">
        <v>-93285.851157681653</v>
      </c>
      <c r="E277" s="473">
        <v>-137434.15801280562</v>
      </c>
      <c r="F277" s="474">
        <v>-96655.24377735093</v>
      </c>
      <c r="G277" s="450">
        <f t="shared" si="47"/>
        <v>-444517.2929478382</v>
      </c>
      <c r="I277" s="67">
        <f t="shared" si="48"/>
        <v>0</v>
      </c>
      <c r="J277" s="58" t="s">
        <v>581</v>
      </c>
      <c r="K277" t="s">
        <v>582</v>
      </c>
      <c r="L277" s="448">
        <v>-96655.24377735093</v>
      </c>
      <c r="M277" s="67" t="s">
        <v>2591</v>
      </c>
      <c r="N277" s="317"/>
      <c r="P277" t="s">
        <v>581</v>
      </c>
      <c r="Q277" t="s">
        <v>582</v>
      </c>
      <c r="R277" s="211">
        <v>-139850.34</v>
      </c>
      <c r="S277" s="211">
        <v>-117142.04</v>
      </c>
      <c r="T277" s="211">
        <v>-93285.851157681653</v>
      </c>
      <c r="U277" s="274">
        <v>-137434.15801280562</v>
      </c>
      <c r="V277" s="79">
        <f t="shared" ref="V277:V284" si="56">SUM(R277:U277)</f>
        <v>-487712.38917048729</v>
      </c>
      <c r="Z277" s="172">
        <f t="shared" si="49"/>
        <v>0</v>
      </c>
      <c r="AB277" t="s">
        <v>581</v>
      </c>
      <c r="AC277" t="s">
        <v>582</v>
      </c>
      <c r="AD277" s="464">
        <v>-139850.34</v>
      </c>
      <c r="AE277" s="464">
        <v>-117142.04</v>
      </c>
      <c r="AF277" s="464">
        <v>-93285.851157681653</v>
      </c>
      <c r="AG277" s="464">
        <v>-137434.15801280562</v>
      </c>
      <c r="AH277" s="464">
        <v>-487712.38917048729</v>
      </c>
      <c r="AJ277" s="464">
        <f t="shared" si="50"/>
        <v>-347862.04917048727</v>
      </c>
      <c r="AM277" s="464">
        <f t="shared" si="51"/>
        <v>-117142.04</v>
      </c>
      <c r="AN277" s="464">
        <v>-93285.851157681653</v>
      </c>
      <c r="AO277" s="464">
        <v>-137434.15801280562</v>
      </c>
      <c r="AP277" s="317">
        <f t="shared" si="52"/>
        <v>-347862.04917048727</v>
      </c>
      <c r="AQ277" s="317">
        <f t="shared" si="53"/>
        <v>0</v>
      </c>
      <c r="AS277" s="475">
        <v>-96655.24377735093</v>
      </c>
      <c r="AT277" s="174">
        <f t="shared" si="54"/>
        <v>-444517.2929478382</v>
      </c>
      <c r="AU277" s="174">
        <f t="shared" si="55"/>
        <v>0</v>
      </c>
    </row>
    <row r="278" spans="1:47">
      <c r="A278" t="s">
        <v>583</v>
      </c>
      <c r="B278" t="s">
        <v>2842</v>
      </c>
      <c r="C278" s="468">
        <v>45287.89</v>
      </c>
      <c r="D278" s="468">
        <v>47384.053139999771</v>
      </c>
      <c r="E278" s="473">
        <v>104310.51368300011</v>
      </c>
      <c r="F278" s="474">
        <v>-92026.969409999889</v>
      </c>
      <c r="G278" s="450">
        <f t="shared" si="47"/>
        <v>104955.48741299998</v>
      </c>
      <c r="I278" s="67">
        <f t="shared" si="48"/>
        <v>0</v>
      </c>
      <c r="J278" s="58" t="s">
        <v>583</v>
      </c>
      <c r="K278" t="s">
        <v>584</v>
      </c>
      <c r="L278" s="448">
        <v>-92026.969409999889</v>
      </c>
      <c r="M278" s="67" t="s">
        <v>2591</v>
      </c>
      <c r="N278" s="317"/>
      <c r="P278" t="s">
        <v>583</v>
      </c>
      <c r="Q278" t="s">
        <v>2842</v>
      </c>
      <c r="R278" s="211">
        <v>-115815.97</v>
      </c>
      <c r="S278" s="211">
        <v>45287.89</v>
      </c>
      <c r="T278" s="211">
        <v>163200.02313999977</v>
      </c>
      <c r="U278" s="274">
        <v>104310.51368300011</v>
      </c>
      <c r="V278" s="79">
        <f t="shared" si="56"/>
        <v>196982.45682299987</v>
      </c>
      <c r="Z278" s="172">
        <f t="shared" si="49"/>
        <v>0</v>
      </c>
      <c r="AB278" t="s">
        <v>583</v>
      </c>
      <c r="AC278" t="s">
        <v>2842</v>
      </c>
      <c r="AD278" s="464">
        <v>0</v>
      </c>
      <c r="AE278" s="464">
        <v>45287.89</v>
      </c>
      <c r="AF278" s="464">
        <v>47384.053139999771</v>
      </c>
      <c r="AG278" s="464">
        <v>104310.51368300011</v>
      </c>
      <c r="AH278" s="464">
        <v>196982.45682299987</v>
      </c>
      <c r="AJ278" s="464">
        <f t="shared" si="50"/>
        <v>196982.45682299987</v>
      </c>
      <c r="AM278" s="464">
        <f t="shared" si="51"/>
        <v>45287.89</v>
      </c>
      <c r="AN278" s="464">
        <v>47384.053139999771</v>
      </c>
      <c r="AO278" s="464">
        <v>104310.51368300011</v>
      </c>
      <c r="AP278" s="317">
        <f t="shared" si="52"/>
        <v>196982.45682299987</v>
      </c>
      <c r="AQ278" s="317">
        <f t="shared" si="53"/>
        <v>0</v>
      </c>
      <c r="AS278" s="475">
        <v>-92026.969409999889</v>
      </c>
      <c r="AT278" s="174">
        <f t="shared" si="54"/>
        <v>104955.48741299998</v>
      </c>
      <c r="AU278" s="174">
        <f t="shared" si="55"/>
        <v>0</v>
      </c>
    </row>
    <row r="279" spans="1:47">
      <c r="A279" t="s">
        <v>587</v>
      </c>
      <c r="B279" t="s">
        <v>2843</v>
      </c>
      <c r="C279" s="468">
        <v>-90654.17</v>
      </c>
      <c r="D279" s="468">
        <v>-70812.493999999992</v>
      </c>
      <c r="E279" s="473">
        <v>-44713.510000000009</v>
      </c>
      <c r="F279" s="474">
        <v>-55224.745999999992</v>
      </c>
      <c r="G279" s="450">
        <f t="shared" si="47"/>
        <v>-261404.91999999998</v>
      </c>
      <c r="I279" s="67">
        <f t="shared" si="48"/>
        <v>0</v>
      </c>
      <c r="J279" s="434" t="s">
        <v>587</v>
      </c>
      <c r="K279" s="74" t="s">
        <v>2843</v>
      </c>
      <c r="L279" s="448">
        <v>-55224.745999999992</v>
      </c>
      <c r="M279" s="67" t="s">
        <v>2591</v>
      </c>
      <c r="N279" s="317"/>
      <c r="P279" t="s">
        <v>587</v>
      </c>
      <c r="Q279" t="s">
        <v>2843</v>
      </c>
      <c r="R279" s="211">
        <v>-29725.63</v>
      </c>
      <c r="S279" s="211">
        <v>-90654.17</v>
      </c>
      <c r="T279" s="211">
        <v>-70812.493999999992</v>
      </c>
      <c r="U279" s="274">
        <v>-44713.510000000009</v>
      </c>
      <c r="V279" s="79">
        <f t="shared" si="56"/>
        <v>-235905.804</v>
      </c>
      <c r="Z279" s="172">
        <f t="shared" si="49"/>
        <v>0</v>
      </c>
      <c r="AB279" t="s">
        <v>587</v>
      </c>
      <c r="AC279" t="s">
        <v>2843</v>
      </c>
      <c r="AD279" s="464">
        <v>-29725.63</v>
      </c>
      <c r="AE279" s="464">
        <v>-90654.17</v>
      </c>
      <c r="AF279" s="464">
        <v>-70812.493999999992</v>
      </c>
      <c r="AG279" s="464">
        <v>-44713.510000000009</v>
      </c>
      <c r="AH279" s="464">
        <v>-235905.804</v>
      </c>
      <c r="AJ279" s="464">
        <f t="shared" si="50"/>
        <v>-206180.174</v>
      </c>
      <c r="AM279" s="464">
        <f t="shared" si="51"/>
        <v>-90654.17</v>
      </c>
      <c r="AN279" s="464">
        <v>-70812.493999999992</v>
      </c>
      <c r="AO279" s="464">
        <v>-44713.510000000009</v>
      </c>
      <c r="AP279" s="317">
        <f t="shared" si="52"/>
        <v>-206180.174</v>
      </c>
      <c r="AQ279" s="317">
        <f t="shared" si="53"/>
        <v>0</v>
      </c>
      <c r="AS279" s="475">
        <v>-55224.745999999992</v>
      </c>
      <c r="AT279" s="174">
        <f t="shared" si="54"/>
        <v>-261404.91999999998</v>
      </c>
      <c r="AU279" s="174">
        <f t="shared" si="55"/>
        <v>0</v>
      </c>
    </row>
    <row r="280" spans="1:47">
      <c r="A280" t="s">
        <v>589</v>
      </c>
      <c r="B280" t="s">
        <v>1132</v>
      </c>
      <c r="C280" s="468">
        <v>-55449.2</v>
      </c>
      <c r="D280" s="468">
        <v>-35526.348065000013</v>
      </c>
      <c r="E280" s="473">
        <v>-29062.916509999995</v>
      </c>
      <c r="F280" s="474">
        <v>-31303.087064000003</v>
      </c>
      <c r="G280" s="450">
        <f t="shared" si="47"/>
        <v>-151341.55163900001</v>
      </c>
      <c r="I280" s="67">
        <f t="shared" si="48"/>
        <v>0</v>
      </c>
      <c r="J280" s="149" t="s">
        <v>589</v>
      </c>
      <c r="K280" s="74" t="s">
        <v>1132</v>
      </c>
      <c r="L280" s="448">
        <v>-31303.087064000003</v>
      </c>
      <c r="M280" s="67" t="s">
        <v>2591</v>
      </c>
      <c r="N280" s="317"/>
      <c r="P280" t="s">
        <v>589</v>
      </c>
      <c r="Q280" t="s">
        <v>1132</v>
      </c>
      <c r="R280" s="211">
        <v>-35736.42</v>
      </c>
      <c r="S280" s="211">
        <v>-55449.2</v>
      </c>
      <c r="T280" s="211">
        <v>-35526.348065000013</v>
      </c>
      <c r="U280" s="274">
        <v>-29062.916509999995</v>
      </c>
      <c r="V280" s="79">
        <f t="shared" si="56"/>
        <v>-155774.884575</v>
      </c>
      <c r="Z280" s="172">
        <f t="shared" si="49"/>
        <v>0</v>
      </c>
      <c r="AB280" t="s">
        <v>589</v>
      </c>
      <c r="AC280" t="s">
        <v>1132</v>
      </c>
      <c r="AD280" s="464">
        <v>-35736.42</v>
      </c>
      <c r="AE280" s="464">
        <v>-55449.2</v>
      </c>
      <c r="AF280" s="464">
        <v>-35526.348065000013</v>
      </c>
      <c r="AG280" s="464">
        <v>-29062.916509999995</v>
      </c>
      <c r="AH280" s="464">
        <v>-155774.884575</v>
      </c>
      <c r="AJ280" s="464">
        <f t="shared" si="50"/>
        <v>-120038.46457500001</v>
      </c>
      <c r="AM280" s="464">
        <f t="shared" si="51"/>
        <v>-55449.2</v>
      </c>
      <c r="AN280" s="464">
        <v>-35526.348065000013</v>
      </c>
      <c r="AO280" s="464">
        <v>-29062.916509999995</v>
      </c>
      <c r="AP280" s="317">
        <f t="shared" si="52"/>
        <v>-120038.46457500001</v>
      </c>
      <c r="AQ280" s="317">
        <f t="shared" si="53"/>
        <v>0</v>
      </c>
      <c r="AS280" s="475">
        <v>-31303.087064000003</v>
      </c>
      <c r="AT280" s="174">
        <f t="shared" si="54"/>
        <v>-151341.55163900001</v>
      </c>
      <c r="AU280" s="174">
        <f t="shared" si="55"/>
        <v>0</v>
      </c>
    </row>
    <row r="281" spans="1:47">
      <c r="A281" t="s">
        <v>591</v>
      </c>
      <c r="B281" t="s">
        <v>1134</v>
      </c>
      <c r="C281" s="468">
        <v>-59323</v>
      </c>
      <c r="D281" s="468">
        <v>-59708.753303999998</v>
      </c>
      <c r="E281" s="473">
        <v>-44586.923548000006</v>
      </c>
      <c r="F281" s="474">
        <v>-48948.54823</v>
      </c>
      <c r="G281" s="450">
        <f t="shared" si="47"/>
        <v>-212567.22508200002</v>
      </c>
      <c r="I281" s="67">
        <f t="shared" si="48"/>
        <v>0</v>
      </c>
      <c r="J281" s="149" t="s">
        <v>591</v>
      </c>
      <c r="K281" s="74" t="s">
        <v>1134</v>
      </c>
      <c r="L281" s="448">
        <v>-48948.54823</v>
      </c>
      <c r="M281" s="67" t="s">
        <v>2591</v>
      </c>
      <c r="N281" s="317"/>
      <c r="P281" t="s">
        <v>591</v>
      </c>
      <c r="Q281" t="s">
        <v>1134</v>
      </c>
      <c r="R281" s="211">
        <v>-20295.400000000001</v>
      </c>
      <c r="S281" s="211">
        <v>-59323</v>
      </c>
      <c r="T281" s="211">
        <v>-59708.753303999998</v>
      </c>
      <c r="U281" s="274">
        <v>-44586.923548000006</v>
      </c>
      <c r="V281" s="79">
        <f t="shared" si="56"/>
        <v>-183914.07685199997</v>
      </c>
      <c r="Z281" s="172">
        <f t="shared" si="49"/>
        <v>0</v>
      </c>
      <c r="AB281" t="s">
        <v>591</v>
      </c>
      <c r="AC281" t="s">
        <v>1134</v>
      </c>
      <c r="AD281" s="464">
        <v>-20295.400000000001</v>
      </c>
      <c r="AE281" s="464">
        <v>-59323</v>
      </c>
      <c r="AF281" s="464">
        <v>-59708.753303999998</v>
      </c>
      <c r="AG281" s="464">
        <v>-44586.923548000006</v>
      </c>
      <c r="AH281" s="464">
        <v>-183914.07685199997</v>
      </c>
      <c r="AJ281" s="464">
        <f t="shared" si="50"/>
        <v>-163618.676852</v>
      </c>
      <c r="AM281" s="464">
        <f t="shared" si="51"/>
        <v>-59323</v>
      </c>
      <c r="AN281" s="464">
        <v>-59708.753303999998</v>
      </c>
      <c r="AO281" s="464">
        <v>-44586.923548000006</v>
      </c>
      <c r="AP281" s="317">
        <f t="shared" si="52"/>
        <v>-163618.676852</v>
      </c>
      <c r="AQ281" s="317">
        <f t="shared" si="53"/>
        <v>0</v>
      </c>
      <c r="AS281" s="475">
        <v>-48948.54823</v>
      </c>
      <c r="AT281" s="174">
        <f t="shared" si="54"/>
        <v>-212567.22508200002</v>
      </c>
      <c r="AU281" s="174">
        <f t="shared" si="55"/>
        <v>0</v>
      </c>
    </row>
    <row r="282" spans="1:47">
      <c r="A282" t="s">
        <v>585</v>
      </c>
      <c r="B282" t="s">
        <v>2844</v>
      </c>
      <c r="C282" s="468">
        <v>-26038.65</v>
      </c>
      <c r="D282" s="468">
        <v>-67617.574877999985</v>
      </c>
      <c r="E282" s="473">
        <v>-5485.8716120000026</v>
      </c>
      <c r="F282" s="474">
        <v>-628.77311199999531</v>
      </c>
      <c r="G282" s="450">
        <f t="shared" si="47"/>
        <v>-99770.869601999977</v>
      </c>
      <c r="I282" s="67">
        <f t="shared" si="48"/>
        <v>0</v>
      </c>
      <c r="J282" s="58" t="s">
        <v>585</v>
      </c>
      <c r="K282" t="s">
        <v>586</v>
      </c>
      <c r="L282" s="448">
        <v>-628.77311199999531</v>
      </c>
      <c r="M282" s="67" t="s">
        <v>2591</v>
      </c>
      <c r="N282" s="317"/>
      <c r="P282" t="s">
        <v>585</v>
      </c>
      <c r="Q282" t="s">
        <v>2844</v>
      </c>
      <c r="R282" s="211">
        <v>-37806.959999999999</v>
      </c>
      <c r="S282" s="211">
        <v>-26038.65</v>
      </c>
      <c r="T282" s="211">
        <v>-67617.574877999985</v>
      </c>
      <c r="U282" s="274">
        <v>-5485.8716120000026</v>
      </c>
      <c r="V282" s="79">
        <f t="shared" si="56"/>
        <v>-136949.05648999999</v>
      </c>
      <c r="Z282" s="172">
        <f t="shared" si="49"/>
        <v>0</v>
      </c>
      <c r="AB282" t="s">
        <v>585</v>
      </c>
      <c r="AC282" t="s">
        <v>2844</v>
      </c>
      <c r="AD282" s="464">
        <v>-37806.959999999999</v>
      </c>
      <c r="AE282" s="464">
        <v>-26038.65</v>
      </c>
      <c r="AF282" s="464">
        <v>-67617.574877999985</v>
      </c>
      <c r="AG282" s="464">
        <v>-5485.8716120000026</v>
      </c>
      <c r="AH282" s="464">
        <v>-136949.05648999999</v>
      </c>
      <c r="AJ282" s="464">
        <f t="shared" si="50"/>
        <v>-99142.096489999982</v>
      </c>
      <c r="AM282" s="464">
        <f t="shared" si="51"/>
        <v>-26038.65</v>
      </c>
      <c r="AN282" s="464">
        <v>-67617.574877999985</v>
      </c>
      <c r="AO282" s="464">
        <v>-5485.8716120000026</v>
      </c>
      <c r="AP282" s="317">
        <f t="shared" si="52"/>
        <v>-99142.096489999982</v>
      </c>
      <c r="AQ282" s="317">
        <f t="shared" si="53"/>
        <v>0</v>
      </c>
      <c r="AS282" s="475">
        <v>-628.77311199999531</v>
      </c>
      <c r="AT282" s="174">
        <f t="shared" si="54"/>
        <v>-99770.869601999977</v>
      </c>
      <c r="AU282" s="174">
        <f t="shared" si="55"/>
        <v>0</v>
      </c>
    </row>
    <row r="283" spans="1:47">
      <c r="A283" t="s">
        <v>593</v>
      </c>
      <c r="B283" t="s">
        <v>2845</v>
      </c>
      <c r="C283" s="468">
        <v>-108297.52</v>
      </c>
      <c r="D283" s="468">
        <v>-371857.04156399926</v>
      </c>
      <c r="E283" s="473">
        <v>1493890.9139413978</v>
      </c>
      <c r="F283" s="474">
        <v>121559.30401311992</v>
      </c>
      <c r="G283" s="450">
        <f t="shared" si="47"/>
        <v>1135295.6563905184</v>
      </c>
      <c r="I283" s="67">
        <f t="shared" si="48"/>
        <v>0</v>
      </c>
      <c r="J283" s="58" t="s">
        <v>593</v>
      </c>
      <c r="K283" t="s">
        <v>1136</v>
      </c>
      <c r="L283" s="448">
        <v>121559.30401311992</v>
      </c>
      <c r="M283" s="67" t="s">
        <v>2591</v>
      </c>
      <c r="N283" s="317"/>
      <c r="P283" t="s">
        <v>593</v>
      </c>
      <c r="Q283" t="s">
        <v>2845</v>
      </c>
      <c r="R283" s="211">
        <v>88187.79</v>
      </c>
      <c r="S283" s="211">
        <v>-196485.31</v>
      </c>
      <c r="T283" s="211">
        <v>-371857.04156399926</v>
      </c>
      <c r="U283" s="274">
        <v>1493890.9139413978</v>
      </c>
      <c r="V283" s="79">
        <f t="shared" si="56"/>
        <v>1013736.3523773985</v>
      </c>
      <c r="Z283" s="172">
        <f t="shared" si="49"/>
        <v>0</v>
      </c>
      <c r="AB283" t="s">
        <v>593</v>
      </c>
      <c r="AC283" t="s">
        <v>2845</v>
      </c>
      <c r="AD283" s="464">
        <v>88187.79</v>
      </c>
      <c r="AE283" s="464">
        <v>-196485.31</v>
      </c>
      <c r="AF283" s="464">
        <v>-371857.04156399926</v>
      </c>
      <c r="AG283" s="464">
        <v>1493890.9139413978</v>
      </c>
      <c r="AH283" s="464">
        <v>1013736.3523773985</v>
      </c>
      <c r="AJ283" s="464">
        <f t="shared" si="50"/>
        <v>925548.5623773986</v>
      </c>
      <c r="AM283" s="465">
        <f>+AD283+AE283</f>
        <v>-108297.52</v>
      </c>
      <c r="AN283" s="464">
        <v>-371857.04156399926</v>
      </c>
      <c r="AO283" s="464">
        <v>1493890.9139413978</v>
      </c>
      <c r="AP283" s="317">
        <f t="shared" si="52"/>
        <v>1013736.3523773985</v>
      </c>
      <c r="AQ283" s="466">
        <f>+AP283-AH283</f>
        <v>0</v>
      </c>
      <c r="AS283" s="475">
        <v>121559.30401311992</v>
      </c>
      <c r="AT283" s="174">
        <f t="shared" si="54"/>
        <v>1135295.6563905184</v>
      </c>
      <c r="AU283" s="174">
        <f t="shared" si="55"/>
        <v>0</v>
      </c>
    </row>
    <row r="284" spans="1:47">
      <c r="A284" t="s">
        <v>595</v>
      </c>
      <c r="B284" t="s">
        <v>2846</v>
      </c>
      <c r="C284" s="468">
        <v>-780638.5</v>
      </c>
      <c r="D284" s="468">
        <v>-1658863.9974180001</v>
      </c>
      <c r="E284" s="473">
        <v>-540206.5966409985</v>
      </c>
      <c r="F284" s="474">
        <v>-501723.61128599953</v>
      </c>
      <c r="G284" s="450">
        <f t="shared" si="47"/>
        <v>-3481432.7053449983</v>
      </c>
      <c r="I284" s="67">
        <f t="shared" si="48"/>
        <v>0</v>
      </c>
      <c r="J284" s="58" t="s">
        <v>595</v>
      </c>
      <c r="K284" t="s">
        <v>596</v>
      </c>
      <c r="L284" s="448">
        <v>-501723.61128599953</v>
      </c>
      <c r="M284" s="67" t="s">
        <v>2591</v>
      </c>
      <c r="N284" s="317"/>
      <c r="P284" t="s">
        <v>595</v>
      </c>
      <c r="Q284" t="s">
        <v>2846</v>
      </c>
      <c r="R284" s="211">
        <v>-931119.53</v>
      </c>
      <c r="S284" s="211">
        <v>-780638.5</v>
      </c>
      <c r="T284" s="211">
        <v>-1658863.9974180001</v>
      </c>
      <c r="U284" s="274">
        <v>-540206.5966409985</v>
      </c>
      <c r="V284" s="79">
        <f t="shared" si="56"/>
        <v>-3910828.6240589987</v>
      </c>
      <c r="Z284" s="172">
        <f t="shared" si="49"/>
        <v>0</v>
      </c>
      <c r="AB284" t="s">
        <v>595</v>
      </c>
      <c r="AC284" t="s">
        <v>2846</v>
      </c>
      <c r="AD284" s="464">
        <v>-931119.53</v>
      </c>
      <c r="AE284" s="464">
        <v>-780638.5</v>
      </c>
      <c r="AF284" s="464">
        <v>-1658863.9974180001</v>
      </c>
      <c r="AG284" s="464">
        <v>-540206.5966409985</v>
      </c>
      <c r="AH284" s="464">
        <v>-3910828.6240589987</v>
      </c>
      <c r="AJ284" s="464">
        <f t="shared" si="50"/>
        <v>-2979709.0940589989</v>
      </c>
      <c r="AM284" s="464">
        <f t="shared" si="51"/>
        <v>-780638.5</v>
      </c>
      <c r="AN284" s="464">
        <v>-1658863.9974180001</v>
      </c>
      <c r="AO284" s="464">
        <v>-540206.5966409985</v>
      </c>
      <c r="AP284" s="317">
        <f t="shared" si="52"/>
        <v>-2979709.0940589989</v>
      </c>
      <c r="AQ284" s="317">
        <f t="shared" si="53"/>
        <v>0</v>
      </c>
      <c r="AS284" s="475">
        <v>-501723.61128599953</v>
      </c>
      <c r="AT284" s="174">
        <f t="shared" si="54"/>
        <v>-3481432.7053449983</v>
      </c>
      <c r="AU284" s="174">
        <f t="shared" si="55"/>
        <v>0</v>
      </c>
    </row>
    <row r="285" spans="1:47">
      <c r="A285" s="442" t="s">
        <v>597</v>
      </c>
      <c r="B285" s="443" t="s">
        <v>598</v>
      </c>
      <c r="C285" s="468">
        <v>0</v>
      </c>
      <c r="D285" s="468"/>
      <c r="E285" s="473"/>
      <c r="F285" s="474"/>
      <c r="G285" s="450">
        <f t="shared" si="47"/>
        <v>0</v>
      </c>
      <c r="I285" s="67">
        <f t="shared" si="48"/>
        <v>0</v>
      </c>
      <c r="J285" s="442" t="s">
        <v>597</v>
      </c>
      <c r="K285" s="443" t="s">
        <v>598</v>
      </c>
      <c r="L285" s="448"/>
      <c r="M285" s="67"/>
      <c r="N285" s="317"/>
      <c r="P285" s="296" t="s">
        <v>597</v>
      </c>
      <c r="Q285" s="287" t="s">
        <v>598</v>
      </c>
      <c r="R285" s="211"/>
      <c r="S285" s="211"/>
      <c r="T285" s="211"/>
      <c r="U285" s="274"/>
      <c r="V285" s="79"/>
      <c r="Z285" s="172">
        <f t="shared" si="49"/>
        <v>0</v>
      </c>
      <c r="AB285" t="s">
        <v>597</v>
      </c>
      <c r="AC285" t="s">
        <v>598</v>
      </c>
      <c r="AD285" s="464"/>
      <c r="AE285" s="464"/>
      <c r="AF285" s="464"/>
      <c r="AG285" s="464"/>
      <c r="AH285" s="464"/>
      <c r="AJ285" s="464">
        <f t="shared" si="50"/>
        <v>0</v>
      </c>
      <c r="AM285" s="464">
        <f t="shared" si="51"/>
        <v>0</v>
      </c>
      <c r="AN285" s="464"/>
      <c r="AO285" s="464"/>
      <c r="AP285" s="317">
        <f t="shared" si="52"/>
        <v>0</v>
      </c>
      <c r="AQ285" s="317">
        <f t="shared" si="53"/>
        <v>0</v>
      </c>
      <c r="AS285" s="475"/>
      <c r="AT285" s="174">
        <f t="shared" si="54"/>
        <v>0</v>
      </c>
      <c r="AU285" s="174">
        <f t="shared" si="55"/>
        <v>0</v>
      </c>
    </row>
    <row r="286" spans="1:47">
      <c r="A286" t="s">
        <v>599</v>
      </c>
      <c r="B286" t="s">
        <v>2847</v>
      </c>
      <c r="C286" s="468">
        <v>-3041143.11</v>
      </c>
      <c r="D286" s="468">
        <v>-5950973.99039998</v>
      </c>
      <c r="E286" s="473">
        <v>-2695722.0426317044</v>
      </c>
      <c r="F286" s="474">
        <v>-2975047.5678945817</v>
      </c>
      <c r="G286" s="450">
        <f t="shared" si="47"/>
        <v>-14662886.710926266</v>
      </c>
      <c r="I286" s="67">
        <f t="shared" si="48"/>
        <v>0</v>
      </c>
      <c r="J286" s="58" t="s">
        <v>599</v>
      </c>
      <c r="K286" t="s">
        <v>600</v>
      </c>
      <c r="L286" s="448">
        <v>-2975047.5678945817</v>
      </c>
      <c r="M286" s="67" t="s">
        <v>2591</v>
      </c>
      <c r="N286" s="317"/>
      <c r="P286" t="s">
        <v>599</v>
      </c>
      <c r="Q286" t="s">
        <v>2847</v>
      </c>
      <c r="R286" s="211">
        <v>-3413987.49</v>
      </c>
      <c r="S286" s="211">
        <v>-3041143.11</v>
      </c>
      <c r="T286" s="211">
        <v>-5950973.99039998</v>
      </c>
      <c r="U286" s="274">
        <v>-2695722.0426317044</v>
      </c>
      <c r="V286" s="79">
        <f t="shared" ref="V286:V296" si="57">SUM(R286:U286)</f>
        <v>-15101826.633031685</v>
      </c>
      <c r="Z286" s="172">
        <f t="shared" si="49"/>
        <v>0</v>
      </c>
      <c r="AB286" t="s">
        <v>599</v>
      </c>
      <c r="AC286" t="s">
        <v>2847</v>
      </c>
      <c r="AD286" s="464">
        <v>-3413987.49</v>
      </c>
      <c r="AE286" s="464">
        <v>-3041143.11</v>
      </c>
      <c r="AF286" s="464">
        <v>-5950973.99039998</v>
      </c>
      <c r="AG286" s="464">
        <v>-2695722.0426317044</v>
      </c>
      <c r="AH286" s="464">
        <v>-15101826.633031685</v>
      </c>
      <c r="AJ286" s="464">
        <f t="shared" si="50"/>
        <v>-11687839.143031685</v>
      </c>
      <c r="AM286" s="464">
        <f t="shared" si="51"/>
        <v>-3041143.11</v>
      </c>
      <c r="AN286" s="464">
        <v>-5950973.99039998</v>
      </c>
      <c r="AO286" s="464">
        <v>-2695722.0426317044</v>
      </c>
      <c r="AP286" s="317">
        <f t="shared" si="52"/>
        <v>-11687839.143031685</v>
      </c>
      <c r="AQ286" s="317">
        <f t="shared" si="53"/>
        <v>0</v>
      </c>
      <c r="AS286" s="475">
        <v>-2975047.5678945817</v>
      </c>
      <c r="AT286" s="174">
        <f t="shared" si="54"/>
        <v>-14662886.710926266</v>
      </c>
      <c r="AU286" s="174">
        <f t="shared" si="55"/>
        <v>0</v>
      </c>
    </row>
    <row r="287" spans="1:47">
      <c r="A287" t="s">
        <v>601</v>
      </c>
      <c r="B287" t="s">
        <v>2848</v>
      </c>
      <c r="C287" s="468">
        <v>-194832.09</v>
      </c>
      <c r="D287" s="468">
        <v>-257745.80747000006</v>
      </c>
      <c r="E287" s="473">
        <v>-250743.15007599996</v>
      </c>
      <c r="F287" s="474">
        <v>-214489.59792000003</v>
      </c>
      <c r="G287" s="450">
        <f t="shared" si="47"/>
        <v>-917810.64546600007</v>
      </c>
      <c r="I287" s="67">
        <f t="shared" si="48"/>
        <v>0</v>
      </c>
      <c r="J287" s="58" t="s">
        <v>601</v>
      </c>
      <c r="K287" t="s">
        <v>602</v>
      </c>
      <c r="L287" s="448">
        <v>-214489.59792000003</v>
      </c>
      <c r="M287" s="67" t="s">
        <v>2591</v>
      </c>
      <c r="N287" s="317"/>
      <c r="P287" t="s">
        <v>601</v>
      </c>
      <c r="Q287" t="s">
        <v>2848</v>
      </c>
      <c r="R287" s="211">
        <v>-199169</v>
      </c>
      <c r="S287" s="211">
        <v>-194832.09</v>
      </c>
      <c r="T287" s="211">
        <v>-257745.80747000006</v>
      </c>
      <c r="U287" s="274">
        <v>-250743.15007599996</v>
      </c>
      <c r="V287" s="79">
        <f t="shared" si="57"/>
        <v>-902490.04754599999</v>
      </c>
      <c r="Z287" s="172">
        <f t="shared" si="49"/>
        <v>0</v>
      </c>
      <c r="AB287" t="s">
        <v>601</v>
      </c>
      <c r="AC287" t="s">
        <v>2848</v>
      </c>
      <c r="AD287" s="464">
        <v>-199169</v>
      </c>
      <c r="AE287" s="464">
        <v>-194832.09</v>
      </c>
      <c r="AF287" s="464">
        <v>-257745.80747000006</v>
      </c>
      <c r="AG287" s="464">
        <v>-250743.15007599996</v>
      </c>
      <c r="AH287" s="464">
        <v>-902490.04754599999</v>
      </c>
      <c r="AJ287" s="464">
        <f t="shared" si="50"/>
        <v>-703321.04754599999</v>
      </c>
      <c r="AM287" s="464">
        <f t="shared" si="51"/>
        <v>-194832.09</v>
      </c>
      <c r="AN287" s="464">
        <v>-257745.80747000006</v>
      </c>
      <c r="AO287" s="464">
        <v>-250743.15007599996</v>
      </c>
      <c r="AP287" s="317">
        <f t="shared" si="52"/>
        <v>-703321.04754599999</v>
      </c>
      <c r="AQ287" s="317">
        <f t="shared" si="53"/>
        <v>0</v>
      </c>
      <c r="AS287" s="475">
        <v>-214489.59792000003</v>
      </c>
      <c r="AT287" s="174">
        <f t="shared" si="54"/>
        <v>-917810.64546600007</v>
      </c>
      <c r="AU287" s="174">
        <f t="shared" si="55"/>
        <v>0</v>
      </c>
    </row>
    <row r="288" spans="1:47">
      <c r="A288" t="s">
        <v>603</v>
      </c>
      <c r="B288" t="s">
        <v>2849</v>
      </c>
      <c r="C288" s="468">
        <v>-545694.12</v>
      </c>
      <c r="D288" s="468">
        <v>-558746.50160000031</v>
      </c>
      <c r="E288" s="473">
        <v>576117.52549999964</v>
      </c>
      <c r="F288" s="474">
        <v>-197538.90419800041</v>
      </c>
      <c r="G288" s="450">
        <f t="shared" si="47"/>
        <v>-725862.00029800099</v>
      </c>
      <c r="I288" s="67">
        <f t="shared" si="48"/>
        <v>0</v>
      </c>
      <c r="J288" s="58" t="s">
        <v>603</v>
      </c>
      <c r="K288" t="s">
        <v>604</v>
      </c>
      <c r="L288" s="448">
        <v>-197538.90419800041</v>
      </c>
      <c r="M288" s="67" t="s">
        <v>2591</v>
      </c>
      <c r="N288" s="317"/>
      <c r="P288" t="s">
        <v>603</v>
      </c>
      <c r="Q288" t="s">
        <v>2849</v>
      </c>
      <c r="R288" s="211">
        <v>-211280.41</v>
      </c>
      <c r="S288" s="211">
        <v>-545694.12</v>
      </c>
      <c r="T288" s="211">
        <v>-558746.50160000031</v>
      </c>
      <c r="U288" s="274">
        <v>787397.93549999967</v>
      </c>
      <c r="V288" s="79">
        <f t="shared" si="57"/>
        <v>-528323.09610000066</v>
      </c>
      <c r="Z288" s="172">
        <f t="shared" si="49"/>
        <v>0</v>
      </c>
      <c r="AB288" t="s">
        <v>603</v>
      </c>
      <c r="AC288" t="s">
        <v>2849</v>
      </c>
      <c r="AD288" s="464">
        <v>0</v>
      </c>
      <c r="AE288" s="464">
        <v>-545694.12</v>
      </c>
      <c r="AF288" s="464">
        <v>-558746.50160000031</v>
      </c>
      <c r="AG288" s="464">
        <v>576117.52549999964</v>
      </c>
      <c r="AH288" s="464">
        <v>-528323.09610000055</v>
      </c>
      <c r="AJ288" s="464">
        <f t="shared" si="50"/>
        <v>-528323.09610000055</v>
      </c>
      <c r="AM288" s="464">
        <f t="shared" si="51"/>
        <v>-545694.12</v>
      </c>
      <c r="AN288" s="464">
        <v>-558746.50160000031</v>
      </c>
      <c r="AO288" s="464">
        <v>576117.52549999964</v>
      </c>
      <c r="AP288" s="317">
        <f t="shared" si="52"/>
        <v>-528323.09610000055</v>
      </c>
      <c r="AQ288" s="317">
        <f t="shared" si="53"/>
        <v>0</v>
      </c>
      <c r="AS288" s="475">
        <v>-197538.90419800041</v>
      </c>
      <c r="AT288" s="174">
        <f t="shared" si="54"/>
        <v>-725862.00029800099</v>
      </c>
      <c r="AU288" s="174">
        <f t="shared" si="55"/>
        <v>0</v>
      </c>
    </row>
    <row r="289" spans="1:47">
      <c r="A289" t="s">
        <v>605</v>
      </c>
      <c r="B289" t="s">
        <v>2850</v>
      </c>
      <c r="C289" s="468">
        <v>-35018.14</v>
      </c>
      <c r="D289" s="468">
        <v>-38094.605971999998</v>
      </c>
      <c r="E289" s="473">
        <v>-53871.693883999993</v>
      </c>
      <c r="F289" s="474">
        <v>19052.573615999987</v>
      </c>
      <c r="G289" s="450">
        <f t="shared" si="47"/>
        <v>-107931.86624</v>
      </c>
      <c r="I289" s="67">
        <f t="shared" si="48"/>
        <v>0</v>
      </c>
      <c r="J289" s="58" t="s">
        <v>605</v>
      </c>
      <c r="K289" t="s">
        <v>606</v>
      </c>
      <c r="L289" s="448">
        <v>19052.573615999987</v>
      </c>
      <c r="M289" s="67" t="s">
        <v>2591</v>
      </c>
      <c r="N289" s="317"/>
      <c r="P289" t="s">
        <v>605</v>
      </c>
      <c r="Q289" t="s">
        <v>2850</v>
      </c>
      <c r="R289" s="211">
        <v>-22561.050000000003</v>
      </c>
      <c r="S289" s="211">
        <v>-35018.14</v>
      </c>
      <c r="T289" s="211">
        <v>-38094.605971999998</v>
      </c>
      <c r="U289" s="274">
        <v>-53871.693883999993</v>
      </c>
      <c r="V289" s="79">
        <f t="shared" si="57"/>
        <v>-149545.489856</v>
      </c>
      <c r="Z289" s="172">
        <f t="shared" si="49"/>
        <v>0</v>
      </c>
      <c r="AB289" t="s">
        <v>605</v>
      </c>
      <c r="AC289" t="s">
        <v>2850</v>
      </c>
      <c r="AD289" s="464">
        <v>-22561.050000000003</v>
      </c>
      <c r="AE289" s="464">
        <v>-35018.14</v>
      </c>
      <c r="AF289" s="464">
        <v>-38094.605971999998</v>
      </c>
      <c r="AG289" s="464">
        <v>-53871.693883999993</v>
      </c>
      <c r="AH289" s="464">
        <v>-149545.489856</v>
      </c>
      <c r="AJ289" s="464">
        <f t="shared" si="50"/>
        <v>-126984.439856</v>
      </c>
      <c r="AM289" s="464">
        <f t="shared" si="51"/>
        <v>-35018.14</v>
      </c>
      <c r="AN289" s="464">
        <v>-38094.605971999998</v>
      </c>
      <c r="AO289" s="464">
        <v>-53871.693883999993</v>
      </c>
      <c r="AP289" s="317">
        <f t="shared" si="52"/>
        <v>-126984.439856</v>
      </c>
      <c r="AQ289" s="317">
        <f t="shared" si="53"/>
        <v>0</v>
      </c>
      <c r="AS289" s="475">
        <v>19052.573615999987</v>
      </c>
      <c r="AT289" s="174">
        <f t="shared" si="54"/>
        <v>-107931.86624</v>
      </c>
      <c r="AU289" s="174">
        <f t="shared" si="55"/>
        <v>0</v>
      </c>
    </row>
    <row r="290" spans="1:47">
      <c r="A290" t="s">
        <v>607</v>
      </c>
      <c r="B290" t="s">
        <v>2851</v>
      </c>
      <c r="C290" s="468">
        <v>-214863.12</v>
      </c>
      <c r="D290" s="468">
        <v>-252215.19486900017</v>
      </c>
      <c r="E290" s="473">
        <v>-81288.606354000163</v>
      </c>
      <c r="F290" s="474">
        <v>-278636.95793000003</v>
      </c>
      <c r="G290" s="450">
        <f t="shared" si="47"/>
        <v>-827003.87915300042</v>
      </c>
      <c r="I290" s="67">
        <f t="shared" si="48"/>
        <v>0</v>
      </c>
      <c r="J290" s="58" t="s">
        <v>607</v>
      </c>
      <c r="K290" t="s">
        <v>608</v>
      </c>
      <c r="L290" s="448">
        <v>-278636.95793000003</v>
      </c>
      <c r="M290" s="67" t="s">
        <v>2591</v>
      </c>
      <c r="N290" s="317"/>
      <c r="P290" t="s">
        <v>607</v>
      </c>
      <c r="Q290" t="s">
        <v>2851</v>
      </c>
      <c r="R290" s="211">
        <v>-210611.73</v>
      </c>
      <c r="S290" s="211">
        <v>-214863.12</v>
      </c>
      <c r="T290" s="211">
        <v>-252215.19486900017</v>
      </c>
      <c r="U290" s="274">
        <v>-81288.606354000163</v>
      </c>
      <c r="V290" s="79">
        <f t="shared" si="57"/>
        <v>-758978.65122300026</v>
      </c>
      <c r="Z290" s="172">
        <f t="shared" si="49"/>
        <v>0</v>
      </c>
      <c r="AB290" t="s">
        <v>607</v>
      </c>
      <c r="AC290" t="s">
        <v>2851</v>
      </c>
      <c r="AD290" s="464">
        <v>-210611.73</v>
      </c>
      <c r="AE290" s="464">
        <v>-214863.12</v>
      </c>
      <c r="AF290" s="464">
        <v>-252215.19486900017</v>
      </c>
      <c r="AG290" s="464">
        <v>-81288.606354000163</v>
      </c>
      <c r="AH290" s="464">
        <v>-758978.65122300026</v>
      </c>
      <c r="AJ290" s="464">
        <f t="shared" si="50"/>
        <v>-548366.92122300039</v>
      </c>
      <c r="AM290" s="464">
        <f t="shared" si="51"/>
        <v>-214863.12</v>
      </c>
      <c r="AN290" s="464">
        <v>-252215.19486900017</v>
      </c>
      <c r="AO290" s="464">
        <v>-81288.606354000163</v>
      </c>
      <c r="AP290" s="317">
        <f t="shared" si="52"/>
        <v>-548366.92122300039</v>
      </c>
      <c r="AQ290" s="317">
        <f t="shared" si="53"/>
        <v>0</v>
      </c>
      <c r="AS290" s="475">
        <v>-278636.95793000003</v>
      </c>
      <c r="AT290" s="174">
        <f t="shared" si="54"/>
        <v>-827003.87915300042</v>
      </c>
      <c r="AU290" s="174">
        <f t="shared" si="55"/>
        <v>0</v>
      </c>
    </row>
    <row r="291" spans="1:47">
      <c r="A291" t="s">
        <v>609</v>
      </c>
      <c r="B291" t="s">
        <v>2852</v>
      </c>
      <c r="C291" s="468">
        <v>-162302.39000000001</v>
      </c>
      <c r="D291" s="468">
        <v>-113732.40082400004</v>
      </c>
      <c r="E291" s="473">
        <v>-88440.604090000066</v>
      </c>
      <c r="F291" s="474">
        <v>-129800.39143500001</v>
      </c>
      <c r="G291" s="450">
        <f t="shared" si="47"/>
        <v>-494275.78634900006</v>
      </c>
      <c r="I291" s="67">
        <f t="shared" si="48"/>
        <v>0</v>
      </c>
      <c r="J291" s="58" t="s">
        <v>609</v>
      </c>
      <c r="K291" t="s">
        <v>610</v>
      </c>
      <c r="L291" s="448">
        <v>-129800.39143500001</v>
      </c>
      <c r="M291" s="67" t="s">
        <v>2591</v>
      </c>
      <c r="N291" s="317"/>
      <c r="P291" t="s">
        <v>609</v>
      </c>
      <c r="Q291" t="s">
        <v>2852</v>
      </c>
      <c r="R291" s="211">
        <v>-57293.66</v>
      </c>
      <c r="S291" s="211">
        <v>-162302.39000000001</v>
      </c>
      <c r="T291" s="211">
        <v>-113732.40082400004</v>
      </c>
      <c r="U291" s="274">
        <v>-88440.604090000066</v>
      </c>
      <c r="V291" s="79">
        <f t="shared" si="57"/>
        <v>-421769.05491400009</v>
      </c>
      <c r="Z291" s="172">
        <f t="shared" si="49"/>
        <v>0</v>
      </c>
      <c r="AB291" t="s">
        <v>609</v>
      </c>
      <c r="AC291" t="s">
        <v>2852</v>
      </c>
      <c r="AD291" s="464">
        <v>-57293.66</v>
      </c>
      <c r="AE291" s="464">
        <v>-162302.39000000001</v>
      </c>
      <c r="AF291" s="464">
        <v>-113732.40082400004</v>
      </c>
      <c r="AG291" s="464">
        <v>-88440.604090000066</v>
      </c>
      <c r="AH291" s="464">
        <v>-421769.05491400009</v>
      </c>
      <c r="AJ291" s="464">
        <f t="shared" si="50"/>
        <v>-364475.39491400006</v>
      </c>
      <c r="AM291" s="464">
        <f t="shared" si="51"/>
        <v>-162302.39000000001</v>
      </c>
      <c r="AN291" s="464">
        <v>-113732.40082400004</v>
      </c>
      <c r="AO291" s="464">
        <v>-88440.604090000066</v>
      </c>
      <c r="AP291" s="317">
        <f t="shared" si="52"/>
        <v>-364475.39491400006</v>
      </c>
      <c r="AQ291" s="317">
        <f t="shared" si="53"/>
        <v>0</v>
      </c>
      <c r="AS291" s="475">
        <v>-129800.39143500001</v>
      </c>
      <c r="AT291" s="174">
        <f t="shared" si="54"/>
        <v>-494275.78634900006</v>
      </c>
      <c r="AU291" s="174">
        <f t="shared" si="55"/>
        <v>0</v>
      </c>
    </row>
    <row r="292" spans="1:47">
      <c r="A292" t="s">
        <v>611</v>
      </c>
      <c r="B292" t="s">
        <v>2853</v>
      </c>
      <c r="C292" s="468">
        <v>0</v>
      </c>
      <c r="D292" s="468">
        <v>0</v>
      </c>
      <c r="E292" s="473">
        <v>372.67008100004387</v>
      </c>
      <c r="F292" s="474">
        <v>-75253.215883000026</v>
      </c>
      <c r="G292" s="450">
        <f t="shared" si="47"/>
        <v>-74880.545801999979</v>
      </c>
      <c r="I292" s="67">
        <f t="shared" si="48"/>
        <v>0</v>
      </c>
      <c r="J292" s="58" t="s">
        <v>611</v>
      </c>
      <c r="K292" t="s">
        <v>612</v>
      </c>
      <c r="L292" s="448">
        <v>-75253.215883000026</v>
      </c>
      <c r="M292" s="67" t="s">
        <v>2591</v>
      </c>
      <c r="N292" s="317"/>
      <c r="P292" t="s">
        <v>611</v>
      </c>
      <c r="Q292" t="s">
        <v>2853</v>
      </c>
      <c r="R292" s="211">
        <v>-27669.4</v>
      </c>
      <c r="S292" s="211">
        <v>345.02</v>
      </c>
      <c r="T292" s="211">
        <v>23945.859695000014</v>
      </c>
      <c r="U292" s="274">
        <v>3751.1903860000311</v>
      </c>
      <c r="V292" s="79">
        <f t="shared" si="57"/>
        <v>372.67008100004387</v>
      </c>
      <c r="Z292" s="172">
        <f t="shared" si="49"/>
        <v>0</v>
      </c>
      <c r="AB292" t="s">
        <v>611</v>
      </c>
      <c r="AC292" t="s">
        <v>2853</v>
      </c>
      <c r="AD292" s="464">
        <v>0</v>
      </c>
      <c r="AE292" s="464">
        <v>0</v>
      </c>
      <c r="AF292" s="464">
        <v>0</v>
      </c>
      <c r="AG292" s="464">
        <v>372.67008100004387</v>
      </c>
      <c r="AH292" s="464">
        <v>372.67008100004387</v>
      </c>
      <c r="AJ292" s="464">
        <f t="shared" si="50"/>
        <v>372.67008100004387</v>
      </c>
      <c r="AM292" s="464">
        <f t="shared" si="51"/>
        <v>0</v>
      </c>
      <c r="AN292" s="464">
        <v>0</v>
      </c>
      <c r="AO292" s="464">
        <v>372.67008100004387</v>
      </c>
      <c r="AP292" s="317">
        <f t="shared" si="52"/>
        <v>372.67008100004387</v>
      </c>
      <c r="AQ292" s="317">
        <f t="shared" si="53"/>
        <v>0</v>
      </c>
      <c r="AS292" s="475">
        <v>-75253.215883000026</v>
      </c>
      <c r="AT292" s="174">
        <f t="shared" si="54"/>
        <v>-74880.545801999979</v>
      </c>
      <c r="AU292" s="174">
        <f t="shared" si="55"/>
        <v>0</v>
      </c>
    </row>
    <row r="293" spans="1:47">
      <c r="A293" t="s">
        <v>613</v>
      </c>
      <c r="B293" t="s">
        <v>2854</v>
      </c>
      <c r="C293" s="468">
        <v>-57092.800000000003</v>
      </c>
      <c r="D293" s="468">
        <v>-70261.414079999959</v>
      </c>
      <c r="E293" s="473">
        <v>0</v>
      </c>
      <c r="F293" s="474">
        <v>-11160.555087999819</v>
      </c>
      <c r="G293" s="450">
        <f t="shared" si="47"/>
        <v>-138514.7691679998</v>
      </c>
      <c r="I293" s="67">
        <f t="shared" si="48"/>
        <v>0</v>
      </c>
      <c r="J293" s="58" t="s">
        <v>613</v>
      </c>
      <c r="K293" t="s">
        <v>614</v>
      </c>
      <c r="L293" s="448">
        <v>-11160.555087999819</v>
      </c>
      <c r="M293" s="67" t="s">
        <v>2591</v>
      </c>
      <c r="N293" s="317"/>
      <c r="P293" t="s">
        <v>613</v>
      </c>
      <c r="Q293" t="s">
        <v>2854</v>
      </c>
      <c r="R293" s="211">
        <v>-107616.34</v>
      </c>
      <c r="S293" s="211">
        <v>-57092.800000000003</v>
      </c>
      <c r="T293" s="211">
        <v>-70261.414079999959</v>
      </c>
      <c r="U293" s="274">
        <v>22741.702208000002</v>
      </c>
      <c r="V293" s="79">
        <f t="shared" si="57"/>
        <v>-212228.85187199997</v>
      </c>
      <c r="Z293" s="172">
        <f t="shared" si="49"/>
        <v>0</v>
      </c>
      <c r="AB293" t="s">
        <v>613</v>
      </c>
      <c r="AC293" t="s">
        <v>2854</v>
      </c>
      <c r="AD293" s="464">
        <v>-84874.637791999994</v>
      </c>
      <c r="AE293" s="464">
        <v>-57092.800000000003</v>
      </c>
      <c r="AF293" s="464">
        <v>-70261.414079999959</v>
      </c>
      <c r="AG293" s="464">
        <v>0</v>
      </c>
      <c r="AH293" s="464">
        <v>-212228.85187199997</v>
      </c>
      <c r="AJ293" s="464">
        <f t="shared" si="50"/>
        <v>-127354.21407999996</v>
      </c>
      <c r="AM293" s="464">
        <f t="shared" si="51"/>
        <v>-57092.800000000003</v>
      </c>
      <c r="AN293" s="464">
        <v>-70261.414079999959</v>
      </c>
      <c r="AO293" s="464">
        <v>0</v>
      </c>
      <c r="AP293" s="317">
        <f t="shared" si="52"/>
        <v>-127354.21407999996</v>
      </c>
      <c r="AQ293" s="317">
        <f t="shared" si="53"/>
        <v>0</v>
      </c>
      <c r="AS293" s="475">
        <v>-11160.555087999819</v>
      </c>
      <c r="AT293" s="174">
        <f t="shared" si="54"/>
        <v>-138514.7691679998</v>
      </c>
      <c r="AU293" s="174">
        <f t="shared" si="55"/>
        <v>0</v>
      </c>
    </row>
    <row r="294" spans="1:47">
      <c r="A294" t="s">
        <v>615</v>
      </c>
      <c r="B294" t="s">
        <v>2855</v>
      </c>
      <c r="C294" s="468">
        <v>-494331.19</v>
      </c>
      <c r="D294" s="468">
        <v>-692240.3835840004</v>
      </c>
      <c r="E294" s="473">
        <v>-313870.20249000005</v>
      </c>
      <c r="F294" s="474">
        <v>-247391.35688300006</v>
      </c>
      <c r="G294" s="450">
        <f t="shared" si="47"/>
        <v>-1747833.1329570005</v>
      </c>
      <c r="I294" s="67">
        <f t="shared" si="48"/>
        <v>0</v>
      </c>
      <c r="J294" s="58" t="s">
        <v>615</v>
      </c>
      <c r="K294" t="s">
        <v>616</v>
      </c>
      <c r="L294" s="448">
        <v>-247391.35688300006</v>
      </c>
      <c r="M294" s="67" t="s">
        <v>2591</v>
      </c>
      <c r="N294" s="317"/>
      <c r="P294" t="s">
        <v>615</v>
      </c>
      <c r="Q294" t="s">
        <v>2855</v>
      </c>
      <c r="R294" s="211">
        <v>-404103.52</v>
      </c>
      <c r="S294" s="211">
        <v>-494331.19</v>
      </c>
      <c r="T294" s="211">
        <v>-692240.3835840004</v>
      </c>
      <c r="U294" s="274">
        <v>-313870.20249000005</v>
      </c>
      <c r="V294" s="79">
        <f t="shared" si="57"/>
        <v>-1904545.2960740004</v>
      </c>
      <c r="Z294" s="172">
        <f t="shared" si="49"/>
        <v>0</v>
      </c>
      <c r="AB294" t="s">
        <v>615</v>
      </c>
      <c r="AC294" t="s">
        <v>2855</v>
      </c>
      <c r="AD294" s="464">
        <v>-404103.52</v>
      </c>
      <c r="AE294" s="464">
        <v>-494331.19</v>
      </c>
      <c r="AF294" s="464">
        <v>-692240.3835840004</v>
      </c>
      <c r="AG294" s="464">
        <v>-313870.20249000005</v>
      </c>
      <c r="AH294" s="464">
        <v>-1904545.2960740004</v>
      </c>
      <c r="AJ294" s="464">
        <f t="shared" si="50"/>
        <v>-1500441.7760740004</v>
      </c>
      <c r="AM294" s="464">
        <f t="shared" si="51"/>
        <v>-494331.19</v>
      </c>
      <c r="AN294" s="464">
        <v>-692240.3835840004</v>
      </c>
      <c r="AO294" s="464">
        <v>-313870.20249000005</v>
      </c>
      <c r="AP294" s="317">
        <f t="shared" si="52"/>
        <v>-1500441.7760740004</v>
      </c>
      <c r="AQ294" s="317">
        <f t="shared" si="53"/>
        <v>0</v>
      </c>
      <c r="AS294" s="475">
        <v>-247391.35688300006</v>
      </c>
      <c r="AT294" s="174">
        <f t="shared" si="54"/>
        <v>-1747833.1329570005</v>
      </c>
      <c r="AU294" s="174">
        <f t="shared" si="55"/>
        <v>0</v>
      </c>
    </row>
    <row r="295" spans="1:47">
      <c r="A295" t="s">
        <v>617</v>
      </c>
      <c r="B295" t="s">
        <v>2856</v>
      </c>
      <c r="C295" s="468">
        <v>-166183.04999999999</v>
      </c>
      <c r="D295" s="468">
        <v>-107800.93594200003</v>
      </c>
      <c r="E295" s="473">
        <v>-155221.78713899996</v>
      </c>
      <c r="F295" s="474">
        <v>-110586.2193</v>
      </c>
      <c r="G295" s="450">
        <f t="shared" si="47"/>
        <v>-539791.99238099996</v>
      </c>
      <c r="I295" s="67">
        <f t="shared" si="48"/>
        <v>0</v>
      </c>
      <c r="J295" s="58" t="s">
        <v>617</v>
      </c>
      <c r="K295" t="s">
        <v>618</v>
      </c>
      <c r="L295" s="448">
        <v>-110586.2193</v>
      </c>
      <c r="M295" s="67" t="s">
        <v>2591</v>
      </c>
      <c r="N295" s="317"/>
      <c r="P295" t="s">
        <v>617</v>
      </c>
      <c r="Q295" t="s">
        <v>2856</v>
      </c>
      <c r="R295" s="211">
        <v>-136460.13</v>
      </c>
      <c r="S295" s="211">
        <v>-166183.04999999999</v>
      </c>
      <c r="T295" s="211">
        <v>-107800.93594200003</v>
      </c>
      <c r="U295" s="274">
        <v>-155221.78713899996</v>
      </c>
      <c r="V295" s="79">
        <f t="shared" si="57"/>
        <v>-565665.90308099997</v>
      </c>
      <c r="Z295" s="172">
        <f t="shared" si="49"/>
        <v>0</v>
      </c>
      <c r="AB295" t="s">
        <v>617</v>
      </c>
      <c r="AC295" t="s">
        <v>2856</v>
      </c>
      <c r="AD295" s="464">
        <v>-136460.13</v>
      </c>
      <c r="AE295" s="464">
        <v>-166183.04999999999</v>
      </c>
      <c r="AF295" s="464">
        <v>-107800.93594200003</v>
      </c>
      <c r="AG295" s="464">
        <v>-155221.78713899996</v>
      </c>
      <c r="AH295" s="464">
        <v>-565665.90308099997</v>
      </c>
      <c r="AJ295" s="464">
        <f t="shared" si="50"/>
        <v>-429205.77308099996</v>
      </c>
      <c r="AM295" s="464">
        <f t="shared" si="51"/>
        <v>-166183.04999999999</v>
      </c>
      <c r="AN295" s="464">
        <v>-107800.93594200003</v>
      </c>
      <c r="AO295" s="464">
        <v>-155221.78713899996</v>
      </c>
      <c r="AP295" s="317">
        <f t="shared" si="52"/>
        <v>-429205.77308099996</v>
      </c>
      <c r="AQ295" s="317">
        <f t="shared" si="53"/>
        <v>0</v>
      </c>
      <c r="AS295" s="475">
        <v>-110586.2193</v>
      </c>
      <c r="AT295" s="174">
        <f t="shared" si="54"/>
        <v>-539791.99238099996</v>
      </c>
      <c r="AU295" s="174">
        <f t="shared" si="55"/>
        <v>0</v>
      </c>
    </row>
    <row r="296" spans="1:47">
      <c r="A296" t="s">
        <v>619</v>
      </c>
      <c r="B296" t="s">
        <v>2857</v>
      </c>
      <c r="C296" s="468">
        <v>-108328.2</v>
      </c>
      <c r="D296" s="468">
        <v>-140978.70752</v>
      </c>
      <c r="E296" s="473">
        <v>-3968.4280800000997</v>
      </c>
      <c r="F296" s="474">
        <v>-162158.45517600002</v>
      </c>
      <c r="G296" s="450">
        <f t="shared" si="47"/>
        <v>-415433.79077600013</v>
      </c>
      <c r="I296" s="67">
        <f t="shared" si="48"/>
        <v>0</v>
      </c>
      <c r="J296" s="58" t="s">
        <v>619</v>
      </c>
      <c r="K296" t="s">
        <v>620</v>
      </c>
      <c r="L296" s="448">
        <v>-162158.45517600002</v>
      </c>
      <c r="M296" s="67" t="s">
        <v>2591</v>
      </c>
      <c r="N296" s="317"/>
      <c r="P296" t="s">
        <v>619</v>
      </c>
      <c r="Q296" t="s">
        <v>2857</v>
      </c>
      <c r="R296" s="211">
        <v>-86449.07</v>
      </c>
      <c r="S296" s="211">
        <v>-108328.2</v>
      </c>
      <c r="T296" s="211">
        <v>-140978.70752</v>
      </c>
      <c r="U296" s="274">
        <v>-3968.4280800000997</v>
      </c>
      <c r="V296" s="79">
        <f t="shared" si="57"/>
        <v>-339724.40560000011</v>
      </c>
      <c r="Z296" s="172">
        <f t="shared" si="49"/>
        <v>0</v>
      </c>
      <c r="AB296" t="s">
        <v>619</v>
      </c>
      <c r="AC296" t="s">
        <v>2857</v>
      </c>
      <c r="AD296" s="464">
        <v>-86449.07</v>
      </c>
      <c r="AE296" s="464">
        <v>-108328.2</v>
      </c>
      <c r="AF296" s="464">
        <v>-140978.70752</v>
      </c>
      <c r="AG296" s="464">
        <v>-3968.4280800000997</v>
      </c>
      <c r="AH296" s="464">
        <v>-339724.40560000011</v>
      </c>
      <c r="AJ296" s="464">
        <f t="shared" si="50"/>
        <v>-253275.33560000011</v>
      </c>
      <c r="AM296" s="464">
        <f t="shared" si="51"/>
        <v>-108328.2</v>
      </c>
      <c r="AN296" s="464">
        <v>-140978.70752</v>
      </c>
      <c r="AO296" s="464">
        <v>-3968.4280800000997</v>
      </c>
      <c r="AP296" s="317">
        <f t="shared" si="52"/>
        <v>-253275.33560000011</v>
      </c>
      <c r="AQ296" s="317">
        <f t="shared" si="53"/>
        <v>0</v>
      </c>
      <c r="AS296" s="475">
        <v>-162158.45517600002</v>
      </c>
      <c r="AT296" s="174">
        <f t="shared" si="54"/>
        <v>-415433.79077600013</v>
      </c>
      <c r="AU296" s="174">
        <f t="shared" si="55"/>
        <v>0</v>
      </c>
    </row>
    <row r="297" spans="1:47">
      <c r="A297" s="436" t="s">
        <v>621</v>
      </c>
      <c r="B297" s="437" t="s">
        <v>622</v>
      </c>
      <c r="C297" s="478">
        <v>0</v>
      </c>
      <c r="D297" s="467"/>
      <c r="E297" s="473"/>
      <c r="F297" s="474"/>
      <c r="G297" s="450">
        <f t="shared" si="47"/>
        <v>0</v>
      </c>
      <c r="I297" s="67">
        <f t="shared" si="48"/>
        <v>0</v>
      </c>
      <c r="J297" s="436" t="s">
        <v>621</v>
      </c>
      <c r="K297" s="437" t="s">
        <v>622</v>
      </c>
      <c r="L297" s="448"/>
      <c r="M297" s="67"/>
      <c r="N297" s="317"/>
      <c r="P297" s="291" t="s">
        <v>621</v>
      </c>
      <c r="Q297" s="292" t="s">
        <v>622</v>
      </c>
      <c r="R297" s="211"/>
      <c r="S297" s="211"/>
      <c r="T297" s="211"/>
      <c r="U297" s="274"/>
      <c r="V297" s="79"/>
      <c r="Z297" s="172">
        <f t="shared" si="49"/>
        <v>0</v>
      </c>
      <c r="AB297" t="s">
        <v>621</v>
      </c>
      <c r="AC297" t="s">
        <v>622</v>
      </c>
      <c r="AD297" s="464"/>
      <c r="AE297" s="464"/>
      <c r="AF297" s="464"/>
      <c r="AG297" s="464"/>
      <c r="AH297" s="464"/>
      <c r="AJ297" s="464">
        <f t="shared" si="50"/>
        <v>0</v>
      </c>
      <c r="AM297" s="464">
        <f t="shared" si="51"/>
        <v>0</v>
      </c>
      <c r="AN297" s="464"/>
      <c r="AO297" s="464"/>
      <c r="AP297" s="317">
        <f t="shared" si="52"/>
        <v>0</v>
      </c>
      <c r="AQ297" s="317">
        <f t="shared" si="53"/>
        <v>0</v>
      </c>
      <c r="AS297" s="475"/>
      <c r="AT297" s="174">
        <f t="shared" si="54"/>
        <v>0</v>
      </c>
      <c r="AU297" s="174">
        <f t="shared" si="55"/>
        <v>0</v>
      </c>
    </row>
    <row r="298" spans="1:47">
      <c r="A298" t="s">
        <v>623</v>
      </c>
      <c r="B298" t="s">
        <v>2858</v>
      </c>
      <c r="C298" s="468">
        <v>-371727.23</v>
      </c>
      <c r="D298" s="468">
        <v>-425295.13996328658</v>
      </c>
      <c r="E298" s="473">
        <v>0</v>
      </c>
      <c r="F298" s="474">
        <v>-80476.878590148146</v>
      </c>
      <c r="G298" s="450">
        <f t="shared" si="47"/>
        <v>-877499.24855343474</v>
      </c>
      <c r="I298" s="67">
        <f t="shared" si="48"/>
        <v>0</v>
      </c>
      <c r="J298" s="58" t="s">
        <v>623</v>
      </c>
      <c r="K298" t="s">
        <v>1153</v>
      </c>
      <c r="L298" s="448">
        <v>-80476.878590148146</v>
      </c>
      <c r="M298" s="67" t="s">
        <v>2591</v>
      </c>
      <c r="N298" s="317"/>
      <c r="P298" t="s">
        <v>623</v>
      </c>
      <c r="Q298" t="s">
        <v>2858</v>
      </c>
      <c r="R298" s="211">
        <v>-407772.93</v>
      </c>
      <c r="S298" s="211">
        <v>-371727.23</v>
      </c>
      <c r="T298" s="211">
        <v>-425295.13996328658</v>
      </c>
      <c r="U298" s="274">
        <v>25506.041747612646</v>
      </c>
      <c r="V298" s="79">
        <f t="shared" ref="V298:V304" si="58">SUM(R298:U298)</f>
        <v>-1179289.258215674</v>
      </c>
      <c r="Z298" s="172">
        <f t="shared" si="49"/>
        <v>0</v>
      </c>
      <c r="AB298" t="s">
        <v>623</v>
      </c>
      <c r="AC298" t="s">
        <v>2858</v>
      </c>
      <c r="AD298" s="464">
        <v>-382266.88825238735</v>
      </c>
      <c r="AE298" s="464">
        <v>-371727.23</v>
      </c>
      <c r="AF298" s="464">
        <v>-425295.13996328658</v>
      </c>
      <c r="AG298" s="464">
        <v>0</v>
      </c>
      <c r="AH298" s="464">
        <v>-1179289.2582156737</v>
      </c>
      <c r="AJ298" s="464">
        <f t="shared" si="50"/>
        <v>-797022.36996328656</v>
      </c>
      <c r="AM298" s="464">
        <f t="shared" si="51"/>
        <v>-371727.23</v>
      </c>
      <c r="AN298" s="464">
        <v>-425295.13996328658</v>
      </c>
      <c r="AO298" s="464">
        <v>0</v>
      </c>
      <c r="AP298" s="317">
        <f t="shared" si="52"/>
        <v>-797022.36996328656</v>
      </c>
      <c r="AQ298" s="317">
        <f t="shared" si="53"/>
        <v>0</v>
      </c>
      <c r="AS298" s="475">
        <v>-80476.878590148146</v>
      </c>
      <c r="AT298" s="174">
        <f t="shared" si="54"/>
        <v>-877499.24855343474</v>
      </c>
      <c r="AU298" s="174">
        <f t="shared" si="55"/>
        <v>0</v>
      </c>
    </row>
    <row r="299" spans="1:47">
      <c r="A299" t="s">
        <v>625</v>
      </c>
      <c r="B299" t="s">
        <v>2859</v>
      </c>
      <c r="C299" s="468">
        <v>-501658.83</v>
      </c>
      <c r="D299" s="468">
        <v>-759942.60431000008</v>
      </c>
      <c r="E299" s="473">
        <v>0</v>
      </c>
      <c r="F299" s="474">
        <v>-637727.89131199988</v>
      </c>
      <c r="G299" s="450">
        <f t="shared" si="47"/>
        <v>-1899329.325622</v>
      </c>
      <c r="I299" s="67">
        <f t="shared" si="48"/>
        <v>0</v>
      </c>
      <c r="J299" s="58" t="s">
        <v>625</v>
      </c>
      <c r="K299" t="s">
        <v>626</v>
      </c>
      <c r="L299" s="448">
        <v>-637727.89131199988</v>
      </c>
      <c r="M299" s="67" t="s">
        <v>2591</v>
      </c>
      <c r="N299" s="317"/>
      <c r="P299" t="s">
        <v>625</v>
      </c>
      <c r="Q299" t="s">
        <v>2859</v>
      </c>
      <c r="R299" s="211">
        <v>-436194.46</v>
      </c>
      <c r="S299" s="211">
        <v>-501658.83</v>
      </c>
      <c r="T299" s="211">
        <v>-759942.60431000008</v>
      </c>
      <c r="U299" s="274">
        <v>223307.82704000082</v>
      </c>
      <c r="V299" s="79">
        <f t="shared" si="58"/>
        <v>-1474488.0672699993</v>
      </c>
      <c r="Z299" s="172">
        <f t="shared" si="49"/>
        <v>0</v>
      </c>
      <c r="AB299" t="s">
        <v>625</v>
      </c>
      <c r="AC299" t="s">
        <v>2859</v>
      </c>
      <c r="AD299" s="464">
        <v>-212886.6329599992</v>
      </c>
      <c r="AE299" s="464">
        <v>-501658.83</v>
      </c>
      <c r="AF299" s="464">
        <v>-759942.60431000008</v>
      </c>
      <c r="AG299" s="464">
        <v>0</v>
      </c>
      <c r="AH299" s="464">
        <v>-1474488.0672699993</v>
      </c>
      <c r="AJ299" s="464">
        <f t="shared" si="50"/>
        <v>-1261601.4343100002</v>
      </c>
      <c r="AM299" s="464">
        <f t="shared" si="51"/>
        <v>-501658.83</v>
      </c>
      <c r="AN299" s="464">
        <v>-759942.60431000008</v>
      </c>
      <c r="AO299" s="464">
        <v>0</v>
      </c>
      <c r="AP299" s="317">
        <f t="shared" si="52"/>
        <v>-1261601.4343100002</v>
      </c>
      <c r="AQ299" s="317">
        <f t="shared" si="53"/>
        <v>0</v>
      </c>
      <c r="AS299" s="475">
        <v>-637727.89131199988</v>
      </c>
      <c r="AT299" s="174">
        <f t="shared" si="54"/>
        <v>-1899329.325622</v>
      </c>
      <c r="AU299" s="174">
        <f t="shared" si="55"/>
        <v>0</v>
      </c>
    </row>
    <row r="300" spans="1:47">
      <c r="A300" t="s">
        <v>627</v>
      </c>
      <c r="B300" t="s">
        <v>2860</v>
      </c>
      <c r="C300" s="468">
        <v>-58363.77</v>
      </c>
      <c r="D300" s="468">
        <v>-66026.126859999931</v>
      </c>
      <c r="E300" s="473">
        <v>-109936.76562600001</v>
      </c>
      <c r="F300" s="474">
        <v>-110798.27932800008</v>
      </c>
      <c r="G300" s="450">
        <f t="shared" si="47"/>
        <v>-345124.94181400002</v>
      </c>
      <c r="I300" s="67">
        <f t="shared" si="48"/>
        <v>0</v>
      </c>
      <c r="J300" s="58" t="s">
        <v>627</v>
      </c>
      <c r="K300" t="s">
        <v>628</v>
      </c>
      <c r="L300" s="448">
        <v>-110798.27932800008</v>
      </c>
      <c r="M300" s="67" t="s">
        <v>2591</v>
      </c>
      <c r="N300" s="317"/>
      <c r="P300" t="s">
        <v>627</v>
      </c>
      <c r="Q300" t="s">
        <v>2860</v>
      </c>
      <c r="R300" s="211">
        <v>-97900.2</v>
      </c>
      <c r="S300" s="211">
        <v>-58363.77</v>
      </c>
      <c r="T300" s="211">
        <v>-66026.126859999931</v>
      </c>
      <c r="U300" s="274">
        <v>-109936.76562600001</v>
      </c>
      <c r="V300" s="79">
        <f t="shared" si="58"/>
        <v>-332226.86248599994</v>
      </c>
      <c r="Z300" s="172">
        <f t="shared" si="49"/>
        <v>0</v>
      </c>
      <c r="AB300" t="s">
        <v>627</v>
      </c>
      <c r="AC300" t="s">
        <v>2860</v>
      </c>
      <c r="AD300" s="464">
        <v>-97900.2</v>
      </c>
      <c r="AE300" s="464">
        <v>-58363.77</v>
      </c>
      <c r="AF300" s="464">
        <v>-66026.126859999931</v>
      </c>
      <c r="AG300" s="464">
        <v>-109936.76562600001</v>
      </c>
      <c r="AH300" s="464">
        <v>-332226.86248599994</v>
      </c>
      <c r="AJ300" s="464">
        <f t="shared" si="50"/>
        <v>-234326.66248599993</v>
      </c>
      <c r="AM300" s="464">
        <f t="shared" si="51"/>
        <v>-58363.77</v>
      </c>
      <c r="AN300" s="464">
        <v>-66026.126859999931</v>
      </c>
      <c r="AO300" s="464">
        <v>-109936.76562600001</v>
      </c>
      <c r="AP300" s="317">
        <f t="shared" si="52"/>
        <v>-234326.66248599993</v>
      </c>
      <c r="AQ300" s="317">
        <f t="shared" si="53"/>
        <v>0</v>
      </c>
      <c r="AS300" s="475">
        <v>-110798.27932800008</v>
      </c>
      <c r="AT300" s="174">
        <f t="shared" si="54"/>
        <v>-345124.94181400002</v>
      </c>
      <c r="AU300" s="174">
        <f t="shared" si="55"/>
        <v>0</v>
      </c>
    </row>
    <row r="301" spans="1:47">
      <c r="A301" t="s">
        <v>629</v>
      </c>
      <c r="B301" t="s">
        <v>2861</v>
      </c>
      <c r="C301" s="468">
        <v>-731301.44</v>
      </c>
      <c r="D301" s="468">
        <v>-657209.63847307093</v>
      </c>
      <c r="E301" s="473">
        <v>0</v>
      </c>
      <c r="F301" s="474">
        <v>-480319.70356190164</v>
      </c>
      <c r="G301" s="450">
        <f t="shared" si="47"/>
        <v>-1868830.7820349724</v>
      </c>
      <c r="I301" s="67">
        <f t="shared" si="48"/>
        <v>0</v>
      </c>
      <c r="J301" s="58" t="s">
        <v>629</v>
      </c>
      <c r="K301" t="s">
        <v>630</v>
      </c>
      <c r="L301" s="448">
        <v>-480319.70356190164</v>
      </c>
      <c r="M301" s="67" t="s">
        <v>2591</v>
      </c>
      <c r="N301" s="317"/>
      <c r="P301" t="s">
        <v>629</v>
      </c>
      <c r="Q301" t="s">
        <v>2861</v>
      </c>
      <c r="R301" s="211">
        <v>-529026.01</v>
      </c>
      <c r="S301" s="211">
        <v>-731301.44</v>
      </c>
      <c r="T301" s="211">
        <v>-657209.63847307093</v>
      </c>
      <c r="U301" s="274">
        <v>46389.359039291274</v>
      </c>
      <c r="V301" s="79">
        <f t="shared" si="58"/>
        <v>-1871147.7294337796</v>
      </c>
      <c r="Z301" s="172">
        <f t="shared" si="49"/>
        <v>0</v>
      </c>
      <c r="AB301" t="s">
        <v>629</v>
      </c>
      <c r="AC301" t="s">
        <v>2861</v>
      </c>
      <c r="AD301" s="464">
        <v>-482636.65096070874</v>
      </c>
      <c r="AE301" s="464">
        <v>-731301.44</v>
      </c>
      <c r="AF301" s="464">
        <v>-657209.63847307093</v>
      </c>
      <c r="AG301" s="464">
        <v>0</v>
      </c>
      <c r="AH301" s="464">
        <v>-1871147.7294337796</v>
      </c>
      <c r="AJ301" s="464">
        <f t="shared" si="50"/>
        <v>-1388511.0784730709</v>
      </c>
      <c r="AM301" s="464">
        <f t="shared" si="51"/>
        <v>-731301.44</v>
      </c>
      <c r="AN301" s="464">
        <v>-657209.63847307093</v>
      </c>
      <c r="AO301" s="464">
        <v>0</v>
      </c>
      <c r="AP301" s="317">
        <f t="shared" si="52"/>
        <v>-1388511.0784730709</v>
      </c>
      <c r="AQ301" s="317">
        <f t="shared" si="53"/>
        <v>0</v>
      </c>
      <c r="AS301" s="475">
        <v>-480319.70356190164</v>
      </c>
      <c r="AT301" s="174">
        <f t="shared" si="54"/>
        <v>-1868830.7820349724</v>
      </c>
      <c r="AU301" s="174">
        <f t="shared" si="55"/>
        <v>0</v>
      </c>
    </row>
    <row r="302" spans="1:47">
      <c r="A302" t="s">
        <v>631</v>
      </c>
      <c r="B302" t="s">
        <v>2862</v>
      </c>
      <c r="C302" s="468">
        <v>-59766.33</v>
      </c>
      <c r="D302" s="468">
        <v>-102922.27848900002</v>
      </c>
      <c r="E302" s="473">
        <v>-171535.82974999998</v>
      </c>
      <c r="F302" s="474">
        <v>-187608.98489599995</v>
      </c>
      <c r="G302" s="450">
        <f t="shared" si="47"/>
        <v>-521833.42313499993</v>
      </c>
      <c r="I302" s="67">
        <f t="shared" si="48"/>
        <v>0</v>
      </c>
      <c r="J302" s="58" t="s">
        <v>631</v>
      </c>
      <c r="K302" t="s">
        <v>632</v>
      </c>
      <c r="L302" s="448">
        <v>-187608.98489599995</v>
      </c>
      <c r="M302" s="67" t="s">
        <v>2591</v>
      </c>
      <c r="N302" s="317"/>
      <c r="P302" t="s">
        <v>631</v>
      </c>
      <c r="Q302" t="s">
        <v>2862</v>
      </c>
      <c r="R302" s="211">
        <v>-64905.78</v>
      </c>
      <c r="S302" s="211">
        <v>-59766.33</v>
      </c>
      <c r="T302" s="211">
        <v>-102922.27848900002</v>
      </c>
      <c r="U302" s="274">
        <v>-171535.82974999998</v>
      </c>
      <c r="V302" s="79">
        <f t="shared" si="58"/>
        <v>-399130.21823900001</v>
      </c>
      <c r="Z302" s="172">
        <f t="shared" si="49"/>
        <v>0</v>
      </c>
      <c r="AB302" t="s">
        <v>631</v>
      </c>
      <c r="AC302" t="s">
        <v>2862</v>
      </c>
      <c r="AD302" s="464">
        <v>-64905.78</v>
      </c>
      <c r="AE302" s="464">
        <v>-59766.33</v>
      </c>
      <c r="AF302" s="464">
        <v>-102922.27848900002</v>
      </c>
      <c r="AG302" s="464">
        <v>-171535.82974999998</v>
      </c>
      <c r="AH302" s="464">
        <v>-399130.21823900001</v>
      </c>
      <c r="AJ302" s="464">
        <f t="shared" si="50"/>
        <v>-334224.43823899998</v>
      </c>
      <c r="AM302" s="464">
        <f t="shared" si="51"/>
        <v>-59766.33</v>
      </c>
      <c r="AN302" s="464">
        <v>-102922.27848900002</v>
      </c>
      <c r="AO302" s="464">
        <v>-171535.82974999998</v>
      </c>
      <c r="AP302" s="317">
        <f t="shared" si="52"/>
        <v>-334224.43823899998</v>
      </c>
      <c r="AQ302" s="317">
        <f t="shared" si="53"/>
        <v>0</v>
      </c>
      <c r="AS302" s="475">
        <v>-187608.98489599995</v>
      </c>
      <c r="AT302" s="174">
        <f t="shared" si="54"/>
        <v>-521833.42313499993</v>
      </c>
      <c r="AU302" s="174">
        <f t="shared" si="55"/>
        <v>0</v>
      </c>
    </row>
    <row r="303" spans="1:47">
      <c r="A303" t="s">
        <v>633</v>
      </c>
      <c r="B303" t="s">
        <v>2863</v>
      </c>
      <c r="C303" s="468">
        <v>-2069682.58</v>
      </c>
      <c r="D303" s="468">
        <v>-1896018.002848</v>
      </c>
      <c r="E303" s="473">
        <v>542740.46308800217</v>
      </c>
      <c r="F303" s="474">
        <v>835099.11778700142</v>
      </c>
      <c r="G303" s="450">
        <f t="shared" si="47"/>
        <v>-2587861.0019729966</v>
      </c>
      <c r="I303" s="67">
        <f t="shared" si="48"/>
        <v>0</v>
      </c>
      <c r="J303" s="58" t="s">
        <v>633</v>
      </c>
      <c r="K303" t="s">
        <v>634</v>
      </c>
      <c r="L303" s="448">
        <v>835099.11778700142</v>
      </c>
      <c r="M303" s="67" t="s">
        <v>2591</v>
      </c>
      <c r="N303" s="317"/>
      <c r="P303" t="s">
        <v>633</v>
      </c>
      <c r="Q303" t="s">
        <v>2863</v>
      </c>
      <c r="R303" s="211">
        <v>-627858.32999999996</v>
      </c>
      <c r="S303" s="211">
        <v>-2069682.58</v>
      </c>
      <c r="T303" s="211">
        <v>-1896018.002848</v>
      </c>
      <c r="U303" s="274">
        <v>1170598.7930880021</v>
      </c>
      <c r="V303" s="79">
        <f t="shared" si="58"/>
        <v>-3422960.1197599983</v>
      </c>
      <c r="Z303" s="172">
        <f t="shared" si="49"/>
        <v>0</v>
      </c>
      <c r="AB303" t="s">
        <v>633</v>
      </c>
      <c r="AC303" t="s">
        <v>2863</v>
      </c>
      <c r="AD303" s="464">
        <v>0</v>
      </c>
      <c r="AE303" s="464">
        <v>-2069682.58</v>
      </c>
      <c r="AF303" s="464">
        <v>-1896018.002848</v>
      </c>
      <c r="AG303" s="464">
        <v>542740.46308800217</v>
      </c>
      <c r="AH303" s="464">
        <v>-3422960.1197599983</v>
      </c>
      <c r="AJ303" s="464">
        <f t="shared" si="50"/>
        <v>-3422960.1197599983</v>
      </c>
      <c r="AM303" s="464">
        <f t="shared" si="51"/>
        <v>-2069682.58</v>
      </c>
      <c r="AN303" s="464">
        <v>-1896018.002848</v>
      </c>
      <c r="AO303" s="464">
        <v>542740.46308800217</v>
      </c>
      <c r="AP303" s="317">
        <f t="shared" si="52"/>
        <v>-3422960.1197599983</v>
      </c>
      <c r="AQ303" s="317">
        <f t="shared" si="53"/>
        <v>0</v>
      </c>
      <c r="AS303" s="475">
        <v>835099.11778700142</v>
      </c>
      <c r="AT303" s="174">
        <f t="shared" si="54"/>
        <v>-2587861.0019729966</v>
      </c>
      <c r="AU303" s="174">
        <f t="shared" si="55"/>
        <v>0</v>
      </c>
    </row>
    <row r="304" spans="1:47">
      <c r="A304" t="s">
        <v>635</v>
      </c>
      <c r="B304" t="s">
        <v>2864</v>
      </c>
      <c r="C304" s="468">
        <v>-281705.28999999998</v>
      </c>
      <c r="D304" s="468">
        <v>-351417.21320718038</v>
      </c>
      <c r="E304" s="473">
        <v>-231556.90609086351</v>
      </c>
      <c r="F304" s="474">
        <v>-268417.46527357411</v>
      </c>
      <c r="G304" s="450">
        <f t="shared" si="47"/>
        <v>-1133096.8745716182</v>
      </c>
      <c r="I304" s="67">
        <f t="shared" si="48"/>
        <v>0</v>
      </c>
      <c r="J304" s="58" t="s">
        <v>635</v>
      </c>
      <c r="K304" t="s">
        <v>636</v>
      </c>
      <c r="L304" s="448">
        <v>-268417.46527357411</v>
      </c>
      <c r="M304" s="67" t="s">
        <v>2591</v>
      </c>
      <c r="N304" s="317"/>
      <c r="P304" t="s">
        <v>635</v>
      </c>
      <c r="Q304" t="s">
        <v>2864</v>
      </c>
      <c r="R304" s="211">
        <v>-175497.44</v>
      </c>
      <c r="S304" s="211">
        <v>-281705.28999999998</v>
      </c>
      <c r="T304" s="211">
        <v>-351417.21320718038</v>
      </c>
      <c r="U304" s="274">
        <v>-231556.90609086351</v>
      </c>
      <c r="V304" s="79">
        <f t="shared" si="58"/>
        <v>-1040176.8492980439</v>
      </c>
      <c r="Z304" s="172">
        <f t="shared" si="49"/>
        <v>0</v>
      </c>
      <c r="AB304" t="s">
        <v>635</v>
      </c>
      <c r="AC304" t="s">
        <v>2864</v>
      </c>
      <c r="AD304" s="464">
        <v>-175497.44</v>
      </c>
      <c r="AE304" s="464">
        <v>-281705.28999999998</v>
      </c>
      <c r="AF304" s="464">
        <v>-351417.21320718038</v>
      </c>
      <c r="AG304" s="464">
        <v>-231556.90609086351</v>
      </c>
      <c r="AH304" s="464">
        <v>-1040176.8492980439</v>
      </c>
      <c r="AJ304" s="464">
        <f t="shared" si="50"/>
        <v>-864679.40929804393</v>
      </c>
      <c r="AM304" s="464">
        <f t="shared" si="51"/>
        <v>-281705.28999999998</v>
      </c>
      <c r="AN304" s="464">
        <v>-351417.21320718038</v>
      </c>
      <c r="AO304" s="464">
        <v>-231556.90609086351</v>
      </c>
      <c r="AP304" s="317">
        <f t="shared" si="52"/>
        <v>-864679.40929804393</v>
      </c>
      <c r="AQ304" s="317">
        <f t="shared" si="53"/>
        <v>0</v>
      </c>
      <c r="AS304" s="475">
        <v>-268417.46527357411</v>
      </c>
      <c r="AT304" s="174">
        <f t="shared" si="54"/>
        <v>-1133096.8745716182</v>
      </c>
      <c r="AU304" s="174">
        <f t="shared" si="55"/>
        <v>0</v>
      </c>
    </row>
    <row r="305" spans="1:47">
      <c r="A305" s="444" t="s">
        <v>637</v>
      </c>
      <c r="B305" s="443" t="s">
        <v>638</v>
      </c>
      <c r="C305" s="468">
        <v>0</v>
      </c>
      <c r="D305" s="468">
        <v>0</v>
      </c>
      <c r="E305" s="473"/>
      <c r="F305" s="474"/>
      <c r="G305" s="450">
        <f t="shared" si="47"/>
        <v>0</v>
      </c>
      <c r="I305" s="67">
        <f t="shared" si="48"/>
        <v>0</v>
      </c>
      <c r="J305" s="444" t="s">
        <v>637</v>
      </c>
      <c r="K305" s="443" t="s">
        <v>638</v>
      </c>
      <c r="L305" s="448"/>
      <c r="M305" s="67"/>
      <c r="N305" s="317"/>
      <c r="P305" s="288" t="s">
        <v>637</v>
      </c>
      <c r="Q305" s="287" t="s">
        <v>638</v>
      </c>
      <c r="R305" s="211"/>
      <c r="S305" s="211"/>
      <c r="T305" s="211"/>
      <c r="U305" s="274"/>
      <c r="V305" s="79"/>
      <c r="Z305" s="172">
        <f t="shared" si="49"/>
        <v>0</v>
      </c>
      <c r="AB305" t="s">
        <v>637</v>
      </c>
      <c r="AC305" t="s">
        <v>638</v>
      </c>
      <c r="AD305" s="464">
        <v>0</v>
      </c>
      <c r="AE305" s="464"/>
      <c r="AF305" s="464">
        <v>0</v>
      </c>
      <c r="AG305" s="464"/>
      <c r="AH305" s="464"/>
      <c r="AJ305" s="464">
        <f t="shared" si="50"/>
        <v>0</v>
      </c>
      <c r="AM305" s="464">
        <f t="shared" si="51"/>
        <v>0</v>
      </c>
      <c r="AN305" s="464">
        <v>0</v>
      </c>
      <c r="AO305" s="464"/>
      <c r="AP305" s="317">
        <f t="shared" si="52"/>
        <v>0</v>
      </c>
      <c r="AQ305" s="317">
        <f t="shared" si="53"/>
        <v>0</v>
      </c>
      <c r="AS305" s="475"/>
      <c r="AT305" s="174">
        <f t="shared" si="54"/>
        <v>0</v>
      </c>
      <c r="AU305" s="174">
        <f t="shared" si="55"/>
        <v>0</v>
      </c>
    </row>
    <row r="306" spans="1:47">
      <c r="A306" t="s">
        <v>639</v>
      </c>
      <c r="B306" t="s">
        <v>2865</v>
      </c>
      <c r="C306" s="468">
        <v>-119412.62</v>
      </c>
      <c r="D306" s="468">
        <v>-73586.376629999984</v>
      </c>
      <c r="E306" s="473">
        <v>-47545.889877999958</v>
      </c>
      <c r="F306" s="474">
        <v>-100036.01831899994</v>
      </c>
      <c r="G306" s="450">
        <f t="shared" si="47"/>
        <v>-340580.90482699987</v>
      </c>
      <c r="I306" s="67">
        <f t="shared" si="48"/>
        <v>0</v>
      </c>
      <c r="J306" s="58" t="s">
        <v>639</v>
      </c>
      <c r="K306" t="s">
        <v>640</v>
      </c>
      <c r="L306" s="448">
        <v>-100036.01831899994</v>
      </c>
      <c r="M306" s="67" t="s">
        <v>2591</v>
      </c>
      <c r="N306" s="317"/>
      <c r="P306" t="s">
        <v>639</v>
      </c>
      <c r="Q306" t="s">
        <v>2865</v>
      </c>
      <c r="R306" s="211">
        <v>-96131.520000000004</v>
      </c>
      <c r="S306" s="211">
        <v>-119412.62</v>
      </c>
      <c r="T306" s="211">
        <v>-73586.376629999984</v>
      </c>
      <c r="U306" s="274">
        <v>-47545.889877999958</v>
      </c>
      <c r="V306" s="79">
        <f t="shared" ref="V306:V318" si="59">SUM(R306:U306)</f>
        <v>-336676.40650799993</v>
      </c>
      <c r="Z306" s="172">
        <f t="shared" si="49"/>
        <v>0</v>
      </c>
      <c r="AB306" t="s">
        <v>639</v>
      </c>
      <c r="AC306" t="s">
        <v>2865</v>
      </c>
      <c r="AD306" s="464">
        <v>-96131.520000000004</v>
      </c>
      <c r="AE306" s="464">
        <v>-119412.62</v>
      </c>
      <c r="AF306" s="464">
        <v>-73586.376629999984</v>
      </c>
      <c r="AG306" s="464">
        <v>-47545.889877999958</v>
      </c>
      <c r="AH306" s="464">
        <v>-336676.40650799993</v>
      </c>
      <c r="AJ306" s="464">
        <f t="shared" si="50"/>
        <v>-240544.88650799994</v>
      </c>
      <c r="AM306" s="464">
        <f t="shared" si="51"/>
        <v>-119412.62</v>
      </c>
      <c r="AN306" s="464">
        <v>-73586.376629999984</v>
      </c>
      <c r="AO306" s="464">
        <v>-47545.889877999958</v>
      </c>
      <c r="AP306" s="317">
        <f t="shared" si="52"/>
        <v>-240544.88650799994</v>
      </c>
      <c r="AQ306" s="317">
        <f t="shared" si="53"/>
        <v>0</v>
      </c>
      <c r="AS306" s="475">
        <v>-100036.01831899994</v>
      </c>
      <c r="AT306" s="174">
        <f t="shared" si="54"/>
        <v>-340580.90482699987</v>
      </c>
      <c r="AU306" s="174">
        <f t="shared" si="55"/>
        <v>0</v>
      </c>
    </row>
    <row r="307" spans="1:47">
      <c r="A307" t="s">
        <v>641</v>
      </c>
      <c r="B307" t="s">
        <v>2866</v>
      </c>
      <c r="C307" s="468">
        <v>320861.99999999959</v>
      </c>
      <c r="D307" s="468">
        <v>-12399.407540000131</v>
      </c>
      <c r="E307" s="473">
        <v>-10235.763930000365</v>
      </c>
      <c r="F307" s="474">
        <v>164024.78134399958</v>
      </c>
      <c r="G307" s="450">
        <f t="shared" si="47"/>
        <v>462251.60987399868</v>
      </c>
      <c r="I307" s="67">
        <f t="shared" si="48"/>
        <v>0</v>
      </c>
      <c r="J307" s="58" t="s">
        <v>641</v>
      </c>
      <c r="K307" t="s">
        <v>642</v>
      </c>
      <c r="L307" s="448">
        <v>164024.78134399958</v>
      </c>
      <c r="M307" s="67" t="s">
        <v>2591</v>
      </c>
      <c r="N307" s="317"/>
      <c r="P307" t="s">
        <v>641</v>
      </c>
      <c r="Q307" t="s">
        <v>2866</v>
      </c>
      <c r="R307" s="211">
        <v>72427.239999999583</v>
      </c>
      <c r="S307" s="211">
        <v>248434.76</v>
      </c>
      <c r="T307" s="211">
        <v>-12399.407540000131</v>
      </c>
      <c r="U307" s="274">
        <v>-10235.763930000365</v>
      </c>
      <c r="V307" s="79">
        <f t="shared" si="59"/>
        <v>298226.82852999913</v>
      </c>
      <c r="Z307" s="172">
        <f t="shared" si="49"/>
        <v>0</v>
      </c>
      <c r="AB307" t="s">
        <v>641</v>
      </c>
      <c r="AC307" t="s">
        <v>2866</v>
      </c>
      <c r="AD307" s="464">
        <v>72427.239999999583</v>
      </c>
      <c r="AE307" s="464">
        <v>248434.76</v>
      </c>
      <c r="AF307" s="464">
        <v>-12399.407540000131</v>
      </c>
      <c r="AG307" s="464">
        <v>-10235.763930000365</v>
      </c>
      <c r="AH307" s="464">
        <v>298226.82852999913</v>
      </c>
      <c r="AJ307" s="464">
        <f t="shared" si="50"/>
        <v>225799.58852999951</v>
      </c>
      <c r="AM307" s="465">
        <f>+AD307+AE307</f>
        <v>320861.99999999959</v>
      </c>
      <c r="AN307" s="464">
        <v>-12399.407540000131</v>
      </c>
      <c r="AO307" s="464">
        <v>-10235.763930000365</v>
      </c>
      <c r="AP307" s="317">
        <f t="shared" si="52"/>
        <v>298226.82852999913</v>
      </c>
      <c r="AQ307" s="466">
        <f>+AP307-AH307</f>
        <v>0</v>
      </c>
      <c r="AS307" s="475">
        <v>164024.78134399958</v>
      </c>
      <c r="AT307" s="174">
        <f t="shared" si="54"/>
        <v>462251.60987399868</v>
      </c>
      <c r="AU307" s="174">
        <f t="shared" si="55"/>
        <v>0</v>
      </c>
    </row>
    <row r="308" spans="1:47">
      <c r="A308" t="s">
        <v>643</v>
      </c>
      <c r="B308" t="s">
        <v>2867</v>
      </c>
      <c r="C308" s="468">
        <v>-126391.74</v>
      </c>
      <c r="D308" s="468">
        <v>-67873.881135140022</v>
      </c>
      <c r="E308" s="473">
        <v>-84623.044819999952</v>
      </c>
      <c r="F308" s="474">
        <v>-92491.288030000025</v>
      </c>
      <c r="G308" s="450">
        <f t="shared" si="47"/>
        <v>-371379.95398513996</v>
      </c>
      <c r="I308" s="67">
        <f t="shared" si="48"/>
        <v>0</v>
      </c>
      <c r="J308" s="58" t="s">
        <v>643</v>
      </c>
      <c r="K308" t="s">
        <v>644</v>
      </c>
      <c r="L308" s="448">
        <v>-92491.288030000025</v>
      </c>
      <c r="M308" s="67" t="s">
        <v>2591</v>
      </c>
      <c r="N308" s="317"/>
      <c r="P308" t="s">
        <v>643</v>
      </c>
      <c r="Q308" t="s">
        <v>2867</v>
      </c>
      <c r="R308" s="211">
        <v>-124254.59</v>
      </c>
      <c r="S308" s="211">
        <v>-126391.74</v>
      </c>
      <c r="T308" s="211">
        <v>-67873.881135140022</v>
      </c>
      <c r="U308" s="274">
        <v>-84623.044819999952</v>
      </c>
      <c r="V308" s="79">
        <f t="shared" si="59"/>
        <v>-403143.25595513999</v>
      </c>
      <c r="Z308" s="172">
        <f t="shared" si="49"/>
        <v>0</v>
      </c>
      <c r="AB308" t="s">
        <v>643</v>
      </c>
      <c r="AC308" t="s">
        <v>2867</v>
      </c>
      <c r="AD308" s="464">
        <v>-124254.59</v>
      </c>
      <c r="AE308" s="464">
        <v>-126391.74</v>
      </c>
      <c r="AF308" s="464">
        <v>-67873.881135140022</v>
      </c>
      <c r="AG308" s="464">
        <v>-84623.044819999952</v>
      </c>
      <c r="AH308" s="464">
        <v>-403143.25595513999</v>
      </c>
      <c r="AJ308" s="464">
        <f t="shared" si="50"/>
        <v>-278888.66595513996</v>
      </c>
      <c r="AM308" s="464">
        <f t="shared" si="51"/>
        <v>-126391.74</v>
      </c>
      <c r="AN308" s="464">
        <v>-67873.881135140022</v>
      </c>
      <c r="AO308" s="464">
        <v>-84623.044819999952</v>
      </c>
      <c r="AP308" s="317">
        <f t="shared" si="52"/>
        <v>-278888.66595513996</v>
      </c>
      <c r="AQ308" s="317">
        <f t="shared" si="53"/>
        <v>0</v>
      </c>
      <c r="AS308" s="475">
        <v>-92491.288030000025</v>
      </c>
      <c r="AT308" s="174">
        <f t="shared" si="54"/>
        <v>-371379.95398513996</v>
      </c>
      <c r="AU308" s="174">
        <f t="shared" si="55"/>
        <v>0</v>
      </c>
    </row>
    <row r="309" spans="1:47">
      <c r="A309" t="s">
        <v>645</v>
      </c>
      <c r="B309" t="s">
        <v>2868</v>
      </c>
      <c r="C309" s="468">
        <v>-772804.34</v>
      </c>
      <c r="D309" s="468">
        <v>0</v>
      </c>
      <c r="E309" s="473">
        <v>-45596.272679999471</v>
      </c>
      <c r="F309" s="474">
        <v>-56915.767549999699</v>
      </c>
      <c r="G309" s="450">
        <f t="shared" si="47"/>
        <v>-875316.38022999908</v>
      </c>
      <c r="I309" s="67">
        <f t="shared" si="48"/>
        <v>0</v>
      </c>
      <c r="J309" s="58" t="s">
        <v>645</v>
      </c>
      <c r="K309" t="s">
        <v>646</v>
      </c>
      <c r="L309" s="448">
        <v>-56915.767549999699</v>
      </c>
      <c r="M309" s="67" t="s">
        <v>2591</v>
      </c>
      <c r="N309" s="317"/>
      <c r="P309" t="s">
        <v>645</v>
      </c>
      <c r="Q309" t="s">
        <v>2868</v>
      </c>
      <c r="R309" s="211">
        <v>-677793.68</v>
      </c>
      <c r="S309" s="211">
        <v>-772804.34</v>
      </c>
      <c r="T309" s="211">
        <v>87641.413936000201</v>
      </c>
      <c r="U309" s="274">
        <v>-45596.272679999471</v>
      </c>
      <c r="V309" s="79">
        <f t="shared" si="59"/>
        <v>-1408552.8787439992</v>
      </c>
      <c r="Z309" s="172">
        <f t="shared" si="49"/>
        <v>0</v>
      </c>
      <c r="AB309" t="s">
        <v>645</v>
      </c>
      <c r="AC309" t="s">
        <v>2868</v>
      </c>
      <c r="AD309" s="464">
        <v>-590152.26606399985</v>
      </c>
      <c r="AE309" s="464">
        <v>-772804.34</v>
      </c>
      <c r="AF309" s="464">
        <v>0</v>
      </c>
      <c r="AG309" s="464">
        <v>-45596.272679999471</v>
      </c>
      <c r="AH309" s="464">
        <v>-1408552.8787439992</v>
      </c>
      <c r="AJ309" s="464">
        <f t="shared" si="50"/>
        <v>-818400.61267999944</v>
      </c>
      <c r="AM309" s="464">
        <f t="shared" si="51"/>
        <v>-772804.34</v>
      </c>
      <c r="AN309" s="464">
        <v>0</v>
      </c>
      <c r="AO309" s="464">
        <v>-45596.272679999471</v>
      </c>
      <c r="AP309" s="317">
        <f t="shared" si="52"/>
        <v>-818400.61267999944</v>
      </c>
      <c r="AQ309" s="317">
        <f t="shared" si="53"/>
        <v>0</v>
      </c>
      <c r="AS309" s="475">
        <v>-56915.767549999699</v>
      </c>
      <c r="AT309" s="174">
        <f t="shared" si="54"/>
        <v>-875316.38022999908</v>
      </c>
      <c r="AU309" s="174">
        <f t="shared" si="55"/>
        <v>0</v>
      </c>
    </row>
    <row r="310" spans="1:47">
      <c r="A310" t="s">
        <v>647</v>
      </c>
      <c r="B310" t="s">
        <v>2869</v>
      </c>
      <c r="C310" s="468">
        <v>-96732.9</v>
      </c>
      <c r="D310" s="468">
        <v>-634202.14298000035</v>
      </c>
      <c r="E310" s="473">
        <v>-69384.487425999716</v>
      </c>
      <c r="F310" s="474">
        <v>-141996.29821999994</v>
      </c>
      <c r="G310" s="450">
        <f t="shared" si="47"/>
        <v>-942315.82862600009</v>
      </c>
      <c r="I310" s="67">
        <f t="shared" si="48"/>
        <v>0</v>
      </c>
      <c r="J310" s="58" t="s">
        <v>647</v>
      </c>
      <c r="K310" t="s">
        <v>648</v>
      </c>
      <c r="L310" s="448">
        <v>-141996.29821999994</v>
      </c>
      <c r="M310" s="67" t="s">
        <v>2591</v>
      </c>
      <c r="N310" s="317"/>
      <c r="P310" t="s">
        <v>647</v>
      </c>
      <c r="Q310" t="s">
        <v>2869</v>
      </c>
      <c r="R310" s="211">
        <v>-123768.22</v>
      </c>
      <c r="S310" s="211">
        <v>-96732.9</v>
      </c>
      <c r="T310" s="211">
        <v>-634202.14298000035</v>
      </c>
      <c r="U310" s="274">
        <v>-69384.487425999716</v>
      </c>
      <c r="V310" s="79">
        <f t="shared" si="59"/>
        <v>-924087.75040600006</v>
      </c>
      <c r="Z310" s="172">
        <f t="shared" si="49"/>
        <v>0</v>
      </c>
      <c r="AB310" t="s">
        <v>647</v>
      </c>
      <c r="AC310" t="s">
        <v>2869</v>
      </c>
      <c r="AD310" s="464">
        <v>-123768.22</v>
      </c>
      <c r="AE310" s="464">
        <v>-96732.9</v>
      </c>
      <c r="AF310" s="464">
        <v>-634202.14298000035</v>
      </c>
      <c r="AG310" s="464">
        <v>-69384.487425999716</v>
      </c>
      <c r="AH310" s="464">
        <v>-924087.75040600006</v>
      </c>
      <c r="AJ310" s="464">
        <f t="shared" si="50"/>
        <v>-800319.53040600009</v>
      </c>
      <c r="AM310" s="464">
        <f t="shared" si="51"/>
        <v>-96732.9</v>
      </c>
      <c r="AN310" s="464">
        <v>-634202.14298000035</v>
      </c>
      <c r="AO310" s="464">
        <v>-69384.487425999716</v>
      </c>
      <c r="AP310" s="317">
        <f t="shared" si="52"/>
        <v>-800319.53040600009</v>
      </c>
      <c r="AQ310" s="317">
        <f t="shared" si="53"/>
        <v>0</v>
      </c>
      <c r="AS310" s="475">
        <v>-141996.29821999994</v>
      </c>
      <c r="AT310" s="174">
        <f t="shared" si="54"/>
        <v>-942315.82862600009</v>
      </c>
      <c r="AU310" s="174">
        <f t="shared" si="55"/>
        <v>0</v>
      </c>
    </row>
    <row r="311" spans="1:47">
      <c r="A311" t="s">
        <v>649</v>
      </c>
      <c r="B311" t="s">
        <v>2870</v>
      </c>
      <c r="C311" s="468">
        <v>78125.690000000046</v>
      </c>
      <c r="D311" s="468">
        <v>-110966.24369600005</v>
      </c>
      <c r="E311" s="473">
        <v>-51596.209300000104</v>
      </c>
      <c r="F311" s="474">
        <v>-87255.155719999922</v>
      </c>
      <c r="G311" s="450">
        <f t="shared" si="47"/>
        <v>-171691.91871600004</v>
      </c>
      <c r="I311" s="67">
        <f t="shared" si="48"/>
        <v>0</v>
      </c>
      <c r="J311" s="58" t="s">
        <v>649</v>
      </c>
      <c r="K311" t="s">
        <v>650</v>
      </c>
      <c r="L311" s="448">
        <v>-87255.155719999922</v>
      </c>
      <c r="M311" s="67" t="s">
        <v>2591</v>
      </c>
      <c r="N311" s="317"/>
      <c r="P311" t="s">
        <v>649</v>
      </c>
      <c r="Q311" t="s">
        <v>2870</v>
      </c>
      <c r="R311" s="211">
        <v>71212.98000000004</v>
      </c>
      <c r="S311" s="211">
        <v>6912.71</v>
      </c>
      <c r="T311" s="211">
        <v>-110966.24369600005</v>
      </c>
      <c r="U311" s="274">
        <v>-51596.209300000104</v>
      </c>
      <c r="V311" s="79">
        <f t="shared" si="59"/>
        <v>-84436.762996000107</v>
      </c>
      <c r="Z311" s="172">
        <f t="shared" si="49"/>
        <v>0</v>
      </c>
      <c r="AB311" t="s">
        <v>649</v>
      </c>
      <c r="AC311" t="s">
        <v>2870</v>
      </c>
      <c r="AD311" s="464">
        <v>71212.98000000004</v>
      </c>
      <c r="AE311" s="464">
        <v>6912.71</v>
      </c>
      <c r="AF311" s="464">
        <v>-110966.24369600005</v>
      </c>
      <c r="AG311" s="464">
        <v>-51596.209300000104</v>
      </c>
      <c r="AH311" s="464">
        <v>-84436.762996000107</v>
      </c>
      <c r="AJ311" s="464">
        <f t="shared" si="50"/>
        <v>-155649.74299600016</v>
      </c>
      <c r="AM311" s="465">
        <f>+AD311+AE311</f>
        <v>78125.690000000046</v>
      </c>
      <c r="AN311" s="464">
        <v>-110966.24369600005</v>
      </c>
      <c r="AO311" s="464">
        <v>-51596.209300000104</v>
      </c>
      <c r="AP311" s="317">
        <f t="shared" si="52"/>
        <v>-84436.762996000107</v>
      </c>
      <c r="AQ311" s="466">
        <f>+AP311-AH311</f>
        <v>0</v>
      </c>
      <c r="AS311" s="475">
        <v>-87255.155719999922</v>
      </c>
      <c r="AT311" s="174">
        <f t="shared" si="54"/>
        <v>-171691.91871600004</v>
      </c>
      <c r="AU311" s="174">
        <f t="shared" si="55"/>
        <v>0</v>
      </c>
    </row>
    <row r="312" spans="1:47">
      <c r="A312" t="s">
        <v>651</v>
      </c>
      <c r="B312" t="s">
        <v>2871</v>
      </c>
      <c r="C312" s="468">
        <v>-299778.71000000002</v>
      </c>
      <c r="D312" s="468">
        <v>-896814.27217200014</v>
      </c>
      <c r="E312" s="473">
        <v>-723494.86853799969</v>
      </c>
      <c r="F312" s="474">
        <v>-1110874.970645</v>
      </c>
      <c r="G312" s="450">
        <f t="shared" si="47"/>
        <v>-3030962.8213550001</v>
      </c>
      <c r="I312" s="67">
        <f t="shared" si="48"/>
        <v>0</v>
      </c>
      <c r="J312" s="58" t="s">
        <v>651</v>
      </c>
      <c r="K312" t="s">
        <v>652</v>
      </c>
      <c r="L312" s="448">
        <v>-1110874.970645</v>
      </c>
      <c r="M312" s="67" t="s">
        <v>2591</v>
      </c>
      <c r="N312" s="317"/>
      <c r="P312" t="s">
        <v>651</v>
      </c>
      <c r="Q312" t="s">
        <v>2871</v>
      </c>
      <c r="R312" s="211">
        <v>-343673.29</v>
      </c>
      <c r="S312" s="211">
        <v>-299778.71000000002</v>
      </c>
      <c r="T312" s="211">
        <v>-896814.27217200014</v>
      </c>
      <c r="U312" s="274">
        <v>-723494.86853799969</v>
      </c>
      <c r="V312" s="79">
        <f t="shared" si="59"/>
        <v>-2263761.1407099999</v>
      </c>
      <c r="Z312" s="172">
        <f t="shared" si="49"/>
        <v>0</v>
      </c>
      <c r="AB312" t="s">
        <v>651</v>
      </c>
      <c r="AC312" t="s">
        <v>2871</v>
      </c>
      <c r="AD312" s="464">
        <v>-343673.29</v>
      </c>
      <c r="AE312" s="464">
        <v>-299778.71000000002</v>
      </c>
      <c r="AF312" s="464">
        <v>-896814.27217200014</v>
      </c>
      <c r="AG312" s="464">
        <v>-723494.86853799969</v>
      </c>
      <c r="AH312" s="464">
        <v>-2263761.1407099999</v>
      </c>
      <c r="AJ312" s="464">
        <f t="shared" si="50"/>
        <v>-1920087.8507099999</v>
      </c>
      <c r="AM312" s="464">
        <f t="shared" si="51"/>
        <v>-299778.71000000002</v>
      </c>
      <c r="AN312" s="464">
        <v>-896814.27217200014</v>
      </c>
      <c r="AO312" s="464">
        <v>-723494.86853799969</v>
      </c>
      <c r="AP312" s="317">
        <f t="shared" si="52"/>
        <v>-1920087.8507099999</v>
      </c>
      <c r="AQ312" s="317">
        <f t="shared" si="53"/>
        <v>0</v>
      </c>
      <c r="AS312" s="475">
        <v>-1110874.970645</v>
      </c>
      <c r="AT312" s="174">
        <f t="shared" si="54"/>
        <v>-3030962.8213550001</v>
      </c>
      <c r="AU312" s="174">
        <f t="shared" si="55"/>
        <v>0</v>
      </c>
    </row>
    <row r="313" spans="1:47">
      <c r="A313" t="s">
        <v>653</v>
      </c>
      <c r="B313" t="s">
        <v>2872</v>
      </c>
      <c r="C313" s="468">
        <v>-49487.59</v>
      </c>
      <c r="D313" s="468">
        <v>-60183.960500000001</v>
      </c>
      <c r="E313" s="473">
        <v>-50533.533744999964</v>
      </c>
      <c r="F313" s="474">
        <v>-44040.499989000004</v>
      </c>
      <c r="G313" s="450">
        <f t="shared" si="47"/>
        <v>-204245.58423399998</v>
      </c>
      <c r="I313" s="67">
        <f t="shared" si="48"/>
        <v>0</v>
      </c>
      <c r="J313" s="58" t="s">
        <v>653</v>
      </c>
      <c r="K313" t="s">
        <v>654</v>
      </c>
      <c r="L313" s="448">
        <v>-44040.499989000004</v>
      </c>
      <c r="M313" s="67" t="s">
        <v>2591</v>
      </c>
      <c r="N313" s="317"/>
      <c r="P313" t="s">
        <v>653</v>
      </c>
      <c r="Q313" t="s">
        <v>2872</v>
      </c>
      <c r="R313" s="211">
        <v>-43557.53</v>
      </c>
      <c r="S313" s="211">
        <v>-49487.59</v>
      </c>
      <c r="T313" s="211">
        <v>-60183.960500000001</v>
      </c>
      <c r="U313" s="274">
        <v>-50533.533744999964</v>
      </c>
      <c r="V313" s="79">
        <f t="shared" si="59"/>
        <v>-203762.61424499995</v>
      </c>
      <c r="Z313" s="172">
        <f t="shared" si="49"/>
        <v>0</v>
      </c>
      <c r="AB313" t="s">
        <v>653</v>
      </c>
      <c r="AC313" t="s">
        <v>2872</v>
      </c>
      <c r="AD313" s="464">
        <v>-43557.53</v>
      </c>
      <c r="AE313" s="464">
        <v>-49487.59</v>
      </c>
      <c r="AF313" s="464">
        <v>-60183.960500000001</v>
      </c>
      <c r="AG313" s="464">
        <v>-50533.533744999964</v>
      </c>
      <c r="AH313" s="464">
        <v>-203762.61424499995</v>
      </c>
      <c r="AJ313" s="464">
        <f t="shared" si="50"/>
        <v>-160205.08424499998</v>
      </c>
      <c r="AM313" s="464">
        <f t="shared" si="51"/>
        <v>-49487.59</v>
      </c>
      <c r="AN313" s="464">
        <v>-60183.960500000001</v>
      </c>
      <c r="AO313" s="464">
        <v>-50533.533744999964</v>
      </c>
      <c r="AP313" s="317">
        <f t="shared" si="52"/>
        <v>-160205.08424499998</v>
      </c>
      <c r="AQ313" s="317">
        <f t="shared" si="53"/>
        <v>0</v>
      </c>
      <c r="AS313" s="475">
        <v>-44040.499989000004</v>
      </c>
      <c r="AT313" s="174">
        <f t="shared" si="54"/>
        <v>-204245.58423399998</v>
      </c>
      <c r="AU313" s="174">
        <f t="shared" si="55"/>
        <v>0</v>
      </c>
    </row>
    <row r="314" spans="1:47">
      <c r="A314" t="s">
        <v>655</v>
      </c>
      <c r="B314" t="s">
        <v>2873</v>
      </c>
      <c r="C314" s="468">
        <v>-78947.839999999997</v>
      </c>
      <c r="D314" s="468">
        <v>-15092.509624000013</v>
      </c>
      <c r="E314" s="473">
        <v>100700.509131</v>
      </c>
      <c r="F314" s="474">
        <v>-63038.106059999991</v>
      </c>
      <c r="G314" s="450">
        <f t="shared" si="47"/>
        <v>-56377.946553000002</v>
      </c>
      <c r="I314" s="67">
        <f t="shared" si="48"/>
        <v>0</v>
      </c>
      <c r="J314" s="58" t="s">
        <v>655</v>
      </c>
      <c r="K314" t="s">
        <v>656</v>
      </c>
      <c r="L314" s="448">
        <v>-63038.106059999991</v>
      </c>
      <c r="M314" s="67" t="s">
        <v>2591</v>
      </c>
      <c r="N314" s="317"/>
      <c r="P314" t="s">
        <v>655</v>
      </c>
      <c r="Q314" t="s">
        <v>2873</v>
      </c>
      <c r="R314" s="211">
        <v>-57427.89</v>
      </c>
      <c r="S314" s="211">
        <v>-78947.839999999997</v>
      </c>
      <c r="T314" s="211">
        <v>-15092.509624000013</v>
      </c>
      <c r="U314" s="274">
        <v>100700.509131</v>
      </c>
      <c r="V314" s="79">
        <f t="shared" si="59"/>
        <v>-50767.730492999981</v>
      </c>
      <c r="Z314" s="172">
        <f t="shared" si="49"/>
        <v>0</v>
      </c>
      <c r="AB314" t="s">
        <v>655</v>
      </c>
      <c r="AC314" t="s">
        <v>2873</v>
      </c>
      <c r="AD314" s="464">
        <v>-57427.89</v>
      </c>
      <c r="AE314" s="464">
        <v>-78947.839999999997</v>
      </c>
      <c r="AF314" s="464">
        <v>-15092.509624000013</v>
      </c>
      <c r="AG314" s="464">
        <v>100700.509131</v>
      </c>
      <c r="AH314" s="464">
        <v>-50767.730492999981</v>
      </c>
      <c r="AJ314" s="464">
        <f t="shared" si="50"/>
        <v>6660.1595069999894</v>
      </c>
      <c r="AM314" s="464">
        <f t="shared" si="51"/>
        <v>-78947.839999999997</v>
      </c>
      <c r="AN314" s="464">
        <v>-15092.509624000013</v>
      </c>
      <c r="AO314" s="464">
        <v>100700.509131</v>
      </c>
      <c r="AP314" s="317">
        <f t="shared" si="52"/>
        <v>6660.1595069999894</v>
      </c>
      <c r="AQ314" s="317">
        <f t="shared" si="53"/>
        <v>0</v>
      </c>
      <c r="AS314" s="475">
        <v>-63038.106059999991</v>
      </c>
      <c r="AT314" s="174">
        <f t="shared" si="54"/>
        <v>-56377.946553000002</v>
      </c>
      <c r="AU314" s="174">
        <f t="shared" si="55"/>
        <v>0</v>
      </c>
    </row>
    <row r="315" spans="1:47">
      <c r="A315" t="s">
        <v>657</v>
      </c>
      <c r="B315" t="s">
        <v>2874</v>
      </c>
      <c r="C315" s="468">
        <v>-162016.4</v>
      </c>
      <c r="D315" s="468">
        <v>-109092.65642199997</v>
      </c>
      <c r="E315" s="473">
        <v>-101983.24753600001</v>
      </c>
      <c r="F315" s="474">
        <v>-74110.856030000024</v>
      </c>
      <c r="G315" s="450">
        <f t="shared" si="47"/>
        <v>-447203.15998799994</v>
      </c>
      <c r="I315" s="67">
        <f t="shared" si="48"/>
        <v>0</v>
      </c>
      <c r="J315" s="58" t="s">
        <v>657</v>
      </c>
      <c r="K315" t="s">
        <v>658</v>
      </c>
      <c r="L315" s="448">
        <v>-74110.856030000024</v>
      </c>
      <c r="M315" s="67" t="s">
        <v>2591</v>
      </c>
      <c r="N315" s="317"/>
      <c r="P315" t="s">
        <v>657</v>
      </c>
      <c r="Q315" t="s">
        <v>2874</v>
      </c>
      <c r="R315" s="211">
        <v>-157126.20000000001</v>
      </c>
      <c r="S315" s="211">
        <v>-162016.4</v>
      </c>
      <c r="T315" s="211">
        <v>-109092.65642199997</v>
      </c>
      <c r="U315" s="274">
        <v>-101983.24753600001</v>
      </c>
      <c r="V315" s="79">
        <f t="shared" si="59"/>
        <v>-530218.50395799999</v>
      </c>
      <c r="Z315" s="172">
        <f t="shared" si="49"/>
        <v>0</v>
      </c>
      <c r="AB315" t="s">
        <v>657</v>
      </c>
      <c r="AC315" t="s">
        <v>2874</v>
      </c>
      <c r="AD315" s="464">
        <v>-157126.20000000001</v>
      </c>
      <c r="AE315" s="464">
        <v>-162016.4</v>
      </c>
      <c r="AF315" s="464">
        <v>-109092.65642199997</v>
      </c>
      <c r="AG315" s="464">
        <v>-101983.24753600001</v>
      </c>
      <c r="AH315" s="464">
        <v>-530218.50395799999</v>
      </c>
      <c r="AJ315" s="464">
        <f t="shared" si="50"/>
        <v>-373092.30395799992</v>
      </c>
      <c r="AM315" s="464">
        <f t="shared" si="51"/>
        <v>-162016.4</v>
      </c>
      <c r="AN315" s="464">
        <v>-109092.65642199997</v>
      </c>
      <c r="AO315" s="464">
        <v>-101983.24753600001</v>
      </c>
      <c r="AP315" s="317">
        <f t="shared" si="52"/>
        <v>-373092.30395799992</v>
      </c>
      <c r="AQ315" s="317">
        <f t="shared" si="53"/>
        <v>0</v>
      </c>
      <c r="AS315" s="475">
        <v>-74110.856030000024</v>
      </c>
      <c r="AT315" s="174">
        <f t="shared" si="54"/>
        <v>-447203.15998799994</v>
      </c>
      <c r="AU315" s="174">
        <f t="shared" si="55"/>
        <v>0</v>
      </c>
    </row>
    <row r="316" spans="1:47">
      <c r="A316" t="s">
        <v>659</v>
      </c>
      <c r="B316" t="s">
        <v>2875</v>
      </c>
      <c r="C316" s="468">
        <v>-412089.25</v>
      </c>
      <c r="D316" s="468">
        <v>0</v>
      </c>
      <c r="E316" s="473">
        <v>152655.97493892285</v>
      </c>
      <c r="F316" s="474">
        <v>364225.13366169063</v>
      </c>
      <c r="G316" s="450">
        <f t="shared" si="47"/>
        <v>104791.85860061349</v>
      </c>
      <c r="I316" s="67">
        <f t="shared" si="48"/>
        <v>0</v>
      </c>
      <c r="J316" s="58" t="s">
        <v>659</v>
      </c>
      <c r="K316" t="s">
        <v>660</v>
      </c>
      <c r="L316" s="448">
        <v>364225.13366169063</v>
      </c>
      <c r="M316" s="67" t="s">
        <v>2591</v>
      </c>
      <c r="N316" s="317"/>
      <c r="P316" t="s">
        <v>659</v>
      </c>
      <c r="Q316" t="s">
        <v>2875</v>
      </c>
      <c r="R316" s="211">
        <v>-296014.12</v>
      </c>
      <c r="S316" s="211">
        <v>-412089.25</v>
      </c>
      <c r="T316" s="211">
        <v>46206.384793000005</v>
      </c>
      <c r="U316" s="274">
        <v>402463.71014592284</v>
      </c>
      <c r="V316" s="79">
        <f t="shared" si="59"/>
        <v>-259433.27506107721</v>
      </c>
      <c r="Z316" s="172">
        <f t="shared" si="49"/>
        <v>0</v>
      </c>
      <c r="AB316" t="s">
        <v>659</v>
      </c>
      <c r="AC316" t="s">
        <v>2875</v>
      </c>
      <c r="AD316" s="464">
        <v>0</v>
      </c>
      <c r="AE316" s="464">
        <v>-412089.25</v>
      </c>
      <c r="AF316" s="464">
        <v>0</v>
      </c>
      <c r="AG316" s="464">
        <v>152655.97493892285</v>
      </c>
      <c r="AH316" s="464">
        <v>-259433.27506107715</v>
      </c>
      <c r="AJ316" s="464">
        <f t="shared" si="50"/>
        <v>-259433.27506107715</v>
      </c>
      <c r="AM316" s="464">
        <f t="shared" si="51"/>
        <v>-412089.25</v>
      </c>
      <c r="AN316" s="464">
        <v>0</v>
      </c>
      <c r="AO316" s="464">
        <v>152655.97493892285</v>
      </c>
      <c r="AP316" s="317">
        <f t="shared" si="52"/>
        <v>-259433.27506107715</v>
      </c>
      <c r="AQ316" s="317">
        <f t="shared" si="53"/>
        <v>0</v>
      </c>
      <c r="AS316" s="475">
        <v>364225.13366169063</v>
      </c>
      <c r="AT316" s="174">
        <f t="shared" si="54"/>
        <v>104791.85860061349</v>
      </c>
      <c r="AU316" s="174">
        <f t="shared" si="55"/>
        <v>0</v>
      </c>
    </row>
    <row r="317" spans="1:47">
      <c r="A317" t="s">
        <v>661</v>
      </c>
      <c r="B317" t="s">
        <v>2876</v>
      </c>
      <c r="C317" s="468">
        <v>-375453.15</v>
      </c>
      <c r="D317" s="468">
        <v>-293712.58326100017</v>
      </c>
      <c r="E317" s="473">
        <v>-172702.87323200004</v>
      </c>
      <c r="F317" s="474">
        <v>-246759.90121300024</v>
      </c>
      <c r="G317" s="450">
        <f t="shared" si="47"/>
        <v>-1088628.5077060005</v>
      </c>
      <c r="I317" s="67">
        <f t="shared" si="48"/>
        <v>0</v>
      </c>
      <c r="J317" s="58" t="s">
        <v>661</v>
      </c>
      <c r="K317" t="s">
        <v>2877</v>
      </c>
      <c r="L317" s="448">
        <v>-246759.90121300024</v>
      </c>
      <c r="M317" s="67" t="s">
        <v>2591</v>
      </c>
      <c r="N317" s="317"/>
      <c r="P317" t="s">
        <v>661</v>
      </c>
      <c r="Q317" t="s">
        <v>2876</v>
      </c>
      <c r="R317" s="211">
        <v>-366324.28</v>
      </c>
      <c r="S317" s="211">
        <v>-375453.15</v>
      </c>
      <c r="T317" s="211">
        <v>-293712.58326100017</v>
      </c>
      <c r="U317" s="274">
        <v>-172702.87323200004</v>
      </c>
      <c r="V317" s="79">
        <f t="shared" si="59"/>
        <v>-1208192.8864930002</v>
      </c>
      <c r="Z317" s="172">
        <f t="shared" si="49"/>
        <v>0</v>
      </c>
      <c r="AB317" t="s">
        <v>661</v>
      </c>
      <c r="AC317" t="s">
        <v>2876</v>
      </c>
      <c r="AD317" s="464">
        <v>-366324.28</v>
      </c>
      <c r="AE317" s="464">
        <v>-375453.15</v>
      </c>
      <c r="AF317" s="464">
        <v>-293712.58326100017</v>
      </c>
      <c r="AG317" s="464">
        <v>-172702.87323200004</v>
      </c>
      <c r="AH317" s="464">
        <v>-1208192.8864930002</v>
      </c>
      <c r="AJ317" s="464">
        <f t="shared" si="50"/>
        <v>-841868.60649300017</v>
      </c>
      <c r="AM317" s="464">
        <f t="shared" si="51"/>
        <v>-375453.15</v>
      </c>
      <c r="AN317" s="464">
        <v>-293712.58326100017</v>
      </c>
      <c r="AO317" s="464">
        <v>-172702.87323200004</v>
      </c>
      <c r="AP317" s="317">
        <f t="shared" si="52"/>
        <v>-841868.60649300017</v>
      </c>
      <c r="AQ317" s="317">
        <f t="shared" si="53"/>
        <v>0</v>
      </c>
      <c r="AS317" s="475">
        <v>-246759.90121300024</v>
      </c>
      <c r="AT317" s="174">
        <f t="shared" si="54"/>
        <v>-1088628.5077060005</v>
      </c>
      <c r="AU317" s="174">
        <f t="shared" si="55"/>
        <v>0</v>
      </c>
    </row>
    <row r="318" spans="1:47">
      <c r="A318" t="s">
        <v>663</v>
      </c>
      <c r="B318" t="s">
        <v>2878</v>
      </c>
      <c r="C318" s="468">
        <v>665406.49999999849</v>
      </c>
      <c r="D318" s="468">
        <v>-207440.16727335087</v>
      </c>
      <c r="E318" s="473">
        <v>332429.59180651046</v>
      </c>
      <c r="F318" s="474">
        <v>-170559.03092952311</v>
      </c>
      <c r="G318" s="450">
        <f t="shared" si="47"/>
        <v>619836.89360363502</v>
      </c>
      <c r="I318" s="67">
        <f t="shared" si="48"/>
        <v>0</v>
      </c>
      <c r="J318" s="58" t="s">
        <v>663</v>
      </c>
      <c r="K318" t="s">
        <v>2879</v>
      </c>
      <c r="L318" s="448">
        <v>-170559.03092952311</v>
      </c>
      <c r="M318" s="67" t="s">
        <v>2591</v>
      </c>
      <c r="N318" s="317"/>
      <c r="P318" t="s">
        <v>663</v>
      </c>
      <c r="Q318" t="s">
        <v>2878</v>
      </c>
      <c r="R318" s="211">
        <v>879632.47999999847</v>
      </c>
      <c r="S318" s="211">
        <v>-214225.98</v>
      </c>
      <c r="T318" s="211">
        <v>-207440.16727335087</v>
      </c>
      <c r="U318" s="274">
        <v>332429.59180651046</v>
      </c>
      <c r="V318" s="79">
        <f t="shared" si="59"/>
        <v>790395.92453315808</v>
      </c>
      <c r="Z318" s="172">
        <f t="shared" si="49"/>
        <v>0</v>
      </c>
      <c r="AB318" t="s">
        <v>663</v>
      </c>
      <c r="AC318" t="s">
        <v>2878</v>
      </c>
      <c r="AD318" s="464">
        <v>879632.47999999847</v>
      </c>
      <c r="AE318" s="464">
        <v>-214225.98</v>
      </c>
      <c r="AF318" s="464">
        <v>-207440.16727335087</v>
      </c>
      <c r="AG318" s="464">
        <v>332429.59180651046</v>
      </c>
      <c r="AH318" s="464">
        <v>790395.92453315808</v>
      </c>
      <c r="AJ318" s="464">
        <f t="shared" si="50"/>
        <v>-89236.555466840393</v>
      </c>
      <c r="AM318" s="465">
        <f>+AD318+AE318</f>
        <v>665406.49999999849</v>
      </c>
      <c r="AN318" s="464">
        <v>-207440.16727335087</v>
      </c>
      <c r="AO318" s="464">
        <v>332429.59180651046</v>
      </c>
      <c r="AP318" s="317">
        <f t="shared" si="52"/>
        <v>790395.92453315808</v>
      </c>
      <c r="AQ318" s="466">
        <f>+AP318-AH318</f>
        <v>0</v>
      </c>
      <c r="AS318" s="475">
        <v>-170559.03092952311</v>
      </c>
      <c r="AT318" s="174">
        <f t="shared" si="54"/>
        <v>619836.89360363502</v>
      </c>
      <c r="AU318" s="174">
        <f t="shared" si="55"/>
        <v>0</v>
      </c>
    </row>
    <row r="319" spans="1:47">
      <c r="A319" s="445" t="s">
        <v>665</v>
      </c>
      <c r="B319" s="441" t="s">
        <v>666</v>
      </c>
      <c r="C319" s="470">
        <v>0</v>
      </c>
      <c r="D319" s="470"/>
      <c r="E319" s="473"/>
      <c r="F319" s="474"/>
      <c r="G319" s="450">
        <f t="shared" si="47"/>
        <v>0</v>
      </c>
      <c r="I319" s="67">
        <f t="shared" si="48"/>
        <v>0</v>
      </c>
      <c r="J319" s="445" t="s">
        <v>665</v>
      </c>
      <c r="K319" s="441" t="s">
        <v>666</v>
      </c>
      <c r="L319" s="448"/>
      <c r="M319" s="67"/>
      <c r="N319" s="317"/>
      <c r="P319" s="298" t="s">
        <v>665</v>
      </c>
      <c r="Q319" s="295" t="s">
        <v>666</v>
      </c>
      <c r="R319" s="211"/>
      <c r="S319" s="211"/>
      <c r="T319" s="211"/>
      <c r="U319" s="274"/>
      <c r="V319" s="79"/>
      <c r="Z319" s="172">
        <f t="shared" si="49"/>
        <v>0</v>
      </c>
      <c r="AB319" t="s">
        <v>665</v>
      </c>
      <c r="AC319" t="s">
        <v>666</v>
      </c>
      <c r="AD319" s="464"/>
      <c r="AE319" s="464"/>
      <c r="AF319" s="464"/>
      <c r="AG319" s="464"/>
      <c r="AH319" s="464"/>
      <c r="AJ319" s="464">
        <f t="shared" si="50"/>
        <v>0</v>
      </c>
      <c r="AM319" s="464">
        <f t="shared" si="51"/>
        <v>0</v>
      </c>
      <c r="AN319" s="464"/>
      <c r="AO319" s="464"/>
      <c r="AP319" s="317">
        <f t="shared" si="52"/>
        <v>0</v>
      </c>
      <c r="AQ319" s="317">
        <f t="shared" si="53"/>
        <v>0</v>
      </c>
      <c r="AS319" s="475"/>
      <c r="AT319" s="174">
        <f t="shared" si="54"/>
        <v>0</v>
      </c>
      <c r="AU319" s="174">
        <f t="shared" si="55"/>
        <v>0</v>
      </c>
    </row>
    <row r="320" spans="1:47">
      <c r="A320" t="s">
        <v>667</v>
      </c>
      <c r="B320" t="s">
        <v>2880</v>
      </c>
      <c r="C320" s="468">
        <v>0</v>
      </c>
      <c r="D320" s="468">
        <v>-74967.085432000007</v>
      </c>
      <c r="E320" s="473">
        <v>-52356.277533999993</v>
      </c>
      <c r="F320" s="474">
        <v>37177.985963999934</v>
      </c>
      <c r="G320" s="450">
        <f t="shared" si="47"/>
        <v>-90145.377002000067</v>
      </c>
      <c r="I320" s="67">
        <f t="shared" si="48"/>
        <v>0</v>
      </c>
      <c r="J320" s="58" t="s">
        <v>667</v>
      </c>
      <c r="K320" t="s">
        <v>668</v>
      </c>
      <c r="L320" s="448">
        <v>37177.985963999934</v>
      </c>
      <c r="M320" s="67" t="s">
        <v>2591</v>
      </c>
      <c r="N320" s="317"/>
      <c r="P320" t="s">
        <v>667</v>
      </c>
      <c r="Q320" t="s">
        <v>2880</v>
      </c>
      <c r="R320" s="211">
        <v>-46421.3</v>
      </c>
      <c r="S320" s="211">
        <v>1124.96</v>
      </c>
      <c r="T320" s="211">
        <v>-74967.085432000007</v>
      </c>
      <c r="U320" s="274">
        <v>-52356.277533999993</v>
      </c>
      <c r="V320" s="79">
        <f>SUM(R320:U320)</f>
        <v>-172619.70296600001</v>
      </c>
      <c r="Z320" s="172">
        <f t="shared" si="49"/>
        <v>0</v>
      </c>
      <c r="AB320" t="s">
        <v>667</v>
      </c>
      <c r="AC320" t="s">
        <v>2880</v>
      </c>
      <c r="AD320" s="464">
        <v>-45296.340000000004</v>
      </c>
      <c r="AE320" s="464">
        <v>0</v>
      </c>
      <c r="AF320" s="464">
        <v>-74967.085432000007</v>
      </c>
      <c r="AG320" s="464">
        <v>-52356.277533999993</v>
      </c>
      <c r="AH320" s="464">
        <v>-172619.70296600001</v>
      </c>
      <c r="AJ320" s="464">
        <f t="shared" si="50"/>
        <v>-127323.362966</v>
      </c>
      <c r="AM320" s="464">
        <f t="shared" si="51"/>
        <v>0</v>
      </c>
      <c r="AN320" s="464">
        <v>-74967.085432000007</v>
      </c>
      <c r="AO320" s="464">
        <v>-52356.277533999993</v>
      </c>
      <c r="AP320" s="317">
        <f t="shared" si="52"/>
        <v>-127323.362966</v>
      </c>
      <c r="AQ320" s="317">
        <f t="shared" si="53"/>
        <v>0</v>
      </c>
      <c r="AS320" s="475">
        <v>37177.985963999934</v>
      </c>
      <c r="AT320" s="174">
        <f t="shared" si="54"/>
        <v>-90145.377002000067</v>
      </c>
      <c r="AU320" s="174">
        <f t="shared" si="55"/>
        <v>0</v>
      </c>
    </row>
    <row r="321" spans="1:47">
      <c r="A321" t="s">
        <v>669</v>
      </c>
      <c r="B321" t="s">
        <v>2881</v>
      </c>
      <c r="C321" s="468">
        <v>-306850.28999999998</v>
      </c>
      <c r="D321" s="468">
        <v>-163400.14934709825</v>
      </c>
      <c r="E321" s="473">
        <v>0</v>
      </c>
      <c r="F321" s="474">
        <v>-252682.41508434521</v>
      </c>
      <c r="G321" s="450">
        <f t="shared" si="47"/>
        <v>-722932.85443144338</v>
      </c>
      <c r="I321" s="67">
        <f t="shared" si="48"/>
        <v>0</v>
      </c>
      <c r="J321" s="58" t="s">
        <v>669</v>
      </c>
      <c r="K321" t="s">
        <v>670</v>
      </c>
      <c r="L321" s="448">
        <v>-252682.41508434521</v>
      </c>
      <c r="M321" s="67" t="s">
        <v>2591</v>
      </c>
      <c r="N321" s="317"/>
      <c r="P321" t="s">
        <v>669</v>
      </c>
      <c r="Q321" t="s">
        <v>2881</v>
      </c>
      <c r="R321" s="211">
        <v>-283061.59999999998</v>
      </c>
      <c r="S321" s="211">
        <v>-306850.28999999998</v>
      </c>
      <c r="T321" s="211">
        <v>-163400.14934709825</v>
      </c>
      <c r="U321" s="274">
        <v>77558.735797837842</v>
      </c>
      <c r="V321" s="79">
        <f>SUM(R321:U321)</f>
        <v>-675753.30354926037</v>
      </c>
      <c r="Z321" s="172">
        <f t="shared" si="49"/>
        <v>0</v>
      </c>
      <c r="AB321" t="s">
        <v>669</v>
      </c>
      <c r="AC321" t="s">
        <v>2881</v>
      </c>
      <c r="AD321" s="464">
        <v>-205502.86420216213</v>
      </c>
      <c r="AE321" s="464">
        <v>-306850.28999999998</v>
      </c>
      <c r="AF321" s="464">
        <v>-163400.14934709825</v>
      </c>
      <c r="AG321" s="464">
        <v>0</v>
      </c>
      <c r="AH321" s="464">
        <v>-675753.30354926037</v>
      </c>
      <c r="AJ321" s="464">
        <f t="shared" si="50"/>
        <v>-470250.43934709823</v>
      </c>
      <c r="AM321" s="464">
        <f t="shared" si="51"/>
        <v>-306850.28999999998</v>
      </c>
      <c r="AN321" s="464">
        <v>-163400.14934709825</v>
      </c>
      <c r="AO321" s="464">
        <v>0</v>
      </c>
      <c r="AP321" s="317">
        <f t="shared" si="52"/>
        <v>-470250.43934709823</v>
      </c>
      <c r="AQ321" s="317">
        <f t="shared" si="53"/>
        <v>0</v>
      </c>
      <c r="AS321" s="475">
        <v>-252682.41508434521</v>
      </c>
      <c r="AT321" s="174">
        <f t="shared" si="54"/>
        <v>-722932.85443144338</v>
      </c>
      <c r="AU321" s="174">
        <f t="shared" si="55"/>
        <v>0</v>
      </c>
    </row>
    <row r="322" spans="1:47">
      <c r="A322" t="s">
        <v>671</v>
      </c>
      <c r="B322" t="s">
        <v>2882</v>
      </c>
      <c r="C322" s="468">
        <v>-66289.67</v>
      </c>
      <c r="D322" s="468">
        <v>-115197.94454099993</v>
      </c>
      <c r="E322" s="473">
        <v>-164487.44099800009</v>
      </c>
      <c r="F322" s="474">
        <v>-243466.42912499994</v>
      </c>
      <c r="G322" s="450">
        <f t="shared" si="47"/>
        <v>-589441.48466399999</v>
      </c>
      <c r="I322" s="67">
        <f t="shared" si="48"/>
        <v>0</v>
      </c>
      <c r="J322" s="58" t="s">
        <v>671</v>
      </c>
      <c r="K322" t="s">
        <v>672</v>
      </c>
      <c r="L322" s="448">
        <v>-243466.42912499994</v>
      </c>
      <c r="M322" s="67" t="s">
        <v>2591</v>
      </c>
      <c r="N322" s="317"/>
      <c r="P322" t="s">
        <v>671</v>
      </c>
      <c r="Q322" t="s">
        <v>2882</v>
      </c>
      <c r="R322" s="211">
        <v>-107475.51</v>
      </c>
      <c r="S322" s="211">
        <v>-66289.67</v>
      </c>
      <c r="T322" s="211">
        <v>-115197.94454099993</v>
      </c>
      <c r="U322" s="274">
        <v>-164487.44099800009</v>
      </c>
      <c r="V322" s="79">
        <f>SUM(R322:U322)</f>
        <v>-453450.56553900003</v>
      </c>
      <c r="Z322" s="172">
        <f t="shared" si="49"/>
        <v>0</v>
      </c>
      <c r="AB322" t="s">
        <v>671</v>
      </c>
      <c r="AC322" t="s">
        <v>2882</v>
      </c>
      <c r="AD322" s="464">
        <v>-107475.51</v>
      </c>
      <c r="AE322" s="464">
        <v>-66289.67</v>
      </c>
      <c r="AF322" s="464">
        <v>-115197.94454099993</v>
      </c>
      <c r="AG322" s="464">
        <v>-164487.44099800009</v>
      </c>
      <c r="AH322" s="464">
        <v>-453450.56553900003</v>
      </c>
      <c r="AJ322" s="464">
        <f t="shared" si="50"/>
        <v>-345975.05553900002</v>
      </c>
      <c r="AM322" s="464">
        <f t="shared" si="51"/>
        <v>-66289.67</v>
      </c>
      <c r="AN322" s="464">
        <v>-115197.94454099993</v>
      </c>
      <c r="AO322" s="464">
        <v>-164487.44099800009</v>
      </c>
      <c r="AP322" s="317">
        <f t="shared" si="52"/>
        <v>-345975.05553900002</v>
      </c>
      <c r="AQ322" s="317">
        <f t="shared" si="53"/>
        <v>0</v>
      </c>
      <c r="AS322" s="475">
        <v>-243466.42912499994</v>
      </c>
      <c r="AT322" s="174">
        <f t="shared" si="54"/>
        <v>-589441.48466399999</v>
      </c>
      <c r="AU322" s="174">
        <f t="shared" si="55"/>
        <v>0</v>
      </c>
    </row>
    <row r="323" spans="1:47">
      <c r="A323" s="441" t="s">
        <v>673</v>
      </c>
      <c r="B323" s="441" t="s">
        <v>674</v>
      </c>
      <c r="C323" s="470">
        <v>0</v>
      </c>
      <c r="D323" s="470"/>
      <c r="E323" s="473"/>
      <c r="F323" s="474">
        <v>-29160.249999999993</v>
      </c>
      <c r="G323" s="450">
        <f t="shared" si="47"/>
        <v>-29160.249999999993</v>
      </c>
      <c r="I323" s="67">
        <f t="shared" si="48"/>
        <v>0</v>
      </c>
      <c r="J323" s="435" t="s">
        <v>673</v>
      </c>
      <c r="K323" t="s">
        <v>2883</v>
      </c>
      <c r="L323" s="448">
        <v>-29160.249999999993</v>
      </c>
      <c r="M323" s="67" t="s">
        <v>2591</v>
      </c>
      <c r="N323" s="317"/>
      <c r="P323" s="295" t="s">
        <v>673</v>
      </c>
      <c r="Q323" s="295" t="s">
        <v>674</v>
      </c>
      <c r="R323" s="211"/>
      <c r="S323" s="211"/>
      <c r="T323" s="211"/>
      <c r="U323" s="274"/>
      <c r="V323" s="79"/>
      <c r="Z323" s="172">
        <f t="shared" si="49"/>
        <v>0</v>
      </c>
      <c r="AB323" t="s">
        <v>673</v>
      </c>
      <c r="AC323" t="s">
        <v>674</v>
      </c>
      <c r="AD323" s="464"/>
      <c r="AE323" s="464"/>
      <c r="AF323" s="464"/>
      <c r="AG323" s="464"/>
      <c r="AH323" s="464"/>
      <c r="AJ323" s="464">
        <f t="shared" si="50"/>
        <v>0</v>
      </c>
      <c r="AM323" s="464">
        <f t="shared" si="51"/>
        <v>0</v>
      </c>
      <c r="AN323" s="464"/>
      <c r="AO323" s="464"/>
      <c r="AP323" s="317">
        <f t="shared" si="52"/>
        <v>0</v>
      </c>
      <c r="AQ323" s="317">
        <f t="shared" si="53"/>
        <v>0</v>
      </c>
      <c r="AS323" s="475">
        <v>-29160.249999999993</v>
      </c>
      <c r="AT323" s="174">
        <f t="shared" si="54"/>
        <v>-29160.249999999993</v>
      </c>
      <c r="AU323" s="174">
        <f t="shared" si="55"/>
        <v>0</v>
      </c>
    </row>
    <row r="324" spans="1:47">
      <c r="A324" t="s">
        <v>675</v>
      </c>
      <c r="B324" t="s">
        <v>2884</v>
      </c>
      <c r="C324" s="468">
        <v>-38670.03</v>
      </c>
      <c r="D324" s="468">
        <v>-43541.05119999998</v>
      </c>
      <c r="E324" s="473">
        <v>-53494.41510800003</v>
      </c>
      <c r="F324" s="474">
        <v>-48226.072175000001</v>
      </c>
      <c r="G324" s="450">
        <f t="shared" si="47"/>
        <v>-183931.56848300001</v>
      </c>
      <c r="I324" s="67">
        <f t="shared" si="48"/>
        <v>0</v>
      </c>
      <c r="J324" s="58" t="s">
        <v>675</v>
      </c>
      <c r="K324" t="s">
        <v>676</v>
      </c>
      <c r="L324" s="448">
        <v>-48226.072175000001</v>
      </c>
      <c r="M324" s="67" t="s">
        <v>2591</v>
      </c>
      <c r="N324" s="317"/>
      <c r="P324" t="s">
        <v>675</v>
      </c>
      <c r="Q324" t="s">
        <v>2884</v>
      </c>
      <c r="R324" s="211">
        <v>-76093.259999999995</v>
      </c>
      <c r="S324" s="211">
        <v>-38670.03</v>
      </c>
      <c r="T324" s="211">
        <v>-43541.05119999998</v>
      </c>
      <c r="U324" s="274">
        <v>-53494.41510800003</v>
      </c>
      <c r="V324" s="79">
        <f t="shared" ref="V324:V330" si="60">SUM(R324:U324)</f>
        <v>-211798.75630800001</v>
      </c>
      <c r="Z324" s="172">
        <f t="shared" si="49"/>
        <v>0</v>
      </c>
      <c r="AB324" t="s">
        <v>675</v>
      </c>
      <c r="AC324" t="s">
        <v>2884</v>
      </c>
      <c r="AD324" s="464">
        <v>-76093.259999999995</v>
      </c>
      <c r="AE324" s="464">
        <v>-38670.03</v>
      </c>
      <c r="AF324" s="464">
        <v>-43541.05119999998</v>
      </c>
      <c r="AG324" s="464">
        <v>-53494.41510800003</v>
      </c>
      <c r="AH324" s="464">
        <v>-211798.75630800001</v>
      </c>
      <c r="AJ324" s="464">
        <f t="shared" si="50"/>
        <v>-135705.496308</v>
      </c>
      <c r="AM324" s="464">
        <f t="shared" si="51"/>
        <v>-38670.03</v>
      </c>
      <c r="AN324" s="464">
        <v>-43541.05119999998</v>
      </c>
      <c r="AO324" s="464">
        <v>-53494.41510800003</v>
      </c>
      <c r="AP324" s="317">
        <f t="shared" si="52"/>
        <v>-135705.496308</v>
      </c>
      <c r="AQ324" s="317">
        <f t="shared" si="53"/>
        <v>0</v>
      </c>
      <c r="AS324" s="475">
        <v>-48226.072175000001</v>
      </c>
      <c r="AT324" s="174">
        <f t="shared" si="54"/>
        <v>-183931.56848300001</v>
      </c>
      <c r="AU324" s="174">
        <f t="shared" si="55"/>
        <v>0</v>
      </c>
    </row>
    <row r="325" spans="1:47">
      <c r="A325" t="s">
        <v>677</v>
      </c>
      <c r="B325" t="s">
        <v>2885</v>
      </c>
      <c r="C325" s="468">
        <v>-170972.2</v>
      </c>
      <c r="D325" s="468">
        <v>-288005.93802199996</v>
      </c>
      <c r="E325" s="473">
        <v>0</v>
      </c>
      <c r="F325" s="474">
        <v>-69005.558855999974</v>
      </c>
      <c r="G325" s="450">
        <f t="shared" si="47"/>
        <v>-527983.69687799993</v>
      </c>
      <c r="I325" s="67">
        <f t="shared" si="48"/>
        <v>0</v>
      </c>
      <c r="J325" s="58" t="s">
        <v>677</v>
      </c>
      <c r="K325" t="s">
        <v>678</v>
      </c>
      <c r="L325" s="448">
        <v>-69005.558855999974</v>
      </c>
      <c r="M325" s="67" t="s">
        <v>2591</v>
      </c>
      <c r="N325" s="317"/>
      <c r="P325" t="s">
        <v>677</v>
      </c>
      <c r="Q325" t="s">
        <v>2885</v>
      </c>
      <c r="R325" s="211">
        <v>-105432.14</v>
      </c>
      <c r="S325" s="211">
        <v>-170972.2</v>
      </c>
      <c r="T325" s="211">
        <v>-288005.93802199996</v>
      </c>
      <c r="U325" s="274">
        <v>9167.1672499999404</v>
      </c>
      <c r="V325" s="79">
        <f t="shared" si="60"/>
        <v>-555243.11077200004</v>
      </c>
      <c r="Z325" s="172">
        <f t="shared" si="49"/>
        <v>0</v>
      </c>
      <c r="AB325" t="s">
        <v>677</v>
      </c>
      <c r="AC325" t="s">
        <v>2885</v>
      </c>
      <c r="AD325" s="464">
        <v>-96264.972750000059</v>
      </c>
      <c r="AE325" s="464">
        <v>-170972.2</v>
      </c>
      <c r="AF325" s="464">
        <v>-288005.93802199996</v>
      </c>
      <c r="AG325" s="464">
        <v>0</v>
      </c>
      <c r="AH325" s="464">
        <v>-555243.11077200004</v>
      </c>
      <c r="AJ325" s="464">
        <f t="shared" si="50"/>
        <v>-458978.13802199997</v>
      </c>
      <c r="AM325" s="464">
        <f t="shared" si="51"/>
        <v>-170972.2</v>
      </c>
      <c r="AN325" s="464">
        <v>-288005.93802199996</v>
      </c>
      <c r="AO325" s="464">
        <v>0</v>
      </c>
      <c r="AP325" s="317">
        <f t="shared" si="52"/>
        <v>-458978.13802199997</v>
      </c>
      <c r="AQ325" s="317">
        <f t="shared" si="53"/>
        <v>0</v>
      </c>
      <c r="AS325" s="475">
        <v>-69005.558855999974</v>
      </c>
      <c r="AT325" s="174">
        <f t="shared" si="54"/>
        <v>-527983.69687799993</v>
      </c>
      <c r="AU325" s="174">
        <f t="shared" si="55"/>
        <v>0</v>
      </c>
    </row>
    <row r="326" spans="1:47">
      <c r="A326" t="s">
        <v>679</v>
      </c>
      <c r="B326" t="s">
        <v>2886</v>
      </c>
      <c r="C326" s="468">
        <v>-83908.84</v>
      </c>
      <c r="D326" s="468">
        <v>-72475.34554900002</v>
      </c>
      <c r="E326" s="473">
        <v>-79016.058656000037</v>
      </c>
      <c r="F326" s="474">
        <v>-89177.649665999983</v>
      </c>
      <c r="G326" s="450">
        <f t="shared" si="47"/>
        <v>-324577.89387100004</v>
      </c>
      <c r="I326" s="67">
        <f t="shared" si="48"/>
        <v>0</v>
      </c>
      <c r="J326" s="58" t="s">
        <v>679</v>
      </c>
      <c r="K326" t="s">
        <v>680</v>
      </c>
      <c r="L326" s="448">
        <v>-89177.649665999983</v>
      </c>
      <c r="M326" s="67" t="s">
        <v>2591</v>
      </c>
      <c r="N326" s="317"/>
      <c r="P326" t="s">
        <v>679</v>
      </c>
      <c r="Q326" t="s">
        <v>2886</v>
      </c>
      <c r="R326" s="211">
        <v>-55906.86</v>
      </c>
      <c r="S326" s="211">
        <v>-83908.84</v>
      </c>
      <c r="T326" s="211">
        <v>-72475.34554900002</v>
      </c>
      <c r="U326" s="274">
        <v>-79016.058656000037</v>
      </c>
      <c r="V326" s="79">
        <f t="shared" si="60"/>
        <v>-291307.1042050001</v>
      </c>
      <c r="Z326" s="172">
        <f t="shared" si="49"/>
        <v>0</v>
      </c>
      <c r="AB326" t="s">
        <v>679</v>
      </c>
      <c r="AC326" t="s">
        <v>2886</v>
      </c>
      <c r="AD326" s="464">
        <v>-55906.86</v>
      </c>
      <c r="AE326" s="464">
        <v>-83908.84</v>
      </c>
      <c r="AF326" s="464">
        <v>-72475.34554900002</v>
      </c>
      <c r="AG326" s="464">
        <v>-79016.058656000037</v>
      </c>
      <c r="AH326" s="464">
        <v>-291307.1042050001</v>
      </c>
      <c r="AJ326" s="464">
        <f t="shared" si="50"/>
        <v>-235400.24420500005</v>
      </c>
      <c r="AM326" s="464">
        <f t="shared" si="51"/>
        <v>-83908.84</v>
      </c>
      <c r="AN326" s="464">
        <v>-72475.34554900002</v>
      </c>
      <c r="AO326" s="464">
        <v>-79016.058656000037</v>
      </c>
      <c r="AP326" s="317">
        <f t="shared" si="52"/>
        <v>-235400.24420500005</v>
      </c>
      <c r="AQ326" s="317">
        <f t="shared" si="53"/>
        <v>0</v>
      </c>
      <c r="AS326" s="475">
        <v>-89177.649665999983</v>
      </c>
      <c r="AT326" s="174">
        <f t="shared" si="54"/>
        <v>-324577.89387100004</v>
      </c>
      <c r="AU326" s="174">
        <f t="shared" si="55"/>
        <v>0</v>
      </c>
    </row>
    <row r="327" spans="1:47">
      <c r="A327" t="s">
        <v>681</v>
      </c>
      <c r="B327" t="s">
        <v>2887</v>
      </c>
      <c r="C327" s="468">
        <v>-14349.66</v>
      </c>
      <c r="D327" s="468">
        <v>42483.526553999982</v>
      </c>
      <c r="E327" s="473">
        <v>35302.621449000086</v>
      </c>
      <c r="F327" s="474">
        <v>25637.465439999971</v>
      </c>
      <c r="G327" s="450">
        <f t="shared" si="47"/>
        <v>89073.953443000035</v>
      </c>
      <c r="I327" s="67">
        <f t="shared" si="48"/>
        <v>0</v>
      </c>
      <c r="J327" s="58" t="s">
        <v>681</v>
      </c>
      <c r="K327" t="s">
        <v>682</v>
      </c>
      <c r="L327" s="448">
        <v>25637.465439999971</v>
      </c>
      <c r="M327" s="67" t="s">
        <v>2591</v>
      </c>
      <c r="N327" s="317"/>
      <c r="P327" t="s">
        <v>681</v>
      </c>
      <c r="Q327" t="s">
        <v>2887</v>
      </c>
      <c r="R327" s="211">
        <v>-62438.5</v>
      </c>
      <c r="S327" s="211">
        <v>-14349.66</v>
      </c>
      <c r="T327" s="211">
        <v>42483.526553999982</v>
      </c>
      <c r="U327" s="274">
        <v>97741.121449000086</v>
      </c>
      <c r="V327" s="79">
        <f t="shared" si="60"/>
        <v>63436.488003000064</v>
      </c>
      <c r="Z327" s="172">
        <f t="shared" si="49"/>
        <v>0</v>
      </c>
      <c r="AB327" t="s">
        <v>681</v>
      </c>
      <c r="AC327" t="s">
        <v>2887</v>
      </c>
      <c r="AD327" s="464">
        <v>0</v>
      </c>
      <c r="AE327" s="464">
        <v>-14349.66</v>
      </c>
      <c r="AF327" s="464">
        <v>42483.526553999982</v>
      </c>
      <c r="AG327" s="464">
        <v>35302.621449000086</v>
      </c>
      <c r="AH327" s="464">
        <v>63436.488003000064</v>
      </c>
      <c r="AJ327" s="464">
        <f t="shared" si="50"/>
        <v>63436.488003000064</v>
      </c>
      <c r="AM327" s="464">
        <f t="shared" si="51"/>
        <v>-14349.66</v>
      </c>
      <c r="AN327" s="464">
        <v>42483.526553999982</v>
      </c>
      <c r="AO327" s="464">
        <v>35302.621449000086</v>
      </c>
      <c r="AP327" s="317">
        <f t="shared" si="52"/>
        <v>63436.488003000064</v>
      </c>
      <c r="AQ327" s="317">
        <f t="shared" si="53"/>
        <v>0</v>
      </c>
      <c r="AS327" s="475">
        <v>25637.465439999971</v>
      </c>
      <c r="AT327" s="174">
        <f t="shared" si="54"/>
        <v>89073.953443000035</v>
      </c>
      <c r="AU327" s="174">
        <f t="shared" si="55"/>
        <v>0</v>
      </c>
    </row>
    <row r="328" spans="1:47">
      <c r="A328" t="s">
        <v>683</v>
      </c>
      <c r="B328" t="s">
        <v>2888</v>
      </c>
      <c r="C328" s="468">
        <v>-110383.79</v>
      </c>
      <c r="D328" s="468">
        <v>-103574.16147499997</v>
      </c>
      <c r="E328" s="473">
        <v>-37661.878171999997</v>
      </c>
      <c r="F328" s="474">
        <v>-40573.463999999964</v>
      </c>
      <c r="G328" s="450">
        <f t="shared" ref="G328:G334" si="61">SUM(C328:F328)</f>
        <v>-292193.29364699993</v>
      </c>
      <c r="I328" s="67">
        <f t="shared" ref="I328:I334" si="62">+J328-A328</f>
        <v>0</v>
      </c>
      <c r="J328" s="58" t="s">
        <v>683</v>
      </c>
      <c r="K328" t="s">
        <v>684</v>
      </c>
      <c r="L328" s="448">
        <v>-40573.463999999964</v>
      </c>
      <c r="M328" s="67" t="s">
        <v>2591</v>
      </c>
      <c r="N328" s="317"/>
      <c r="P328" t="s">
        <v>683</v>
      </c>
      <c r="Q328" t="s">
        <v>2888</v>
      </c>
      <c r="R328" s="211">
        <v>-108446.71</v>
      </c>
      <c r="S328" s="211">
        <v>-110383.79</v>
      </c>
      <c r="T328" s="211">
        <v>-103574.16147499997</v>
      </c>
      <c r="U328" s="274">
        <v>-37661.878171999997</v>
      </c>
      <c r="V328" s="79">
        <f t="shared" si="60"/>
        <v>-360066.53964699997</v>
      </c>
      <c r="Z328" s="172">
        <f t="shared" ref="Z328:Z334" si="63">+AB328-P328</f>
        <v>0</v>
      </c>
      <c r="AB328" t="s">
        <v>683</v>
      </c>
      <c r="AC328" t="s">
        <v>2888</v>
      </c>
      <c r="AD328" s="464">
        <v>-108446.71</v>
      </c>
      <c r="AE328" s="464">
        <v>-110383.79</v>
      </c>
      <c r="AF328" s="464">
        <v>-103574.16147499997</v>
      </c>
      <c r="AG328" s="464">
        <v>-37661.878171999997</v>
      </c>
      <c r="AH328" s="464">
        <v>-360066.53964699997</v>
      </c>
      <c r="AJ328" s="464">
        <f t="shared" ref="AJ328:AJ334" si="64">SUM(AE328:AG328)</f>
        <v>-251619.82964699995</v>
      </c>
      <c r="AM328" s="464">
        <f t="shared" ref="AM328:AM334" si="65">+AE328</f>
        <v>-110383.79</v>
      </c>
      <c r="AN328" s="464">
        <v>-103574.16147499997</v>
      </c>
      <c r="AO328" s="464">
        <v>-37661.878171999997</v>
      </c>
      <c r="AP328" s="317">
        <f t="shared" ref="AP328:AP334" si="66">SUM(AM328:AO328)</f>
        <v>-251619.82964699995</v>
      </c>
      <c r="AQ328" s="317">
        <f t="shared" ref="AQ328:AQ334" si="67">+AP328-AJ328</f>
        <v>0</v>
      </c>
      <c r="AS328" s="475">
        <v>-40573.463999999964</v>
      </c>
      <c r="AT328" s="174">
        <f t="shared" ref="AT328:AT334" si="68">+AS328+AP328</f>
        <v>-292193.29364699993</v>
      </c>
      <c r="AU328" s="174">
        <f t="shared" ref="AU328:AU334" si="69">+AT328-G328</f>
        <v>0</v>
      </c>
    </row>
    <row r="329" spans="1:47">
      <c r="A329" t="s">
        <v>685</v>
      </c>
      <c r="B329" t="s">
        <v>2889</v>
      </c>
      <c r="C329" s="468">
        <v>-44761.71</v>
      </c>
      <c r="D329" s="468">
        <v>-57296.189064999984</v>
      </c>
      <c r="E329" s="473">
        <v>-78427.886859000006</v>
      </c>
      <c r="F329" s="474">
        <v>-29115.303358000001</v>
      </c>
      <c r="G329" s="450">
        <f t="shared" si="61"/>
        <v>-209601.08928199997</v>
      </c>
      <c r="I329" s="67">
        <f t="shared" si="62"/>
        <v>0</v>
      </c>
      <c r="J329" s="58" t="s">
        <v>685</v>
      </c>
      <c r="K329" t="s">
        <v>686</v>
      </c>
      <c r="L329" s="448">
        <v>-29115.303358000001</v>
      </c>
      <c r="M329" s="67" t="s">
        <v>2591</v>
      </c>
      <c r="N329" s="317"/>
      <c r="P329" t="s">
        <v>685</v>
      </c>
      <c r="Q329" t="s">
        <v>2889</v>
      </c>
      <c r="R329" s="211">
        <v>-48157.14</v>
      </c>
      <c r="S329" s="211">
        <v>-44761.71</v>
      </c>
      <c r="T329" s="211">
        <v>-57296.189064999984</v>
      </c>
      <c r="U329" s="274">
        <v>-78427.886859000006</v>
      </c>
      <c r="V329" s="79">
        <f t="shared" si="60"/>
        <v>-228642.92592399998</v>
      </c>
      <c r="Z329" s="172">
        <f t="shared" si="63"/>
        <v>0</v>
      </c>
      <c r="AB329" t="s">
        <v>685</v>
      </c>
      <c r="AC329" t="s">
        <v>2889</v>
      </c>
      <c r="AD329" s="464">
        <v>-48157.14</v>
      </c>
      <c r="AE329" s="464">
        <v>-44761.71</v>
      </c>
      <c r="AF329" s="464">
        <v>-57296.189064999984</v>
      </c>
      <c r="AG329" s="464">
        <v>-78427.886859000006</v>
      </c>
      <c r="AH329" s="464">
        <v>-228642.92592399998</v>
      </c>
      <c r="AJ329" s="464">
        <f t="shared" si="64"/>
        <v>-180485.78592399997</v>
      </c>
      <c r="AM329" s="464">
        <f t="shared" si="65"/>
        <v>-44761.71</v>
      </c>
      <c r="AN329" s="464">
        <v>-57296.189064999984</v>
      </c>
      <c r="AO329" s="464">
        <v>-78427.886859000006</v>
      </c>
      <c r="AP329" s="317">
        <f t="shared" si="66"/>
        <v>-180485.78592399997</v>
      </c>
      <c r="AQ329" s="317">
        <f t="shared" si="67"/>
        <v>0</v>
      </c>
      <c r="AS329" s="475">
        <v>-29115.303358000001</v>
      </c>
      <c r="AT329" s="174">
        <f t="shared" si="68"/>
        <v>-209601.08928199997</v>
      </c>
      <c r="AU329" s="174">
        <f t="shared" si="69"/>
        <v>0</v>
      </c>
    </row>
    <row r="330" spans="1:47">
      <c r="A330" t="s">
        <v>687</v>
      </c>
      <c r="B330" t="s">
        <v>2890</v>
      </c>
      <c r="C330" s="468">
        <v>-377773.06</v>
      </c>
      <c r="D330" s="468">
        <v>-229255.84471503797</v>
      </c>
      <c r="E330" s="473">
        <v>1415.1297085063998</v>
      </c>
      <c r="F330" s="474">
        <v>-297037.78600243182</v>
      </c>
      <c r="G330" s="450">
        <f t="shared" si="61"/>
        <v>-902651.56100896327</v>
      </c>
      <c r="I330" s="67">
        <f t="shared" si="62"/>
        <v>0</v>
      </c>
      <c r="J330" s="58" t="s">
        <v>687</v>
      </c>
      <c r="K330" t="s">
        <v>688</v>
      </c>
      <c r="L330" s="448">
        <v>-297037.78600243182</v>
      </c>
      <c r="M330" s="67" t="s">
        <v>2591</v>
      </c>
      <c r="N330" s="317"/>
      <c r="P330" t="s">
        <v>687</v>
      </c>
      <c r="Q330" t="s">
        <v>2890</v>
      </c>
      <c r="R330" s="211">
        <v>-305555.77</v>
      </c>
      <c r="S330" s="211">
        <v>-377773.06</v>
      </c>
      <c r="T330" s="211">
        <v>-229255.84471503797</v>
      </c>
      <c r="U330" s="274">
        <v>1415.1297085063998</v>
      </c>
      <c r="V330" s="79">
        <f t="shared" si="60"/>
        <v>-911169.54500653164</v>
      </c>
      <c r="Z330" s="172">
        <f t="shared" si="63"/>
        <v>0</v>
      </c>
      <c r="AB330" t="s">
        <v>687</v>
      </c>
      <c r="AC330" t="s">
        <v>2890</v>
      </c>
      <c r="AD330" s="464">
        <v>-305555.77</v>
      </c>
      <c r="AE330" s="464">
        <v>-377773.06</v>
      </c>
      <c r="AF330" s="464">
        <v>-229255.84471503797</v>
      </c>
      <c r="AG330" s="464">
        <v>1415.1297085063998</v>
      </c>
      <c r="AH330" s="464">
        <v>-911169.54500653164</v>
      </c>
      <c r="AJ330" s="464">
        <f t="shared" si="64"/>
        <v>-605613.7750065315</v>
      </c>
      <c r="AM330" s="464">
        <f t="shared" si="65"/>
        <v>-377773.06</v>
      </c>
      <c r="AN330" s="464">
        <v>-229255.84471503797</v>
      </c>
      <c r="AO330" s="464">
        <v>1415.1297085063998</v>
      </c>
      <c r="AP330" s="317">
        <f t="shared" si="66"/>
        <v>-605613.7750065315</v>
      </c>
      <c r="AQ330" s="317">
        <f t="shared" si="67"/>
        <v>0</v>
      </c>
      <c r="AS330" s="475">
        <v>-297037.78600243182</v>
      </c>
      <c r="AT330" s="174">
        <f t="shared" si="68"/>
        <v>-902651.56100896327</v>
      </c>
      <c r="AU330" s="174">
        <f t="shared" si="69"/>
        <v>0</v>
      </c>
    </row>
    <row r="331" spans="1:47">
      <c r="A331" s="438" t="s">
        <v>689</v>
      </c>
      <c r="B331" s="439" t="s">
        <v>690</v>
      </c>
      <c r="C331" s="477">
        <v>0</v>
      </c>
      <c r="D331" s="469"/>
      <c r="E331" s="473"/>
      <c r="F331" s="474"/>
      <c r="G331" s="450">
        <f t="shared" si="61"/>
        <v>0</v>
      </c>
      <c r="I331" s="67">
        <f t="shared" si="62"/>
        <v>0</v>
      </c>
      <c r="J331" s="438" t="s">
        <v>689</v>
      </c>
      <c r="K331" s="439" t="s">
        <v>690</v>
      </c>
      <c r="L331" s="448"/>
      <c r="M331" s="67"/>
      <c r="N331" s="317"/>
      <c r="P331" s="293" t="s">
        <v>689</v>
      </c>
      <c r="Q331" s="289" t="s">
        <v>690</v>
      </c>
      <c r="R331" s="211"/>
      <c r="S331" s="211"/>
      <c r="T331" s="211"/>
      <c r="U331" s="274"/>
      <c r="V331" s="79"/>
      <c r="Z331" s="172">
        <f t="shared" si="63"/>
        <v>0</v>
      </c>
      <c r="AB331" t="s">
        <v>689</v>
      </c>
      <c r="AC331" t="s">
        <v>690</v>
      </c>
      <c r="AD331" s="464"/>
      <c r="AE331" s="464"/>
      <c r="AF331" s="464"/>
      <c r="AG331" s="464"/>
      <c r="AH331" s="464"/>
      <c r="AJ331" s="464">
        <f t="shared" si="64"/>
        <v>0</v>
      </c>
      <c r="AM331" s="464">
        <f t="shared" si="65"/>
        <v>0</v>
      </c>
      <c r="AN331" s="464"/>
      <c r="AO331" s="464"/>
      <c r="AP331" s="317">
        <f t="shared" si="66"/>
        <v>0</v>
      </c>
      <c r="AQ331" s="317">
        <f t="shared" si="67"/>
        <v>0</v>
      </c>
      <c r="AS331" s="475"/>
      <c r="AT331" s="174">
        <f t="shared" si="68"/>
        <v>0</v>
      </c>
      <c r="AU331" s="174">
        <f t="shared" si="69"/>
        <v>0</v>
      </c>
    </row>
    <row r="332" spans="1:47">
      <c r="A332" t="s">
        <v>691</v>
      </c>
      <c r="B332" t="s">
        <v>2891</v>
      </c>
      <c r="C332" s="468">
        <v>0</v>
      </c>
      <c r="D332" s="468">
        <v>-1514614.0038770013</v>
      </c>
      <c r="E332" s="473">
        <v>0</v>
      </c>
      <c r="F332" s="474">
        <v>-777485.93653000228</v>
      </c>
      <c r="G332" s="450">
        <f t="shared" si="61"/>
        <v>-2292099.9404070037</v>
      </c>
      <c r="I332" s="67">
        <f t="shared" si="62"/>
        <v>0</v>
      </c>
      <c r="J332" s="58" t="s">
        <v>691</v>
      </c>
      <c r="K332" t="s">
        <v>692</v>
      </c>
      <c r="L332" s="448">
        <v>-777485.93653000228</v>
      </c>
      <c r="M332" s="67" t="s">
        <v>2591</v>
      </c>
      <c r="N332" s="317"/>
      <c r="P332" t="s">
        <v>691</v>
      </c>
      <c r="Q332" t="s">
        <v>2891</v>
      </c>
      <c r="R332" s="211">
        <v>-712592.97</v>
      </c>
      <c r="S332" s="211">
        <v>157306.76999999999</v>
      </c>
      <c r="T332" s="211">
        <v>-1514614.0038770013</v>
      </c>
      <c r="U332" s="274">
        <v>196354.84221991152</v>
      </c>
      <c r="V332" s="79">
        <f>SUM(R332:U332)</f>
        <v>-1873545.3616570898</v>
      </c>
      <c r="Z332" s="172">
        <f t="shared" si="63"/>
        <v>0</v>
      </c>
      <c r="AB332" t="s">
        <v>691</v>
      </c>
      <c r="AC332" t="s">
        <v>2891</v>
      </c>
      <c r="AD332" s="464">
        <v>-358931.35778008844</v>
      </c>
      <c r="AE332" s="464">
        <v>0</v>
      </c>
      <c r="AF332" s="464">
        <v>-1514614.0038770013</v>
      </c>
      <c r="AG332" s="464">
        <v>0</v>
      </c>
      <c r="AH332" s="464">
        <v>-1873545.3616570898</v>
      </c>
      <c r="AJ332" s="464">
        <f t="shared" si="64"/>
        <v>-1514614.0038770013</v>
      </c>
      <c r="AM332" s="464">
        <f t="shared" si="65"/>
        <v>0</v>
      </c>
      <c r="AN332" s="464">
        <v>-1514614.0038770013</v>
      </c>
      <c r="AO332" s="464">
        <v>0</v>
      </c>
      <c r="AP332" s="317">
        <f t="shared" si="66"/>
        <v>-1514614.0038770013</v>
      </c>
      <c r="AQ332" s="317">
        <f t="shared" si="67"/>
        <v>0</v>
      </c>
      <c r="AS332" s="475">
        <v>-777485.93653000228</v>
      </c>
      <c r="AT332" s="174">
        <f t="shared" si="68"/>
        <v>-2292099.9404070037</v>
      </c>
      <c r="AU332" s="174">
        <f t="shared" si="69"/>
        <v>0</v>
      </c>
    </row>
    <row r="333" spans="1:47">
      <c r="A333" t="s">
        <v>693</v>
      </c>
      <c r="B333" t="s">
        <v>2892</v>
      </c>
      <c r="C333" s="468">
        <v>-247312.31</v>
      </c>
      <c r="D333" s="468">
        <v>-238986.80312251349</v>
      </c>
      <c r="E333" s="473">
        <v>0</v>
      </c>
      <c r="F333" s="474">
        <v>-321792.00661310088</v>
      </c>
      <c r="G333" s="450">
        <f t="shared" si="61"/>
        <v>-808091.1197356144</v>
      </c>
      <c r="I333" s="67">
        <f t="shared" si="62"/>
        <v>0</v>
      </c>
      <c r="J333" s="58" t="s">
        <v>693</v>
      </c>
      <c r="K333" t="s">
        <v>2893</v>
      </c>
      <c r="L333" s="448">
        <v>-321792.00661310088</v>
      </c>
      <c r="M333" s="67" t="s">
        <v>2591</v>
      </c>
      <c r="N333" s="317"/>
      <c r="P333" t="s">
        <v>693</v>
      </c>
      <c r="Q333" t="s">
        <v>2892</v>
      </c>
      <c r="R333" s="211">
        <v>-333871.56</v>
      </c>
      <c r="S333" s="211">
        <v>-247312.31</v>
      </c>
      <c r="T333" s="211">
        <v>-238986.80312251349</v>
      </c>
      <c r="U333" s="274">
        <v>326998.01197269652</v>
      </c>
      <c r="V333" s="79">
        <f>SUM(R333:U333)</f>
        <v>-493172.66114981694</v>
      </c>
      <c r="Z333" s="172">
        <f t="shared" si="63"/>
        <v>0</v>
      </c>
      <c r="AB333" t="s">
        <v>693</v>
      </c>
      <c r="AC333" t="s">
        <v>2892</v>
      </c>
      <c r="AD333" s="464">
        <v>-6873.5480273034773</v>
      </c>
      <c r="AE333" s="464">
        <v>-247312.31</v>
      </c>
      <c r="AF333" s="464">
        <v>-238986.80312251349</v>
      </c>
      <c r="AG333" s="464">
        <v>0</v>
      </c>
      <c r="AH333" s="464">
        <v>-493172.66114981694</v>
      </c>
      <c r="AJ333" s="464">
        <f t="shared" si="64"/>
        <v>-486299.11312251352</v>
      </c>
      <c r="AM333" s="464">
        <f t="shared" si="65"/>
        <v>-247312.31</v>
      </c>
      <c r="AN333" s="464">
        <v>-238986.80312251349</v>
      </c>
      <c r="AO333" s="464">
        <v>0</v>
      </c>
      <c r="AP333" s="317">
        <f t="shared" si="66"/>
        <v>-486299.11312251352</v>
      </c>
      <c r="AQ333" s="317">
        <f t="shared" si="67"/>
        <v>0</v>
      </c>
      <c r="AS333" s="475">
        <v>-321792.00661310088</v>
      </c>
      <c r="AT333" s="174">
        <f t="shared" si="68"/>
        <v>-808091.1197356144</v>
      </c>
      <c r="AU333" s="174">
        <f t="shared" si="69"/>
        <v>0</v>
      </c>
    </row>
    <row r="334" spans="1:47">
      <c r="A334" t="s">
        <v>695</v>
      </c>
      <c r="B334" t="s">
        <v>2894</v>
      </c>
      <c r="C334" s="468">
        <v>-137407.32</v>
      </c>
      <c r="D334" s="468">
        <v>-124435.76404500002</v>
      </c>
      <c r="E334" s="473">
        <v>-125383.23474099988</v>
      </c>
      <c r="F334" s="474">
        <v>-137807.97430900007</v>
      </c>
      <c r="G334" s="450">
        <f t="shared" si="61"/>
        <v>-525034.29309499997</v>
      </c>
      <c r="I334" s="67">
        <f t="shared" si="62"/>
        <v>0</v>
      </c>
      <c r="J334" s="58" t="s">
        <v>695</v>
      </c>
      <c r="K334" t="s">
        <v>696</v>
      </c>
      <c r="L334" s="448">
        <v>-137807.97430900007</v>
      </c>
      <c r="M334" s="67" t="s">
        <v>2591</v>
      </c>
      <c r="N334" s="317"/>
      <c r="P334" t="s">
        <v>695</v>
      </c>
      <c r="Q334" t="s">
        <v>2894</v>
      </c>
      <c r="R334" s="211">
        <v>-122254.42</v>
      </c>
      <c r="S334" s="211">
        <v>-137407.32</v>
      </c>
      <c r="T334" s="211">
        <v>-124435.76404500002</v>
      </c>
      <c r="U334" s="274">
        <v>-125383.23474099988</v>
      </c>
      <c r="V334" s="79">
        <f>SUM(R334:U334)</f>
        <v>-509480.73878599989</v>
      </c>
      <c r="Z334" s="172">
        <f t="shared" si="63"/>
        <v>0</v>
      </c>
      <c r="AB334" t="s">
        <v>695</v>
      </c>
      <c r="AC334" t="s">
        <v>2894</v>
      </c>
      <c r="AD334" s="464">
        <v>-122254.42</v>
      </c>
      <c r="AE334" s="464">
        <v>-137407.32</v>
      </c>
      <c r="AF334" s="464">
        <v>-124435.76404500002</v>
      </c>
      <c r="AG334" s="464">
        <v>-125383.23474099988</v>
      </c>
      <c r="AH334" s="464">
        <v>-509480.73878599989</v>
      </c>
      <c r="AJ334" s="464">
        <f t="shared" si="64"/>
        <v>-387226.3187859999</v>
      </c>
      <c r="AM334" s="464">
        <f t="shared" si="65"/>
        <v>-137407.32</v>
      </c>
      <c r="AN334" s="464">
        <v>-124435.76404500002</v>
      </c>
      <c r="AO334" s="464">
        <v>-125383.23474099988</v>
      </c>
      <c r="AP334" s="317">
        <f t="shared" si="66"/>
        <v>-387226.3187859999</v>
      </c>
      <c r="AQ334" s="317">
        <f t="shared" si="67"/>
        <v>0</v>
      </c>
      <c r="AS334" s="475">
        <v>-137807.97430900007</v>
      </c>
      <c r="AT334" s="174">
        <f t="shared" si="68"/>
        <v>-525034.29309499997</v>
      </c>
      <c r="AU334" s="174">
        <f t="shared" si="69"/>
        <v>0</v>
      </c>
    </row>
    <row r="335" spans="1:47">
      <c r="A335"/>
      <c r="B335"/>
      <c r="C335"/>
      <c r="D335"/>
      <c r="J335" s="317"/>
      <c r="K335" s="317"/>
      <c r="L335" s="317"/>
      <c r="M335" s="317"/>
      <c r="N335" s="317"/>
      <c r="P335"/>
      <c r="Q335"/>
    </row>
    <row r="336" spans="1:47">
      <c r="A336"/>
      <c r="B336"/>
      <c r="C336"/>
      <c r="D336"/>
      <c r="E336" s="274"/>
      <c r="F336" s="274"/>
      <c r="G336" s="79"/>
      <c r="J336" s="317"/>
      <c r="K336" s="317"/>
      <c r="L336" s="317"/>
      <c r="M336" s="317"/>
    </row>
    <row r="337" spans="1:13">
      <c r="A337"/>
      <c r="B337"/>
      <c r="C337"/>
      <c r="D337"/>
      <c r="E337" s="274"/>
      <c r="F337" s="274"/>
      <c r="G337" s="79"/>
      <c r="J337" s="317"/>
      <c r="K337" s="317"/>
      <c r="L337" s="317"/>
      <c r="M337" s="317"/>
    </row>
    <row r="338" spans="1:13">
      <c r="A338"/>
      <c r="B338"/>
      <c r="C338"/>
      <c r="D338"/>
      <c r="J338" s="317"/>
      <c r="K338" s="317"/>
      <c r="L338" s="317"/>
      <c r="M338" s="317"/>
    </row>
    <row r="339" spans="1:13">
      <c r="A339"/>
      <c r="B339"/>
      <c r="C339"/>
      <c r="D339"/>
      <c r="J339" s="317"/>
      <c r="K339" s="317"/>
      <c r="L339" s="317"/>
      <c r="M339" s="317"/>
    </row>
    <row r="340" spans="1:13">
      <c r="A340"/>
      <c r="B340"/>
      <c r="C340"/>
      <c r="D340"/>
      <c r="J340" s="317"/>
      <c r="K340" s="317"/>
      <c r="L340" s="317"/>
      <c r="M340" s="317"/>
    </row>
    <row r="341" spans="1:13">
      <c r="A341"/>
      <c r="B341"/>
      <c r="C341"/>
      <c r="D341"/>
      <c r="J341" s="317"/>
      <c r="K341" s="317"/>
      <c r="L341" s="317"/>
      <c r="M341" s="317"/>
    </row>
    <row r="342" spans="1:13">
      <c r="A342"/>
      <c r="B342"/>
      <c r="C342"/>
      <c r="D342"/>
      <c r="J342" s="317"/>
      <c r="K342" s="317"/>
      <c r="L342" s="317"/>
      <c r="M342" s="317"/>
    </row>
    <row r="343" spans="1:13">
      <c r="A343"/>
      <c r="B343"/>
      <c r="C343"/>
      <c r="D343"/>
      <c r="J343" s="317"/>
      <c r="K343" s="317"/>
      <c r="L343" s="317"/>
      <c r="M343" s="317"/>
    </row>
    <row r="344" spans="1:13">
      <c r="A344"/>
      <c r="B344"/>
      <c r="C344"/>
      <c r="D344"/>
      <c r="J344" s="317"/>
      <c r="K344" s="317"/>
      <c r="L344" s="317"/>
      <c r="M344" s="317"/>
    </row>
    <row r="345" spans="1:13">
      <c r="A345"/>
      <c r="B345"/>
      <c r="C345"/>
      <c r="D345"/>
      <c r="J345" s="317"/>
      <c r="K345" s="317"/>
      <c r="L345" s="317"/>
      <c r="M345" s="317"/>
    </row>
    <row r="346" spans="1:13">
      <c r="A346"/>
      <c r="B346"/>
      <c r="C346"/>
      <c r="D346"/>
      <c r="J346" s="317"/>
      <c r="K346" s="317"/>
      <c r="L346" s="317"/>
      <c r="M346" s="317"/>
    </row>
    <row r="347" spans="1:13">
      <c r="A347"/>
      <c r="B347"/>
      <c r="C347"/>
      <c r="D347"/>
      <c r="J347" s="317"/>
      <c r="K347" s="317"/>
      <c r="L347" s="317"/>
      <c r="M347" s="317"/>
    </row>
    <row r="348" spans="1:13">
      <c r="A348"/>
      <c r="B348"/>
      <c r="C348"/>
      <c r="D348"/>
      <c r="J348" s="317"/>
      <c r="K348" s="317"/>
      <c r="L348" s="317"/>
      <c r="M348" s="317"/>
    </row>
    <row r="349" spans="1:13">
      <c r="A349"/>
      <c r="B349"/>
      <c r="C349"/>
      <c r="D349"/>
      <c r="J349" s="317"/>
      <c r="K349" s="317"/>
      <c r="L349" s="317"/>
      <c r="M349" s="317"/>
    </row>
    <row r="350" spans="1:13">
      <c r="J350" s="317"/>
      <c r="K350" s="317"/>
      <c r="L350" s="317"/>
      <c r="M350" s="317"/>
    </row>
    <row r="351" spans="1:13">
      <c r="J351" s="317"/>
      <c r="K351" s="317"/>
      <c r="L351" s="317"/>
      <c r="M351" s="317"/>
    </row>
    <row r="352" spans="1:13">
      <c r="J352" s="317"/>
      <c r="K352" s="317"/>
      <c r="L352" s="317"/>
      <c r="M352" s="317"/>
    </row>
    <row r="353" spans="10:13">
      <c r="J353" s="317"/>
      <c r="K353" s="317"/>
      <c r="L353" s="317"/>
      <c r="M353" s="317"/>
    </row>
    <row r="354" spans="10:13">
      <c r="J354" s="317"/>
      <c r="K354" s="317"/>
      <c r="L354" s="317"/>
      <c r="M354" s="317"/>
    </row>
    <row r="355" spans="10:13">
      <c r="J355" s="317"/>
      <c r="K355" s="317"/>
      <c r="L355" s="317"/>
      <c r="M355" s="317"/>
    </row>
    <row r="356" spans="10:13">
      <c r="J356" s="317"/>
      <c r="K356" s="317"/>
      <c r="L356" s="317"/>
      <c r="M356" s="317"/>
    </row>
    <row r="357" spans="10:13">
      <c r="J357" s="317"/>
      <c r="K357" s="317"/>
      <c r="L357" s="317"/>
      <c r="M357" s="317"/>
    </row>
    <row r="358" spans="10:13">
      <c r="J358" s="317"/>
      <c r="K358" s="317"/>
      <c r="L358" s="317"/>
      <c r="M358" s="317"/>
    </row>
    <row r="359" spans="10:13">
      <c r="J359" s="317"/>
      <c r="K359" s="317"/>
      <c r="L359" s="317"/>
      <c r="M359" s="317"/>
    </row>
    <row r="360" spans="10:13">
      <c r="J360" s="317"/>
      <c r="K360" s="317"/>
      <c r="L360" s="317"/>
      <c r="M360" s="317"/>
    </row>
    <row r="361" spans="10:13">
      <c r="J361" s="317"/>
      <c r="K361" s="317"/>
      <c r="L361" s="317"/>
      <c r="M361" s="317"/>
    </row>
    <row r="362" spans="10:13">
      <c r="J362" s="317"/>
      <c r="K362" s="317"/>
      <c r="L362" s="317"/>
      <c r="M362" s="317"/>
    </row>
    <row r="363" spans="10:13">
      <c r="J363" s="317"/>
      <c r="K363" s="317"/>
      <c r="L363" s="317"/>
      <c r="M363" s="317"/>
    </row>
    <row r="364" spans="10:13">
      <c r="J364" s="317"/>
      <c r="K364" s="317"/>
      <c r="L364" s="317"/>
      <c r="M364" s="317"/>
    </row>
    <row r="365" spans="10:13">
      <c r="J365" s="317"/>
      <c r="K365" s="317"/>
      <c r="L365" s="317"/>
      <c r="M365" s="317"/>
    </row>
  </sheetData>
  <mergeCells count="1">
    <mergeCell ref="AM4:AP4"/>
  </mergeCells>
  <conditionalFormatting sqref="B27:D27">
    <cfRule type="duplicateValues" dxfId="8" priority="11"/>
  </conditionalFormatting>
  <conditionalFormatting sqref="B216:D216">
    <cfRule type="duplicateValues" dxfId="7" priority="13"/>
  </conditionalFormatting>
  <conditionalFormatting sqref="B316:D316">
    <cfRule type="duplicateValues" dxfId="6" priority="12"/>
  </conditionalFormatting>
  <conditionalFormatting sqref="G7:G334 G336:G337">
    <cfRule type="cellIs" dxfId="5" priority="27" operator="greaterThan">
      <formula>0</formula>
    </cfRule>
  </conditionalFormatting>
  <conditionalFormatting sqref="Q27">
    <cfRule type="duplicateValues" dxfId="4" priority="1"/>
  </conditionalFormatting>
  <conditionalFormatting sqref="Q216">
    <cfRule type="duplicateValues" dxfId="3" priority="3"/>
  </conditionalFormatting>
  <conditionalFormatting sqref="Q316">
    <cfRule type="duplicateValues" dxfId="2" priority="2"/>
  </conditionalFormatting>
  <conditionalFormatting sqref="V7 V9:V22 V24:V46 V48:V67 V69:V128 V135:V140 V143:V148 V150 V152:V153 V155:V315">
    <cfRule type="cellIs" dxfId="1" priority="5" operator="greaterThan">
      <formula>0</formula>
    </cfRule>
  </conditionalFormatting>
  <conditionalFormatting sqref="V324">
    <cfRule type="cellIs" dxfId="0" priority="4" operator="greaterThan">
      <formula>0</formula>
    </cfRule>
  </conditionalFormatting>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E26"/>
  <sheetViews>
    <sheetView workbookViewId="0">
      <selection activeCell="F3" sqref="F3"/>
    </sheetView>
  </sheetViews>
  <sheetFormatPr defaultRowHeight="14.45"/>
  <cols>
    <col min="1" max="1" width="37.28515625" bestFit="1" customWidth="1"/>
  </cols>
  <sheetData>
    <row r="1" spans="1:5">
      <c r="A1" s="597" t="s">
        <v>2895</v>
      </c>
      <c r="B1" s="597"/>
      <c r="C1" s="597"/>
      <c r="D1" s="597"/>
      <c r="E1" s="597"/>
    </row>
    <row r="2" spans="1:5">
      <c r="A2" s="597" t="s">
        <v>2896</v>
      </c>
      <c r="B2" s="597"/>
      <c r="C2" s="597"/>
      <c r="D2" s="597"/>
      <c r="E2" s="597"/>
    </row>
    <row r="3" spans="1:5">
      <c r="A3" s="6" t="s">
        <v>1216</v>
      </c>
    </row>
    <row r="5" spans="1:5">
      <c r="B5" t="s">
        <v>702</v>
      </c>
      <c r="C5" t="s">
        <v>705</v>
      </c>
      <c r="D5" t="s">
        <v>706</v>
      </c>
      <c r="E5" t="s">
        <v>704</v>
      </c>
    </row>
    <row r="6" spans="1:5">
      <c r="A6" s="7" t="s">
        <v>700</v>
      </c>
      <c r="B6" s="20">
        <f>SUM(B7:B26)</f>
        <v>0</v>
      </c>
      <c r="C6" s="20">
        <f>SUM(C7:C26)</f>
        <v>0</v>
      </c>
      <c r="D6" s="20">
        <f>SUM(D7:D26)</f>
        <v>0</v>
      </c>
      <c r="E6" s="66"/>
    </row>
    <row r="7" spans="1:5">
      <c r="A7" s="11" t="s">
        <v>2897</v>
      </c>
      <c r="B7" s="18">
        <v>0</v>
      </c>
      <c r="C7" s="18">
        <v>0</v>
      </c>
      <c r="D7" s="18">
        <v>0</v>
      </c>
      <c r="E7" s="63"/>
    </row>
    <row r="8" spans="1:5">
      <c r="B8" s="18"/>
      <c r="C8" s="18"/>
      <c r="D8" s="18"/>
      <c r="E8" s="63"/>
    </row>
    <row r="9" spans="1:5">
      <c r="B9" s="18"/>
      <c r="C9" s="18"/>
      <c r="D9" s="18"/>
      <c r="E9" s="63"/>
    </row>
    <row r="10" spans="1:5">
      <c r="B10" s="18"/>
      <c r="C10" s="18"/>
      <c r="D10" s="18"/>
      <c r="E10" s="63"/>
    </row>
    <row r="11" spans="1:5">
      <c r="B11" s="18"/>
      <c r="C11" s="18"/>
      <c r="D11" s="18"/>
      <c r="E11" s="63"/>
    </row>
    <row r="12" spans="1:5">
      <c r="B12" s="18"/>
      <c r="C12" s="18"/>
      <c r="D12" s="18"/>
      <c r="E12" s="63"/>
    </row>
    <row r="13" spans="1:5">
      <c r="B13" s="18"/>
      <c r="C13" s="18"/>
      <c r="D13" s="18"/>
      <c r="E13" s="63"/>
    </row>
    <row r="14" spans="1:5">
      <c r="B14" s="18"/>
      <c r="C14" s="18"/>
      <c r="D14" s="18"/>
      <c r="E14" s="63"/>
    </row>
    <row r="15" spans="1:5">
      <c r="B15" s="18"/>
      <c r="C15" s="18"/>
      <c r="D15" s="18"/>
      <c r="E15" s="63"/>
    </row>
    <row r="16" spans="1:5">
      <c r="B16" s="18"/>
      <c r="C16" s="18"/>
      <c r="D16" s="18"/>
      <c r="E16" s="63"/>
    </row>
    <row r="17" spans="2:5">
      <c r="B17" s="18"/>
      <c r="C17" s="18"/>
      <c r="D17" s="18"/>
      <c r="E17" s="63"/>
    </row>
    <row r="18" spans="2:5">
      <c r="B18" s="18"/>
      <c r="C18" s="18"/>
      <c r="D18" s="18"/>
      <c r="E18" s="63"/>
    </row>
    <row r="19" spans="2:5">
      <c r="B19" s="18"/>
      <c r="C19" s="18"/>
      <c r="D19" s="18"/>
      <c r="E19" s="63"/>
    </row>
    <row r="20" spans="2:5">
      <c r="B20" s="18"/>
      <c r="C20" s="18"/>
      <c r="D20" s="18"/>
      <c r="E20" s="63"/>
    </row>
    <row r="21" spans="2:5">
      <c r="B21" s="18"/>
      <c r="C21" s="18"/>
      <c r="D21" s="18"/>
      <c r="E21" s="63"/>
    </row>
    <row r="22" spans="2:5">
      <c r="B22" s="18"/>
      <c r="C22" s="18"/>
      <c r="D22" s="18"/>
      <c r="E22" s="63"/>
    </row>
    <row r="23" spans="2:5">
      <c r="B23" s="18"/>
      <c r="C23" s="18"/>
      <c r="D23" s="18"/>
      <c r="E23" s="63"/>
    </row>
    <row r="24" spans="2:5">
      <c r="B24" s="18"/>
      <c r="C24" s="18"/>
      <c r="D24" s="18"/>
      <c r="E24" s="63"/>
    </row>
    <row r="25" spans="2:5">
      <c r="B25" s="18"/>
      <c r="C25" s="18"/>
      <c r="D25" s="18"/>
      <c r="E25" s="63"/>
    </row>
    <row r="26" spans="2:5">
      <c r="B26" s="18"/>
      <c r="C26" s="18"/>
      <c r="D26" s="18"/>
      <c r="E26" s="63"/>
    </row>
  </sheetData>
  <mergeCells count="2">
    <mergeCell ref="A1:E1"/>
    <mergeCell ref="A2:E2"/>
  </mergeCells>
  <hyperlinks>
    <hyperlink ref="A3" location="'Fund Balance Summary'!A1" display="(Return to summary sheet)" xr:uid="{00000000-0004-0000-0E00-000000000000}"/>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E6"/>
  <sheetViews>
    <sheetView workbookViewId="0">
      <selection sqref="A1:E1"/>
    </sheetView>
  </sheetViews>
  <sheetFormatPr defaultRowHeight="14.45"/>
  <cols>
    <col min="1" max="1" width="44.5703125" bestFit="1" customWidth="1"/>
    <col min="2" max="2" width="14.28515625" bestFit="1" customWidth="1"/>
    <col min="3" max="3" width="15.28515625" bestFit="1" customWidth="1"/>
    <col min="4" max="4" width="16.28515625" bestFit="1" customWidth="1"/>
    <col min="5" max="5" width="15.28515625" bestFit="1" customWidth="1"/>
  </cols>
  <sheetData>
    <row r="1" spans="1:5">
      <c r="A1" s="597" t="s">
        <v>2898</v>
      </c>
      <c r="B1" s="597"/>
      <c r="C1" s="597"/>
      <c r="D1" s="597"/>
      <c r="E1" s="597"/>
    </row>
    <row r="2" spans="1:5">
      <c r="A2" s="597" t="s">
        <v>2899</v>
      </c>
      <c r="B2" s="597"/>
      <c r="C2" s="597"/>
      <c r="D2" s="597"/>
      <c r="E2" s="597"/>
    </row>
    <row r="3" spans="1:5">
      <c r="A3" s="6" t="s">
        <v>1216</v>
      </c>
    </row>
    <row r="5" spans="1:5">
      <c r="B5" t="s">
        <v>1207</v>
      </c>
      <c r="C5" t="s">
        <v>704</v>
      </c>
      <c r="D5" t="s">
        <v>705</v>
      </c>
      <c r="E5" t="s">
        <v>706</v>
      </c>
    </row>
    <row r="6" spans="1:5">
      <c r="A6" t="s">
        <v>2900</v>
      </c>
      <c r="B6" s="23">
        <v>0</v>
      </c>
      <c r="C6" s="23">
        <v>0</v>
      </c>
      <c r="D6" s="23">
        <v>0</v>
      </c>
      <c r="E6" s="23">
        <v>0</v>
      </c>
    </row>
  </sheetData>
  <mergeCells count="2">
    <mergeCell ref="A1:E1"/>
    <mergeCell ref="A2:E2"/>
  </mergeCells>
  <hyperlinks>
    <hyperlink ref="A3" location="'Fund Balance Summary'!A1" display="(Return to summary sheet)" xr:uid="{00000000-0004-0000-0F00-000000000000}"/>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0000"/>
  </sheetPr>
  <dimension ref="A1:G24"/>
  <sheetViews>
    <sheetView workbookViewId="0">
      <selection activeCell="A3" sqref="A3"/>
    </sheetView>
  </sheetViews>
  <sheetFormatPr defaultRowHeight="14.45"/>
  <cols>
    <col min="1" max="1" width="48" bestFit="1" customWidth="1"/>
    <col min="2" max="2" width="12.5703125" bestFit="1" customWidth="1"/>
    <col min="5" max="5" width="15" customWidth="1"/>
  </cols>
  <sheetData>
    <row r="1" spans="1:7">
      <c r="A1" s="597" t="s">
        <v>2901</v>
      </c>
      <c r="B1" s="597"/>
      <c r="C1" s="597"/>
      <c r="D1" s="597"/>
      <c r="E1" s="597"/>
      <c r="F1" s="597"/>
      <c r="G1" s="597"/>
    </row>
    <row r="2" spans="1:7">
      <c r="A2" s="597" t="s">
        <v>2902</v>
      </c>
      <c r="B2" s="597"/>
      <c r="C2" s="597"/>
      <c r="D2" s="597"/>
      <c r="E2" s="597"/>
      <c r="F2" s="597"/>
      <c r="G2" s="597"/>
    </row>
    <row r="3" spans="1:7">
      <c r="A3" s="6" t="s">
        <v>1216</v>
      </c>
    </row>
    <row r="5" spans="1:7">
      <c r="A5" s="10" t="s">
        <v>1207</v>
      </c>
    </row>
    <row r="6" spans="1:7">
      <c r="A6" t="s">
        <v>2903</v>
      </c>
      <c r="B6" s="1">
        <v>0</v>
      </c>
    </row>
    <row r="7" spans="1:7">
      <c r="A7" t="s">
        <v>2904</v>
      </c>
      <c r="B7" s="1">
        <v>0</v>
      </c>
    </row>
    <row r="8" spans="1:7">
      <c r="A8" t="s">
        <v>2905</v>
      </c>
      <c r="B8" s="1">
        <v>0</v>
      </c>
    </row>
    <row r="9" spans="1:7">
      <c r="A9" t="s">
        <v>2906</v>
      </c>
      <c r="B9" s="13">
        <f>SUM(B6:B8)</f>
        <v>0</v>
      </c>
    </row>
    <row r="13" spans="1:7">
      <c r="A13" s="10" t="s">
        <v>2907</v>
      </c>
    </row>
    <row r="14" spans="1:7">
      <c r="A14" t="s">
        <v>2903</v>
      </c>
      <c r="B14" s="1">
        <v>0</v>
      </c>
    </row>
    <row r="15" spans="1:7">
      <c r="A15" t="s">
        <v>2905</v>
      </c>
      <c r="B15" s="1">
        <v>0</v>
      </c>
    </row>
    <row r="16" spans="1:7">
      <c r="A16" t="s">
        <v>2908</v>
      </c>
      <c r="B16" s="13">
        <f>B14+B15</f>
        <v>0</v>
      </c>
    </row>
    <row r="20" spans="1:2">
      <c r="A20" s="10" t="s">
        <v>1208</v>
      </c>
    </row>
    <row r="21" spans="1:2">
      <c r="A21" t="s">
        <v>2903</v>
      </c>
      <c r="B21" s="1">
        <v>0</v>
      </c>
    </row>
    <row r="22" spans="1:2">
      <c r="B22" s="1">
        <v>0</v>
      </c>
    </row>
    <row r="23" spans="1:2">
      <c r="A23" t="s">
        <v>2905</v>
      </c>
      <c r="B23" s="1">
        <v>0</v>
      </c>
    </row>
    <row r="24" spans="1:2">
      <c r="A24" t="s">
        <v>2906</v>
      </c>
      <c r="B24" s="13">
        <f>SUM(B21:B23)</f>
        <v>0</v>
      </c>
    </row>
  </sheetData>
  <mergeCells count="2">
    <mergeCell ref="A1:G1"/>
    <mergeCell ref="A2:G2"/>
  </mergeCells>
  <hyperlinks>
    <hyperlink ref="A3" location="'Fund Balance Summary'!A1" display="(Return to summary sheet)" xr:uid="{00000000-0004-0000-1000-000000000000}"/>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B12"/>
  <sheetViews>
    <sheetView workbookViewId="0">
      <selection activeCell="A3" sqref="A3"/>
    </sheetView>
  </sheetViews>
  <sheetFormatPr defaultRowHeight="14.45"/>
  <cols>
    <col min="1" max="1" width="25.5703125" bestFit="1" customWidth="1"/>
    <col min="2" max="2" width="12.5703125" bestFit="1" customWidth="1"/>
  </cols>
  <sheetData>
    <row r="1" spans="1:2">
      <c r="A1" s="597" t="s">
        <v>2909</v>
      </c>
      <c r="B1" s="597"/>
    </row>
    <row r="2" spans="1:2">
      <c r="A2" s="597" t="s">
        <v>1207</v>
      </c>
      <c r="B2" s="597"/>
    </row>
    <row r="3" spans="1:2">
      <c r="A3" s="6" t="s">
        <v>2163</v>
      </c>
    </row>
    <row r="5" spans="1:2">
      <c r="A5" s="668"/>
      <c r="B5" s="668"/>
    </row>
    <row r="7" spans="1:2">
      <c r="A7" s="7" t="s">
        <v>700</v>
      </c>
      <c r="B7" s="21">
        <f>SUM(B8:B12)</f>
        <v>0</v>
      </c>
    </row>
    <row r="8" spans="1:2">
      <c r="A8" s="22" t="s">
        <v>2910</v>
      </c>
      <c r="B8" s="1">
        <v>0</v>
      </c>
    </row>
    <row r="9" spans="1:2">
      <c r="A9" s="22" t="s">
        <v>2910</v>
      </c>
      <c r="B9" s="1">
        <v>0</v>
      </c>
    </row>
    <row r="10" spans="1:2">
      <c r="A10" s="22" t="s">
        <v>2910</v>
      </c>
      <c r="B10" s="1">
        <v>0</v>
      </c>
    </row>
    <row r="11" spans="1:2">
      <c r="A11" s="22" t="s">
        <v>2910</v>
      </c>
      <c r="B11" s="1">
        <v>0</v>
      </c>
    </row>
    <row r="12" spans="1:2">
      <c r="A12" s="22" t="s">
        <v>2910</v>
      </c>
      <c r="B12" s="1">
        <v>0</v>
      </c>
    </row>
  </sheetData>
  <mergeCells count="3">
    <mergeCell ref="A1:B1"/>
    <mergeCell ref="A2:B2"/>
    <mergeCell ref="A5:B5"/>
  </mergeCells>
  <hyperlinks>
    <hyperlink ref="A3" location="'Fund Balance Summary'!A1" display="(Return to Summary Sheet)" xr:uid="{00000000-0004-0000-1100-000000000000}"/>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E28"/>
  <sheetViews>
    <sheetView workbookViewId="0">
      <selection sqref="A1:E1"/>
    </sheetView>
  </sheetViews>
  <sheetFormatPr defaultRowHeight="14.45"/>
  <cols>
    <col min="1" max="1" width="25.5703125" bestFit="1" customWidth="1"/>
    <col min="2" max="2" width="12.85546875" bestFit="1" customWidth="1"/>
    <col min="3" max="5" width="12.5703125" bestFit="1" customWidth="1"/>
  </cols>
  <sheetData>
    <row r="1" spans="1:5">
      <c r="A1" s="597" t="s">
        <v>2911</v>
      </c>
      <c r="B1" s="597"/>
      <c r="C1" s="597"/>
      <c r="D1" s="597"/>
      <c r="E1" s="597"/>
    </row>
    <row r="2" spans="1:5">
      <c r="A2" s="597" t="s">
        <v>2912</v>
      </c>
      <c r="B2" s="597"/>
      <c r="C2" s="597"/>
      <c r="D2" s="597"/>
      <c r="E2" s="597"/>
    </row>
    <row r="3" spans="1:5">
      <c r="A3" s="6" t="s">
        <v>2163</v>
      </c>
    </row>
    <row r="5" spans="1:5">
      <c r="A5" s="669"/>
      <c r="B5" s="669"/>
      <c r="C5" s="669"/>
      <c r="D5" s="669"/>
      <c r="E5" s="669"/>
    </row>
    <row r="7" spans="1:5">
      <c r="B7" t="s">
        <v>1207</v>
      </c>
      <c r="C7" t="s">
        <v>703</v>
      </c>
      <c r="D7" t="s">
        <v>705</v>
      </c>
      <c r="E7" t="s">
        <v>706</v>
      </c>
    </row>
    <row r="8" spans="1:5">
      <c r="A8" t="s">
        <v>700</v>
      </c>
      <c r="B8" s="2">
        <f>SUM(B9:B28)</f>
        <v>0</v>
      </c>
      <c r="C8" s="2">
        <f>SUM(C9:C28)</f>
        <v>0</v>
      </c>
      <c r="D8" s="2">
        <f>SUM(D9:D28)</f>
        <v>0</v>
      </c>
      <c r="E8" s="2">
        <f>SUM(E9:E28)</f>
        <v>0</v>
      </c>
    </row>
    <row r="9" spans="1:5">
      <c r="A9" s="22" t="s">
        <v>2913</v>
      </c>
      <c r="B9" s="1">
        <v>0</v>
      </c>
      <c r="C9" s="1">
        <v>0</v>
      </c>
      <c r="D9" s="1">
        <v>0</v>
      </c>
      <c r="E9" s="1">
        <v>0</v>
      </c>
    </row>
    <row r="10" spans="1:5">
      <c r="A10" s="22" t="s">
        <v>2913</v>
      </c>
      <c r="B10" s="1">
        <v>0</v>
      </c>
      <c r="C10" s="1">
        <v>0</v>
      </c>
      <c r="D10" s="1">
        <v>0</v>
      </c>
      <c r="E10" s="1">
        <v>0</v>
      </c>
    </row>
    <row r="11" spans="1:5">
      <c r="A11" s="22" t="s">
        <v>2913</v>
      </c>
      <c r="B11" s="1">
        <v>0</v>
      </c>
      <c r="C11" s="1">
        <v>0</v>
      </c>
      <c r="D11" s="1">
        <v>0</v>
      </c>
      <c r="E11" s="1">
        <v>0</v>
      </c>
    </row>
    <row r="12" spans="1:5">
      <c r="A12" s="22" t="s">
        <v>2913</v>
      </c>
      <c r="B12" s="1">
        <v>0</v>
      </c>
      <c r="C12" s="1">
        <v>0</v>
      </c>
      <c r="D12" s="1">
        <v>0</v>
      </c>
      <c r="E12" s="1">
        <v>0</v>
      </c>
    </row>
    <row r="13" spans="1:5">
      <c r="A13" s="22" t="s">
        <v>2913</v>
      </c>
      <c r="B13" s="1">
        <v>0</v>
      </c>
      <c r="C13" s="1">
        <v>0</v>
      </c>
      <c r="D13" s="1">
        <v>0</v>
      </c>
      <c r="E13" s="1">
        <v>0</v>
      </c>
    </row>
    <row r="14" spans="1:5">
      <c r="A14" s="22" t="s">
        <v>2913</v>
      </c>
      <c r="B14" s="1">
        <v>0</v>
      </c>
      <c r="C14" s="1">
        <v>0</v>
      </c>
      <c r="D14" s="1">
        <v>0</v>
      </c>
      <c r="E14" s="1">
        <v>0</v>
      </c>
    </row>
    <row r="15" spans="1:5">
      <c r="A15" s="22" t="s">
        <v>2913</v>
      </c>
      <c r="B15" s="1">
        <v>0</v>
      </c>
      <c r="C15" s="1">
        <v>0</v>
      </c>
      <c r="D15" s="1">
        <v>0</v>
      </c>
      <c r="E15" s="1">
        <v>0</v>
      </c>
    </row>
    <row r="16" spans="1:5">
      <c r="A16" s="22" t="s">
        <v>2913</v>
      </c>
      <c r="B16" s="1">
        <v>0</v>
      </c>
      <c r="C16" s="1">
        <v>0</v>
      </c>
      <c r="D16" s="1">
        <v>0</v>
      </c>
      <c r="E16" s="1">
        <v>0</v>
      </c>
    </row>
    <row r="17" spans="1:5">
      <c r="A17" s="22" t="s">
        <v>2913</v>
      </c>
      <c r="B17" s="1">
        <v>0</v>
      </c>
      <c r="C17" s="1">
        <v>0</v>
      </c>
      <c r="D17" s="1">
        <v>0</v>
      </c>
      <c r="E17" s="1">
        <v>0</v>
      </c>
    </row>
    <row r="18" spans="1:5">
      <c r="A18" s="22" t="s">
        <v>2913</v>
      </c>
      <c r="B18" s="1">
        <v>0</v>
      </c>
      <c r="C18" s="1">
        <v>0</v>
      </c>
      <c r="D18" s="1">
        <v>0</v>
      </c>
      <c r="E18" s="1">
        <v>0</v>
      </c>
    </row>
    <row r="19" spans="1:5">
      <c r="A19" s="22" t="s">
        <v>2913</v>
      </c>
      <c r="B19" s="1">
        <v>0</v>
      </c>
      <c r="C19" s="1">
        <v>0</v>
      </c>
      <c r="D19" s="1">
        <v>0</v>
      </c>
      <c r="E19" s="1">
        <v>0</v>
      </c>
    </row>
    <row r="20" spans="1:5">
      <c r="A20" s="22" t="s">
        <v>2913</v>
      </c>
      <c r="B20" s="1">
        <v>0</v>
      </c>
      <c r="C20" s="1">
        <v>0</v>
      </c>
      <c r="D20" s="1">
        <v>0</v>
      </c>
      <c r="E20" s="1">
        <v>0</v>
      </c>
    </row>
    <row r="21" spans="1:5">
      <c r="A21" s="22" t="s">
        <v>2913</v>
      </c>
      <c r="B21" s="1">
        <v>0</v>
      </c>
      <c r="C21" s="1">
        <v>0</v>
      </c>
      <c r="D21" s="1">
        <v>0</v>
      </c>
      <c r="E21" s="1">
        <v>0</v>
      </c>
    </row>
    <row r="22" spans="1:5">
      <c r="A22" s="22" t="s">
        <v>2913</v>
      </c>
      <c r="B22" s="1">
        <v>0</v>
      </c>
      <c r="C22" s="1">
        <v>0</v>
      </c>
      <c r="D22" s="1">
        <v>0</v>
      </c>
      <c r="E22" s="1">
        <v>0</v>
      </c>
    </row>
    <row r="23" spans="1:5">
      <c r="A23" s="22" t="s">
        <v>2913</v>
      </c>
      <c r="B23" s="1">
        <v>0</v>
      </c>
      <c r="C23" s="1">
        <v>0</v>
      </c>
      <c r="D23" s="1">
        <v>0</v>
      </c>
      <c r="E23" s="1">
        <v>0</v>
      </c>
    </row>
    <row r="24" spans="1:5">
      <c r="A24" s="22" t="s">
        <v>2913</v>
      </c>
      <c r="B24" s="1">
        <v>0</v>
      </c>
      <c r="C24" s="1">
        <v>0</v>
      </c>
      <c r="D24" s="1">
        <v>0</v>
      </c>
      <c r="E24" s="1">
        <v>0</v>
      </c>
    </row>
    <row r="25" spans="1:5">
      <c r="A25" s="22" t="s">
        <v>2913</v>
      </c>
      <c r="B25" s="1">
        <v>0</v>
      </c>
      <c r="C25" s="1">
        <v>0</v>
      </c>
      <c r="D25" s="1">
        <v>0</v>
      </c>
      <c r="E25" s="1">
        <v>0</v>
      </c>
    </row>
    <row r="26" spans="1:5">
      <c r="A26" s="22" t="s">
        <v>2913</v>
      </c>
      <c r="B26" s="1">
        <v>0</v>
      </c>
      <c r="C26" s="1">
        <v>0</v>
      </c>
      <c r="D26" s="1">
        <v>0</v>
      </c>
      <c r="E26" s="1">
        <v>0</v>
      </c>
    </row>
    <row r="27" spans="1:5">
      <c r="A27" s="22" t="s">
        <v>2913</v>
      </c>
      <c r="B27" s="1">
        <v>0</v>
      </c>
      <c r="C27" s="1">
        <v>0</v>
      </c>
      <c r="D27" s="1">
        <v>0</v>
      </c>
      <c r="E27" s="1">
        <v>0</v>
      </c>
    </row>
    <row r="28" spans="1:5">
      <c r="A28" s="22" t="s">
        <v>2913</v>
      </c>
      <c r="B28" s="1">
        <v>0</v>
      </c>
      <c r="C28" s="1">
        <v>0</v>
      </c>
      <c r="D28" s="1">
        <v>0</v>
      </c>
      <c r="E28" s="1">
        <v>0</v>
      </c>
    </row>
  </sheetData>
  <mergeCells count="3">
    <mergeCell ref="A1:E1"/>
    <mergeCell ref="A2:E2"/>
    <mergeCell ref="A5:E5"/>
  </mergeCells>
  <hyperlinks>
    <hyperlink ref="A3" location="'Fund Balance Summary'!A1" display="(Return to Summary Sheet)" xr:uid="{00000000-0004-0000-1200-000000000000}"/>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A1:B7"/>
  <sheetViews>
    <sheetView workbookViewId="0">
      <selection sqref="A1:B1"/>
    </sheetView>
  </sheetViews>
  <sheetFormatPr defaultRowHeight="14.45"/>
  <cols>
    <col min="1" max="1" width="27.85546875" bestFit="1" customWidth="1"/>
    <col min="2" max="2" width="21.85546875" customWidth="1"/>
  </cols>
  <sheetData>
    <row r="1" spans="1:2" ht="30.75" customHeight="1">
      <c r="A1" s="670" t="s">
        <v>2914</v>
      </c>
      <c r="B1" s="670"/>
    </row>
    <row r="2" spans="1:2">
      <c r="A2" s="597" t="s">
        <v>1212</v>
      </c>
      <c r="B2" s="597"/>
    </row>
    <row r="3" spans="1:2">
      <c r="A3" s="6" t="s">
        <v>2163</v>
      </c>
    </row>
    <row r="5" spans="1:2">
      <c r="A5" t="s">
        <v>2165</v>
      </c>
      <c r="B5" s="2"/>
    </row>
    <row r="6" spans="1:2">
      <c r="A6" t="s">
        <v>2915</v>
      </c>
      <c r="B6" s="2">
        <v>0</v>
      </c>
    </row>
    <row r="7" spans="1:2">
      <c r="A7" t="s">
        <v>2198</v>
      </c>
      <c r="B7" s="1">
        <f>+B5+B6</f>
        <v>0</v>
      </c>
    </row>
  </sheetData>
  <mergeCells count="2">
    <mergeCell ref="A1:B1"/>
    <mergeCell ref="A2:B2"/>
  </mergeCells>
  <hyperlinks>
    <hyperlink ref="A3" location="'Fund Balance Summary'!A1" display="(Return to Summary Sheet)" xr:uid="{00000000-0004-0000-1300-000000000000}"/>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C11"/>
  <sheetViews>
    <sheetView workbookViewId="0">
      <selection sqref="A1:C1"/>
    </sheetView>
  </sheetViews>
  <sheetFormatPr defaultRowHeight="14.45"/>
  <cols>
    <col min="1" max="1" width="35.28515625" bestFit="1" customWidth="1"/>
    <col min="2" max="2" width="14.28515625" style="2" bestFit="1" customWidth="1"/>
    <col min="3" max="3" width="15.28515625" style="2" bestFit="1" customWidth="1"/>
  </cols>
  <sheetData>
    <row r="1" spans="1:3">
      <c r="A1" s="597" t="s">
        <v>2916</v>
      </c>
      <c r="B1" s="597"/>
      <c r="C1" s="597"/>
    </row>
    <row r="2" spans="1:3">
      <c r="A2" s="597" t="s">
        <v>1208</v>
      </c>
      <c r="B2" s="597"/>
      <c r="C2" s="597"/>
    </row>
    <row r="3" spans="1:3">
      <c r="A3" s="6" t="s">
        <v>1216</v>
      </c>
    </row>
    <row r="5" spans="1:3">
      <c r="A5" t="s">
        <v>2165</v>
      </c>
      <c r="C5" s="1">
        <v>0</v>
      </c>
    </row>
    <row r="6" spans="1:3">
      <c r="A6" t="s">
        <v>2917</v>
      </c>
    </row>
    <row r="7" spans="1:3">
      <c r="A7" t="s">
        <v>2918</v>
      </c>
      <c r="B7" s="1">
        <v>0</v>
      </c>
    </row>
    <row r="8" spans="1:3">
      <c r="A8" t="s">
        <v>2919</v>
      </c>
      <c r="B8" s="1">
        <v>0</v>
      </c>
    </row>
    <row r="9" spans="1:3">
      <c r="A9" t="s">
        <v>2920</v>
      </c>
      <c r="C9" s="2">
        <f>+B7+B8</f>
        <v>0</v>
      </c>
    </row>
    <row r="10" spans="1:3">
      <c r="A10" t="s">
        <v>2921</v>
      </c>
      <c r="C10" s="1">
        <v>0</v>
      </c>
    </row>
    <row r="11" spans="1:3" ht="16.149999999999999">
      <c r="A11" t="s">
        <v>2198</v>
      </c>
      <c r="C11" s="8">
        <f>+C5+C9-C10</f>
        <v>0</v>
      </c>
    </row>
  </sheetData>
  <mergeCells count="2">
    <mergeCell ref="A1:C1"/>
    <mergeCell ref="A2:C2"/>
  </mergeCells>
  <hyperlinks>
    <hyperlink ref="A3" location="'Fund Balance Summary'!A1" display="(Return to summary sheet)" xr:uid="{00000000-0004-0000-1400-000000000000}"/>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C11"/>
  <sheetViews>
    <sheetView workbookViewId="0">
      <selection sqref="A1:C1"/>
    </sheetView>
  </sheetViews>
  <sheetFormatPr defaultRowHeight="14.45"/>
  <cols>
    <col min="1" max="1" width="35.28515625" bestFit="1" customWidth="1"/>
    <col min="2" max="2" width="14.28515625" style="2" bestFit="1" customWidth="1"/>
    <col min="3" max="3" width="15.28515625" style="2" bestFit="1" customWidth="1"/>
  </cols>
  <sheetData>
    <row r="1" spans="1:3">
      <c r="A1" s="597" t="s">
        <v>2922</v>
      </c>
      <c r="B1" s="597"/>
      <c r="C1" s="597"/>
    </row>
    <row r="2" spans="1:3">
      <c r="A2" s="597" t="s">
        <v>1208</v>
      </c>
      <c r="B2" s="597"/>
      <c r="C2" s="597"/>
    </row>
    <row r="3" spans="1:3">
      <c r="A3" s="6" t="s">
        <v>1216</v>
      </c>
    </row>
    <row r="5" spans="1:3">
      <c r="A5" t="s">
        <v>2165</v>
      </c>
      <c r="C5" s="1">
        <v>0</v>
      </c>
    </row>
    <row r="6" spans="1:3">
      <c r="A6" t="s">
        <v>2917</v>
      </c>
    </row>
    <row r="7" spans="1:3">
      <c r="A7" t="s">
        <v>2923</v>
      </c>
      <c r="B7" s="1">
        <v>0</v>
      </c>
    </row>
    <row r="8" spans="1:3">
      <c r="A8" t="s">
        <v>2924</v>
      </c>
      <c r="B8" s="1">
        <v>0</v>
      </c>
    </row>
    <row r="9" spans="1:3">
      <c r="A9" t="s">
        <v>2920</v>
      </c>
      <c r="C9" s="2">
        <f>+B7+B8</f>
        <v>0</v>
      </c>
    </row>
    <row r="10" spans="1:3">
      <c r="A10" t="s">
        <v>2925</v>
      </c>
      <c r="C10" s="1">
        <v>0</v>
      </c>
    </row>
    <row r="11" spans="1:3" ht="16.149999999999999">
      <c r="A11" t="s">
        <v>2198</v>
      </c>
      <c r="C11" s="8">
        <f>+C5+C9-C10</f>
        <v>0</v>
      </c>
    </row>
  </sheetData>
  <mergeCells count="2">
    <mergeCell ref="A1:C1"/>
    <mergeCell ref="A2:C2"/>
  </mergeCells>
  <hyperlinks>
    <hyperlink ref="A3" location="'Fund Balance Summary'!A1" display="(Return to summary sheet)" xr:uid="{00000000-0004-0000-1500-000000000000}"/>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C11"/>
  <sheetViews>
    <sheetView workbookViewId="0">
      <selection sqref="A1:C1"/>
    </sheetView>
  </sheetViews>
  <sheetFormatPr defaultRowHeight="14.45"/>
  <cols>
    <col min="1" max="1" width="35.28515625" bestFit="1" customWidth="1"/>
    <col min="2" max="2" width="14.28515625" style="2" bestFit="1" customWidth="1"/>
    <col min="3" max="3" width="15.28515625" style="2" bestFit="1" customWidth="1"/>
  </cols>
  <sheetData>
    <row r="1" spans="1:3">
      <c r="A1" s="597" t="s">
        <v>2926</v>
      </c>
      <c r="B1" s="597"/>
      <c r="C1" s="597"/>
    </row>
    <row r="2" spans="1:3">
      <c r="A2" s="597" t="s">
        <v>1208</v>
      </c>
      <c r="B2" s="597"/>
      <c r="C2" s="597"/>
    </row>
    <row r="3" spans="1:3">
      <c r="A3" s="6" t="s">
        <v>1216</v>
      </c>
    </row>
    <row r="5" spans="1:3">
      <c r="A5" t="s">
        <v>2165</v>
      </c>
      <c r="C5" s="1">
        <v>0</v>
      </c>
    </row>
    <row r="6" spans="1:3">
      <c r="A6" t="s">
        <v>2917</v>
      </c>
    </row>
    <row r="7" spans="1:3">
      <c r="A7" t="s">
        <v>2927</v>
      </c>
      <c r="B7" s="1">
        <v>0</v>
      </c>
    </row>
    <row r="8" spans="1:3">
      <c r="A8" t="s">
        <v>2928</v>
      </c>
      <c r="B8" s="1">
        <v>0</v>
      </c>
    </row>
    <row r="9" spans="1:3">
      <c r="A9" t="s">
        <v>2920</v>
      </c>
      <c r="C9" s="2">
        <f>+B7+B8</f>
        <v>0</v>
      </c>
    </row>
    <row r="10" spans="1:3">
      <c r="A10" t="s">
        <v>2929</v>
      </c>
      <c r="C10" s="1">
        <v>0</v>
      </c>
    </row>
    <row r="11" spans="1:3" ht="16.149999999999999">
      <c r="A11" t="s">
        <v>2198</v>
      </c>
      <c r="C11" s="8">
        <f>+C5+C9-C10</f>
        <v>0</v>
      </c>
    </row>
  </sheetData>
  <mergeCells count="2">
    <mergeCell ref="A1:C1"/>
    <mergeCell ref="A2:C2"/>
  </mergeCells>
  <hyperlinks>
    <hyperlink ref="A3" location="'Fund Balance Summary'!A1" display="(Return to summary sheet)" xr:uid="{00000000-0004-0000-1600-000000000000}"/>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C11"/>
  <sheetViews>
    <sheetView workbookViewId="0">
      <selection sqref="A1:C1"/>
    </sheetView>
  </sheetViews>
  <sheetFormatPr defaultRowHeight="14.45"/>
  <cols>
    <col min="1" max="1" width="35.28515625" bestFit="1" customWidth="1"/>
    <col min="2" max="2" width="14.28515625" style="2" bestFit="1" customWidth="1"/>
    <col min="3" max="3" width="15.28515625" style="2" bestFit="1" customWidth="1"/>
  </cols>
  <sheetData>
    <row r="1" spans="1:3">
      <c r="A1" s="597" t="s">
        <v>2930</v>
      </c>
      <c r="B1" s="597"/>
      <c r="C1" s="597"/>
    </row>
    <row r="2" spans="1:3">
      <c r="A2" s="597" t="s">
        <v>1208</v>
      </c>
      <c r="B2" s="597"/>
      <c r="C2" s="597"/>
    </row>
    <row r="3" spans="1:3">
      <c r="A3" s="6" t="s">
        <v>1216</v>
      </c>
    </row>
    <row r="5" spans="1:3">
      <c r="A5" t="s">
        <v>2165</v>
      </c>
      <c r="C5" s="1">
        <v>0</v>
      </c>
    </row>
    <row r="6" spans="1:3">
      <c r="A6" t="s">
        <v>2917</v>
      </c>
    </row>
    <row r="7" spans="1:3">
      <c r="A7" t="s">
        <v>2931</v>
      </c>
      <c r="B7" s="1">
        <v>0</v>
      </c>
    </row>
    <row r="8" spans="1:3">
      <c r="A8" t="s">
        <v>2932</v>
      </c>
      <c r="B8" s="1">
        <v>0</v>
      </c>
    </row>
    <row r="9" spans="1:3">
      <c r="A9" t="s">
        <v>2920</v>
      </c>
      <c r="C9" s="2">
        <f>+B7+B8</f>
        <v>0</v>
      </c>
    </row>
    <row r="10" spans="1:3">
      <c r="A10" t="s">
        <v>2933</v>
      </c>
      <c r="C10" s="1">
        <v>0</v>
      </c>
    </row>
    <row r="11" spans="1:3" ht="16.149999999999999">
      <c r="A11" t="s">
        <v>2198</v>
      </c>
      <c r="C11" s="8">
        <f>+C5+C9-C10</f>
        <v>0</v>
      </c>
    </row>
  </sheetData>
  <mergeCells count="2">
    <mergeCell ref="A1:C1"/>
    <mergeCell ref="A2:C2"/>
  </mergeCells>
  <hyperlinks>
    <hyperlink ref="A3" location="'Fund Balance Summary'!A1" display="(Return to summary sheet)" xr:uid="{00000000-0004-0000-1700-000000000000}"/>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C11"/>
  <sheetViews>
    <sheetView workbookViewId="0">
      <selection sqref="A1:C1"/>
    </sheetView>
  </sheetViews>
  <sheetFormatPr defaultRowHeight="14.45"/>
  <cols>
    <col min="1" max="1" width="35.28515625" bestFit="1" customWidth="1"/>
    <col min="2" max="2" width="14.28515625" style="2" bestFit="1" customWidth="1"/>
    <col min="3" max="3" width="15.28515625" style="2" bestFit="1" customWidth="1"/>
  </cols>
  <sheetData>
    <row r="1" spans="1:3">
      <c r="A1" s="597" t="s">
        <v>2934</v>
      </c>
      <c r="B1" s="597"/>
      <c r="C1" s="597"/>
    </row>
    <row r="2" spans="1:3">
      <c r="A2" s="597" t="s">
        <v>1208</v>
      </c>
      <c r="B2" s="597"/>
      <c r="C2" s="597"/>
    </row>
    <row r="3" spans="1:3">
      <c r="A3" s="6" t="s">
        <v>1216</v>
      </c>
    </row>
    <row r="5" spans="1:3">
      <c r="A5" t="s">
        <v>2165</v>
      </c>
      <c r="C5" s="1">
        <v>0</v>
      </c>
    </row>
    <row r="6" spans="1:3">
      <c r="A6" t="s">
        <v>2917</v>
      </c>
    </row>
    <row r="7" spans="1:3">
      <c r="A7" t="s">
        <v>2935</v>
      </c>
      <c r="B7" s="1"/>
    </row>
    <row r="8" spans="1:3">
      <c r="A8" t="s">
        <v>2936</v>
      </c>
      <c r="B8" s="1">
        <v>0</v>
      </c>
    </row>
    <row r="9" spans="1:3">
      <c r="A9" t="s">
        <v>2920</v>
      </c>
      <c r="C9" s="2">
        <f>+B7+B8</f>
        <v>0</v>
      </c>
    </row>
    <row r="10" spans="1:3">
      <c r="A10" t="s">
        <v>2937</v>
      </c>
      <c r="C10" s="1">
        <v>0</v>
      </c>
    </row>
    <row r="11" spans="1:3" ht="16.149999999999999">
      <c r="A11" t="s">
        <v>2198</v>
      </c>
      <c r="C11" s="8">
        <f>+C5+C9-C10</f>
        <v>0</v>
      </c>
    </row>
  </sheetData>
  <mergeCells count="2">
    <mergeCell ref="A1:C1"/>
    <mergeCell ref="A2:C2"/>
  </mergeCells>
  <hyperlinks>
    <hyperlink ref="A3" location="'Fund Balance Summary'!A1" display="(Return to summary sheet)" xr:uid="{00000000-0004-0000-1800-000000000000}"/>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C11"/>
  <sheetViews>
    <sheetView workbookViewId="0">
      <selection sqref="A1:C1"/>
    </sheetView>
  </sheetViews>
  <sheetFormatPr defaultRowHeight="14.45"/>
  <cols>
    <col min="1" max="1" width="35.28515625" bestFit="1" customWidth="1"/>
    <col min="2" max="2" width="14.28515625" style="2" bestFit="1" customWidth="1"/>
    <col min="3" max="3" width="15.28515625" style="2" bestFit="1" customWidth="1"/>
  </cols>
  <sheetData>
    <row r="1" spans="1:3">
      <c r="A1" s="597" t="s">
        <v>2938</v>
      </c>
      <c r="B1" s="597"/>
      <c r="C1" s="597"/>
    </row>
    <row r="2" spans="1:3">
      <c r="A2" s="597" t="s">
        <v>1208</v>
      </c>
      <c r="B2" s="597"/>
      <c r="C2" s="597"/>
    </row>
    <row r="3" spans="1:3">
      <c r="A3" s="6" t="s">
        <v>1216</v>
      </c>
    </row>
    <row r="5" spans="1:3">
      <c r="A5" t="s">
        <v>2165</v>
      </c>
      <c r="C5" s="1">
        <v>0</v>
      </c>
    </row>
    <row r="6" spans="1:3">
      <c r="A6" t="s">
        <v>2917</v>
      </c>
    </row>
    <row r="7" spans="1:3">
      <c r="A7" t="s">
        <v>2939</v>
      </c>
      <c r="B7" s="1">
        <v>0</v>
      </c>
    </row>
    <row r="8" spans="1:3">
      <c r="A8" t="s">
        <v>2940</v>
      </c>
      <c r="B8" s="1">
        <v>0</v>
      </c>
    </row>
    <row r="9" spans="1:3">
      <c r="A9" t="s">
        <v>2920</v>
      </c>
      <c r="C9" s="2">
        <f>+B7+B8</f>
        <v>0</v>
      </c>
    </row>
    <row r="10" spans="1:3">
      <c r="A10" t="s">
        <v>2941</v>
      </c>
      <c r="C10" s="1">
        <v>0</v>
      </c>
    </row>
    <row r="11" spans="1:3" ht="16.149999999999999">
      <c r="A11" t="s">
        <v>2198</v>
      </c>
      <c r="C11" s="8">
        <f>+C5+C9-C10</f>
        <v>0</v>
      </c>
    </row>
  </sheetData>
  <mergeCells count="2">
    <mergeCell ref="A1:C1"/>
    <mergeCell ref="A2:C2"/>
  </mergeCells>
  <hyperlinks>
    <hyperlink ref="A3" location="'Fund Balance Summary'!A1" display="(Return to summary sheet)" xr:uid="{00000000-0004-0000-1900-000000000000}"/>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C11"/>
  <sheetViews>
    <sheetView workbookViewId="0">
      <selection activeCell="A3" sqref="A3"/>
    </sheetView>
  </sheetViews>
  <sheetFormatPr defaultRowHeight="14.45"/>
  <cols>
    <col min="1" max="1" width="35.28515625" bestFit="1" customWidth="1"/>
    <col min="2" max="2" width="14.28515625" style="2" bestFit="1" customWidth="1"/>
    <col min="3" max="3" width="15.28515625" style="2" bestFit="1" customWidth="1"/>
  </cols>
  <sheetData>
    <row r="1" spans="1:3">
      <c r="A1" s="597" t="s">
        <v>2942</v>
      </c>
      <c r="B1" s="597"/>
      <c r="C1" s="597"/>
    </row>
    <row r="2" spans="1:3">
      <c r="A2" s="597" t="s">
        <v>1208</v>
      </c>
      <c r="B2" s="597"/>
      <c r="C2" s="597"/>
    </row>
    <row r="3" spans="1:3">
      <c r="A3" s="6" t="s">
        <v>1216</v>
      </c>
    </row>
    <row r="5" spans="1:3">
      <c r="A5" t="s">
        <v>2165</v>
      </c>
      <c r="C5" s="1">
        <v>0</v>
      </c>
    </row>
    <row r="6" spans="1:3">
      <c r="A6" t="s">
        <v>2917</v>
      </c>
    </row>
    <row r="7" spans="1:3">
      <c r="A7" t="s">
        <v>2943</v>
      </c>
      <c r="B7" s="1">
        <v>0</v>
      </c>
    </row>
    <row r="8" spans="1:3">
      <c r="A8" t="s">
        <v>2944</v>
      </c>
      <c r="B8" s="1">
        <v>0</v>
      </c>
    </row>
    <row r="9" spans="1:3">
      <c r="A9" t="s">
        <v>2920</v>
      </c>
      <c r="C9" s="2">
        <f>+B7+B8</f>
        <v>0</v>
      </c>
    </row>
    <row r="10" spans="1:3">
      <c r="A10" t="s">
        <v>2945</v>
      </c>
      <c r="C10" s="1">
        <v>0</v>
      </c>
    </row>
    <row r="11" spans="1:3" ht="16.149999999999999">
      <c r="A11" t="s">
        <v>2198</v>
      </c>
      <c r="C11" s="8">
        <f>+C5+C9-C10</f>
        <v>0</v>
      </c>
    </row>
  </sheetData>
  <mergeCells count="2">
    <mergeCell ref="A1:C1"/>
    <mergeCell ref="A2:C2"/>
  </mergeCells>
  <hyperlinks>
    <hyperlink ref="A3" location="'Fund Balance Summary'!A1" display="(Return to summary sheet)" xr:uid="{00000000-0004-0000-1A00-000000000000}"/>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C11"/>
  <sheetViews>
    <sheetView workbookViewId="0">
      <selection sqref="A1:C1"/>
    </sheetView>
  </sheetViews>
  <sheetFormatPr defaultRowHeight="14.45"/>
  <cols>
    <col min="1" max="1" width="35.28515625" bestFit="1" customWidth="1"/>
    <col min="2" max="2" width="14.28515625" style="2" bestFit="1" customWidth="1"/>
    <col min="3" max="3" width="15.28515625" style="2" bestFit="1" customWidth="1"/>
  </cols>
  <sheetData>
    <row r="1" spans="1:3">
      <c r="A1" s="597" t="s">
        <v>2946</v>
      </c>
      <c r="B1" s="597"/>
      <c r="C1" s="597"/>
    </row>
    <row r="2" spans="1:3">
      <c r="A2" s="597" t="s">
        <v>1208</v>
      </c>
      <c r="B2" s="597"/>
      <c r="C2" s="597"/>
    </row>
    <row r="3" spans="1:3">
      <c r="A3" s="6" t="s">
        <v>1216</v>
      </c>
    </row>
    <row r="5" spans="1:3">
      <c r="A5" t="s">
        <v>2165</v>
      </c>
      <c r="C5" s="1">
        <v>0</v>
      </c>
    </row>
    <row r="6" spans="1:3">
      <c r="A6" t="s">
        <v>2917</v>
      </c>
    </row>
    <row r="7" spans="1:3">
      <c r="A7" t="s">
        <v>2947</v>
      </c>
      <c r="B7" s="1">
        <v>0</v>
      </c>
    </row>
    <row r="8" spans="1:3">
      <c r="A8" t="s">
        <v>2948</v>
      </c>
      <c r="B8" s="1">
        <v>0</v>
      </c>
    </row>
    <row r="9" spans="1:3">
      <c r="A9" t="s">
        <v>2920</v>
      </c>
      <c r="C9" s="2">
        <f>+B7+B8</f>
        <v>0</v>
      </c>
    </row>
    <row r="10" spans="1:3">
      <c r="A10" t="s">
        <v>2949</v>
      </c>
      <c r="C10" s="1">
        <v>0</v>
      </c>
    </row>
    <row r="11" spans="1:3" ht="16.149999999999999">
      <c r="A11" t="s">
        <v>2198</v>
      </c>
      <c r="C11" s="8">
        <f>+C5+C9-C10</f>
        <v>0</v>
      </c>
    </row>
  </sheetData>
  <mergeCells count="2">
    <mergeCell ref="A1:C1"/>
    <mergeCell ref="A2:C2"/>
  </mergeCells>
  <hyperlinks>
    <hyperlink ref="A3" location="'Fund Balance Summary'!A1" display="(Return to summary sheet)" xr:uid="{00000000-0004-0000-1B00-000000000000}"/>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26"/>
  <sheetViews>
    <sheetView workbookViewId="0">
      <selection sqref="A1:G1"/>
    </sheetView>
  </sheetViews>
  <sheetFormatPr defaultRowHeight="14.45"/>
  <cols>
    <col min="1" max="1" width="31.42578125" bestFit="1" customWidth="1"/>
    <col min="2" max="2" width="18" customWidth="1"/>
    <col min="3" max="3" width="14.85546875" bestFit="1" customWidth="1"/>
    <col min="4" max="4" width="13.140625" bestFit="1" customWidth="1"/>
    <col min="5" max="5" width="15.42578125" customWidth="1"/>
    <col min="6" max="6" width="10.85546875" bestFit="1" customWidth="1"/>
    <col min="7" max="7" width="14.140625" bestFit="1" customWidth="1"/>
  </cols>
  <sheetData>
    <row r="1" spans="1:7">
      <c r="A1" s="597" t="s">
        <v>2950</v>
      </c>
      <c r="B1" s="597"/>
      <c r="C1" s="597"/>
      <c r="D1" s="597"/>
      <c r="E1" s="597"/>
      <c r="F1" s="597"/>
      <c r="G1" s="597"/>
    </row>
    <row r="2" spans="1:7">
      <c r="A2" s="597" t="s">
        <v>2951</v>
      </c>
      <c r="B2" s="597"/>
      <c r="C2" s="597"/>
      <c r="D2" s="597"/>
      <c r="E2" s="597"/>
      <c r="F2" s="597"/>
      <c r="G2" s="597"/>
    </row>
    <row r="3" spans="1:7">
      <c r="A3" s="6" t="s">
        <v>1216</v>
      </c>
    </row>
    <row r="5" spans="1:7" ht="31.5" customHeight="1">
      <c r="B5" s="151" t="s">
        <v>1207</v>
      </c>
      <c r="C5" s="151" t="s">
        <v>2952</v>
      </c>
      <c r="D5" s="151" t="s">
        <v>2953</v>
      </c>
      <c r="E5" s="151" t="s">
        <v>2907</v>
      </c>
      <c r="F5" s="151" t="s">
        <v>1212</v>
      </c>
      <c r="G5" s="151" t="s">
        <v>2954</v>
      </c>
    </row>
    <row r="6" spans="1:7">
      <c r="A6" s="22" t="s">
        <v>700</v>
      </c>
      <c r="B6" s="19">
        <f t="shared" ref="B6:G6" si="0">SUM(B7:B100)</f>
        <v>0</v>
      </c>
      <c r="C6" s="19">
        <f t="shared" si="0"/>
        <v>0</v>
      </c>
      <c r="D6" s="19">
        <f t="shared" si="0"/>
        <v>0</v>
      </c>
      <c r="E6" s="19">
        <f t="shared" si="0"/>
        <v>0</v>
      </c>
      <c r="F6" s="19">
        <f t="shared" si="0"/>
        <v>0</v>
      </c>
      <c r="G6" s="19">
        <f t="shared" si="0"/>
        <v>0</v>
      </c>
    </row>
    <row r="7" spans="1:7">
      <c r="A7" s="162" t="s">
        <v>2955</v>
      </c>
      <c r="B7" s="156">
        <v>0</v>
      </c>
      <c r="C7" s="156">
        <v>0</v>
      </c>
      <c r="D7" s="156">
        <v>0</v>
      </c>
      <c r="E7" s="156">
        <v>0</v>
      </c>
      <c r="F7" s="156">
        <v>0</v>
      </c>
      <c r="G7" s="156">
        <v>0</v>
      </c>
    </row>
    <row r="8" spans="1:7">
      <c r="A8" s="162" t="s">
        <v>2955</v>
      </c>
      <c r="B8" s="156">
        <v>0</v>
      </c>
      <c r="C8" s="156">
        <v>0</v>
      </c>
      <c r="D8" s="156">
        <v>0</v>
      </c>
      <c r="E8" s="156">
        <v>0</v>
      </c>
      <c r="F8" s="156">
        <v>0</v>
      </c>
      <c r="G8" s="156">
        <v>0</v>
      </c>
    </row>
    <row r="9" spans="1:7">
      <c r="A9" s="162" t="s">
        <v>2955</v>
      </c>
      <c r="B9" s="156">
        <v>0</v>
      </c>
      <c r="C9" s="156">
        <v>0</v>
      </c>
      <c r="D9" s="156">
        <v>0</v>
      </c>
      <c r="E9" s="156">
        <v>0</v>
      </c>
      <c r="F9" s="156">
        <v>0</v>
      </c>
      <c r="G9" s="156">
        <v>0</v>
      </c>
    </row>
    <row r="10" spans="1:7">
      <c r="A10" s="162" t="s">
        <v>2955</v>
      </c>
      <c r="B10" s="156">
        <v>0</v>
      </c>
      <c r="C10" s="156">
        <v>0</v>
      </c>
      <c r="D10" s="156">
        <v>0</v>
      </c>
      <c r="E10" s="156">
        <v>0</v>
      </c>
      <c r="F10" s="156">
        <v>0</v>
      </c>
      <c r="G10" s="156">
        <v>0</v>
      </c>
    </row>
    <row r="11" spans="1:7">
      <c r="A11" s="162" t="s">
        <v>2955</v>
      </c>
      <c r="B11" s="156">
        <v>0</v>
      </c>
      <c r="C11" s="156">
        <v>0</v>
      </c>
      <c r="D11" s="156">
        <v>0</v>
      </c>
      <c r="E11" s="156">
        <v>0</v>
      </c>
      <c r="F11" s="156">
        <v>0</v>
      </c>
      <c r="G11" s="156">
        <v>0</v>
      </c>
    </row>
    <row r="12" spans="1:7">
      <c r="A12" s="162" t="s">
        <v>2955</v>
      </c>
      <c r="B12" s="156">
        <v>0</v>
      </c>
      <c r="C12" s="156">
        <v>0</v>
      </c>
      <c r="D12" s="156">
        <v>0</v>
      </c>
      <c r="E12" s="156">
        <v>0</v>
      </c>
      <c r="F12" s="156">
        <v>0</v>
      </c>
      <c r="G12" s="156">
        <v>0</v>
      </c>
    </row>
    <row r="13" spans="1:7">
      <c r="A13" s="162" t="s">
        <v>2955</v>
      </c>
      <c r="B13" s="156">
        <v>0</v>
      </c>
      <c r="C13" s="156">
        <v>0</v>
      </c>
      <c r="D13" s="156">
        <v>0</v>
      </c>
      <c r="E13" s="156">
        <v>0</v>
      </c>
      <c r="F13" s="156">
        <v>0</v>
      </c>
      <c r="G13" s="156">
        <v>0</v>
      </c>
    </row>
    <row r="14" spans="1:7">
      <c r="A14" s="162" t="s">
        <v>2955</v>
      </c>
      <c r="B14" s="156">
        <v>0</v>
      </c>
      <c r="C14" s="156">
        <v>0</v>
      </c>
      <c r="D14" s="156">
        <v>0</v>
      </c>
      <c r="E14" s="156">
        <v>0</v>
      </c>
      <c r="F14" s="156">
        <v>0</v>
      </c>
      <c r="G14" s="156">
        <v>0</v>
      </c>
    </row>
    <row r="15" spans="1:7">
      <c r="A15" s="162" t="s">
        <v>2955</v>
      </c>
      <c r="B15" s="156">
        <v>0</v>
      </c>
      <c r="C15" s="156">
        <v>0</v>
      </c>
      <c r="D15" s="156">
        <v>0</v>
      </c>
      <c r="E15" s="156">
        <v>0</v>
      </c>
      <c r="F15" s="156">
        <v>0</v>
      </c>
      <c r="G15" s="156">
        <v>0</v>
      </c>
    </row>
    <row r="16" spans="1:7">
      <c r="A16" s="162" t="s">
        <v>2955</v>
      </c>
      <c r="B16" s="156">
        <v>0</v>
      </c>
      <c r="C16" s="156">
        <v>0</v>
      </c>
      <c r="D16" s="156">
        <v>0</v>
      </c>
      <c r="E16" s="156">
        <v>0</v>
      </c>
      <c r="F16" s="156">
        <v>0</v>
      </c>
      <c r="G16" s="156">
        <v>0</v>
      </c>
    </row>
    <row r="17" spans="1:7">
      <c r="A17" s="162" t="s">
        <v>2955</v>
      </c>
      <c r="B17" s="156">
        <v>0</v>
      </c>
      <c r="C17" s="156">
        <v>0</v>
      </c>
      <c r="D17" s="156">
        <v>0</v>
      </c>
      <c r="E17" s="156">
        <v>0</v>
      </c>
      <c r="F17" s="156">
        <v>0</v>
      </c>
      <c r="G17" s="156">
        <v>0</v>
      </c>
    </row>
    <row r="18" spans="1:7">
      <c r="A18" s="162" t="s">
        <v>2955</v>
      </c>
      <c r="B18" s="156">
        <v>0</v>
      </c>
      <c r="C18" s="156">
        <v>0</v>
      </c>
      <c r="D18" s="156">
        <v>0</v>
      </c>
      <c r="E18" s="156">
        <v>0</v>
      </c>
      <c r="F18" s="156">
        <v>0</v>
      </c>
      <c r="G18" s="156">
        <v>0</v>
      </c>
    </row>
    <row r="19" spans="1:7">
      <c r="A19" s="162" t="s">
        <v>2955</v>
      </c>
      <c r="B19" s="156">
        <v>0</v>
      </c>
      <c r="C19" s="156">
        <v>0</v>
      </c>
      <c r="D19" s="156">
        <v>0</v>
      </c>
      <c r="E19" s="156">
        <v>0</v>
      </c>
      <c r="F19" s="156">
        <v>0</v>
      </c>
      <c r="G19" s="156">
        <v>0</v>
      </c>
    </row>
    <row r="20" spans="1:7">
      <c r="A20" s="162" t="s">
        <v>2955</v>
      </c>
      <c r="B20" s="156">
        <v>0</v>
      </c>
      <c r="C20" s="156">
        <v>0</v>
      </c>
      <c r="D20" s="156">
        <v>0</v>
      </c>
      <c r="E20" s="156">
        <v>0</v>
      </c>
      <c r="F20" s="156">
        <v>0</v>
      </c>
      <c r="G20" s="156">
        <v>0</v>
      </c>
    </row>
    <row r="21" spans="1:7">
      <c r="A21" s="162" t="s">
        <v>2955</v>
      </c>
      <c r="B21" s="156">
        <v>0</v>
      </c>
      <c r="C21" s="156">
        <v>0</v>
      </c>
      <c r="D21" s="156">
        <v>0</v>
      </c>
      <c r="E21" s="156">
        <v>0</v>
      </c>
      <c r="F21" s="156">
        <v>0</v>
      </c>
      <c r="G21" s="156">
        <v>0</v>
      </c>
    </row>
    <row r="22" spans="1:7">
      <c r="A22" s="162" t="s">
        <v>2955</v>
      </c>
      <c r="B22" s="156">
        <v>0</v>
      </c>
      <c r="C22" s="156">
        <v>0</v>
      </c>
      <c r="D22" s="156">
        <v>0</v>
      </c>
      <c r="E22" s="156">
        <v>0</v>
      </c>
      <c r="F22" s="156">
        <v>0</v>
      </c>
      <c r="G22" s="156">
        <v>0</v>
      </c>
    </row>
    <row r="23" spans="1:7">
      <c r="A23" s="162" t="s">
        <v>2955</v>
      </c>
      <c r="B23" s="156">
        <v>0</v>
      </c>
      <c r="C23" s="156">
        <v>0</v>
      </c>
      <c r="D23" s="156">
        <v>0</v>
      </c>
      <c r="E23" s="156">
        <v>0</v>
      </c>
      <c r="F23" s="156">
        <v>0</v>
      </c>
      <c r="G23" s="156">
        <v>0</v>
      </c>
    </row>
    <row r="24" spans="1:7">
      <c r="A24" s="162" t="s">
        <v>2955</v>
      </c>
      <c r="B24" s="156">
        <v>0</v>
      </c>
      <c r="C24" s="156">
        <v>0</v>
      </c>
      <c r="D24" s="156">
        <v>0</v>
      </c>
      <c r="E24" s="156">
        <v>0</v>
      </c>
      <c r="F24" s="156">
        <v>0</v>
      </c>
      <c r="G24" s="156">
        <v>0</v>
      </c>
    </row>
    <row r="25" spans="1:7">
      <c r="A25" s="162" t="s">
        <v>2955</v>
      </c>
      <c r="B25" s="156">
        <v>0</v>
      </c>
      <c r="C25" s="156">
        <v>0</v>
      </c>
      <c r="D25" s="156">
        <v>0</v>
      </c>
      <c r="E25" s="156">
        <v>0</v>
      </c>
      <c r="F25" s="156">
        <v>0</v>
      </c>
      <c r="G25" s="156">
        <v>0</v>
      </c>
    </row>
    <row r="26" spans="1:7">
      <c r="A26" s="162" t="s">
        <v>2955</v>
      </c>
      <c r="B26" s="156">
        <v>0</v>
      </c>
      <c r="C26" s="156">
        <v>0</v>
      </c>
      <c r="D26" s="156">
        <v>0</v>
      </c>
      <c r="E26" s="156">
        <v>0</v>
      </c>
      <c r="F26" s="156">
        <v>0</v>
      </c>
      <c r="G26" s="156">
        <v>0</v>
      </c>
    </row>
  </sheetData>
  <mergeCells count="2">
    <mergeCell ref="A1:G1"/>
    <mergeCell ref="A2:G2"/>
  </mergeCells>
  <hyperlinks>
    <hyperlink ref="A3" location="'Fund Balance Summary'!A1" display="(Return to summary sheet)" xr:uid="{00000000-0004-0000-1C00-000000000000}"/>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E9F54D"/>
  </sheetPr>
  <dimension ref="A1:B25"/>
  <sheetViews>
    <sheetView workbookViewId="0">
      <selection sqref="A1:B1"/>
    </sheetView>
  </sheetViews>
  <sheetFormatPr defaultRowHeight="14.45"/>
  <cols>
    <col min="1" max="1" width="41.28515625" customWidth="1"/>
    <col min="2" max="2" width="33.7109375" customWidth="1"/>
  </cols>
  <sheetData>
    <row r="1" spans="1:2">
      <c r="A1" s="671" t="s">
        <v>2956</v>
      </c>
      <c r="B1" s="671"/>
    </row>
    <row r="2" spans="1:2">
      <c r="A2" s="597" t="s">
        <v>1207</v>
      </c>
      <c r="B2" s="597"/>
    </row>
    <row r="3" spans="1:2">
      <c r="A3" s="6" t="s">
        <v>1216</v>
      </c>
    </row>
    <row r="4" spans="1:2">
      <c r="B4" s="7" t="s">
        <v>1207</v>
      </c>
    </row>
    <row r="5" spans="1:2">
      <c r="A5" s="22" t="s">
        <v>2957</v>
      </c>
      <c r="B5" s="19">
        <f t="shared" ref="B5" si="0">SUM(B6:B99)</f>
        <v>0</v>
      </c>
    </row>
    <row r="6" spans="1:2">
      <c r="A6" s="162" t="s">
        <v>2955</v>
      </c>
      <c r="B6" s="156">
        <v>0</v>
      </c>
    </row>
    <row r="7" spans="1:2">
      <c r="A7" s="162" t="s">
        <v>2955</v>
      </c>
      <c r="B7" s="156">
        <v>0</v>
      </c>
    </row>
    <row r="8" spans="1:2">
      <c r="A8" s="162" t="s">
        <v>2955</v>
      </c>
      <c r="B8" s="156">
        <v>0</v>
      </c>
    </row>
    <row r="9" spans="1:2">
      <c r="A9" s="162" t="s">
        <v>2955</v>
      </c>
      <c r="B9" s="156">
        <v>0</v>
      </c>
    </row>
    <row r="10" spans="1:2">
      <c r="A10" s="162" t="s">
        <v>2955</v>
      </c>
      <c r="B10" s="156">
        <v>0</v>
      </c>
    </row>
    <row r="11" spans="1:2">
      <c r="A11" s="162" t="s">
        <v>2955</v>
      </c>
      <c r="B11" s="156">
        <v>0</v>
      </c>
    </row>
    <row r="12" spans="1:2">
      <c r="A12" s="162" t="s">
        <v>2955</v>
      </c>
      <c r="B12" s="156">
        <v>0</v>
      </c>
    </row>
    <row r="13" spans="1:2">
      <c r="A13" s="162" t="s">
        <v>2955</v>
      </c>
      <c r="B13" s="156">
        <v>0</v>
      </c>
    </row>
    <row r="14" spans="1:2">
      <c r="A14" s="162" t="s">
        <v>2955</v>
      </c>
      <c r="B14" s="156">
        <v>0</v>
      </c>
    </row>
    <row r="15" spans="1:2">
      <c r="A15" s="162" t="s">
        <v>2955</v>
      </c>
      <c r="B15" s="156">
        <v>0</v>
      </c>
    </row>
    <row r="16" spans="1:2">
      <c r="A16" s="162" t="s">
        <v>2955</v>
      </c>
      <c r="B16" s="156">
        <v>0</v>
      </c>
    </row>
    <row r="17" spans="1:2">
      <c r="A17" s="162" t="s">
        <v>2955</v>
      </c>
      <c r="B17" s="156">
        <v>0</v>
      </c>
    </row>
    <row r="18" spans="1:2">
      <c r="A18" s="162" t="s">
        <v>2955</v>
      </c>
      <c r="B18" s="156">
        <v>0</v>
      </c>
    </row>
    <row r="19" spans="1:2">
      <c r="A19" s="162" t="s">
        <v>2955</v>
      </c>
      <c r="B19" s="156">
        <v>0</v>
      </c>
    </row>
    <row r="20" spans="1:2">
      <c r="A20" s="162" t="s">
        <v>2955</v>
      </c>
      <c r="B20" s="156">
        <v>0</v>
      </c>
    </row>
    <row r="21" spans="1:2">
      <c r="A21" s="162" t="s">
        <v>2955</v>
      </c>
      <c r="B21" s="156">
        <v>0</v>
      </c>
    </row>
    <row r="22" spans="1:2">
      <c r="A22" s="162" t="s">
        <v>2955</v>
      </c>
      <c r="B22" s="156">
        <v>0</v>
      </c>
    </row>
    <row r="23" spans="1:2">
      <c r="A23" s="162" t="s">
        <v>2955</v>
      </c>
      <c r="B23" s="156">
        <v>0</v>
      </c>
    </row>
    <row r="24" spans="1:2">
      <c r="A24" s="162" t="s">
        <v>2955</v>
      </c>
      <c r="B24" s="156">
        <v>0</v>
      </c>
    </row>
    <row r="25" spans="1:2">
      <c r="A25" s="162" t="s">
        <v>2955</v>
      </c>
      <c r="B25" s="156">
        <v>0</v>
      </c>
    </row>
  </sheetData>
  <mergeCells count="2">
    <mergeCell ref="A1:B1"/>
    <mergeCell ref="A2:B2"/>
  </mergeCells>
  <hyperlinks>
    <hyperlink ref="A3" location="'Fund Balance Summary'!A1" display="(Return to summary sheet)" xr:uid="{00000000-0004-0000-1D00-000000000000}"/>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27389-E6E3-49BA-8B6E-F688CB82484E}">
  <sheetPr>
    <tabColor rgb="FFE9F54D"/>
  </sheetPr>
  <dimension ref="A1:N32"/>
  <sheetViews>
    <sheetView workbookViewId="0">
      <selection activeCell="B7" sqref="B7"/>
    </sheetView>
  </sheetViews>
  <sheetFormatPr defaultRowHeight="14.45"/>
  <cols>
    <col min="1" max="1" width="41.28515625" customWidth="1"/>
    <col min="2" max="2" width="33.7109375" customWidth="1"/>
    <col min="3" max="3" width="7.140625" customWidth="1"/>
  </cols>
  <sheetData>
    <row r="1" spans="1:14" ht="15" customHeight="1">
      <c r="A1" s="671" t="s">
        <v>2958</v>
      </c>
      <c r="B1" s="671"/>
      <c r="C1" s="458" t="str">
        <f>+'Fund Balance Summary'!B1</f>
        <v>14005</v>
      </c>
      <c r="D1" s="672" t="s">
        <v>2959</v>
      </c>
      <c r="E1" s="672"/>
      <c r="F1" s="672"/>
    </row>
    <row r="2" spans="1:14" ht="15" customHeight="1">
      <c r="A2" s="597" t="s">
        <v>1207</v>
      </c>
      <c r="B2" s="597"/>
      <c r="C2" s="460"/>
      <c r="D2" s="672"/>
      <c r="E2" s="672"/>
      <c r="F2" s="672"/>
    </row>
    <row r="3" spans="1:14" ht="15" customHeight="1">
      <c r="A3" s="6" t="s">
        <v>1216</v>
      </c>
      <c r="C3" s="460"/>
      <c r="D3" s="672"/>
      <c r="E3" s="672"/>
      <c r="F3" s="672"/>
    </row>
    <row r="4" spans="1:14" ht="15" customHeight="1">
      <c r="B4" s="7" t="s">
        <v>1207</v>
      </c>
      <c r="D4" s="672"/>
      <c r="E4" s="672"/>
      <c r="F4" s="672"/>
    </row>
    <row r="5" spans="1:14" ht="16.899999999999999">
      <c r="A5" s="22" t="s">
        <v>2960</v>
      </c>
      <c r="B5" s="457">
        <f>IF(VLOOKUP($C$1,CCDDD!$A$2:$D$332,3,FALSE)=2,SUM('GL 873 Committed'!B6:B25),0)</f>
        <v>0</v>
      </c>
      <c r="D5" s="461"/>
      <c r="E5" s="461"/>
      <c r="F5" s="461"/>
      <c r="N5" s="318"/>
    </row>
    <row r="6" spans="1:14" ht="15" customHeight="1">
      <c r="A6" s="162" t="s">
        <v>2955</v>
      </c>
      <c r="B6" s="156">
        <v>0</v>
      </c>
      <c r="C6" t="str">
        <f>IF(B$5=0,IF(B6&gt;0,"Warning: GL 873 not Authorized",""),"")</f>
        <v/>
      </c>
      <c r="D6" s="461"/>
      <c r="E6" s="461"/>
      <c r="F6" s="461"/>
    </row>
    <row r="7" spans="1:14" ht="15" customHeight="1">
      <c r="A7" s="162" t="s">
        <v>2955</v>
      </c>
      <c r="B7" s="156">
        <v>0</v>
      </c>
      <c r="C7" t="str">
        <f t="shared" ref="C7:C25" si="0">IF(B$5=0,IF(B7&gt;0,"Warning: GL 873 not Authorized",""),"")</f>
        <v/>
      </c>
      <c r="D7" s="461"/>
      <c r="E7" s="461"/>
      <c r="F7" s="461"/>
    </row>
    <row r="8" spans="1:14">
      <c r="A8" s="162" t="s">
        <v>2955</v>
      </c>
      <c r="B8" s="156">
        <v>0</v>
      </c>
      <c r="C8" t="str">
        <f t="shared" si="0"/>
        <v/>
      </c>
    </row>
    <row r="9" spans="1:14">
      <c r="A9" s="162" t="s">
        <v>2955</v>
      </c>
      <c r="B9" s="156">
        <v>0</v>
      </c>
      <c r="C9" t="str">
        <f t="shared" si="0"/>
        <v/>
      </c>
    </row>
    <row r="10" spans="1:14">
      <c r="A10" s="162" t="s">
        <v>2955</v>
      </c>
      <c r="B10" s="156">
        <v>0</v>
      </c>
      <c r="C10" t="str">
        <f t="shared" si="0"/>
        <v/>
      </c>
    </row>
    <row r="11" spans="1:14">
      <c r="A11" s="162" t="s">
        <v>2955</v>
      </c>
      <c r="B11" s="156">
        <v>0</v>
      </c>
      <c r="C11" t="str">
        <f t="shared" si="0"/>
        <v/>
      </c>
    </row>
    <row r="12" spans="1:14">
      <c r="A12" s="162" t="s">
        <v>2955</v>
      </c>
      <c r="B12" s="156">
        <v>0</v>
      </c>
      <c r="C12" t="str">
        <f t="shared" si="0"/>
        <v/>
      </c>
    </row>
    <row r="13" spans="1:14">
      <c r="A13" s="162" t="s">
        <v>2955</v>
      </c>
      <c r="B13" s="156">
        <v>0</v>
      </c>
      <c r="C13" t="str">
        <f t="shared" si="0"/>
        <v/>
      </c>
    </row>
    <row r="14" spans="1:14">
      <c r="A14" s="162" t="s">
        <v>2955</v>
      </c>
      <c r="B14" s="156">
        <v>0</v>
      </c>
      <c r="C14" t="str">
        <f t="shared" si="0"/>
        <v/>
      </c>
    </row>
    <row r="15" spans="1:14">
      <c r="A15" s="162" t="s">
        <v>2955</v>
      </c>
      <c r="B15" s="156">
        <v>0</v>
      </c>
      <c r="C15" t="str">
        <f t="shared" si="0"/>
        <v/>
      </c>
    </row>
    <row r="16" spans="1:14">
      <c r="A16" s="162" t="s">
        <v>2955</v>
      </c>
      <c r="B16" s="156">
        <v>0</v>
      </c>
      <c r="C16" t="str">
        <f t="shared" si="0"/>
        <v/>
      </c>
    </row>
    <row r="17" spans="1:3">
      <c r="A17" s="162" t="s">
        <v>2955</v>
      </c>
      <c r="B17" s="156">
        <v>0</v>
      </c>
      <c r="C17" t="str">
        <f t="shared" si="0"/>
        <v/>
      </c>
    </row>
    <row r="18" spans="1:3">
      <c r="A18" s="162" t="s">
        <v>2955</v>
      </c>
      <c r="B18" s="156">
        <v>0</v>
      </c>
      <c r="C18" t="str">
        <f t="shared" si="0"/>
        <v/>
      </c>
    </row>
    <row r="19" spans="1:3">
      <c r="A19" s="162" t="s">
        <v>2955</v>
      </c>
      <c r="B19" s="156">
        <v>0</v>
      </c>
      <c r="C19" t="str">
        <f t="shared" si="0"/>
        <v/>
      </c>
    </row>
    <row r="20" spans="1:3">
      <c r="A20" s="162" t="s">
        <v>2955</v>
      </c>
      <c r="B20" s="156">
        <v>0</v>
      </c>
      <c r="C20" t="str">
        <f t="shared" si="0"/>
        <v/>
      </c>
    </row>
    <row r="21" spans="1:3">
      <c r="A21" s="162" t="s">
        <v>2955</v>
      </c>
      <c r="B21" s="156">
        <v>0</v>
      </c>
      <c r="C21" t="str">
        <f t="shared" si="0"/>
        <v/>
      </c>
    </row>
    <row r="22" spans="1:3">
      <c r="A22" s="162" t="s">
        <v>2955</v>
      </c>
      <c r="B22" s="156">
        <v>0</v>
      </c>
      <c r="C22" t="str">
        <f t="shared" si="0"/>
        <v/>
      </c>
    </row>
    <row r="23" spans="1:3">
      <c r="A23" s="162" t="s">
        <v>2955</v>
      </c>
      <c r="B23" s="156">
        <v>0</v>
      </c>
      <c r="C23" t="str">
        <f t="shared" si="0"/>
        <v/>
      </c>
    </row>
    <row r="24" spans="1:3">
      <c r="A24" s="162" t="s">
        <v>2955</v>
      </c>
      <c r="B24" s="156">
        <v>0</v>
      </c>
      <c r="C24" t="str">
        <f t="shared" si="0"/>
        <v/>
      </c>
    </row>
    <row r="25" spans="1:3">
      <c r="A25" s="162" t="s">
        <v>2955</v>
      </c>
      <c r="B25" s="156">
        <v>0</v>
      </c>
      <c r="C25" t="str">
        <f t="shared" si="0"/>
        <v/>
      </c>
    </row>
    <row r="31" spans="1:3">
      <c r="A31" s="456"/>
    </row>
    <row r="32" spans="1:3">
      <c r="A32" s="456"/>
    </row>
  </sheetData>
  <mergeCells count="3">
    <mergeCell ref="A1:B1"/>
    <mergeCell ref="A2:B2"/>
    <mergeCell ref="D1:F4"/>
  </mergeCells>
  <hyperlinks>
    <hyperlink ref="A3" location="'Fund Balance Summary'!A1" display="(Return to summary sheet)" xr:uid="{EE0AA40C-6963-4846-9109-E5A82DC04A88}"/>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B11"/>
  <sheetViews>
    <sheetView workbookViewId="0">
      <selection activeCell="G29" sqref="G29"/>
    </sheetView>
  </sheetViews>
  <sheetFormatPr defaultRowHeight="14.45"/>
  <cols>
    <col min="1" max="1" width="31.5703125" bestFit="1" customWidth="1"/>
    <col min="2" max="2" width="20.42578125" customWidth="1"/>
  </cols>
  <sheetData>
    <row r="1" spans="1:2">
      <c r="A1" s="597" t="s">
        <v>2961</v>
      </c>
      <c r="B1" s="597"/>
    </row>
    <row r="2" spans="1:2">
      <c r="A2" s="667" t="s">
        <v>1207</v>
      </c>
      <c r="B2" s="667"/>
    </row>
    <row r="3" spans="1:2">
      <c r="A3" s="6" t="s">
        <v>2163</v>
      </c>
    </row>
    <row r="5" spans="1:2">
      <c r="B5" s="161" t="s">
        <v>1207</v>
      </c>
    </row>
    <row r="6" spans="1:2">
      <c r="A6" s="159" t="s">
        <v>700</v>
      </c>
      <c r="B6" s="160">
        <f>SUM(B7:B11)</f>
        <v>0</v>
      </c>
    </row>
    <row r="7" spans="1:2">
      <c r="A7" s="158" t="s">
        <v>2962</v>
      </c>
      <c r="B7" s="156">
        <v>0</v>
      </c>
    </row>
    <row r="8" spans="1:2">
      <c r="A8" s="158" t="s">
        <v>2962</v>
      </c>
      <c r="B8" s="156">
        <v>0</v>
      </c>
    </row>
    <row r="9" spans="1:2">
      <c r="A9" s="158" t="s">
        <v>2962</v>
      </c>
      <c r="B9" s="156">
        <v>0</v>
      </c>
    </row>
    <row r="10" spans="1:2">
      <c r="A10" s="158" t="s">
        <v>2962</v>
      </c>
      <c r="B10" s="156">
        <v>0</v>
      </c>
    </row>
    <row r="11" spans="1:2">
      <c r="A11" s="158" t="s">
        <v>2962</v>
      </c>
      <c r="B11" s="156">
        <v>0</v>
      </c>
    </row>
  </sheetData>
  <mergeCells count="2">
    <mergeCell ref="A1:B1"/>
    <mergeCell ref="A2:B2"/>
  </mergeCells>
  <hyperlinks>
    <hyperlink ref="A3" location="'Fund Balance Summary'!A1" display="(Return to Summary Sheet)" xr:uid="{00000000-0004-0000-1E00-000000000000}"/>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B15"/>
  <sheetViews>
    <sheetView workbookViewId="0">
      <selection sqref="A1:B1"/>
    </sheetView>
  </sheetViews>
  <sheetFormatPr defaultRowHeight="14.45"/>
  <cols>
    <col min="1" max="1" width="33.42578125" bestFit="1" customWidth="1"/>
    <col min="2" max="2" width="27.7109375" customWidth="1"/>
  </cols>
  <sheetData>
    <row r="1" spans="1:2">
      <c r="A1" s="597" t="s">
        <v>2963</v>
      </c>
      <c r="B1" s="597"/>
    </row>
    <row r="2" spans="1:2">
      <c r="A2" s="667" t="s">
        <v>1207</v>
      </c>
      <c r="B2" s="667"/>
    </row>
    <row r="3" spans="1:2">
      <c r="A3" s="6" t="s">
        <v>2163</v>
      </c>
    </row>
    <row r="5" spans="1:2">
      <c r="A5" s="22" t="s">
        <v>700</v>
      </c>
      <c r="B5" s="19">
        <f>SUM(B6:B15)</f>
        <v>0</v>
      </c>
    </row>
    <row r="6" spans="1:2">
      <c r="A6" s="158" t="s">
        <v>2964</v>
      </c>
      <c r="B6" s="156">
        <v>0</v>
      </c>
    </row>
    <row r="7" spans="1:2">
      <c r="A7" s="158" t="s">
        <v>2964</v>
      </c>
      <c r="B7" s="156">
        <v>0</v>
      </c>
    </row>
    <row r="8" spans="1:2">
      <c r="A8" s="158" t="s">
        <v>2964</v>
      </c>
      <c r="B8" s="156">
        <v>0</v>
      </c>
    </row>
    <row r="9" spans="1:2">
      <c r="A9" s="158" t="s">
        <v>2964</v>
      </c>
      <c r="B9" s="156">
        <v>0</v>
      </c>
    </row>
    <row r="10" spans="1:2">
      <c r="A10" s="158" t="s">
        <v>2964</v>
      </c>
      <c r="B10" s="156">
        <v>0</v>
      </c>
    </row>
    <row r="11" spans="1:2">
      <c r="A11" s="158" t="s">
        <v>2964</v>
      </c>
      <c r="B11" s="156">
        <v>0</v>
      </c>
    </row>
    <row r="12" spans="1:2">
      <c r="A12" s="158" t="s">
        <v>2964</v>
      </c>
      <c r="B12" s="156">
        <v>0</v>
      </c>
    </row>
    <row r="13" spans="1:2">
      <c r="A13" s="158" t="s">
        <v>2964</v>
      </c>
      <c r="B13" s="156">
        <v>0</v>
      </c>
    </row>
    <row r="14" spans="1:2">
      <c r="A14" s="158" t="s">
        <v>2964</v>
      </c>
      <c r="B14" s="156">
        <v>0</v>
      </c>
    </row>
    <row r="15" spans="1:2">
      <c r="A15" s="158" t="s">
        <v>2964</v>
      </c>
      <c r="B15" s="156">
        <v>0</v>
      </c>
    </row>
  </sheetData>
  <mergeCells count="2">
    <mergeCell ref="A1:B1"/>
    <mergeCell ref="A2:B2"/>
  </mergeCells>
  <hyperlinks>
    <hyperlink ref="A3" location="'Fund Balance Summary'!A1" display="(Return to Summary Sheet)" xr:uid="{00000000-0004-0000-1F00-000000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B25"/>
  <sheetViews>
    <sheetView workbookViewId="0">
      <selection sqref="A1:B1"/>
    </sheetView>
  </sheetViews>
  <sheetFormatPr defaultRowHeight="14.45"/>
  <cols>
    <col min="1" max="1" width="46.28515625" bestFit="1" customWidth="1"/>
    <col min="2" max="2" width="31.28515625" customWidth="1"/>
  </cols>
  <sheetData>
    <row r="1" spans="1:2">
      <c r="A1" s="597" t="s">
        <v>2965</v>
      </c>
      <c r="B1" s="597"/>
    </row>
    <row r="2" spans="1:2">
      <c r="A2" s="667" t="s">
        <v>1207</v>
      </c>
      <c r="B2" s="667"/>
    </row>
    <row r="3" spans="1:2">
      <c r="A3" s="6" t="s">
        <v>2163</v>
      </c>
    </row>
    <row r="5" spans="1:2">
      <c r="A5" s="22" t="s">
        <v>700</v>
      </c>
      <c r="B5" s="19">
        <f>SUM(B6:B25)</f>
        <v>0</v>
      </c>
    </row>
    <row r="6" spans="1:2">
      <c r="A6" s="158" t="s">
        <v>2966</v>
      </c>
      <c r="B6" s="156">
        <v>0</v>
      </c>
    </row>
    <row r="7" spans="1:2">
      <c r="A7" s="158" t="s">
        <v>2966</v>
      </c>
      <c r="B7" s="156">
        <v>0</v>
      </c>
    </row>
    <row r="8" spans="1:2">
      <c r="A8" s="158" t="s">
        <v>2966</v>
      </c>
      <c r="B8" s="156">
        <v>0</v>
      </c>
    </row>
    <row r="9" spans="1:2">
      <c r="A9" s="158" t="s">
        <v>2966</v>
      </c>
      <c r="B9" s="156">
        <v>0</v>
      </c>
    </row>
    <row r="10" spans="1:2">
      <c r="A10" s="158" t="s">
        <v>2966</v>
      </c>
      <c r="B10" s="156">
        <v>0</v>
      </c>
    </row>
    <row r="11" spans="1:2">
      <c r="A11" s="158" t="s">
        <v>2966</v>
      </c>
      <c r="B11" s="156">
        <v>0</v>
      </c>
    </row>
    <row r="12" spans="1:2">
      <c r="A12" s="158" t="s">
        <v>2966</v>
      </c>
      <c r="B12" s="156">
        <v>0</v>
      </c>
    </row>
    <row r="13" spans="1:2">
      <c r="A13" s="158" t="s">
        <v>2966</v>
      </c>
      <c r="B13" s="156">
        <v>0</v>
      </c>
    </row>
    <row r="14" spans="1:2">
      <c r="A14" s="158" t="s">
        <v>2966</v>
      </c>
      <c r="B14" s="156">
        <v>0</v>
      </c>
    </row>
    <row r="15" spans="1:2">
      <c r="A15" s="158" t="s">
        <v>2966</v>
      </c>
      <c r="B15" s="156">
        <v>0</v>
      </c>
    </row>
    <row r="16" spans="1:2">
      <c r="A16" s="158" t="s">
        <v>2966</v>
      </c>
      <c r="B16" s="156">
        <v>0</v>
      </c>
    </row>
    <row r="17" spans="1:2">
      <c r="A17" s="158" t="s">
        <v>2966</v>
      </c>
      <c r="B17" s="156">
        <v>0</v>
      </c>
    </row>
    <row r="18" spans="1:2">
      <c r="A18" s="158" t="s">
        <v>2966</v>
      </c>
      <c r="B18" s="156">
        <v>0</v>
      </c>
    </row>
    <row r="19" spans="1:2">
      <c r="A19" s="158" t="s">
        <v>2966</v>
      </c>
      <c r="B19" s="156">
        <v>0</v>
      </c>
    </row>
    <row r="20" spans="1:2">
      <c r="A20" s="158" t="s">
        <v>2966</v>
      </c>
      <c r="B20" s="156">
        <v>0</v>
      </c>
    </row>
    <row r="21" spans="1:2">
      <c r="A21" s="158" t="s">
        <v>2966</v>
      </c>
      <c r="B21" s="156">
        <v>0</v>
      </c>
    </row>
    <row r="22" spans="1:2">
      <c r="A22" s="158" t="s">
        <v>2966</v>
      </c>
      <c r="B22" s="156">
        <v>0</v>
      </c>
    </row>
    <row r="23" spans="1:2">
      <c r="A23" s="158" t="s">
        <v>2966</v>
      </c>
      <c r="B23" s="156">
        <v>0</v>
      </c>
    </row>
    <row r="24" spans="1:2">
      <c r="A24" s="158" t="s">
        <v>2966</v>
      </c>
      <c r="B24" s="156">
        <v>0</v>
      </c>
    </row>
    <row r="25" spans="1:2">
      <c r="A25" s="158" t="s">
        <v>2966</v>
      </c>
      <c r="B25" s="156">
        <v>0</v>
      </c>
    </row>
  </sheetData>
  <mergeCells count="2">
    <mergeCell ref="A1:B1"/>
    <mergeCell ref="A2:B2"/>
  </mergeCells>
  <hyperlinks>
    <hyperlink ref="A3" location="'Fund Balance Summary'!A1" display="(Return to Summary Sheet)" xr:uid="{00000000-0004-0000-2000-000000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
  <sheetViews>
    <sheetView workbookViewId="0"/>
  </sheetViews>
  <sheetFormatPr defaultRowHeight="14.45"/>
  <sheetData/>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270C0"/>
  </sheetPr>
  <dimension ref="A1"/>
  <sheetViews>
    <sheetView workbookViewId="0"/>
  </sheetViews>
  <sheetFormatPr defaultRowHeight="14.45"/>
  <sheetData/>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270C0"/>
  </sheetPr>
  <dimension ref="A1:B28"/>
  <sheetViews>
    <sheetView workbookViewId="0">
      <selection activeCell="B28" sqref="B28"/>
    </sheetView>
  </sheetViews>
  <sheetFormatPr defaultRowHeight="14.45"/>
  <cols>
    <col min="1" max="1" width="52" bestFit="1" customWidth="1"/>
    <col min="2" max="2" width="23.85546875" customWidth="1"/>
  </cols>
  <sheetData>
    <row r="1" spans="1:2">
      <c r="A1" s="597" t="s">
        <v>2967</v>
      </c>
      <c r="B1" s="597"/>
    </row>
    <row r="2" spans="1:2">
      <c r="A2" s="667" t="s">
        <v>1207</v>
      </c>
      <c r="B2" s="667"/>
    </row>
    <row r="3" spans="1:2">
      <c r="A3" s="6" t="s">
        <v>2163</v>
      </c>
    </row>
    <row r="5" spans="1:2">
      <c r="A5" s="673" t="s">
        <v>2968</v>
      </c>
      <c r="B5" s="673"/>
    </row>
    <row r="6" spans="1:2">
      <c r="A6" s="17"/>
      <c r="B6" s="17"/>
    </row>
    <row r="7" spans="1:2">
      <c r="A7" s="35" t="s">
        <v>2969</v>
      </c>
      <c r="B7" s="36"/>
    </row>
    <row r="8" spans="1:2">
      <c r="A8" s="37" t="s">
        <v>2970</v>
      </c>
      <c r="B8" s="38">
        <v>0</v>
      </c>
    </row>
    <row r="9" spans="1:2">
      <c r="A9" s="37" t="s">
        <v>2971</v>
      </c>
      <c r="B9" s="39">
        <f>1/12</f>
        <v>8.3333333333333329E-2</v>
      </c>
    </row>
    <row r="10" spans="1:2">
      <c r="A10" s="37" t="s">
        <v>2972</v>
      </c>
      <c r="B10" s="40">
        <f>ROUND(B8*B9,2)</f>
        <v>0</v>
      </c>
    </row>
    <row r="11" spans="1:2">
      <c r="A11" s="37" t="s">
        <v>2973</v>
      </c>
      <c r="B11" s="39">
        <v>8.4500000000000006E-2</v>
      </c>
    </row>
    <row r="12" spans="1:2">
      <c r="A12" s="37" t="s">
        <v>2974</v>
      </c>
      <c r="B12" s="40">
        <f>ROUND(B8*B11,2)</f>
        <v>0</v>
      </c>
    </row>
    <row r="13" spans="1:2">
      <c r="A13" s="37" t="s">
        <v>2975</v>
      </c>
      <c r="B13" s="38">
        <v>0</v>
      </c>
    </row>
    <row r="14" spans="1:2">
      <c r="A14" s="41" t="s">
        <v>2976</v>
      </c>
      <c r="B14" s="42">
        <f>IF(B8=0,0,B13/B8)</f>
        <v>0</v>
      </c>
    </row>
    <row r="16" spans="1:2">
      <c r="A16" s="35" t="s">
        <v>2977</v>
      </c>
      <c r="B16" s="36"/>
    </row>
    <row r="17" spans="1:2">
      <c r="A17" s="37" t="s">
        <v>2970</v>
      </c>
      <c r="B17" s="38">
        <v>0</v>
      </c>
    </row>
    <row r="18" spans="1:2">
      <c r="A18" s="37" t="s">
        <v>2978</v>
      </c>
      <c r="B18" s="43">
        <v>0.05</v>
      </c>
    </row>
    <row r="19" spans="1:2">
      <c r="A19" s="37" t="s">
        <v>2979</v>
      </c>
      <c r="B19" s="40">
        <f>ROUND(B17*B18,2)</f>
        <v>0</v>
      </c>
    </row>
    <row r="20" spans="1:2">
      <c r="A20" s="37" t="s">
        <v>2975</v>
      </c>
      <c r="B20" s="38">
        <v>0</v>
      </c>
    </row>
    <row r="21" spans="1:2">
      <c r="A21" s="41" t="s">
        <v>2976</v>
      </c>
      <c r="B21" s="42">
        <f>IF(B17=0,0,B20/B17)</f>
        <v>0</v>
      </c>
    </row>
    <row r="23" spans="1:2">
      <c r="A23" s="35" t="s">
        <v>2980</v>
      </c>
      <c r="B23" s="36"/>
    </row>
    <row r="24" spans="1:2">
      <c r="A24" s="37" t="s">
        <v>2979</v>
      </c>
      <c r="B24" s="38">
        <v>0</v>
      </c>
    </row>
    <row r="25" spans="1:2">
      <c r="A25" s="41" t="s">
        <v>2975</v>
      </c>
      <c r="B25" s="44">
        <v>0</v>
      </c>
    </row>
    <row r="28" spans="1:2">
      <c r="A28" t="s">
        <v>2981</v>
      </c>
      <c r="B28" s="14">
        <f>IF(B20&lt;&gt;0,B20,IF(B25&lt;&gt;0,B25,B13))</f>
        <v>0</v>
      </c>
    </row>
  </sheetData>
  <mergeCells count="3">
    <mergeCell ref="A1:B1"/>
    <mergeCell ref="A2:B2"/>
    <mergeCell ref="A5:B5"/>
  </mergeCells>
  <dataValidations count="3">
    <dataValidation type="decimal" errorStyle="warning" operator="notEqual" allowBlank="1" showInputMessage="1" showErrorMessage="1" errorTitle="Value/Policy Mismatch" error="The amount entered into this cell does not match the district's established fund balance policy." sqref="B25" xr:uid="{00000000-0002-0000-2300-000000000000}">
      <formula1>B24</formula1>
    </dataValidation>
    <dataValidation type="decimal" errorStyle="warning" operator="equal" allowBlank="1" showInputMessage="1" showErrorMessage="1" errorTitle="Value/Policy Mismatch" error="The amount recorded in this cell does not match the district's policy for minimum fund balance." sqref="B20" xr:uid="{00000000-0002-0000-2300-000001000000}">
      <formula1>B19</formula1>
    </dataValidation>
    <dataValidation type="decimal" errorStyle="warning" allowBlank="1" showInputMessage="1" showErrorMessage="1" errorTitle="Value Out Of Range" error="The amount entered in this cell is not within the district's established fund balance policy range." sqref="B13" xr:uid="{00000000-0002-0000-2300-000002000000}">
      <formula1>B10</formula1>
      <formula2>B12</formula2>
    </dataValidation>
  </dataValidations>
  <hyperlinks>
    <hyperlink ref="A3" location="'Fund Balance Summary'!A1" display="(Return to Summary Sheet)" xr:uid="{00000000-0004-0000-2300-000000000000}"/>
  </hyperlink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15"/>
  <sheetViews>
    <sheetView workbookViewId="0"/>
  </sheetViews>
  <sheetFormatPr defaultRowHeight="14.45"/>
  <cols>
    <col min="1" max="1" width="47.28515625" bestFit="1" customWidth="1"/>
  </cols>
  <sheetData>
    <row r="1" spans="1:6">
      <c r="A1" s="6" t="s">
        <v>2982</v>
      </c>
    </row>
    <row r="3" spans="1:6">
      <c r="A3" t="s">
        <v>2983</v>
      </c>
    </row>
    <row r="5" spans="1:6">
      <c r="A5" s="623" t="s">
        <v>2984</v>
      </c>
      <c r="B5" s="623"/>
      <c r="C5" s="623"/>
      <c r="D5" s="623"/>
      <c r="E5" s="623"/>
      <c r="F5" s="623"/>
    </row>
    <row r="6" spans="1:6">
      <c r="A6" t="s">
        <v>2985</v>
      </c>
    </row>
    <row r="7" spans="1:6">
      <c r="A7" t="s">
        <v>2986</v>
      </c>
      <c r="B7" t="s">
        <v>2987</v>
      </c>
    </row>
    <row r="8" spans="1:6">
      <c r="A8" t="s">
        <v>2988</v>
      </c>
      <c r="C8" t="s">
        <v>2987</v>
      </c>
    </row>
    <row r="10" spans="1:6">
      <c r="A10" s="623" t="s">
        <v>2989</v>
      </c>
      <c r="B10" s="623"/>
      <c r="C10" s="623"/>
      <c r="D10" s="623"/>
      <c r="E10" s="623"/>
      <c r="F10" s="623"/>
    </row>
    <row r="11" spans="1:6">
      <c r="A11" s="623" t="s">
        <v>2990</v>
      </c>
      <c r="B11" s="623"/>
      <c r="C11" s="623"/>
      <c r="D11" s="623"/>
      <c r="E11" s="623"/>
      <c r="F11" s="623"/>
    </row>
    <row r="13" spans="1:6">
      <c r="A13" t="s">
        <v>2991</v>
      </c>
      <c r="B13" t="s">
        <v>2992</v>
      </c>
    </row>
    <row r="14" spans="1:6">
      <c r="A14" t="s">
        <v>2993</v>
      </c>
      <c r="B14" t="s">
        <v>2987</v>
      </c>
      <c r="D14" t="s">
        <v>2994</v>
      </c>
    </row>
    <row r="15" spans="1:6">
      <c r="A15" t="s">
        <v>2995</v>
      </c>
      <c r="C15" t="s">
        <v>2996</v>
      </c>
    </row>
  </sheetData>
  <mergeCells count="3">
    <mergeCell ref="A5:F5"/>
    <mergeCell ref="A10:F10"/>
    <mergeCell ref="A11:F11"/>
  </mergeCells>
  <hyperlinks>
    <hyperlink ref="A1" location="'GL 821 Restricted'!A1" display="(Click here to go back to the GL 821 page.)" xr:uid="{00000000-0004-0000-24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75071-4C03-423A-83AF-44344179DF0E}"/>
</file>

<file path=customXml/itemProps2.xml><?xml version="1.0" encoding="utf-8"?>
<ds:datastoreItem xmlns:ds="http://schemas.openxmlformats.org/officeDocument/2006/customXml" ds:itemID="{1BD1EC77-5B44-429D-9593-9761B5CE2884}"/>
</file>

<file path=customXml/itemProps3.xml><?xml version="1.0" encoding="utf-8"?>
<ds:datastoreItem xmlns:ds="http://schemas.openxmlformats.org/officeDocument/2006/customXml" ds:itemID="{E59E9294-AD17-4385-95A8-80C245DAE69B}"/>
</file>

<file path=docProps/app.xml><?xml version="1.0" encoding="utf-8"?>
<Properties xmlns="http://schemas.openxmlformats.org/officeDocument/2006/extended-properties" xmlns:vt="http://schemas.openxmlformats.org/officeDocument/2006/docPropsVTypes">
  <Application>Microsoft Excel Online</Application>
  <Manager/>
  <Company>OSPI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Fund Balance Reporting Tool</dc:title>
  <dc:subject/>
  <dc:creator>OSPI/SAFS</dc:creator>
  <cp:keywords>fund balance, GASB 54</cp:keywords>
  <dc:description/>
  <cp:lastModifiedBy/>
  <cp:revision/>
  <dcterms:created xsi:type="dcterms:W3CDTF">2011-05-18T18:10:29Z</dcterms:created>
  <dcterms:modified xsi:type="dcterms:W3CDTF">2024-10-18T20:21:43Z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2024-05-21T19:58:50Z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2b547332-ca2c-4957-bc64-4fe07d7da369</vt:lpwstr>
  </property>
  <property fmtid="{D5CDD505-2E9C-101B-9397-08002B2CF9AE}" pid="8" name="MSIP_Label_9145f431-4c8c-42c6-a5a5-ba6d3bdea585_ContentBits">
    <vt:lpwstr>0</vt:lpwstr>
  </property>
</Properties>
</file>