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S:\Apportionment_NEW\Levy and LEA\2025\"/>
    </mc:Choice>
  </mc:AlternateContent>
  <xr:revisionPtr revIDLastSave="0" documentId="13_ncr:1_{2990E8AE-A075-4CA2-9EC7-6FB4571C8B08}" xr6:coauthVersionLast="47" xr6:coauthVersionMax="47" xr10:uidLastSave="{00000000-0000-0000-0000-000000000000}"/>
  <bookViews>
    <workbookView xWindow="-26640" yWindow="2280" windowWidth="26400" windowHeight="18015" xr2:uid="{F4887C85-D5FF-426C-87FC-3B966F686182}"/>
  </bookViews>
  <sheets>
    <sheet name="Instructions for Pre-Ballot" sheetId="9" r:id="rId1"/>
    <sheet name="LevyCalc" sheetId="3" r:id="rId2"/>
    <sheet name="Pre-Ballot Approval" sheetId="6" r:id="rId3"/>
    <sheet name="Data" sheetId="1" state="hidden" r:id="rId4"/>
    <sheet name="District AAFTE" sheetId="5" state="hidden" r:id="rId5"/>
    <sheet name="Voter Approved" sheetId="4" state="hidden" r:id="rId6"/>
    <sheet name="Sheet1" sheetId="7" state="hidden" r:id="rId7"/>
  </sheets>
  <definedNames>
    <definedName name="_xlnm._FilterDatabase" localSheetId="3" hidden="1">Data!$A$2:$X$2</definedName>
    <definedName name="_xlnm._FilterDatabase" localSheetId="4" hidden="1">'District AAFTE'!$A$8:$S$319</definedName>
    <definedName name="_xlnm._FilterDatabase" localSheetId="5" hidden="1">'Voter Approved'!$A$1:$M$1</definedName>
    <definedName name="_Order1" hidden="1">255</definedName>
    <definedName name="_Order2" hidden="1">255</definedName>
    <definedName name="CY">LevyCalc!$C$15:$G$15</definedName>
    <definedName name="Data">Data!$A$2:$X$306</definedName>
    <definedName name="enrollment">'District AAFTE'!$A:$W</definedName>
    <definedName name="_xlnm.Print_Area" localSheetId="1">LevyCalc!$A$1:$G$75</definedName>
    <definedName name="_xlnm.Print_Area" localSheetId="2">'Pre-Ballot Approval'!$A$1:$H$80</definedName>
    <definedName name="_xlnm.Print_Titles" localSheetId="1">LevyCalc!$1:$3</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98" i="4" l="1"/>
  <c r="M2" i="4"/>
  <c r="V9" i="5"/>
  <c r="W9" i="5" s="1"/>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9" i="5"/>
  <c r="N9" i="5" l="1"/>
  <c r="M9" i="5"/>
  <c r="L9" i="5"/>
  <c r="K9" i="5"/>
  <c r="E9" i="5"/>
  <c r="J9" i="5" s="1"/>
  <c r="C7" i="5"/>
  <c r="D7" i="5"/>
  <c r="G7" i="5"/>
  <c r="H7" i="5"/>
  <c r="I7"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D37" i="6" l="1"/>
  <c r="C37" i="6"/>
  <c r="C26" i="6"/>
  <c r="E43" i="6" l="1"/>
  <c r="C18" i="3"/>
  <c r="E37" i="6" l="1"/>
  <c r="F43" i="6" s="1"/>
  <c r="D43" i="6"/>
  <c r="Q6" i="5"/>
  <c r="R6" i="5"/>
  <c r="S6" i="5"/>
  <c r="T6" i="5"/>
  <c r="P6" i="5"/>
  <c r="F37" i="6" l="1"/>
  <c r="G43" i="6" s="1"/>
  <c r="N249" i="5" l="1"/>
  <c r="J46" i="5"/>
  <c r="K31" i="5"/>
  <c r="N78" i="5"/>
  <c r="J281" i="5"/>
  <c r="L301" i="5"/>
  <c r="N153" i="5"/>
  <c r="K207" i="5"/>
  <c r="J199" i="5"/>
  <c r="L74" i="5"/>
  <c r="J179" i="5"/>
  <c r="N307" i="5"/>
  <c r="L18" i="5"/>
  <c r="J266" i="5"/>
  <c r="K266" i="5"/>
  <c r="L266" i="5"/>
  <c r="M266" i="5"/>
  <c r="N266" i="5"/>
  <c r="L258" i="5"/>
  <c r="M258" i="5"/>
  <c r="N258" i="5"/>
  <c r="K258" i="5"/>
  <c r="J258" i="5"/>
  <c r="J250" i="5"/>
  <c r="K250" i="5"/>
  <c r="L250" i="5"/>
  <c r="M250" i="5"/>
  <c r="N250" i="5"/>
  <c r="J234" i="5"/>
  <c r="K234" i="5"/>
  <c r="L234" i="5"/>
  <c r="M234" i="5"/>
  <c r="N234" i="5"/>
  <c r="J94" i="5"/>
  <c r="K94" i="5"/>
  <c r="M94" i="5"/>
  <c r="L94" i="5"/>
  <c r="N94" i="5"/>
  <c r="J218" i="5"/>
  <c r="K218" i="5"/>
  <c r="L218" i="5"/>
  <c r="M218" i="5"/>
  <c r="N218" i="5"/>
  <c r="J78" i="5"/>
  <c r="K78" i="5"/>
  <c r="M78" i="5"/>
  <c r="J62" i="5"/>
  <c r="K62" i="5"/>
  <c r="M62" i="5"/>
  <c r="L62" i="5"/>
  <c r="N62" i="5"/>
  <c r="J265" i="5"/>
  <c r="K265" i="5"/>
  <c r="L265" i="5"/>
  <c r="M265" i="5"/>
  <c r="N265" i="5"/>
  <c r="J249" i="5"/>
  <c r="K249" i="5"/>
  <c r="L249" i="5"/>
  <c r="M249" i="5"/>
  <c r="J202" i="5"/>
  <c r="K202" i="5"/>
  <c r="L202" i="5"/>
  <c r="M202" i="5"/>
  <c r="N202" i="5"/>
  <c r="K302" i="5"/>
  <c r="J302" i="5"/>
  <c r="M302" i="5"/>
  <c r="L302" i="5"/>
  <c r="N302" i="5"/>
  <c r="J217" i="5"/>
  <c r="K217" i="5"/>
  <c r="L217" i="5"/>
  <c r="M217" i="5"/>
  <c r="N217" i="5"/>
  <c r="J154" i="5"/>
  <c r="K154" i="5"/>
  <c r="L154" i="5"/>
  <c r="M154" i="5"/>
  <c r="N154" i="5"/>
  <c r="J186" i="5"/>
  <c r="K186" i="5"/>
  <c r="L186" i="5"/>
  <c r="M186" i="5"/>
  <c r="N186" i="5"/>
  <c r="J201" i="5"/>
  <c r="K201" i="5"/>
  <c r="L201" i="5"/>
  <c r="M201" i="5"/>
  <c r="N201" i="5"/>
  <c r="J185" i="5"/>
  <c r="K185" i="5"/>
  <c r="L185" i="5"/>
  <c r="M185" i="5"/>
  <c r="N185" i="5"/>
  <c r="J138" i="5"/>
  <c r="K138" i="5"/>
  <c r="L138" i="5"/>
  <c r="M138" i="5"/>
  <c r="N138" i="5"/>
  <c r="J169" i="5"/>
  <c r="K169" i="5"/>
  <c r="L169" i="5"/>
  <c r="M169" i="5"/>
  <c r="N169" i="5"/>
  <c r="L130" i="5"/>
  <c r="M130" i="5"/>
  <c r="N130" i="5"/>
  <c r="K130" i="5"/>
  <c r="J130" i="5"/>
  <c r="J122" i="5"/>
  <c r="K122" i="5"/>
  <c r="L122" i="5"/>
  <c r="M122" i="5"/>
  <c r="N122" i="5"/>
  <c r="J106" i="5"/>
  <c r="K106" i="5"/>
  <c r="L106" i="5"/>
  <c r="M106" i="5"/>
  <c r="N106" i="5"/>
  <c r="J286" i="5"/>
  <c r="K286" i="5"/>
  <c r="N286" i="5"/>
  <c r="L286" i="5"/>
  <c r="M286" i="5"/>
  <c r="J153" i="5"/>
  <c r="K153" i="5"/>
  <c r="L153" i="5"/>
  <c r="M153" i="5"/>
  <c r="J14" i="5"/>
  <c r="K14" i="5"/>
  <c r="M14" i="5"/>
  <c r="L14" i="5"/>
  <c r="N14" i="5"/>
  <c r="J254" i="5"/>
  <c r="K254" i="5"/>
  <c r="M254" i="5"/>
  <c r="N254" i="5"/>
  <c r="L254" i="5"/>
  <c r="J137" i="5"/>
  <c r="K137" i="5"/>
  <c r="L137" i="5"/>
  <c r="M137" i="5"/>
  <c r="N137" i="5"/>
  <c r="J121" i="5"/>
  <c r="K121" i="5"/>
  <c r="L121" i="5"/>
  <c r="M121" i="5"/>
  <c r="N121" i="5"/>
  <c r="L82" i="5"/>
  <c r="M82" i="5"/>
  <c r="N82" i="5"/>
  <c r="K82" i="5"/>
  <c r="J82" i="5"/>
  <c r="L194" i="5"/>
  <c r="M194" i="5"/>
  <c r="N194" i="5"/>
  <c r="K194" i="5"/>
  <c r="J194" i="5"/>
  <c r="J270" i="5"/>
  <c r="K270" i="5"/>
  <c r="M270" i="5"/>
  <c r="L270" i="5"/>
  <c r="N270" i="5"/>
  <c r="J238" i="5"/>
  <c r="K238" i="5"/>
  <c r="M238" i="5"/>
  <c r="N238" i="5"/>
  <c r="L238" i="5"/>
  <c r="J105" i="5"/>
  <c r="K105" i="5"/>
  <c r="L105" i="5"/>
  <c r="M105" i="5"/>
  <c r="N105" i="5"/>
  <c r="J74" i="5"/>
  <c r="K74" i="5"/>
  <c r="N74" i="5"/>
  <c r="L66" i="5"/>
  <c r="M66" i="5"/>
  <c r="N66" i="5"/>
  <c r="K66" i="5"/>
  <c r="J66" i="5"/>
  <c r="J58" i="5"/>
  <c r="K58" i="5"/>
  <c r="L58" i="5"/>
  <c r="M58" i="5"/>
  <c r="N58" i="5"/>
  <c r="J222" i="5"/>
  <c r="K222" i="5"/>
  <c r="M222" i="5"/>
  <c r="L222" i="5"/>
  <c r="N222" i="5"/>
  <c r="J206" i="5"/>
  <c r="K206" i="5"/>
  <c r="M206" i="5"/>
  <c r="N206" i="5"/>
  <c r="L206" i="5"/>
  <c r="J190" i="5"/>
  <c r="K190" i="5"/>
  <c r="M190" i="5"/>
  <c r="L190" i="5"/>
  <c r="N190" i="5"/>
  <c r="J89" i="5"/>
  <c r="K89" i="5"/>
  <c r="L89" i="5"/>
  <c r="M89" i="5"/>
  <c r="N89" i="5"/>
  <c r="J73" i="5"/>
  <c r="K73" i="5"/>
  <c r="L73" i="5"/>
  <c r="M73" i="5"/>
  <c r="N73" i="5"/>
  <c r="J57" i="5"/>
  <c r="K57" i="5"/>
  <c r="L57" i="5"/>
  <c r="M57" i="5"/>
  <c r="N57" i="5"/>
  <c r="J174" i="5"/>
  <c r="K174" i="5"/>
  <c r="M174" i="5"/>
  <c r="L174" i="5"/>
  <c r="N174" i="5"/>
  <c r="J41" i="5"/>
  <c r="K41" i="5"/>
  <c r="L41" i="5"/>
  <c r="M41" i="5"/>
  <c r="N41" i="5"/>
  <c r="J306" i="5"/>
  <c r="K306" i="5"/>
  <c r="M306" i="5"/>
  <c r="L306" i="5"/>
  <c r="N306" i="5"/>
  <c r="K298" i="5"/>
  <c r="L298" i="5"/>
  <c r="M298" i="5"/>
  <c r="N298" i="5"/>
  <c r="J298" i="5"/>
  <c r="J158" i="5"/>
  <c r="K158" i="5"/>
  <c r="M158" i="5"/>
  <c r="L158" i="5"/>
  <c r="N158" i="5"/>
  <c r="J170" i="5"/>
  <c r="K170" i="5"/>
  <c r="L170" i="5"/>
  <c r="M170" i="5"/>
  <c r="N170" i="5"/>
  <c r="L285" i="5"/>
  <c r="M285" i="5"/>
  <c r="N285" i="5"/>
  <c r="J285" i="5"/>
  <c r="K285" i="5"/>
  <c r="J142" i="5"/>
  <c r="K142" i="5"/>
  <c r="M142" i="5"/>
  <c r="L142" i="5"/>
  <c r="N142" i="5"/>
  <c r="J126" i="5"/>
  <c r="K126" i="5"/>
  <c r="M126" i="5"/>
  <c r="L126" i="5"/>
  <c r="N126" i="5"/>
  <c r="J233" i="5"/>
  <c r="K233" i="5"/>
  <c r="L233" i="5"/>
  <c r="M233" i="5"/>
  <c r="N233" i="5"/>
  <c r="K282" i="5"/>
  <c r="L282" i="5"/>
  <c r="M282" i="5"/>
  <c r="N282" i="5"/>
  <c r="J282" i="5"/>
  <c r="J110" i="5"/>
  <c r="K110" i="5"/>
  <c r="M110" i="5"/>
  <c r="N110" i="5"/>
  <c r="L110" i="5"/>
  <c r="J10" i="5"/>
  <c r="K10" i="5"/>
  <c r="L10" i="5"/>
  <c r="M10" i="5"/>
  <c r="N10" i="5"/>
  <c r="L178" i="5"/>
  <c r="M178" i="5"/>
  <c r="N178" i="5"/>
  <c r="K178" i="5"/>
  <c r="J178" i="5"/>
  <c r="J308" i="5"/>
  <c r="L308" i="5"/>
  <c r="K308" i="5"/>
  <c r="M308" i="5"/>
  <c r="N308" i="5"/>
  <c r="N216" i="5"/>
  <c r="K216" i="5"/>
  <c r="M216" i="5"/>
  <c r="J216" i="5"/>
  <c r="L216" i="5"/>
  <c r="N152" i="5"/>
  <c r="K152" i="5"/>
  <c r="M152" i="5"/>
  <c r="J152" i="5"/>
  <c r="L152" i="5"/>
  <c r="J123" i="5"/>
  <c r="L123" i="5"/>
  <c r="N123" i="5"/>
  <c r="K123" i="5"/>
  <c r="M123" i="5"/>
  <c r="J116" i="5"/>
  <c r="K116" i="5"/>
  <c r="L116" i="5"/>
  <c r="M116" i="5"/>
  <c r="N116" i="5"/>
  <c r="J102" i="5"/>
  <c r="K102" i="5"/>
  <c r="L102" i="5"/>
  <c r="M102" i="5"/>
  <c r="N102" i="5"/>
  <c r="N88" i="5"/>
  <c r="K88" i="5"/>
  <c r="M88" i="5"/>
  <c r="J88" i="5"/>
  <c r="L88" i="5"/>
  <c r="J59" i="5"/>
  <c r="L59" i="5"/>
  <c r="N59" i="5"/>
  <c r="M59" i="5"/>
  <c r="K59" i="5"/>
  <c r="J52" i="5"/>
  <c r="K52" i="5"/>
  <c r="L52" i="5"/>
  <c r="M52" i="5"/>
  <c r="N52" i="5"/>
  <c r="J38" i="5"/>
  <c r="K38" i="5"/>
  <c r="L38" i="5"/>
  <c r="M38" i="5"/>
  <c r="N38" i="5"/>
  <c r="J30" i="5"/>
  <c r="K30" i="5"/>
  <c r="M30" i="5"/>
  <c r="L30" i="5"/>
  <c r="N30" i="5"/>
  <c r="N24" i="5"/>
  <c r="K24" i="5"/>
  <c r="M24" i="5"/>
  <c r="J24" i="5"/>
  <c r="L24" i="5"/>
  <c r="J16" i="5"/>
  <c r="K16" i="5"/>
  <c r="L16" i="5"/>
  <c r="M16" i="5"/>
  <c r="N16" i="5"/>
  <c r="K300" i="5"/>
  <c r="M300" i="5"/>
  <c r="J300" i="5"/>
  <c r="L300" i="5"/>
  <c r="N300" i="5"/>
  <c r="J293" i="5"/>
  <c r="K293" i="5"/>
  <c r="M293" i="5"/>
  <c r="N293" i="5"/>
  <c r="L293" i="5"/>
  <c r="J272" i="5"/>
  <c r="K272" i="5"/>
  <c r="L272" i="5"/>
  <c r="M272" i="5"/>
  <c r="N272" i="5"/>
  <c r="J208" i="5"/>
  <c r="K208" i="5"/>
  <c r="L208" i="5"/>
  <c r="M208" i="5"/>
  <c r="N208" i="5"/>
  <c r="J144" i="5"/>
  <c r="K144" i="5"/>
  <c r="L144" i="5"/>
  <c r="M144" i="5"/>
  <c r="N144" i="5"/>
  <c r="M37" i="5"/>
  <c r="N37" i="5"/>
  <c r="J37" i="5"/>
  <c r="L37" i="5"/>
  <c r="K37" i="5"/>
  <c r="J279" i="5"/>
  <c r="K279" i="5"/>
  <c r="M279" i="5"/>
  <c r="L279" i="5"/>
  <c r="N279" i="5"/>
  <c r="J243" i="5"/>
  <c r="K243" i="5"/>
  <c r="L243" i="5"/>
  <c r="M243" i="5"/>
  <c r="N243" i="5"/>
  <c r="J236" i="5"/>
  <c r="K236" i="5"/>
  <c r="L236" i="5"/>
  <c r="M236" i="5"/>
  <c r="N236" i="5"/>
  <c r="J215" i="5"/>
  <c r="K215" i="5"/>
  <c r="L215" i="5"/>
  <c r="M215" i="5"/>
  <c r="N215" i="5"/>
  <c r="J172" i="5"/>
  <c r="K172" i="5"/>
  <c r="L172" i="5"/>
  <c r="M172" i="5"/>
  <c r="N172" i="5"/>
  <c r="J151" i="5"/>
  <c r="K151" i="5"/>
  <c r="L151" i="5"/>
  <c r="M151" i="5"/>
  <c r="N151" i="5"/>
  <c r="J115" i="5"/>
  <c r="K115" i="5"/>
  <c r="L115" i="5"/>
  <c r="M115" i="5"/>
  <c r="N115" i="5"/>
  <c r="J108" i="5"/>
  <c r="K108" i="5"/>
  <c r="L108" i="5"/>
  <c r="M108" i="5"/>
  <c r="N108" i="5"/>
  <c r="J87" i="5"/>
  <c r="K87" i="5"/>
  <c r="L87" i="5"/>
  <c r="M87" i="5"/>
  <c r="N87" i="5"/>
  <c r="J257" i="5"/>
  <c r="K257" i="5"/>
  <c r="L257" i="5"/>
  <c r="N257" i="5"/>
  <c r="M257" i="5"/>
  <c r="J93" i="5"/>
  <c r="K93" i="5"/>
  <c r="L93" i="5"/>
  <c r="M93" i="5"/>
  <c r="N93" i="5"/>
  <c r="K79" i="5"/>
  <c r="L79" i="5"/>
  <c r="M79" i="5"/>
  <c r="N79" i="5"/>
  <c r="J79" i="5"/>
  <c r="J65" i="5"/>
  <c r="K65" i="5"/>
  <c r="L65" i="5"/>
  <c r="N65" i="5"/>
  <c r="M65" i="5"/>
  <c r="L50" i="5"/>
  <c r="M50" i="5"/>
  <c r="N50" i="5"/>
  <c r="K50" i="5"/>
  <c r="J50" i="5"/>
  <c r="J29" i="5"/>
  <c r="K29" i="5"/>
  <c r="L29" i="5"/>
  <c r="M29" i="5"/>
  <c r="N29" i="5"/>
  <c r="K15" i="5"/>
  <c r="L15" i="5"/>
  <c r="M15" i="5"/>
  <c r="N15" i="5"/>
  <c r="J15" i="5"/>
  <c r="J193" i="5"/>
  <c r="K193" i="5"/>
  <c r="L193" i="5"/>
  <c r="N193" i="5"/>
  <c r="M193" i="5"/>
  <c r="J305" i="5"/>
  <c r="L305" i="5"/>
  <c r="K305" i="5"/>
  <c r="M305" i="5"/>
  <c r="N305" i="5"/>
  <c r="N291" i="5"/>
  <c r="J291" i="5"/>
  <c r="L291" i="5"/>
  <c r="K291" i="5"/>
  <c r="M291" i="5"/>
  <c r="J256" i="5"/>
  <c r="K256" i="5"/>
  <c r="L256" i="5"/>
  <c r="M256" i="5"/>
  <c r="N256" i="5"/>
  <c r="J192" i="5"/>
  <c r="K192" i="5"/>
  <c r="L192" i="5"/>
  <c r="M192" i="5"/>
  <c r="N192" i="5"/>
  <c r="J128" i="5"/>
  <c r="K128" i="5"/>
  <c r="L128" i="5"/>
  <c r="M128" i="5"/>
  <c r="N128" i="5"/>
  <c r="M85" i="5"/>
  <c r="N85" i="5"/>
  <c r="J85" i="5"/>
  <c r="L85" i="5"/>
  <c r="K85" i="5"/>
  <c r="J42" i="5"/>
  <c r="K42" i="5"/>
  <c r="L42" i="5"/>
  <c r="M42" i="5"/>
  <c r="N42" i="5"/>
  <c r="M21" i="5"/>
  <c r="N21" i="5"/>
  <c r="J21" i="5"/>
  <c r="L21" i="5"/>
  <c r="K21" i="5"/>
  <c r="K271" i="5"/>
  <c r="L271" i="5"/>
  <c r="M271" i="5"/>
  <c r="N271" i="5"/>
  <c r="J271" i="5"/>
  <c r="J157" i="5"/>
  <c r="K157" i="5"/>
  <c r="L157" i="5"/>
  <c r="M157" i="5"/>
  <c r="N157" i="5"/>
  <c r="J290" i="5"/>
  <c r="L290" i="5"/>
  <c r="K290" i="5"/>
  <c r="M290" i="5"/>
  <c r="N290" i="5"/>
  <c r="K284" i="5"/>
  <c r="J284" i="5"/>
  <c r="M284" i="5"/>
  <c r="L284" i="5"/>
  <c r="N284" i="5"/>
  <c r="J263" i="5"/>
  <c r="K263" i="5"/>
  <c r="L263" i="5"/>
  <c r="M263" i="5"/>
  <c r="N263" i="5"/>
  <c r="J227" i="5"/>
  <c r="K227" i="5"/>
  <c r="L227" i="5"/>
  <c r="M227" i="5"/>
  <c r="N227" i="5"/>
  <c r="J220" i="5"/>
  <c r="K220" i="5"/>
  <c r="L220" i="5"/>
  <c r="M220" i="5"/>
  <c r="N220" i="5"/>
  <c r="J163" i="5"/>
  <c r="K163" i="5"/>
  <c r="L163" i="5"/>
  <c r="M163" i="5"/>
  <c r="N163" i="5"/>
  <c r="J156" i="5"/>
  <c r="K156" i="5"/>
  <c r="L156" i="5"/>
  <c r="M156" i="5"/>
  <c r="N156" i="5"/>
  <c r="J135" i="5"/>
  <c r="K135" i="5"/>
  <c r="L135" i="5"/>
  <c r="M135" i="5"/>
  <c r="N135" i="5"/>
  <c r="J99" i="5"/>
  <c r="K99" i="5"/>
  <c r="L99" i="5"/>
  <c r="M99" i="5"/>
  <c r="N99" i="5"/>
  <c r="J297" i="5"/>
  <c r="L297" i="5"/>
  <c r="N297" i="5"/>
  <c r="K297" i="5"/>
  <c r="M297" i="5"/>
  <c r="J283" i="5"/>
  <c r="K283" i="5"/>
  <c r="L283" i="5"/>
  <c r="M283" i="5"/>
  <c r="N283" i="5"/>
  <c r="J269" i="5"/>
  <c r="K269" i="5"/>
  <c r="L269" i="5"/>
  <c r="M269" i="5"/>
  <c r="N269" i="5"/>
  <c r="L226" i="5"/>
  <c r="M226" i="5"/>
  <c r="N226" i="5"/>
  <c r="K226" i="5"/>
  <c r="J226" i="5"/>
  <c r="J205" i="5"/>
  <c r="K205" i="5"/>
  <c r="L205" i="5"/>
  <c r="M205" i="5"/>
  <c r="N205" i="5"/>
  <c r="L162" i="5"/>
  <c r="M162" i="5"/>
  <c r="N162" i="5"/>
  <c r="K162" i="5"/>
  <c r="J162" i="5"/>
  <c r="J141" i="5"/>
  <c r="K141" i="5"/>
  <c r="L141" i="5"/>
  <c r="M141" i="5"/>
  <c r="N141" i="5"/>
  <c r="L98" i="5"/>
  <c r="M98" i="5"/>
  <c r="N98" i="5"/>
  <c r="K98" i="5"/>
  <c r="J98" i="5"/>
  <c r="J77" i="5"/>
  <c r="K77" i="5"/>
  <c r="L77" i="5"/>
  <c r="M77" i="5"/>
  <c r="N77" i="5"/>
  <c r="N56" i="5"/>
  <c r="K56" i="5"/>
  <c r="M56" i="5"/>
  <c r="J56" i="5"/>
  <c r="L56" i="5"/>
  <c r="L34" i="5"/>
  <c r="M34" i="5"/>
  <c r="N34" i="5"/>
  <c r="K34" i="5"/>
  <c r="J34" i="5"/>
  <c r="J13" i="5"/>
  <c r="K13" i="5"/>
  <c r="L13" i="5"/>
  <c r="M13" i="5"/>
  <c r="N13" i="5"/>
  <c r="J292" i="5"/>
  <c r="K292" i="5"/>
  <c r="L292" i="5"/>
  <c r="M292" i="5"/>
  <c r="N292" i="5"/>
  <c r="E311" i="5"/>
  <c r="E7" i="5" s="1"/>
  <c r="L303" i="5"/>
  <c r="N303" i="5"/>
  <c r="J303" i="5"/>
  <c r="K303" i="5"/>
  <c r="M303" i="5"/>
  <c r="J240" i="5"/>
  <c r="K240" i="5"/>
  <c r="L240" i="5"/>
  <c r="M240" i="5"/>
  <c r="N240" i="5"/>
  <c r="J176" i="5"/>
  <c r="K176" i="5"/>
  <c r="L176" i="5"/>
  <c r="M176" i="5"/>
  <c r="N176" i="5"/>
  <c r="M133" i="5"/>
  <c r="N133" i="5"/>
  <c r="J133" i="5"/>
  <c r="L133" i="5"/>
  <c r="K133" i="5"/>
  <c r="J112" i="5"/>
  <c r="K112" i="5"/>
  <c r="L112" i="5"/>
  <c r="M112" i="5"/>
  <c r="N112" i="5"/>
  <c r="J90" i="5"/>
  <c r="K90" i="5"/>
  <c r="L90" i="5"/>
  <c r="M90" i="5"/>
  <c r="N90" i="5"/>
  <c r="M69" i="5"/>
  <c r="N69" i="5"/>
  <c r="J69" i="5"/>
  <c r="L69" i="5"/>
  <c r="K69" i="5"/>
  <c r="J26" i="5"/>
  <c r="K26" i="5"/>
  <c r="L26" i="5"/>
  <c r="M26" i="5"/>
  <c r="N26" i="5"/>
  <c r="L242" i="5"/>
  <c r="M242" i="5"/>
  <c r="N242" i="5"/>
  <c r="K242" i="5"/>
  <c r="J242" i="5"/>
  <c r="N289" i="5"/>
  <c r="J289" i="5"/>
  <c r="K289" i="5"/>
  <c r="L289" i="5"/>
  <c r="M289" i="5"/>
  <c r="J275" i="5"/>
  <c r="K275" i="5"/>
  <c r="L275" i="5"/>
  <c r="M275" i="5"/>
  <c r="N275" i="5"/>
  <c r="J268" i="5"/>
  <c r="K268" i="5"/>
  <c r="L268" i="5"/>
  <c r="M268" i="5"/>
  <c r="N268" i="5"/>
  <c r="J247" i="5"/>
  <c r="K247" i="5"/>
  <c r="L247" i="5"/>
  <c r="M247" i="5"/>
  <c r="N247" i="5"/>
  <c r="J211" i="5"/>
  <c r="K211" i="5"/>
  <c r="L211" i="5"/>
  <c r="M211" i="5"/>
  <c r="N211" i="5"/>
  <c r="J204" i="5"/>
  <c r="K204" i="5"/>
  <c r="L204" i="5"/>
  <c r="M204" i="5"/>
  <c r="N204" i="5"/>
  <c r="J183" i="5"/>
  <c r="K183" i="5"/>
  <c r="L183" i="5"/>
  <c r="M183" i="5"/>
  <c r="N183" i="5"/>
  <c r="L274" i="5"/>
  <c r="M274" i="5"/>
  <c r="N274" i="5"/>
  <c r="J274" i="5"/>
  <c r="K274" i="5"/>
  <c r="J267" i="5"/>
  <c r="L267" i="5"/>
  <c r="N267" i="5"/>
  <c r="K267" i="5"/>
  <c r="M267" i="5"/>
  <c r="J253" i="5"/>
  <c r="K253" i="5"/>
  <c r="L253" i="5"/>
  <c r="M253" i="5"/>
  <c r="N253" i="5"/>
  <c r="L210" i="5"/>
  <c r="M210" i="5"/>
  <c r="N210" i="5"/>
  <c r="K210" i="5"/>
  <c r="J210" i="5"/>
  <c r="J189" i="5"/>
  <c r="K189" i="5"/>
  <c r="L189" i="5"/>
  <c r="M189" i="5"/>
  <c r="N189" i="5"/>
  <c r="L146" i="5"/>
  <c r="M146" i="5"/>
  <c r="N146" i="5"/>
  <c r="K146" i="5"/>
  <c r="J146" i="5"/>
  <c r="J125" i="5"/>
  <c r="K125" i="5"/>
  <c r="L125" i="5"/>
  <c r="M125" i="5"/>
  <c r="N125" i="5"/>
  <c r="J61" i="5"/>
  <c r="K61" i="5"/>
  <c r="L61" i="5"/>
  <c r="M61" i="5"/>
  <c r="N61" i="5"/>
  <c r="K47" i="5"/>
  <c r="L47" i="5"/>
  <c r="M47" i="5"/>
  <c r="N47" i="5"/>
  <c r="J47" i="5"/>
  <c r="N40" i="5"/>
  <c r="K40" i="5"/>
  <c r="M40" i="5"/>
  <c r="J40" i="5"/>
  <c r="L40" i="5"/>
  <c r="J33" i="5"/>
  <c r="K33" i="5"/>
  <c r="L33" i="5"/>
  <c r="N33" i="5"/>
  <c r="M33" i="5"/>
  <c r="J235" i="5"/>
  <c r="L235" i="5"/>
  <c r="N235" i="5"/>
  <c r="K235" i="5"/>
  <c r="M235" i="5"/>
  <c r="J129" i="5"/>
  <c r="K129" i="5"/>
  <c r="L129" i="5"/>
  <c r="N129" i="5"/>
  <c r="M129" i="5"/>
  <c r="J32" i="5"/>
  <c r="K32" i="5"/>
  <c r="L32" i="5"/>
  <c r="M32" i="5"/>
  <c r="N32" i="5"/>
  <c r="J25" i="5"/>
  <c r="K25" i="5"/>
  <c r="L25" i="5"/>
  <c r="M25" i="5"/>
  <c r="N25" i="5"/>
  <c r="J11" i="5"/>
  <c r="L11" i="5"/>
  <c r="N11" i="5"/>
  <c r="K11" i="5"/>
  <c r="M11" i="5"/>
  <c r="J221" i="5"/>
  <c r="K221" i="5"/>
  <c r="L221" i="5"/>
  <c r="M221" i="5"/>
  <c r="N221" i="5"/>
  <c r="J295" i="5"/>
  <c r="K295" i="5"/>
  <c r="L295" i="5"/>
  <c r="M295" i="5"/>
  <c r="N295" i="5"/>
  <c r="J224" i="5"/>
  <c r="K224" i="5"/>
  <c r="L224" i="5"/>
  <c r="M224" i="5"/>
  <c r="N224" i="5"/>
  <c r="J160" i="5"/>
  <c r="K160" i="5"/>
  <c r="L160" i="5"/>
  <c r="M160" i="5"/>
  <c r="N160" i="5"/>
  <c r="J96" i="5"/>
  <c r="K96" i="5"/>
  <c r="L96" i="5"/>
  <c r="M96" i="5"/>
  <c r="N96" i="5"/>
  <c r="M53" i="5"/>
  <c r="N53" i="5"/>
  <c r="J53" i="5"/>
  <c r="L53" i="5"/>
  <c r="K53" i="5"/>
  <c r="K143" i="5"/>
  <c r="L143" i="5"/>
  <c r="M143" i="5"/>
  <c r="N143" i="5"/>
  <c r="J143" i="5"/>
  <c r="K287" i="5"/>
  <c r="N287" i="5"/>
  <c r="J287" i="5"/>
  <c r="L287" i="5"/>
  <c r="M287" i="5"/>
  <c r="J259" i="5"/>
  <c r="K259" i="5"/>
  <c r="L259" i="5"/>
  <c r="M259" i="5"/>
  <c r="N259" i="5"/>
  <c r="J252" i="5"/>
  <c r="K252" i="5"/>
  <c r="L252" i="5"/>
  <c r="M252" i="5"/>
  <c r="N252" i="5"/>
  <c r="J231" i="5"/>
  <c r="K231" i="5"/>
  <c r="L231" i="5"/>
  <c r="M231" i="5"/>
  <c r="N231" i="5"/>
  <c r="J195" i="5"/>
  <c r="K195" i="5"/>
  <c r="L195" i="5"/>
  <c r="M195" i="5"/>
  <c r="N195" i="5"/>
  <c r="J188" i="5"/>
  <c r="K188" i="5"/>
  <c r="L188" i="5"/>
  <c r="M188" i="5"/>
  <c r="N188" i="5"/>
  <c r="J167" i="5"/>
  <c r="K167" i="5"/>
  <c r="L167" i="5"/>
  <c r="M167" i="5"/>
  <c r="N167" i="5"/>
  <c r="J131" i="5"/>
  <c r="K131" i="5"/>
  <c r="L131" i="5"/>
  <c r="M131" i="5"/>
  <c r="N131" i="5"/>
  <c r="J124" i="5"/>
  <c r="K124" i="5"/>
  <c r="L124" i="5"/>
  <c r="M124" i="5"/>
  <c r="N124" i="5"/>
  <c r="J103" i="5"/>
  <c r="K103" i="5"/>
  <c r="L103" i="5"/>
  <c r="M103" i="5"/>
  <c r="N103" i="5"/>
  <c r="L114" i="5"/>
  <c r="M114" i="5"/>
  <c r="N114" i="5"/>
  <c r="K114" i="5"/>
  <c r="J114" i="5"/>
  <c r="J237" i="5"/>
  <c r="K237" i="5"/>
  <c r="L237" i="5"/>
  <c r="M237" i="5"/>
  <c r="N237" i="5"/>
  <c r="J173" i="5"/>
  <c r="K173" i="5"/>
  <c r="L173" i="5"/>
  <c r="M173" i="5"/>
  <c r="N173" i="5"/>
  <c r="J17" i="5"/>
  <c r="K17" i="5"/>
  <c r="L17" i="5"/>
  <c r="N17" i="5"/>
  <c r="M17" i="5"/>
  <c r="P62" i="5" l="1"/>
  <c r="V62" i="5"/>
  <c r="V259" i="5"/>
  <c r="P259" i="5"/>
  <c r="W259" i="5" s="1"/>
  <c r="P269" i="5"/>
  <c r="W269" i="5" s="1"/>
  <c r="V269" i="5"/>
  <c r="P115" i="5"/>
  <c r="V115" i="5"/>
  <c r="V38" i="5"/>
  <c r="P38" i="5"/>
  <c r="V152" i="5"/>
  <c r="P152" i="5"/>
  <c r="P142" i="5"/>
  <c r="V142" i="5"/>
  <c r="V298" i="5"/>
  <c r="P298" i="5"/>
  <c r="P202" i="5"/>
  <c r="V202" i="5"/>
  <c r="P234" i="5"/>
  <c r="V234" i="5"/>
  <c r="W234" i="5" s="1"/>
  <c r="P224" i="5"/>
  <c r="W224" i="5" s="1"/>
  <c r="V224" i="5"/>
  <c r="V195" i="5"/>
  <c r="P195" i="5"/>
  <c r="V235" i="5"/>
  <c r="P235" i="5"/>
  <c r="W235" i="5" s="1"/>
  <c r="P268" i="5"/>
  <c r="V268" i="5"/>
  <c r="P284" i="5"/>
  <c r="V284" i="5"/>
  <c r="V257" i="5"/>
  <c r="P257" i="5"/>
  <c r="P37" i="5"/>
  <c r="W37" i="5" s="1"/>
  <c r="V37" i="5"/>
  <c r="P16" i="5"/>
  <c r="V16" i="5"/>
  <c r="P222" i="5"/>
  <c r="V222" i="5"/>
  <c r="V137" i="5"/>
  <c r="P137" i="5"/>
  <c r="W137" i="5" s="1"/>
  <c r="P154" i="5"/>
  <c r="V154" i="5"/>
  <c r="W154" i="5" s="1"/>
  <c r="V78" i="5"/>
  <c r="P78" i="5"/>
  <c r="P122" i="5"/>
  <c r="V122" i="5"/>
  <c r="V215" i="5"/>
  <c r="P215" i="5"/>
  <c r="V131" i="5"/>
  <c r="P131" i="5"/>
  <c r="V25" i="5"/>
  <c r="P25" i="5"/>
  <c r="W25" i="5" s="1"/>
  <c r="P204" i="5"/>
  <c r="V204" i="5"/>
  <c r="P77" i="5"/>
  <c r="V77" i="5"/>
  <c r="P65" i="5"/>
  <c r="V65" i="5"/>
  <c r="P272" i="5"/>
  <c r="V272" i="5"/>
  <c r="V285" i="5"/>
  <c r="P285" i="5"/>
  <c r="V89" i="5"/>
  <c r="P89" i="5"/>
  <c r="V185" i="5"/>
  <c r="P185" i="5"/>
  <c r="V178" i="5"/>
  <c r="P178" i="5"/>
  <c r="V287" i="5"/>
  <c r="P287" i="5"/>
  <c r="V295" i="5"/>
  <c r="P295" i="5"/>
  <c r="W295" i="5" s="1"/>
  <c r="P267" i="5"/>
  <c r="V267" i="5"/>
  <c r="P240" i="5"/>
  <c r="V240" i="5"/>
  <c r="P13" i="5"/>
  <c r="V13" i="5"/>
  <c r="V98" i="5"/>
  <c r="P98" i="5"/>
  <c r="P220" i="5"/>
  <c r="V220" i="5"/>
  <c r="P291" i="5"/>
  <c r="V291" i="5"/>
  <c r="V79" i="5"/>
  <c r="P79" i="5"/>
  <c r="V24" i="5"/>
  <c r="P24" i="5"/>
  <c r="W24" i="5" s="1"/>
  <c r="P174" i="5"/>
  <c r="V174" i="5"/>
  <c r="V105" i="5"/>
  <c r="P105" i="5"/>
  <c r="P82" i="5"/>
  <c r="V82" i="5"/>
  <c r="V179" i="5"/>
  <c r="P179" i="5"/>
  <c r="P237" i="5"/>
  <c r="V237" i="5"/>
  <c r="P253" i="5"/>
  <c r="V253" i="5"/>
  <c r="V74" i="5"/>
  <c r="P74" i="5"/>
  <c r="P266" i="5"/>
  <c r="V266" i="5"/>
  <c r="P17" i="5"/>
  <c r="V17" i="5"/>
  <c r="P96" i="5"/>
  <c r="V96" i="5"/>
  <c r="P189" i="5"/>
  <c r="V189" i="5"/>
  <c r="P112" i="5"/>
  <c r="V112" i="5"/>
  <c r="P34" i="5"/>
  <c r="V34" i="5"/>
  <c r="P135" i="5"/>
  <c r="V135" i="5"/>
  <c r="V21" i="5"/>
  <c r="P21" i="5"/>
  <c r="P236" i="5"/>
  <c r="V236" i="5"/>
  <c r="V102" i="5"/>
  <c r="P102" i="5"/>
  <c r="V286" i="5"/>
  <c r="P286" i="5"/>
  <c r="V249" i="5"/>
  <c r="P249" i="5"/>
  <c r="P85" i="5"/>
  <c r="V85" i="5"/>
  <c r="P61" i="5"/>
  <c r="W61" i="5" s="1"/>
  <c r="V61" i="5"/>
  <c r="P210" i="5"/>
  <c r="V210" i="5"/>
  <c r="P274" i="5"/>
  <c r="V274" i="5"/>
  <c r="P26" i="5"/>
  <c r="V26" i="5"/>
  <c r="P283" i="5"/>
  <c r="V283" i="5"/>
  <c r="V128" i="5"/>
  <c r="P128" i="5"/>
  <c r="V151" i="5"/>
  <c r="P151" i="5"/>
  <c r="V52" i="5"/>
  <c r="P52" i="5"/>
  <c r="V216" i="5"/>
  <c r="P216" i="5"/>
  <c r="V250" i="5"/>
  <c r="P250" i="5"/>
  <c r="V199" i="5"/>
  <c r="P199" i="5"/>
  <c r="V41" i="5"/>
  <c r="P41" i="5"/>
  <c r="W41" i="5" s="1"/>
  <c r="V275" i="5"/>
  <c r="P275" i="5"/>
  <c r="P303" i="5"/>
  <c r="V303" i="5"/>
  <c r="P205" i="5"/>
  <c r="V205" i="5"/>
  <c r="V87" i="5"/>
  <c r="P87" i="5"/>
  <c r="V233" i="5"/>
  <c r="P233" i="5"/>
  <c r="V58" i="5"/>
  <c r="P58" i="5"/>
  <c r="P254" i="5"/>
  <c r="V254" i="5"/>
  <c r="V217" i="5"/>
  <c r="P217" i="5"/>
  <c r="W217" i="5" s="1"/>
  <c r="V218" i="5"/>
  <c r="P218" i="5"/>
  <c r="V258" i="5"/>
  <c r="P258" i="5"/>
  <c r="P163" i="5"/>
  <c r="V163" i="5"/>
  <c r="P194" i="5"/>
  <c r="V194" i="5"/>
  <c r="P114" i="5"/>
  <c r="V114" i="5"/>
  <c r="V256" i="5"/>
  <c r="P256" i="5"/>
  <c r="V167" i="5"/>
  <c r="P167" i="5"/>
  <c r="P32" i="5"/>
  <c r="V32" i="5"/>
  <c r="P211" i="5"/>
  <c r="V211" i="5"/>
  <c r="V133" i="5"/>
  <c r="P133" i="5"/>
  <c r="V226" i="5"/>
  <c r="P226" i="5"/>
  <c r="P290" i="5"/>
  <c r="V290" i="5"/>
  <c r="P293" i="5"/>
  <c r="V293" i="5"/>
  <c r="P10" i="5"/>
  <c r="V10" i="5"/>
  <c r="P190" i="5"/>
  <c r="V190" i="5"/>
  <c r="P66" i="5"/>
  <c r="V66" i="5"/>
  <c r="V201" i="5"/>
  <c r="P201" i="5"/>
  <c r="P292" i="5"/>
  <c r="V292" i="5"/>
  <c r="V158" i="5"/>
  <c r="P158" i="5"/>
  <c r="V103" i="5"/>
  <c r="P103" i="5"/>
  <c r="P221" i="5"/>
  <c r="W221" i="5" s="1"/>
  <c r="V221" i="5"/>
  <c r="V40" i="5"/>
  <c r="P40" i="5"/>
  <c r="V69" i="5"/>
  <c r="P69" i="5"/>
  <c r="V227" i="5"/>
  <c r="P227" i="5"/>
  <c r="W227" i="5" s="1"/>
  <c r="V29" i="5"/>
  <c r="P29" i="5"/>
  <c r="P144" i="5"/>
  <c r="V144" i="5"/>
  <c r="V57" i="5"/>
  <c r="P57" i="5"/>
  <c r="P238" i="5"/>
  <c r="V238" i="5"/>
  <c r="V169" i="5"/>
  <c r="P169" i="5"/>
  <c r="P193" i="5"/>
  <c r="V193" i="5"/>
  <c r="V90" i="5"/>
  <c r="P90" i="5"/>
  <c r="P33" i="5"/>
  <c r="V33" i="5"/>
  <c r="P173" i="5"/>
  <c r="V173" i="5"/>
  <c r="P160" i="5"/>
  <c r="V160" i="5"/>
  <c r="P156" i="5"/>
  <c r="V156" i="5"/>
  <c r="V305" i="5"/>
  <c r="P305" i="5"/>
  <c r="V50" i="5"/>
  <c r="P50" i="5"/>
  <c r="P243" i="5"/>
  <c r="V243" i="5"/>
  <c r="V116" i="5"/>
  <c r="P116" i="5"/>
  <c r="V306" i="5"/>
  <c r="P306" i="5"/>
  <c r="P106" i="5"/>
  <c r="V106" i="5"/>
  <c r="V265" i="5"/>
  <c r="P265" i="5"/>
  <c r="V281" i="5"/>
  <c r="P281" i="5"/>
  <c r="V130" i="5"/>
  <c r="P130" i="5"/>
  <c r="V231" i="5"/>
  <c r="P231" i="5"/>
  <c r="P125" i="5"/>
  <c r="V125" i="5"/>
  <c r="P289" i="5"/>
  <c r="V289" i="5"/>
  <c r="V56" i="5"/>
  <c r="P56" i="5"/>
  <c r="W56" i="5" s="1"/>
  <c r="V297" i="5"/>
  <c r="P297" i="5"/>
  <c r="P192" i="5"/>
  <c r="V192" i="5"/>
  <c r="P172" i="5"/>
  <c r="V172" i="5"/>
  <c r="P300" i="5"/>
  <c r="V300" i="5"/>
  <c r="V59" i="5"/>
  <c r="P59" i="5"/>
  <c r="V170" i="5"/>
  <c r="P170" i="5"/>
  <c r="P302" i="5"/>
  <c r="V302" i="5"/>
  <c r="V123" i="5"/>
  <c r="P123" i="5"/>
  <c r="W123" i="5" s="1"/>
  <c r="V99" i="5"/>
  <c r="P99" i="5"/>
  <c r="V153" i="5"/>
  <c r="P153" i="5"/>
  <c r="P252" i="5"/>
  <c r="V252" i="5"/>
  <c r="V146" i="5"/>
  <c r="P146" i="5"/>
  <c r="V42" i="5"/>
  <c r="P42" i="5"/>
  <c r="P108" i="5"/>
  <c r="V108" i="5"/>
  <c r="V30" i="5"/>
  <c r="P30" i="5"/>
  <c r="P126" i="5"/>
  <c r="V126" i="5"/>
  <c r="W126" i="5" s="1"/>
  <c r="P14" i="5"/>
  <c r="V14" i="5"/>
  <c r="P94" i="5"/>
  <c r="V94" i="5"/>
  <c r="P15" i="5"/>
  <c r="V15" i="5"/>
  <c r="P143" i="5"/>
  <c r="V143" i="5"/>
  <c r="P188" i="5"/>
  <c r="V188" i="5"/>
  <c r="V129" i="5"/>
  <c r="P129" i="5"/>
  <c r="P47" i="5"/>
  <c r="V47" i="5"/>
  <c r="V247" i="5"/>
  <c r="P247" i="5"/>
  <c r="W247" i="5" s="1"/>
  <c r="P242" i="5"/>
  <c r="V242" i="5"/>
  <c r="P141" i="5"/>
  <c r="V141" i="5"/>
  <c r="V157" i="5"/>
  <c r="P157" i="5"/>
  <c r="P93" i="5"/>
  <c r="V93" i="5"/>
  <c r="V88" i="5"/>
  <c r="P88" i="5"/>
  <c r="P110" i="5"/>
  <c r="V110" i="5"/>
  <c r="V206" i="5"/>
  <c r="P206" i="5"/>
  <c r="V121" i="5"/>
  <c r="P121" i="5"/>
  <c r="W121" i="5" s="1"/>
  <c r="V186" i="5"/>
  <c r="P186" i="5"/>
  <c r="P46" i="5"/>
  <c r="V46" i="5"/>
  <c r="V176" i="5"/>
  <c r="P176" i="5"/>
  <c r="V279" i="5"/>
  <c r="P279" i="5"/>
  <c r="P124" i="5"/>
  <c r="V124" i="5"/>
  <c r="V53" i="5"/>
  <c r="P53" i="5"/>
  <c r="P11" i="5"/>
  <c r="V11" i="5"/>
  <c r="V183" i="5"/>
  <c r="P183" i="5"/>
  <c r="W183" i="5" s="1"/>
  <c r="P162" i="5"/>
  <c r="V162" i="5"/>
  <c r="P263" i="5"/>
  <c r="V263" i="5"/>
  <c r="P271" i="5"/>
  <c r="V271" i="5"/>
  <c r="V208" i="5"/>
  <c r="P208" i="5"/>
  <c r="V308" i="5"/>
  <c r="P308" i="5"/>
  <c r="P282" i="5"/>
  <c r="V282" i="5"/>
  <c r="V73" i="5"/>
  <c r="P73" i="5"/>
  <c r="P270" i="5"/>
  <c r="V270" i="5"/>
  <c r="W270" i="5" s="1"/>
  <c r="V138" i="5"/>
  <c r="P138" i="5"/>
  <c r="J18" i="5"/>
  <c r="N199" i="5"/>
  <c r="K18" i="5"/>
  <c r="M199" i="5"/>
  <c r="N18" i="5"/>
  <c r="N46" i="5"/>
  <c r="J31" i="5"/>
  <c r="L199" i="5"/>
  <c r="M18" i="5"/>
  <c r="L46" i="5"/>
  <c r="N31" i="5"/>
  <c r="M31" i="5"/>
  <c r="K199" i="5"/>
  <c r="M46" i="5"/>
  <c r="L31" i="5"/>
  <c r="K46" i="5"/>
  <c r="N281" i="5"/>
  <c r="K301" i="5"/>
  <c r="M281" i="5"/>
  <c r="J207" i="5"/>
  <c r="N301" i="5"/>
  <c r="L281" i="5"/>
  <c r="M307" i="5"/>
  <c r="N207" i="5"/>
  <c r="J301" i="5"/>
  <c r="K281" i="5"/>
  <c r="N179" i="5"/>
  <c r="K307" i="5"/>
  <c r="M207" i="5"/>
  <c r="M301" i="5"/>
  <c r="M179" i="5"/>
  <c r="J307" i="5"/>
  <c r="L207" i="5"/>
  <c r="Q9" i="5"/>
  <c r="L179" i="5"/>
  <c r="L307" i="5"/>
  <c r="M74" i="5"/>
  <c r="L78" i="5"/>
  <c r="K179" i="5"/>
  <c r="J278" i="5"/>
  <c r="K278" i="5"/>
  <c r="L278" i="5"/>
  <c r="M278" i="5"/>
  <c r="N278" i="5"/>
  <c r="M101" i="5"/>
  <c r="N101" i="5"/>
  <c r="J101" i="5"/>
  <c r="L101" i="5"/>
  <c r="K101" i="5"/>
  <c r="J109" i="5"/>
  <c r="K109" i="5"/>
  <c r="L109" i="5"/>
  <c r="M109" i="5"/>
  <c r="N109" i="5"/>
  <c r="K294" i="5"/>
  <c r="J294" i="5"/>
  <c r="L294" i="5"/>
  <c r="M294" i="5"/>
  <c r="N294" i="5"/>
  <c r="M181" i="5"/>
  <c r="N181" i="5"/>
  <c r="J181" i="5"/>
  <c r="L181" i="5"/>
  <c r="K181" i="5"/>
  <c r="J54" i="5"/>
  <c r="K54" i="5"/>
  <c r="L54" i="5"/>
  <c r="M54" i="5"/>
  <c r="N54" i="5"/>
  <c r="J219" i="5"/>
  <c r="L219" i="5"/>
  <c r="N219" i="5"/>
  <c r="K219" i="5"/>
  <c r="M219" i="5"/>
  <c r="J35" i="5"/>
  <c r="K35" i="5"/>
  <c r="L35" i="5"/>
  <c r="M35" i="5"/>
  <c r="N35" i="5"/>
  <c r="J36" i="5"/>
  <c r="K36" i="5"/>
  <c r="L36" i="5"/>
  <c r="M36" i="5"/>
  <c r="N36" i="5"/>
  <c r="J145" i="5"/>
  <c r="K145" i="5"/>
  <c r="L145" i="5"/>
  <c r="N145" i="5"/>
  <c r="M145" i="5"/>
  <c r="J68" i="5"/>
  <c r="K68" i="5"/>
  <c r="L68" i="5"/>
  <c r="M68" i="5"/>
  <c r="N68" i="5"/>
  <c r="N248" i="5"/>
  <c r="K248" i="5"/>
  <c r="J248" i="5"/>
  <c r="L248" i="5"/>
  <c r="M248" i="5"/>
  <c r="J177" i="5"/>
  <c r="K177" i="5"/>
  <c r="L177" i="5"/>
  <c r="N177" i="5"/>
  <c r="M177" i="5"/>
  <c r="J71" i="5"/>
  <c r="K71" i="5"/>
  <c r="L71" i="5"/>
  <c r="M71" i="5"/>
  <c r="N71" i="5"/>
  <c r="J43" i="5"/>
  <c r="L43" i="5"/>
  <c r="N43" i="5"/>
  <c r="K43" i="5"/>
  <c r="M43" i="5"/>
  <c r="J262" i="5"/>
  <c r="K262" i="5"/>
  <c r="L262" i="5"/>
  <c r="M262" i="5"/>
  <c r="N262" i="5"/>
  <c r="N104" i="5"/>
  <c r="K104" i="5"/>
  <c r="M104" i="5"/>
  <c r="L104" i="5"/>
  <c r="J104" i="5"/>
  <c r="J310" i="5"/>
  <c r="K310" i="5"/>
  <c r="M310" i="5"/>
  <c r="L310" i="5"/>
  <c r="N310" i="5"/>
  <c r="J20" i="5"/>
  <c r="K20" i="5"/>
  <c r="L20" i="5"/>
  <c r="M20" i="5"/>
  <c r="N20" i="5"/>
  <c r="J276" i="5"/>
  <c r="K276" i="5"/>
  <c r="L276" i="5"/>
  <c r="M276" i="5"/>
  <c r="N276" i="5"/>
  <c r="M149" i="5"/>
  <c r="N149" i="5"/>
  <c r="J149" i="5"/>
  <c r="L149" i="5"/>
  <c r="K149" i="5"/>
  <c r="N72" i="5"/>
  <c r="K72" i="5"/>
  <c r="M72" i="5"/>
  <c r="J72" i="5"/>
  <c r="L72" i="5"/>
  <c r="J23" i="5"/>
  <c r="K23" i="5"/>
  <c r="L23" i="5"/>
  <c r="M23" i="5"/>
  <c r="N23" i="5"/>
  <c r="J180" i="5"/>
  <c r="K180" i="5"/>
  <c r="L180" i="5"/>
  <c r="M180" i="5"/>
  <c r="N180" i="5"/>
  <c r="K111" i="5"/>
  <c r="L111" i="5"/>
  <c r="M111" i="5"/>
  <c r="N111" i="5"/>
  <c r="J111" i="5"/>
  <c r="J28" i="5"/>
  <c r="K28" i="5"/>
  <c r="L28" i="5"/>
  <c r="M28" i="5"/>
  <c r="N28" i="5"/>
  <c r="J118" i="5"/>
  <c r="K118" i="5"/>
  <c r="L118" i="5"/>
  <c r="M118" i="5"/>
  <c r="N118" i="5"/>
  <c r="J27" i="5"/>
  <c r="L27" i="5"/>
  <c r="N27" i="5"/>
  <c r="M27" i="5"/>
  <c r="K27" i="5"/>
  <c r="J311" i="5"/>
  <c r="L311" i="5"/>
  <c r="K311" i="5"/>
  <c r="M311" i="5"/>
  <c r="N311" i="5"/>
  <c r="J49" i="5"/>
  <c r="K49" i="5"/>
  <c r="L49" i="5"/>
  <c r="N49" i="5"/>
  <c r="M49" i="5"/>
  <c r="J86" i="5"/>
  <c r="K86" i="5"/>
  <c r="L86" i="5"/>
  <c r="M86" i="5"/>
  <c r="N86" i="5"/>
  <c r="J44" i="5"/>
  <c r="K44" i="5"/>
  <c r="L44" i="5"/>
  <c r="M44" i="5"/>
  <c r="N44" i="5"/>
  <c r="J187" i="5"/>
  <c r="L187" i="5"/>
  <c r="N187" i="5"/>
  <c r="M187" i="5"/>
  <c r="K187" i="5"/>
  <c r="J132" i="5"/>
  <c r="K132" i="5"/>
  <c r="L132" i="5"/>
  <c r="M132" i="5"/>
  <c r="N132" i="5"/>
  <c r="J48" i="5"/>
  <c r="K48" i="5"/>
  <c r="L48" i="5"/>
  <c r="M48" i="5"/>
  <c r="N48" i="5"/>
  <c r="J113" i="5"/>
  <c r="K113" i="5"/>
  <c r="L113" i="5"/>
  <c r="N113" i="5"/>
  <c r="M113" i="5"/>
  <c r="J100" i="5"/>
  <c r="K100" i="5"/>
  <c r="L100" i="5"/>
  <c r="M100" i="5"/>
  <c r="N100" i="5"/>
  <c r="J51" i="5"/>
  <c r="K51" i="5"/>
  <c r="L51" i="5"/>
  <c r="M51" i="5"/>
  <c r="N51" i="5"/>
  <c r="M165" i="5"/>
  <c r="N165" i="5"/>
  <c r="J165" i="5"/>
  <c r="L165" i="5"/>
  <c r="K165" i="5"/>
  <c r="J64" i="5"/>
  <c r="K64" i="5"/>
  <c r="L64" i="5"/>
  <c r="M64" i="5"/>
  <c r="N64" i="5"/>
  <c r="J225" i="5"/>
  <c r="K225" i="5"/>
  <c r="L225" i="5"/>
  <c r="N225" i="5"/>
  <c r="M225" i="5"/>
  <c r="J70" i="5"/>
  <c r="K70" i="5"/>
  <c r="L70" i="5"/>
  <c r="M70" i="5"/>
  <c r="N70" i="5"/>
  <c r="K127" i="5"/>
  <c r="L127" i="5"/>
  <c r="M127" i="5"/>
  <c r="N127" i="5"/>
  <c r="J127" i="5"/>
  <c r="J107" i="5"/>
  <c r="L107" i="5"/>
  <c r="N107" i="5"/>
  <c r="K107" i="5"/>
  <c r="M107" i="5"/>
  <c r="J39" i="5"/>
  <c r="K39" i="5"/>
  <c r="L39" i="5"/>
  <c r="M39" i="5"/>
  <c r="N39" i="5"/>
  <c r="J139" i="5"/>
  <c r="L139" i="5"/>
  <c r="N139" i="5"/>
  <c r="K139" i="5"/>
  <c r="M139" i="5"/>
  <c r="J60" i="5"/>
  <c r="K60" i="5"/>
  <c r="L60" i="5"/>
  <c r="M60" i="5"/>
  <c r="N60" i="5"/>
  <c r="N168" i="5"/>
  <c r="K168" i="5"/>
  <c r="M168" i="5"/>
  <c r="J168" i="5"/>
  <c r="L168" i="5"/>
  <c r="K239" i="5"/>
  <c r="L239" i="5"/>
  <c r="M239" i="5"/>
  <c r="N239" i="5"/>
  <c r="J239" i="5"/>
  <c r="K296" i="5"/>
  <c r="L296" i="5"/>
  <c r="J296" i="5"/>
  <c r="M296" i="5"/>
  <c r="N296" i="5"/>
  <c r="M197" i="5"/>
  <c r="N197" i="5"/>
  <c r="J197" i="5"/>
  <c r="L197" i="5"/>
  <c r="K197" i="5"/>
  <c r="J84" i="5"/>
  <c r="K84" i="5"/>
  <c r="L84" i="5"/>
  <c r="M84" i="5"/>
  <c r="N84" i="5"/>
  <c r="N136" i="5"/>
  <c r="K136" i="5"/>
  <c r="M136" i="5"/>
  <c r="L136" i="5"/>
  <c r="J136" i="5"/>
  <c r="J273" i="5"/>
  <c r="K273" i="5"/>
  <c r="L273" i="5"/>
  <c r="N273" i="5"/>
  <c r="M273" i="5"/>
  <c r="K309" i="5"/>
  <c r="L309" i="5"/>
  <c r="J309" i="5"/>
  <c r="M309" i="5"/>
  <c r="N309" i="5"/>
  <c r="M277" i="5"/>
  <c r="N277" i="5"/>
  <c r="J277" i="5"/>
  <c r="K277" i="5"/>
  <c r="L277" i="5"/>
  <c r="M245" i="5"/>
  <c r="N245" i="5"/>
  <c r="J245" i="5"/>
  <c r="L245" i="5"/>
  <c r="K245" i="5"/>
  <c r="J209" i="5"/>
  <c r="K209" i="5"/>
  <c r="L209" i="5"/>
  <c r="N209" i="5"/>
  <c r="M209" i="5"/>
  <c r="J67" i="5"/>
  <c r="K67" i="5"/>
  <c r="L67" i="5"/>
  <c r="M67" i="5"/>
  <c r="N67" i="5"/>
  <c r="J182" i="5"/>
  <c r="K182" i="5"/>
  <c r="L182" i="5"/>
  <c r="M182" i="5"/>
  <c r="N182" i="5"/>
  <c r="J12" i="5"/>
  <c r="K12" i="5"/>
  <c r="L12" i="5"/>
  <c r="M12" i="5"/>
  <c r="N12" i="5"/>
  <c r="J91" i="5"/>
  <c r="L91" i="5"/>
  <c r="N91" i="5"/>
  <c r="K91" i="5"/>
  <c r="M91" i="5"/>
  <c r="J150" i="5"/>
  <c r="K150" i="5"/>
  <c r="L150" i="5"/>
  <c r="M150" i="5"/>
  <c r="N150" i="5"/>
  <c r="N299" i="5"/>
  <c r="L299" i="5"/>
  <c r="J299" i="5"/>
  <c r="K299" i="5"/>
  <c r="M299" i="5"/>
  <c r="J147" i="5"/>
  <c r="K147" i="5"/>
  <c r="L147" i="5"/>
  <c r="M147" i="5"/>
  <c r="N147" i="5"/>
  <c r="K159" i="5"/>
  <c r="L159" i="5"/>
  <c r="M159" i="5"/>
  <c r="N159" i="5"/>
  <c r="J159" i="5"/>
  <c r="J166" i="5"/>
  <c r="K166" i="5"/>
  <c r="L166" i="5"/>
  <c r="M166" i="5"/>
  <c r="N166" i="5"/>
  <c r="K223" i="5"/>
  <c r="L223" i="5"/>
  <c r="M223" i="5"/>
  <c r="N223" i="5"/>
  <c r="J223" i="5"/>
  <c r="J196" i="5"/>
  <c r="K196" i="5"/>
  <c r="L196" i="5"/>
  <c r="M196" i="5"/>
  <c r="N196" i="5"/>
  <c r="J19" i="5"/>
  <c r="K19" i="5"/>
  <c r="L19" i="5"/>
  <c r="M19" i="5"/>
  <c r="N19" i="5"/>
  <c r="N120" i="5"/>
  <c r="K120" i="5"/>
  <c r="M120" i="5"/>
  <c r="J120" i="5"/>
  <c r="L120" i="5"/>
  <c r="M213" i="5"/>
  <c r="N213" i="5"/>
  <c r="J213" i="5"/>
  <c r="L213" i="5"/>
  <c r="K213" i="5"/>
  <c r="J164" i="5"/>
  <c r="K164" i="5"/>
  <c r="L164" i="5"/>
  <c r="M164" i="5"/>
  <c r="N164" i="5"/>
  <c r="M117" i="5"/>
  <c r="N117" i="5"/>
  <c r="J117" i="5"/>
  <c r="L117" i="5"/>
  <c r="K117" i="5"/>
  <c r="J203" i="5"/>
  <c r="L203" i="5"/>
  <c r="N203" i="5"/>
  <c r="K203" i="5"/>
  <c r="M203" i="5"/>
  <c r="J161" i="5"/>
  <c r="K161" i="5"/>
  <c r="L161" i="5"/>
  <c r="N161" i="5"/>
  <c r="M161" i="5"/>
  <c r="J55" i="5"/>
  <c r="K55" i="5"/>
  <c r="L55" i="5"/>
  <c r="M55" i="5"/>
  <c r="N55" i="5"/>
  <c r="J134" i="5"/>
  <c r="K134" i="5"/>
  <c r="L134" i="5"/>
  <c r="M134" i="5"/>
  <c r="N134" i="5"/>
  <c r="K63" i="5"/>
  <c r="L63" i="5"/>
  <c r="M63" i="5"/>
  <c r="N63" i="5"/>
  <c r="J63" i="5"/>
  <c r="J171" i="5"/>
  <c r="L171" i="5"/>
  <c r="N171" i="5"/>
  <c r="K171" i="5"/>
  <c r="M171" i="5"/>
  <c r="J230" i="5"/>
  <c r="K230" i="5"/>
  <c r="L230" i="5"/>
  <c r="M230" i="5"/>
  <c r="N230" i="5"/>
  <c r="K95" i="5"/>
  <c r="L95" i="5"/>
  <c r="M95" i="5"/>
  <c r="N95" i="5"/>
  <c r="J95" i="5"/>
  <c r="J75" i="5"/>
  <c r="L75" i="5"/>
  <c r="N75" i="5"/>
  <c r="K75" i="5"/>
  <c r="M75" i="5"/>
  <c r="J92" i="5"/>
  <c r="K92" i="5"/>
  <c r="L92" i="5"/>
  <c r="M92" i="5"/>
  <c r="N92" i="5"/>
  <c r="N232" i="5"/>
  <c r="K232" i="5"/>
  <c r="M232" i="5"/>
  <c r="J232" i="5"/>
  <c r="L232" i="5"/>
  <c r="K175" i="5"/>
  <c r="L175" i="5"/>
  <c r="M175" i="5"/>
  <c r="N175" i="5"/>
  <c r="J175" i="5"/>
  <c r="J76" i="5"/>
  <c r="K76" i="5"/>
  <c r="L76" i="5"/>
  <c r="M76" i="5"/>
  <c r="N76" i="5"/>
  <c r="J148" i="5"/>
  <c r="K148" i="5"/>
  <c r="L148" i="5"/>
  <c r="M148" i="5"/>
  <c r="N148" i="5"/>
  <c r="N200" i="5"/>
  <c r="K200" i="5"/>
  <c r="M200" i="5"/>
  <c r="J200" i="5"/>
  <c r="L200" i="5"/>
  <c r="M229" i="5"/>
  <c r="N229" i="5"/>
  <c r="J229" i="5"/>
  <c r="L229" i="5"/>
  <c r="K229" i="5"/>
  <c r="J244" i="5"/>
  <c r="K244" i="5"/>
  <c r="L244" i="5"/>
  <c r="M244" i="5"/>
  <c r="N244" i="5"/>
  <c r="J246" i="5"/>
  <c r="K246" i="5"/>
  <c r="L246" i="5"/>
  <c r="M246" i="5"/>
  <c r="N246" i="5"/>
  <c r="J83" i="5"/>
  <c r="K83" i="5"/>
  <c r="L83" i="5"/>
  <c r="M83" i="5"/>
  <c r="N83" i="5"/>
  <c r="J155" i="5"/>
  <c r="L155" i="5"/>
  <c r="N155" i="5"/>
  <c r="M155" i="5"/>
  <c r="K155" i="5"/>
  <c r="J214" i="5"/>
  <c r="K214" i="5"/>
  <c r="L214" i="5"/>
  <c r="M214" i="5"/>
  <c r="N214" i="5"/>
  <c r="J251" i="5"/>
  <c r="L251" i="5"/>
  <c r="M251" i="5"/>
  <c r="K251" i="5"/>
  <c r="N251" i="5"/>
  <c r="J260" i="5"/>
  <c r="K260" i="5"/>
  <c r="L260" i="5"/>
  <c r="M260" i="5"/>
  <c r="N260" i="5"/>
  <c r="J119" i="5"/>
  <c r="K119" i="5"/>
  <c r="L119" i="5"/>
  <c r="M119" i="5"/>
  <c r="N119" i="5"/>
  <c r="M261" i="5"/>
  <c r="N261" i="5"/>
  <c r="J261" i="5"/>
  <c r="K261" i="5"/>
  <c r="L261" i="5"/>
  <c r="N184" i="5"/>
  <c r="K184" i="5"/>
  <c r="M184" i="5"/>
  <c r="J184" i="5"/>
  <c r="L184" i="5"/>
  <c r="J241" i="5"/>
  <c r="K241" i="5"/>
  <c r="L241" i="5"/>
  <c r="N241" i="5"/>
  <c r="M241" i="5"/>
  <c r="J228" i="5"/>
  <c r="K228" i="5"/>
  <c r="L228" i="5"/>
  <c r="M228" i="5"/>
  <c r="N228" i="5"/>
  <c r="N280" i="5"/>
  <c r="J280" i="5"/>
  <c r="M280" i="5"/>
  <c r="K280" i="5"/>
  <c r="L280" i="5"/>
  <c r="J212" i="5"/>
  <c r="K212" i="5"/>
  <c r="L212" i="5"/>
  <c r="M212" i="5"/>
  <c r="N212" i="5"/>
  <c r="J22" i="5"/>
  <c r="K22" i="5"/>
  <c r="L22" i="5"/>
  <c r="M22" i="5"/>
  <c r="N22" i="5"/>
  <c r="K191" i="5"/>
  <c r="L191" i="5"/>
  <c r="M191" i="5"/>
  <c r="N191" i="5"/>
  <c r="J191" i="5"/>
  <c r="J45" i="5"/>
  <c r="K45" i="5"/>
  <c r="L45" i="5"/>
  <c r="M45" i="5"/>
  <c r="N45" i="5"/>
  <c r="J81" i="5"/>
  <c r="K81" i="5"/>
  <c r="L81" i="5"/>
  <c r="N81" i="5"/>
  <c r="M81" i="5"/>
  <c r="M288" i="5"/>
  <c r="N288" i="5"/>
  <c r="K288" i="5"/>
  <c r="J288" i="5"/>
  <c r="L288" i="5"/>
  <c r="J97" i="5"/>
  <c r="K97" i="5"/>
  <c r="L97" i="5"/>
  <c r="N97" i="5"/>
  <c r="M97" i="5"/>
  <c r="J140" i="5"/>
  <c r="K140" i="5"/>
  <c r="L140" i="5"/>
  <c r="M140" i="5"/>
  <c r="N140" i="5"/>
  <c r="J198" i="5"/>
  <c r="K198" i="5"/>
  <c r="L198" i="5"/>
  <c r="M198" i="5"/>
  <c r="N198" i="5"/>
  <c r="K255" i="5"/>
  <c r="L255" i="5"/>
  <c r="M255" i="5"/>
  <c r="N255" i="5"/>
  <c r="J255" i="5"/>
  <c r="M304" i="5"/>
  <c r="N304" i="5"/>
  <c r="K304" i="5"/>
  <c r="J304" i="5"/>
  <c r="L304" i="5"/>
  <c r="N264" i="5"/>
  <c r="K264" i="5"/>
  <c r="J264" i="5"/>
  <c r="L264" i="5"/>
  <c r="M264" i="5"/>
  <c r="J80" i="5"/>
  <c r="K80" i="5"/>
  <c r="L80" i="5"/>
  <c r="M80" i="5"/>
  <c r="N80" i="5"/>
  <c r="W176" i="5" l="1"/>
  <c r="W157" i="5"/>
  <c r="W281" i="5"/>
  <c r="W57" i="5"/>
  <c r="W151" i="5"/>
  <c r="W249" i="5"/>
  <c r="W285" i="5"/>
  <c r="W46" i="5"/>
  <c r="W94" i="5"/>
  <c r="W153" i="5"/>
  <c r="W265" i="5"/>
  <c r="W292" i="5"/>
  <c r="W133" i="5"/>
  <c r="W128" i="5"/>
  <c r="W105" i="5"/>
  <c r="W268" i="5"/>
  <c r="W152" i="5"/>
  <c r="W195" i="5"/>
  <c r="W170" i="5"/>
  <c r="W125" i="5"/>
  <c r="W243" i="5"/>
  <c r="W193" i="5"/>
  <c r="W10" i="5"/>
  <c r="W135" i="5"/>
  <c r="W208" i="5"/>
  <c r="W279" i="5"/>
  <c r="W300" i="5"/>
  <c r="W305" i="5"/>
  <c r="W238" i="5"/>
  <c r="W103" i="5"/>
  <c r="W290" i="5"/>
  <c r="W194" i="5"/>
  <c r="W87" i="5"/>
  <c r="W179" i="5"/>
  <c r="W89" i="5"/>
  <c r="W215" i="5"/>
  <c r="W257" i="5"/>
  <c r="W173" i="5"/>
  <c r="W211" i="5"/>
  <c r="W218" i="5"/>
  <c r="W283" i="5"/>
  <c r="W102" i="5"/>
  <c r="W73" i="5"/>
  <c r="W302" i="5"/>
  <c r="W69" i="5"/>
  <c r="W190" i="5"/>
  <c r="W167" i="5"/>
  <c r="W254" i="5"/>
  <c r="W199" i="5"/>
  <c r="W21" i="5"/>
  <c r="W253" i="5"/>
  <c r="W88" i="5"/>
  <c r="W59" i="5"/>
  <c r="W231" i="5"/>
  <c r="W252" i="5"/>
  <c r="W172" i="5"/>
  <c r="W156" i="5"/>
  <c r="W82" i="5"/>
  <c r="W13" i="5"/>
  <c r="W284" i="5"/>
  <c r="W142" i="5"/>
  <c r="W66" i="5"/>
  <c r="W26" i="5"/>
  <c r="W236" i="5"/>
  <c r="W266" i="5"/>
  <c r="W274" i="5"/>
  <c r="W58" i="5"/>
  <c r="W250" i="5"/>
  <c r="W124" i="5"/>
  <c r="W188" i="5"/>
  <c r="W122" i="5"/>
  <c r="W138" i="5"/>
  <c r="W186" i="5"/>
  <c r="W17" i="5"/>
  <c r="W79" i="5"/>
  <c r="W114" i="5"/>
  <c r="W233" i="5"/>
  <c r="W185" i="5"/>
  <c r="V311" i="5"/>
  <c r="P311" i="5"/>
  <c r="W311" i="5" s="1"/>
  <c r="W263" i="5"/>
  <c r="W267" i="5"/>
  <c r="W65" i="5"/>
  <c r="W287" i="5"/>
  <c r="W291" i="5"/>
  <c r="W216" i="5"/>
  <c r="W220" i="5"/>
  <c r="W131" i="5"/>
  <c r="W293" i="5"/>
  <c r="P75" i="5"/>
  <c r="V75" i="5"/>
  <c r="W143" i="5"/>
  <c r="V228" i="5"/>
  <c r="P228" i="5"/>
  <c r="P95" i="5"/>
  <c r="V95" i="5"/>
  <c r="V19" i="5"/>
  <c r="P19" i="5"/>
  <c r="W19" i="5" s="1"/>
  <c r="V159" i="5"/>
  <c r="P159" i="5"/>
  <c r="W159" i="5" s="1"/>
  <c r="P273" i="5"/>
  <c r="V273" i="5"/>
  <c r="V51" i="5"/>
  <c r="P51" i="5"/>
  <c r="W51" i="5" s="1"/>
  <c r="V248" i="5"/>
  <c r="P248" i="5"/>
  <c r="V54" i="5"/>
  <c r="P54" i="5"/>
  <c r="V251" i="5"/>
  <c r="P251" i="5"/>
  <c r="W251" i="5" s="1"/>
  <c r="P44" i="5"/>
  <c r="V44" i="5"/>
  <c r="W98" i="5"/>
  <c r="P164" i="5"/>
  <c r="V164" i="5"/>
  <c r="V136" i="5"/>
  <c r="P136" i="5"/>
  <c r="P225" i="5"/>
  <c r="V225" i="5"/>
  <c r="P36" i="5"/>
  <c r="V36" i="5"/>
  <c r="W271" i="5"/>
  <c r="W15" i="5"/>
  <c r="W158" i="5"/>
  <c r="W226" i="5"/>
  <c r="W163" i="5"/>
  <c r="W205" i="5"/>
  <c r="W189" i="5"/>
  <c r="P262" i="5"/>
  <c r="V262" i="5"/>
  <c r="W298" i="5"/>
  <c r="V81" i="5"/>
  <c r="P81" i="5"/>
  <c r="V246" i="5"/>
  <c r="P246" i="5"/>
  <c r="V232" i="5"/>
  <c r="P232" i="5"/>
  <c r="P161" i="5"/>
  <c r="V161" i="5"/>
  <c r="V182" i="5"/>
  <c r="P182" i="5"/>
  <c r="V296" i="5"/>
  <c r="P296" i="5"/>
  <c r="W296" i="5" s="1"/>
  <c r="V107" i="5"/>
  <c r="P107" i="5"/>
  <c r="P27" i="5"/>
  <c r="W27" i="5" s="1"/>
  <c r="V27" i="5"/>
  <c r="V101" i="5"/>
  <c r="P101" i="5"/>
  <c r="V18" i="5"/>
  <c r="P18" i="5"/>
  <c r="V207" i="5"/>
  <c r="P207" i="5"/>
  <c r="P140" i="5"/>
  <c r="V140" i="5"/>
  <c r="P214" i="5"/>
  <c r="V214" i="5"/>
  <c r="V150" i="5"/>
  <c r="P150" i="5"/>
  <c r="P60" i="5"/>
  <c r="V60" i="5"/>
  <c r="P127" i="5"/>
  <c r="W127" i="5" s="1"/>
  <c r="V127" i="5"/>
  <c r="P86" i="5"/>
  <c r="V86" i="5"/>
  <c r="V149" i="5"/>
  <c r="P149" i="5"/>
  <c r="P43" i="5"/>
  <c r="V43" i="5"/>
  <c r="V181" i="5"/>
  <c r="P181" i="5"/>
  <c r="V307" i="5"/>
  <c r="P307" i="5"/>
  <c r="W141" i="5"/>
  <c r="W192" i="5"/>
  <c r="W160" i="5"/>
  <c r="W144" i="5"/>
  <c r="W258" i="5"/>
  <c r="W303" i="5"/>
  <c r="W286" i="5"/>
  <c r="W96" i="5"/>
  <c r="W240" i="5"/>
  <c r="W272" i="5"/>
  <c r="W78" i="5"/>
  <c r="P63" i="5"/>
  <c r="V63" i="5"/>
  <c r="V304" i="5"/>
  <c r="P304" i="5"/>
  <c r="V22" i="5"/>
  <c r="P22" i="5"/>
  <c r="V119" i="5"/>
  <c r="P119" i="5"/>
  <c r="P213" i="5"/>
  <c r="V213" i="5"/>
  <c r="V277" i="5"/>
  <c r="P277" i="5"/>
  <c r="W277" i="5" s="1"/>
  <c r="V132" i="5"/>
  <c r="P132" i="5"/>
  <c r="V310" i="5"/>
  <c r="P310" i="5"/>
  <c r="W162" i="5"/>
  <c r="W242" i="5"/>
  <c r="W14" i="5"/>
  <c r="W99" i="5"/>
  <c r="W297" i="5"/>
  <c r="W106" i="5"/>
  <c r="W29" i="5"/>
  <c r="W201" i="5"/>
  <c r="W275" i="5"/>
  <c r="W174" i="5"/>
  <c r="P241" i="5"/>
  <c r="V241" i="5"/>
  <c r="V196" i="5"/>
  <c r="P196" i="5"/>
  <c r="P239" i="5"/>
  <c r="V239" i="5"/>
  <c r="V100" i="5"/>
  <c r="P100" i="5"/>
  <c r="V104" i="5"/>
  <c r="P104" i="5"/>
  <c r="W38" i="5"/>
  <c r="P64" i="5"/>
  <c r="V64" i="5"/>
  <c r="V180" i="5"/>
  <c r="P180" i="5"/>
  <c r="P35" i="5"/>
  <c r="W35" i="5" s="1"/>
  <c r="V35" i="5"/>
  <c r="V198" i="5"/>
  <c r="P198" i="5"/>
  <c r="V20" i="5"/>
  <c r="P20" i="5"/>
  <c r="W146" i="5"/>
  <c r="W130" i="5"/>
  <c r="V148" i="5"/>
  <c r="P148" i="5"/>
  <c r="V184" i="5"/>
  <c r="P184" i="5"/>
  <c r="P244" i="5"/>
  <c r="V244" i="5"/>
  <c r="W244" i="5" s="1"/>
  <c r="V203" i="5"/>
  <c r="P203" i="5"/>
  <c r="V67" i="5"/>
  <c r="P67" i="5"/>
  <c r="V118" i="5"/>
  <c r="P118" i="5"/>
  <c r="V68" i="5"/>
  <c r="P68" i="5"/>
  <c r="W306" i="5"/>
  <c r="W33" i="5"/>
  <c r="W32" i="5"/>
  <c r="W77" i="5"/>
  <c r="W115" i="5"/>
  <c r="V48" i="5"/>
  <c r="P48" i="5"/>
  <c r="W48" i="5" s="1"/>
  <c r="W85" i="5"/>
  <c r="P45" i="5"/>
  <c r="V45" i="5"/>
  <c r="V97" i="5"/>
  <c r="P97" i="5"/>
  <c r="P191" i="5"/>
  <c r="V191" i="5"/>
  <c r="P155" i="5"/>
  <c r="V155" i="5"/>
  <c r="P134" i="5"/>
  <c r="V134" i="5"/>
  <c r="V120" i="5"/>
  <c r="P120" i="5"/>
  <c r="P91" i="5"/>
  <c r="V91" i="5"/>
  <c r="V139" i="5"/>
  <c r="P139" i="5"/>
  <c r="W139" i="5" s="1"/>
  <c r="V49" i="5"/>
  <c r="P49" i="5"/>
  <c r="V71" i="5"/>
  <c r="P71" i="5"/>
  <c r="W204" i="5"/>
  <c r="W222" i="5"/>
  <c r="P166" i="5"/>
  <c r="V166" i="5"/>
  <c r="W93" i="5"/>
  <c r="V260" i="5"/>
  <c r="P260" i="5"/>
  <c r="V230" i="5"/>
  <c r="P230" i="5"/>
  <c r="V147" i="5"/>
  <c r="P147" i="5"/>
  <c r="W147" i="5" s="1"/>
  <c r="V309" i="5"/>
  <c r="P309" i="5"/>
  <c r="P165" i="5"/>
  <c r="V165" i="5"/>
  <c r="V187" i="5"/>
  <c r="P187" i="5"/>
  <c r="W187" i="5" s="1"/>
  <c r="P294" i="5"/>
  <c r="V294" i="5"/>
  <c r="V278" i="5"/>
  <c r="P278" i="5"/>
  <c r="W11" i="5"/>
  <c r="W206" i="5"/>
  <c r="W47" i="5"/>
  <c r="W30" i="5"/>
  <c r="W289" i="5"/>
  <c r="W116" i="5"/>
  <c r="W90" i="5"/>
  <c r="W74" i="5"/>
  <c r="V200" i="5"/>
  <c r="P200" i="5"/>
  <c r="W52" i="5"/>
  <c r="P255" i="5"/>
  <c r="V255" i="5"/>
  <c r="P212" i="5"/>
  <c r="V212" i="5"/>
  <c r="V80" i="5"/>
  <c r="P80" i="5"/>
  <c r="P288" i="5"/>
  <c r="V288" i="5"/>
  <c r="V280" i="5"/>
  <c r="P280" i="5"/>
  <c r="V229" i="5"/>
  <c r="P229" i="5"/>
  <c r="W229" i="5" s="1"/>
  <c r="P92" i="5"/>
  <c r="V92" i="5"/>
  <c r="P117" i="5"/>
  <c r="W117" i="5" s="1"/>
  <c r="V117" i="5"/>
  <c r="P84" i="5"/>
  <c r="V84" i="5"/>
  <c r="P113" i="5"/>
  <c r="V113" i="5"/>
  <c r="V276" i="5"/>
  <c r="P276" i="5"/>
  <c r="P301" i="5"/>
  <c r="V301" i="5"/>
  <c r="W282" i="5"/>
  <c r="W53" i="5"/>
  <c r="W110" i="5"/>
  <c r="W129" i="5"/>
  <c r="W108" i="5"/>
  <c r="W40" i="5"/>
  <c r="W256" i="5"/>
  <c r="W210" i="5"/>
  <c r="P171" i="5"/>
  <c r="V171" i="5"/>
  <c r="W112" i="5"/>
  <c r="P76" i="5"/>
  <c r="V76" i="5"/>
  <c r="V168" i="5"/>
  <c r="P168" i="5"/>
  <c r="V23" i="5"/>
  <c r="P23" i="5"/>
  <c r="P219" i="5"/>
  <c r="V219" i="5"/>
  <c r="W178" i="5"/>
  <c r="W16" i="5"/>
  <c r="P109" i="5"/>
  <c r="V109" i="5"/>
  <c r="P223" i="5"/>
  <c r="V223" i="5"/>
  <c r="P175" i="5"/>
  <c r="V175" i="5"/>
  <c r="V299" i="5"/>
  <c r="P299" i="5"/>
  <c r="V209" i="5"/>
  <c r="P209" i="5"/>
  <c r="V70" i="5"/>
  <c r="P70" i="5"/>
  <c r="P28" i="5"/>
  <c r="V28" i="5"/>
  <c r="P145" i="5"/>
  <c r="V145" i="5"/>
  <c r="P9" i="5"/>
  <c r="V31" i="5"/>
  <c r="P31" i="5"/>
  <c r="W31" i="5" s="1"/>
  <c r="W169" i="5"/>
  <c r="W34" i="5"/>
  <c r="W202" i="5"/>
  <c r="W62" i="5"/>
  <c r="P245" i="5"/>
  <c r="V245" i="5"/>
  <c r="V264" i="5"/>
  <c r="P264" i="5"/>
  <c r="V261" i="5"/>
  <c r="P261" i="5"/>
  <c r="P83" i="5"/>
  <c r="V83" i="5"/>
  <c r="V55" i="5"/>
  <c r="P55" i="5"/>
  <c r="P12" i="5"/>
  <c r="V12" i="5"/>
  <c r="W12" i="5" s="1"/>
  <c r="V197" i="5"/>
  <c r="P197" i="5"/>
  <c r="V39" i="5"/>
  <c r="P39" i="5"/>
  <c r="P111" i="5"/>
  <c r="V111" i="5"/>
  <c r="V72" i="5"/>
  <c r="P72" i="5"/>
  <c r="V177" i="5"/>
  <c r="P177" i="5"/>
  <c r="W177" i="5" s="1"/>
  <c r="W308" i="5"/>
  <c r="W42" i="5"/>
  <c r="W50" i="5"/>
  <c r="W237" i="5"/>
  <c r="W302" i="1"/>
  <c r="F22" i="3"/>
  <c r="W72" i="5" l="1"/>
  <c r="W264" i="5"/>
  <c r="W23" i="5"/>
  <c r="W104" i="5"/>
  <c r="W304" i="5"/>
  <c r="W288" i="5"/>
  <c r="W84" i="5"/>
  <c r="W86" i="5"/>
  <c r="W101" i="5"/>
  <c r="W81" i="5"/>
  <c r="W136" i="5"/>
  <c r="W148" i="5"/>
  <c r="W301" i="5"/>
  <c r="W161" i="5"/>
  <c r="W197" i="5"/>
  <c r="W165" i="5"/>
  <c r="W280" i="5"/>
  <c r="W184" i="5"/>
  <c r="W307" i="5"/>
  <c r="W214" i="5"/>
  <c r="W80" i="5"/>
  <c r="W134" i="5"/>
  <c r="W207" i="5"/>
  <c r="W232" i="5"/>
  <c r="W36" i="5"/>
  <c r="W196" i="5"/>
  <c r="W132" i="5"/>
  <c r="W213" i="5"/>
  <c r="W260" i="5"/>
  <c r="W100" i="5"/>
  <c r="W63" i="5"/>
  <c r="W39" i="5"/>
  <c r="W299" i="5"/>
  <c r="W76" i="5"/>
  <c r="W109" i="5"/>
  <c r="W149" i="5"/>
  <c r="W22" i="5"/>
  <c r="W145" i="5"/>
  <c r="W83" i="5"/>
  <c r="W75" i="5"/>
  <c r="W219" i="5"/>
  <c r="W212" i="5"/>
  <c r="W166" i="5"/>
  <c r="W111" i="5"/>
  <c r="W273" i="5"/>
  <c r="W255" i="5"/>
  <c r="W71" i="5"/>
  <c r="W175" i="5"/>
  <c r="W55" i="5"/>
  <c r="W245" i="5"/>
  <c r="W92" i="5"/>
  <c r="W49" i="5"/>
  <c r="W203" i="5"/>
  <c r="W60" i="5"/>
  <c r="W107" i="5"/>
  <c r="W276" i="5"/>
  <c r="W43" i="5"/>
  <c r="W278" i="5"/>
  <c r="W239" i="5"/>
  <c r="W310" i="5"/>
  <c r="W113" i="5"/>
  <c r="W294" i="5"/>
  <c r="W155" i="5"/>
  <c r="W68" i="5"/>
  <c r="W20" i="5"/>
  <c r="W18" i="5"/>
  <c r="W246" i="5"/>
  <c r="W225" i="5"/>
  <c r="W191" i="5"/>
  <c r="W118" i="5"/>
  <c r="W198" i="5"/>
  <c r="W223" i="5"/>
  <c r="W97" i="5"/>
  <c r="W67" i="5"/>
  <c r="W241" i="5"/>
  <c r="W164" i="5"/>
  <c r="W200" i="5"/>
  <c r="W262" i="5"/>
  <c r="W309" i="5"/>
  <c r="W45" i="5"/>
  <c r="W180" i="5"/>
  <c r="W119" i="5"/>
  <c r="W44" i="5"/>
  <c r="W171" i="5"/>
  <c r="W95" i="5"/>
  <c r="W261" i="5"/>
  <c r="W28" i="5"/>
  <c r="W64" i="5"/>
  <c r="W150" i="5"/>
  <c r="W228" i="5"/>
  <c r="W91" i="5"/>
  <c r="W182" i="5"/>
  <c r="W70" i="5"/>
  <c r="W230" i="5"/>
  <c r="W120" i="5"/>
  <c r="W181" i="5"/>
  <c r="W140" i="5"/>
  <c r="W54" i="5"/>
  <c r="W209" i="5"/>
  <c r="W168" i="5"/>
  <c r="W248" i="5"/>
  <c r="V1" i="1"/>
  <c r="S177" i="5"/>
  <c r="T3" i="1" l="1"/>
  <c r="U3" i="1"/>
  <c r="T177" i="5"/>
  <c r="Q177" i="5"/>
  <c r="R177" i="5"/>
  <c r="E65" i="6" l="1"/>
  <c r="F65" i="6"/>
  <c r="G65" i="6"/>
  <c r="D65" i="6"/>
  <c r="T3" i="5" l="1"/>
  <c r="T2" i="5"/>
  <c r="T10" i="5"/>
  <c r="T11" i="5"/>
  <c r="T12" i="5"/>
  <c r="T13" i="5"/>
  <c r="T14" i="5"/>
  <c r="T15" i="5"/>
  <c r="T16" i="5"/>
  <c r="T17" i="5"/>
  <c r="T18" i="5"/>
  <c r="T19" i="5"/>
  <c r="T20" i="5"/>
  <c r="T21" i="5"/>
  <c r="T22" i="5"/>
  <c r="T23" i="5"/>
  <c r="T24" i="5"/>
  <c r="T25" i="5"/>
  <c r="T26" i="5"/>
  <c r="T27" i="5"/>
  <c r="T28" i="5"/>
  <c r="T29" i="5"/>
  <c r="T30" i="5"/>
  <c r="T31" i="5"/>
  <c r="T32" i="5"/>
  <c r="T33" i="5"/>
  <c r="T34" i="5"/>
  <c r="T35" i="5"/>
  <c r="T36" i="5"/>
  <c r="T37" i="5"/>
  <c r="T38" i="5"/>
  <c r="T39" i="5"/>
  <c r="T40" i="5"/>
  <c r="T41" i="5"/>
  <c r="T42" i="5"/>
  <c r="T43" i="5"/>
  <c r="T44" i="5"/>
  <c r="T45" i="5"/>
  <c r="T46" i="5"/>
  <c r="T47" i="5"/>
  <c r="T48" i="5"/>
  <c r="T49" i="5"/>
  <c r="T50" i="5"/>
  <c r="T51" i="5"/>
  <c r="T52" i="5"/>
  <c r="T53" i="5"/>
  <c r="T54" i="5"/>
  <c r="T55" i="5"/>
  <c r="T56" i="5"/>
  <c r="T57" i="5"/>
  <c r="T58" i="5"/>
  <c r="T59" i="5"/>
  <c r="T60" i="5"/>
  <c r="T61" i="5"/>
  <c r="T62" i="5"/>
  <c r="T63" i="5"/>
  <c r="T64" i="5"/>
  <c r="T65" i="5"/>
  <c r="T66" i="5"/>
  <c r="T67" i="5"/>
  <c r="T68" i="5"/>
  <c r="T69" i="5"/>
  <c r="T70" i="5"/>
  <c r="T71" i="5"/>
  <c r="T72" i="5"/>
  <c r="T73" i="5"/>
  <c r="T74" i="5"/>
  <c r="T75" i="5"/>
  <c r="T76" i="5"/>
  <c r="T77" i="5"/>
  <c r="T78" i="5"/>
  <c r="T79" i="5"/>
  <c r="T80" i="5"/>
  <c r="T81" i="5"/>
  <c r="T82" i="5"/>
  <c r="T83" i="5"/>
  <c r="T84" i="5"/>
  <c r="T85" i="5"/>
  <c r="T86" i="5"/>
  <c r="T87" i="5"/>
  <c r="T88" i="5"/>
  <c r="T89" i="5"/>
  <c r="T90" i="5"/>
  <c r="T91" i="5"/>
  <c r="T92" i="5"/>
  <c r="T93" i="5"/>
  <c r="T94" i="5"/>
  <c r="T95" i="5"/>
  <c r="T96" i="5"/>
  <c r="T97" i="5"/>
  <c r="T98" i="5"/>
  <c r="T99" i="5"/>
  <c r="T100" i="5"/>
  <c r="T101" i="5"/>
  <c r="T102" i="5"/>
  <c r="T103" i="5"/>
  <c r="T104" i="5"/>
  <c r="T105" i="5"/>
  <c r="T106" i="5"/>
  <c r="T107" i="5"/>
  <c r="T108" i="5"/>
  <c r="T109" i="5"/>
  <c r="T110" i="5"/>
  <c r="T111" i="5"/>
  <c r="T112" i="5"/>
  <c r="T113" i="5"/>
  <c r="T114" i="5"/>
  <c r="T115" i="5"/>
  <c r="T116" i="5"/>
  <c r="T117" i="5"/>
  <c r="T118" i="5"/>
  <c r="T119" i="5"/>
  <c r="T120" i="5"/>
  <c r="T121" i="5"/>
  <c r="T122" i="5"/>
  <c r="T123" i="5"/>
  <c r="T124" i="5"/>
  <c r="T125" i="5"/>
  <c r="T126" i="5"/>
  <c r="T127" i="5"/>
  <c r="T128" i="5"/>
  <c r="T129" i="5"/>
  <c r="T130" i="5"/>
  <c r="T131" i="5"/>
  <c r="T132" i="5"/>
  <c r="T133" i="5"/>
  <c r="T134" i="5"/>
  <c r="T135" i="5"/>
  <c r="T136" i="5"/>
  <c r="T137" i="5"/>
  <c r="T138" i="5"/>
  <c r="T139" i="5"/>
  <c r="T140" i="5"/>
  <c r="T141" i="5"/>
  <c r="T142" i="5"/>
  <c r="T143" i="5"/>
  <c r="T144" i="5"/>
  <c r="T145" i="5"/>
  <c r="T146" i="5"/>
  <c r="T147" i="5"/>
  <c r="T148" i="5"/>
  <c r="T149" i="5"/>
  <c r="T150" i="5"/>
  <c r="T151" i="5"/>
  <c r="T152" i="5"/>
  <c r="T153" i="5"/>
  <c r="T154" i="5"/>
  <c r="T155" i="5"/>
  <c r="T156" i="5"/>
  <c r="T157" i="5"/>
  <c r="T158" i="5"/>
  <c r="T159" i="5"/>
  <c r="T160" i="5"/>
  <c r="T161" i="5"/>
  <c r="T162" i="5"/>
  <c r="T163" i="5"/>
  <c r="T164" i="5"/>
  <c r="T165" i="5"/>
  <c r="T166" i="5"/>
  <c r="T167" i="5"/>
  <c r="T168" i="5"/>
  <c r="T169" i="5"/>
  <c r="T170" i="5"/>
  <c r="T171" i="5"/>
  <c r="T172" i="5"/>
  <c r="T173" i="5"/>
  <c r="T174" i="5"/>
  <c r="T175" i="5"/>
  <c r="T176" i="5"/>
  <c r="T178" i="5"/>
  <c r="T179" i="5"/>
  <c r="T180" i="5"/>
  <c r="T181" i="5"/>
  <c r="T182" i="5"/>
  <c r="T183" i="5"/>
  <c r="T184" i="5"/>
  <c r="T185" i="5"/>
  <c r="T186" i="5"/>
  <c r="T187" i="5"/>
  <c r="T188" i="5"/>
  <c r="T189" i="5"/>
  <c r="T190" i="5"/>
  <c r="T191" i="5"/>
  <c r="T192" i="5"/>
  <c r="T193" i="5"/>
  <c r="T194" i="5"/>
  <c r="T195" i="5"/>
  <c r="T196" i="5"/>
  <c r="T197" i="5"/>
  <c r="T198" i="5"/>
  <c r="T199" i="5"/>
  <c r="T200" i="5"/>
  <c r="T201" i="5"/>
  <c r="T202" i="5"/>
  <c r="T203" i="5"/>
  <c r="T204" i="5"/>
  <c r="T205" i="5"/>
  <c r="T206" i="5"/>
  <c r="T207" i="5"/>
  <c r="T208" i="5"/>
  <c r="T209" i="5"/>
  <c r="T210" i="5"/>
  <c r="T211" i="5"/>
  <c r="T212" i="5"/>
  <c r="T213" i="5"/>
  <c r="T214" i="5"/>
  <c r="T215" i="5"/>
  <c r="T216" i="5"/>
  <c r="T217" i="5"/>
  <c r="T218" i="5"/>
  <c r="T219" i="5"/>
  <c r="T220" i="5"/>
  <c r="T221" i="5"/>
  <c r="T222" i="5"/>
  <c r="T223" i="5"/>
  <c r="T224" i="5"/>
  <c r="T225" i="5"/>
  <c r="T226" i="5"/>
  <c r="T227" i="5"/>
  <c r="T228" i="5"/>
  <c r="T229" i="5"/>
  <c r="T230" i="5"/>
  <c r="T231" i="5"/>
  <c r="T232" i="5"/>
  <c r="T233" i="5"/>
  <c r="T234" i="5"/>
  <c r="T235" i="5"/>
  <c r="T236" i="5"/>
  <c r="T237" i="5"/>
  <c r="T238" i="5"/>
  <c r="T239" i="5"/>
  <c r="T240" i="5"/>
  <c r="T241" i="5"/>
  <c r="T242" i="5"/>
  <c r="T243" i="5"/>
  <c r="T244" i="5"/>
  <c r="T245" i="5"/>
  <c r="T246" i="5"/>
  <c r="T247" i="5"/>
  <c r="T248" i="5"/>
  <c r="T249" i="5"/>
  <c r="T250" i="5"/>
  <c r="T251" i="5"/>
  <c r="T252" i="5"/>
  <c r="T253" i="5"/>
  <c r="T254" i="5"/>
  <c r="T255" i="5"/>
  <c r="T256" i="5"/>
  <c r="T257" i="5"/>
  <c r="T258" i="5"/>
  <c r="T259" i="5"/>
  <c r="T260" i="5"/>
  <c r="T261" i="5"/>
  <c r="T262" i="5"/>
  <c r="T263" i="5"/>
  <c r="T264" i="5"/>
  <c r="T265" i="5"/>
  <c r="T266" i="5"/>
  <c r="T267" i="5"/>
  <c r="T268" i="5"/>
  <c r="T269" i="5"/>
  <c r="T270" i="5"/>
  <c r="T271" i="5"/>
  <c r="T272" i="5"/>
  <c r="T273" i="5"/>
  <c r="T274" i="5"/>
  <c r="T275" i="5"/>
  <c r="T276" i="5"/>
  <c r="T277" i="5"/>
  <c r="T278" i="5"/>
  <c r="T279" i="5"/>
  <c r="T280" i="5"/>
  <c r="T281" i="5"/>
  <c r="T282" i="5"/>
  <c r="T283" i="5"/>
  <c r="T284" i="5"/>
  <c r="T285" i="5"/>
  <c r="T286" i="5"/>
  <c r="T287" i="5"/>
  <c r="T288" i="5"/>
  <c r="T289" i="5"/>
  <c r="T290" i="5"/>
  <c r="T291" i="5"/>
  <c r="T292" i="5"/>
  <c r="T293" i="5"/>
  <c r="T294" i="5"/>
  <c r="T295" i="5"/>
  <c r="T296" i="5"/>
  <c r="T297" i="5"/>
  <c r="T298" i="5"/>
  <c r="T299" i="5"/>
  <c r="T300" i="5"/>
  <c r="T301" i="5"/>
  <c r="T302" i="5"/>
  <c r="T303" i="5"/>
  <c r="T304" i="5"/>
  <c r="T305" i="5"/>
  <c r="T306" i="5"/>
  <c r="T307" i="5"/>
  <c r="T308" i="5"/>
  <c r="T309" i="5"/>
  <c r="T310" i="5"/>
  <c r="T311" i="5"/>
  <c r="T9" i="5"/>
  <c r="Q2" i="5"/>
  <c r="R2" i="5"/>
  <c r="S2" i="5"/>
  <c r="Q3" i="5"/>
  <c r="R3" i="5"/>
  <c r="S3" i="5"/>
  <c r="P3" i="5"/>
  <c r="P2" i="5"/>
  <c r="Q10" i="5"/>
  <c r="R10" i="5"/>
  <c r="S10" i="5"/>
  <c r="Q11" i="5"/>
  <c r="R11" i="5"/>
  <c r="S11" i="5"/>
  <c r="Q12" i="5"/>
  <c r="R12" i="5"/>
  <c r="S12" i="5"/>
  <c r="Q13" i="5"/>
  <c r="R13" i="5"/>
  <c r="S13" i="5"/>
  <c r="Q14" i="5"/>
  <c r="R14" i="5"/>
  <c r="S14" i="5"/>
  <c r="Q15" i="5"/>
  <c r="R15" i="5"/>
  <c r="S15" i="5"/>
  <c r="Q16" i="5"/>
  <c r="R16" i="5"/>
  <c r="S16" i="5"/>
  <c r="Q17" i="5"/>
  <c r="R17" i="5"/>
  <c r="S17" i="5"/>
  <c r="Q18" i="5"/>
  <c r="R18" i="5"/>
  <c r="S18" i="5"/>
  <c r="Q19" i="5"/>
  <c r="R19" i="5"/>
  <c r="S19" i="5"/>
  <c r="Q20" i="5"/>
  <c r="R20" i="5"/>
  <c r="S20" i="5"/>
  <c r="Q21" i="5"/>
  <c r="R21" i="5"/>
  <c r="S21" i="5"/>
  <c r="Q22" i="5"/>
  <c r="R22" i="5"/>
  <c r="S22" i="5"/>
  <c r="Q23" i="5"/>
  <c r="R23" i="5"/>
  <c r="S23" i="5"/>
  <c r="Q24" i="5"/>
  <c r="R24" i="5"/>
  <c r="S24" i="5"/>
  <c r="Q25" i="5"/>
  <c r="R25" i="5"/>
  <c r="S25" i="5"/>
  <c r="Q26" i="5"/>
  <c r="R26" i="5"/>
  <c r="S26" i="5"/>
  <c r="Q27" i="5"/>
  <c r="R27" i="5"/>
  <c r="S27" i="5"/>
  <c r="Q28" i="5"/>
  <c r="R28" i="5"/>
  <c r="S28" i="5"/>
  <c r="Q29" i="5"/>
  <c r="R29" i="5"/>
  <c r="S29" i="5"/>
  <c r="Q30" i="5"/>
  <c r="R30" i="5"/>
  <c r="S30" i="5"/>
  <c r="Q31" i="5"/>
  <c r="R31" i="5"/>
  <c r="S31" i="5"/>
  <c r="Q32" i="5"/>
  <c r="R32" i="5"/>
  <c r="S32" i="5"/>
  <c r="Q33" i="5"/>
  <c r="R33" i="5"/>
  <c r="S33" i="5"/>
  <c r="Q34" i="5"/>
  <c r="R34" i="5"/>
  <c r="S34" i="5"/>
  <c r="Q35" i="5"/>
  <c r="R35" i="5"/>
  <c r="S35" i="5"/>
  <c r="Q36" i="5"/>
  <c r="R36" i="5"/>
  <c r="S36" i="5"/>
  <c r="Q37" i="5"/>
  <c r="R37" i="5"/>
  <c r="S37" i="5"/>
  <c r="Q38" i="5"/>
  <c r="R38" i="5"/>
  <c r="S38" i="5"/>
  <c r="Q39" i="5"/>
  <c r="R39" i="5"/>
  <c r="S39" i="5"/>
  <c r="Q40" i="5"/>
  <c r="R40" i="5"/>
  <c r="S40" i="5"/>
  <c r="Q41" i="5"/>
  <c r="R41" i="5"/>
  <c r="S41" i="5"/>
  <c r="Q42" i="5"/>
  <c r="R42" i="5"/>
  <c r="S42" i="5"/>
  <c r="Q43" i="5"/>
  <c r="R43" i="5"/>
  <c r="S43" i="5"/>
  <c r="Q44" i="5"/>
  <c r="R44" i="5"/>
  <c r="S44" i="5"/>
  <c r="Q45" i="5"/>
  <c r="R45" i="5"/>
  <c r="S45" i="5"/>
  <c r="Q46" i="5"/>
  <c r="R46" i="5"/>
  <c r="S46" i="5"/>
  <c r="Q47" i="5"/>
  <c r="R47" i="5"/>
  <c r="S47" i="5"/>
  <c r="Q48" i="5"/>
  <c r="R48" i="5"/>
  <c r="S48" i="5"/>
  <c r="Q49" i="5"/>
  <c r="R49" i="5"/>
  <c r="S49" i="5"/>
  <c r="Q50" i="5"/>
  <c r="R50" i="5"/>
  <c r="S50" i="5"/>
  <c r="Q51" i="5"/>
  <c r="R51" i="5"/>
  <c r="S51" i="5"/>
  <c r="Q52" i="5"/>
  <c r="R52" i="5"/>
  <c r="S52" i="5"/>
  <c r="Q53" i="5"/>
  <c r="R53" i="5"/>
  <c r="S53" i="5"/>
  <c r="Q54" i="5"/>
  <c r="R54" i="5"/>
  <c r="S54" i="5"/>
  <c r="Q55" i="5"/>
  <c r="R55" i="5"/>
  <c r="S55" i="5"/>
  <c r="Q56" i="5"/>
  <c r="R56" i="5"/>
  <c r="S56" i="5"/>
  <c r="Q57" i="5"/>
  <c r="R57" i="5"/>
  <c r="S57" i="5"/>
  <c r="Q58" i="5"/>
  <c r="R58" i="5"/>
  <c r="S58" i="5"/>
  <c r="Q59" i="5"/>
  <c r="R59" i="5"/>
  <c r="S59" i="5"/>
  <c r="Q60" i="5"/>
  <c r="R60" i="5"/>
  <c r="S60" i="5"/>
  <c r="Q61" i="5"/>
  <c r="R61" i="5"/>
  <c r="S61" i="5"/>
  <c r="Q62" i="5"/>
  <c r="R62" i="5"/>
  <c r="S62" i="5"/>
  <c r="Q63" i="5"/>
  <c r="R63" i="5"/>
  <c r="S63" i="5"/>
  <c r="Q64" i="5"/>
  <c r="R64" i="5"/>
  <c r="S64" i="5"/>
  <c r="Q65" i="5"/>
  <c r="R65" i="5"/>
  <c r="S65" i="5"/>
  <c r="Q66" i="5"/>
  <c r="R66" i="5"/>
  <c r="S66" i="5"/>
  <c r="Q67" i="5"/>
  <c r="R67" i="5"/>
  <c r="S67" i="5"/>
  <c r="Q68" i="5"/>
  <c r="R68" i="5"/>
  <c r="S68" i="5"/>
  <c r="Q69" i="5"/>
  <c r="R69" i="5"/>
  <c r="S69" i="5"/>
  <c r="Q70" i="5"/>
  <c r="R70" i="5"/>
  <c r="S70" i="5"/>
  <c r="Q71" i="5"/>
  <c r="R71" i="5"/>
  <c r="S71" i="5"/>
  <c r="Q72" i="5"/>
  <c r="R72" i="5"/>
  <c r="S72" i="5"/>
  <c r="Q73" i="5"/>
  <c r="R73" i="5"/>
  <c r="S73" i="5"/>
  <c r="Q74" i="5"/>
  <c r="R74" i="5"/>
  <c r="S74" i="5"/>
  <c r="Q75" i="5"/>
  <c r="R75" i="5"/>
  <c r="S75" i="5"/>
  <c r="Q76" i="5"/>
  <c r="R76" i="5"/>
  <c r="S76" i="5"/>
  <c r="Q77" i="5"/>
  <c r="R77" i="5"/>
  <c r="S77" i="5"/>
  <c r="Q78" i="5"/>
  <c r="R78" i="5"/>
  <c r="S78" i="5"/>
  <c r="Q79" i="5"/>
  <c r="R79" i="5"/>
  <c r="S79" i="5"/>
  <c r="Q80" i="5"/>
  <c r="R80" i="5"/>
  <c r="S80" i="5"/>
  <c r="Q81" i="5"/>
  <c r="R81" i="5"/>
  <c r="S81" i="5"/>
  <c r="Q82" i="5"/>
  <c r="R82" i="5"/>
  <c r="S82" i="5"/>
  <c r="Q83" i="5"/>
  <c r="R83" i="5"/>
  <c r="S83" i="5"/>
  <c r="Q84" i="5"/>
  <c r="R84" i="5"/>
  <c r="S84" i="5"/>
  <c r="Q85" i="5"/>
  <c r="R85" i="5"/>
  <c r="S85" i="5"/>
  <c r="Q86" i="5"/>
  <c r="R86" i="5"/>
  <c r="S86" i="5"/>
  <c r="Q87" i="5"/>
  <c r="R87" i="5"/>
  <c r="S87" i="5"/>
  <c r="Q88" i="5"/>
  <c r="R88" i="5"/>
  <c r="S88" i="5"/>
  <c r="Q89" i="5"/>
  <c r="R89" i="5"/>
  <c r="S89" i="5"/>
  <c r="Q90" i="5"/>
  <c r="R90" i="5"/>
  <c r="S90" i="5"/>
  <c r="Q91" i="5"/>
  <c r="R91" i="5"/>
  <c r="S91" i="5"/>
  <c r="Q92" i="5"/>
  <c r="R92" i="5"/>
  <c r="S92" i="5"/>
  <c r="Q93" i="5"/>
  <c r="R93" i="5"/>
  <c r="S93" i="5"/>
  <c r="Q94" i="5"/>
  <c r="R94" i="5"/>
  <c r="S94" i="5"/>
  <c r="Q95" i="5"/>
  <c r="R95" i="5"/>
  <c r="S95" i="5"/>
  <c r="Q96" i="5"/>
  <c r="R96" i="5"/>
  <c r="S96" i="5"/>
  <c r="Q97" i="5"/>
  <c r="R97" i="5"/>
  <c r="S97" i="5"/>
  <c r="Q98" i="5"/>
  <c r="R98" i="5"/>
  <c r="S98" i="5"/>
  <c r="Q99" i="5"/>
  <c r="R99" i="5"/>
  <c r="S99" i="5"/>
  <c r="Q100" i="5"/>
  <c r="R100" i="5"/>
  <c r="S100" i="5"/>
  <c r="Q101" i="5"/>
  <c r="R101" i="5"/>
  <c r="S101" i="5"/>
  <c r="Q102" i="5"/>
  <c r="R102" i="5"/>
  <c r="S102" i="5"/>
  <c r="Q103" i="5"/>
  <c r="R103" i="5"/>
  <c r="S103" i="5"/>
  <c r="Q104" i="5"/>
  <c r="R104" i="5"/>
  <c r="S104" i="5"/>
  <c r="Q105" i="5"/>
  <c r="R105" i="5"/>
  <c r="S105" i="5"/>
  <c r="Q106" i="5"/>
  <c r="R106" i="5"/>
  <c r="S106" i="5"/>
  <c r="Q107" i="5"/>
  <c r="R107" i="5"/>
  <c r="S107" i="5"/>
  <c r="Q108" i="5"/>
  <c r="R108" i="5"/>
  <c r="S108" i="5"/>
  <c r="Q109" i="5"/>
  <c r="R109" i="5"/>
  <c r="S109" i="5"/>
  <c r="Q110" i="5"/>
  <c r="R110" i="5"/>
  <c r="S110" i="5"/>
  <c r="Q111" i="5"/>
  <c r="R111" i="5"/>
  <c r="S111" i="5"/>
  <c r="Q112" i="5"/>
  <c r="R112" i="5"/>
  <c r="S112" i="5"/>
  <c r="Q113" i="5"/>
  <c r="R113" i="5"/>
  <c r="S113" i="5"/>
  <c r="Q114" i="5"/>
  <c r="R114" i="5"/>
  <c r="S114" i="5"/>
  <c r="Q115" i="5"/>
  <c r="R115" i="5"/>
  <c r="S115" i="5"/>
  <c r="Q116" i="5"/>
  <c r="R116" i="5"/>
  <c r="S116" i="5"/>
  <c r="Q117" i="5"/>
  <c r="R117" i="5"/>
  <c r="S117" i="5"/>
  <c r="Q118" i="5"/>
  <c r="R118" i="5"/>
  <c r="S118" i="5"/>
  <c r="Q119" i="5"/>
  <c r="R119" i="5"/>
  <c r="S119" i="5"/>
  <c r="Q120" i="5"/>
  <c r="R120" i="5"/>
  <c r="S120" i="5"/>
  <c r="Q121" i="5"/>
  <c r="R121" i="5"/>
  <c r="S121" i="5"/>
  <c r="Q122" i="5"/>
  <c r="R122" i="5"/>
  <c r="S122" i="5"/>
  <c r="Q123" i="5"/>
  <c r="R123" i="5"/>
  <c r="S123" i="5"/>
  <c r="Q124" i="5"/>
  <c r="R124" i="5"/>
  <c r="S124" i="5"/>
  <c r="Q125" i="5"/>
  <c r="R125" i="5"/>
  <c r="S125" i="5"/>
  <c r="Q126" i="5"/>
  <c r="R126" i="5"/>
  <c r="S126" i="5"/>
  <c r="Q127" i="5"/>
  <c r="R127" i="5"/>
  <c r="S127" i="5"/>
  <c r="Q128" i="5"/>
  <c r="R128" i="5"/>
  <c r="S128" i="5"/>
  <c r="Q129" i="5"/>
  <c r="R129" i="5"/>
  <c r="S129" i="5"/>
  <c r="Q130" i="5"/>
  <c r="R130" i="5"/>
  <c r="S130" i="5"/>
  <c r="Q131" i="5"/>
  <c r="R131" i="5"/>
  <c r="S131" i="5"/>
  <c r="Q132" i="5"/>
  <c r="R132" i="5"/>
  <c r="S132" i="5"/>
  <c r="Q133" i="5"/>
  <c r="R133" i="5"/>
  <c r="S133" i="5"/>
  <c r="Q134" i="5"/>
  <c r="R134" i="5"/>
  <c r="S134" i="5"/>
  <c r="Q135" i="5"/>
  <c r="R135" i="5"/>
  <c r="S135" i="5"/>
  <c r="Q136" i="5"/>
  <c r="R136" i="5"/>
  <c r="S136" i="5"/>
  <c r="Q137" i="5"/>
  <c r="R137" i="5"/>
  <c r="S137" i="5"/>
  <c r="Q138" i="5"/>
  <c r="R138" i="5"/>
  <c r="S138" i="5"/>
  <c r="Q139" i="5"/>
  <c r="R139" i="5"/>
  <c r="S139" i="5"/>
  <c r="Q140" i="5"/>
  <c r="R140" i="5"/>
  <c r="S140" i="5"/>
  <c r="Q141" i="5"/>
  <c r="R141" i="5"/>
  <c r="S141" i="5"/>
  <c r="Q142" i="5"/>
  <c r="R142" i="5"/>
  <c r="S142" i="5"/>
  <c r="Q143" i="5"/>
  <c r="R143" i="5"/>
  <c r="S143" i="5"/>
  <c r="Q144" i="5"/>
  <c r="R144" i="5"/>
  <c r="S144" i="5"/>
  <c r="Q145" i="5"/>
  <c r="R145" i="5"/>
  <c r="S145" i="5"/>
  <c r="Q146" i="5"/>
  <c r="R146" i="5"/>
  <c r="S146" i="5"/>
  <c r="Q147" i="5"/>
  <c r="R147" i="5"/>
  <c r="S147" i="5"/>
  <c r="Q148" i="5"/>
  <c r="R148" i="5"/>
  <c r="S148" i="5"/>
  <c r="Q149" i="5"/>
  <c r="R149" i="5"/>
  <c r="S149" i="5"/>
  <c r="Q150" i="5"/>
  <c r="R150" i="5"/>
  <c r="S150" i="5"/>
  <c r="Q151" i="5"/>
  <c r="R151" i="5"/>
  <c r="S151" i="5"/>
  <c r="Q152" i="5"/>
  <c r="R152" i="5"/>
  <c r="S152" i="5"/>
  <c r="Q153" i="5"/>
  <c r="R153" i="5"/>
  <c r="S153" i="5"/>
  <c r="Q154" i="5"/>
  <c r="R154" i="5"/>
  <c r="S154" i="5"/>
  <c r="Q155" i="5"/>
  <c r="R155" i="5"/>
  <c r="S155" i="5"/>
  <c r="Q156" i="5"/>
  <c r="R156" i="5"/>
  <c r="S156" i="5"/>
  <c r="Q157" i="5"/>
  <c r="R157" i="5"/>
  <c r="S157" i="5"/>
  <c r="Q158" i="5"/>
  <c r="R158" i="5"/>
  <c r="S158" i="5"/>
  <c r="Q159" i="5"/>
  <c r="R159" i="5"/>
  <c r="S159" i="5"/>
  <c r="Q160" i="5"/>
  <c r="R160" i="5"/>
  <c r="S160" i="5"/>
  <c r="Q161" i="5"/>
  <c r="R161" i="5"/>
  <c r="S161" i="5"/>
  <c r="Q162" i="5"/>
  <c r="R162" i="5"/>
  <c r="S162" i="5"/>
  <c r="Q163" i="5"/>
  <c r="R163" i="5"/>
  <c r="S163" i="5"/>
  <c r="Q164" i="5"/>
  <c r="R164" i="5"/>
  <c r="S164" i="5"/>
  <c r="Q165" i="5"/>
  <c r="R165" i="5"/>
  <c r="S165" i="5"/>
  <c r="Q166" i="5"/>
  <c r="R166" i="5"/>
  <c r="S166" i="5"/>
  <c r="Q167" i="5"/>
  <c r="R167" i="5"/>
  <c r="S167" i="5"/>
  <c r="Q168" i="5"/>
  <c r="R168" i="5"/>
  <c r="S168" i="5"/>
  <c r="Q169" i="5"/>
  <c r="R169" i="5"/>
  <c r="S169" i="5"/>
  <c r="Q170" i="5"/>
  <c r="R170" i="5"/>
  <c r="S170" i="5"/>
  <c r="Q171" i="5"/>
  <c r="R171" i="5"/>
  <c r="S171" i="5"/>
  <c r="Q172" i="5"/>
  <c r="R172" i="5"/>
  <c r="S172" i="5"/>
  <c r="Q173" i="5"/>
  <c r="R173" i="5"/>
  <c r="S173" i="5"/>
  <c r="Q174" i="5"/>
  <c r="R174" i="5"/>
  <c r="S174" i="5"/>
  <c r="Q175" i="5"/>
  <c r="R175" i="5"/>
  <c r="S175" i="5"/>
  <c r="Q176" i="5"/>
  <c r="R176" i="5"/>
  <c r="S176" i="5"/>
  <c r="Q178" i="5"/>
  <c r="R178" i="5"/>
  <c r="S178" i="5"/>
  <c r="Q179" i="5"/>
  <c r="R179" i="5"/>
  <c r="S179" i="5"/>
  <c r="Q180" i="5"/>
  <c r="R180" i="5"/>
  <c r="S180" i="5"/>
  <c r="Q181" i="5"/>
  <c r="R181" i="5"/>
  <c r="S181" i="5"/>
  <c r="Q182" i="5"/>
  <c r="R182" i="5"/>
  <c r="S182" i="5"/>
  <c r="Q183" i="5"/>
  <c r="R183" i="5"/>
  <c r="S183" i="5"/>
  <c r="Q184" i="5"/>
  <c r="R184" i="5"/>
  <c r="S184" i="5"/>
  <c r="Q185" i="5"/>
  <c r="R185" i="5"/>
  <c r="S185" i="5"/>
  <c r="Q186" i="5"/>
  <c r="R186" i="5"/>
  <c r="S186" i="5"/>
  <c r="Q187" i="5"/>
  <c r="R187" i="5"/>
  <c r="S187" i="5"/>
  <c r="Q188" i="5"/>
  <c r="R188" i="5"/>
  <c r="S188" i="5"/>
  <c r="Q189" i="5"/>
  <c r="R189" i="5"/>
  <c r="S189" i="5"/>
  <c r="Q190" i="5"/>
  <c r="R190" i="5"/>
  <c r="S190" i="5"/>
  <c r="Q191" i="5"/>
  <c r="R191" i="5"/>
  <c r="S191" i="5"/>
  <c r="Q192" i="5"/>
  <c r="R192" i="5"/>
  <c r="S192" i="5"/>
  <c r="Q193" i="5"/>
  <c r="R193" i="5"/>
  <c r="S193" i="5"/>
  <c r="Q194" i="5"/>
  <c r="R194" i="5"/>
  <c r="S194" i="5"/>
  <c r="Q195" i="5"/>
  <c r="R195" i="5"/>
  <c r="S195" i="5"/>
  <c r="Q196" i="5"/>
  <c r="R196" i="5"/>
  <c r="S196" i="5"/>
  <c r="Q197" i="5"/>
  <c r="R197" i="5"/>
  <c r="S197" i="5"/>
  <c r="Q198" i="5"/>
  <c r="R198" i="5"/>
  <c r="S198" i="5"/>
  <c r="Q199" i="5"/>
  <c r="R199" i="5"/>
  <c r="S199" i="5"/>
  <c r="Q200" i="5"/>
  <c r="R200" i="5"/>
  <c r="S200" i="5"/>
  <c r="Q201" i="5"/>
  <c r="R201" i="5"/>
  <c r="S201" i="5"/>
  <c r="Q202" i="5"/>
  <c r="R202" i="5"/>
  <c r="S202" i="5"/>
  <c r="Q203" i="5"/>
  <c r="R203" i="5"/>
  <c r="S203" i="5"/>
  <c r="Q204" i="5"/>
  <c r="R204" i="5"/>
  <c r="S204" i="5"/>
  <c r="Q205" i="5"/>
  <c r="R205" i="5"/>
  <c r="S205" i="5"/>
  <c r="Q206" i="5"/>
  <c r="R206" i="5"/>
  <c r="S206" i="5"/>
  <c r="Q207" i="5"/>
  <c r="R207" i="5"/>
  <c r="S207" i="5"/>
  <c r="Q208" i="5"/>
  <c r="R208" i="5"/>
  <c r="S208" i="5"/>
  <c r="Q209" i="5"/>
  <c r="R209" i="5"/>
  <c r="S209" i="5"/>
  <c r="Q210" i="5"/>
  <c r="R210" i="5"/>
  <c r="S210" i="5"/>
  <c r="Q211" i="5"/>
  <c r="R211" i="5"/>
  <c r="S211" i="5"/>
  <c r="Q212" i="5"/>
  <c r="R212" i="5"/>
  <c r="S212" i="5"/>
  <c r="Q213" i="5"/>
  <c r="R213" i="5"/>
  <c r="S213" i="5"/>
  <c r="Q214" i="5"/>
  <c r="R214" i="5"/>
  <c r="S214" i="5"/>
  <c r="Q215" i="5"/>
  <c r="R215" i="5"/>
  <c r="S215" i="5"/>
  <c r="Q216" i="5"/>
  <c r="R216" i="5"/>
  <c r="S216" i="5"/>
  <c r="Q217" i="5"/>
  <c r="R217" i="5"/>
  <c r="S217" i="5"/>
  <c r="Q218" i="5"/>
  <c r="R218" i="5"/>
  <c r="S218" i="5"/>
  <c r="Q219" i="5"/>
  <c r="R219" i="5"/>
  <c r="S219" i="5"/>
  <c r="Q220" i="5"/>
  <c r="R220" i="5"/>
  <c r="S220" i="5"/>
  <c r="Q221" i="5"/>
  <c r="R221" i="5"/>
  <c r="S221" i="5"/>
  <c r="Q222" i="5"/>
  <c r="R222" i="5"/>
  <c r="S222" i="5"/>
  <c r="Q223" i="5"/>
  <c r="R223" i="5"/>
  <c r="S223" i="5"/>
  <c r="Q224" i="5"/>
  <c r="R224" i="5"/>
  <c r="S224" i="5"/>
  <c r="Q225" i="5"/>
  <c r="R225" i="5"/>
  <c r="S225" i="5"/>
  <c r="Q226" i="5"/>
  <c r="R226" i="5"/>
  <c r="S226" i="5"/>
  <c r="Q227" i="5"/>
  <c r="R227" i="5"/>
  <c r="S227" i="5"/>
  <c r="Q228" i="5"/>
  <c r="R228" i="5"/>
  <c r="S228" i="5"/>
  <c r="Q229" i="5"/>
  <c r="R229" i="5"/>
  <c r="S229" i="5"/>
  <c r="Q230" i="5"/>
  <c r="R230" i="5"/>
  <c r="S230" i="5"/>
  <c r="Q231" i="5"/>
  <c r="R231" i="5"/>
  <c r="S231" i="5"/>
  <c r="Q232" i="5"/>
  <c r="R232" i="5"/>
  <c r="S232" i="5"/>
  <c r="Q233" i="5"/>
  <c r="R233" i="5"/>
  <c r="S233" i="5"/>
  <c r="Q234" i="5"/>
  <c r="R234" i="5"/>
  <c r="S234" i="5"/>
  <c r="Q235" i="5"/>
  <c r="R235" i="5"/>
  <c r="S235" i="5"/>
  <c r="Q236" i="5"/>
  <c r="R236" i="5"/>
  <c r="S236" i="5"/>
  <c r="Q237" i="5"/>
  <c r="R237" i="5"/>
  <c r="S237" i="5"/>
  <c r="Q238" i="5"/>
  <c r="R238" i="5"/>
  <c r="S238" i="5"/>
  <c r="Q239" i="5"/>
  <c r="R239" i="5"/>
  <c r="S239" i="5"/>
  <c r="Q240" i="5"/>
  <c r="R240" i="5"/>
  <c r="S240" i="5"/>
  <c r="Q241" i="5"/>
  <c r="R241" i="5"/>
  <c r="S241" i="5"/>
  <c r="Q242" i="5"/>
  <c r="R242" i="5"/>
  <c r="S242" i="5"/>
  <c r="Q243" i="5"/>
  <c r="R243" i="5"/>
  <c r="S243" i="5"/>
  <c r="Q244" i="5"/>
  <c r="R244" i="5"/>
  <c r="S244" i="5"/>
  <c r="Q245" i="5"/>
  <c r="R245" i="5"/>
  <c r="S245" i="5"/>
  <c r="Q246" i="5"/>
  <c r="R246" i="5"/>
  <c r="S246" i="5"/>
  <c r="Q247" i="5"/>
  <c r="R247" i="5"/>
  <c r="S247" i="5"/>
  <c r="Q248" i="5"/>
  <c r="R248" i="5"/>
  <c r="S248" i="5"/>
  <c r="Q249" i="5"/>
  <c r="R249" i="5"/>
  <c r="S249" i="5"/>
  <c r="Q250" i="5"/>
  <c r="R250" i="5"/>
  <c r="S250" i="5"/>
  <c r="Q251" i="5"/>
  <c r="R251" i="5"/>
  <c r="S251" i="5"/>
  <c r="Q252" i="5"/>
  <c r="R252" i="5"/>
  <c r="S252" i="5"/>
  <c r="Q253" i="5"/>
  <c r="R253" i="5"/>
  <c r="S253" i="5"/>
  <c r="Q254" i="5"/>
  <c r="R254" i="5"/>
  <c r="S254" i="5"/>
  <c r="Q255" i="5"/>
  <c r="R255" i="5"/>
  <c r="S255" i="5"/>
  <c r="Q256" i="5"/>
  <c r="R256" i="5"/>
  <c r="S256" i="5"/>
  <c r="Q257" i="5"/>
  <c r="R257" i="5"/>
  <c r="S257" i="5"/>
  <c r="Q258" i="5"/>
  <c r="R258" i="5"/>
  <c r="S258" i="5"/>
  <c r="Q259" i="5"/>
  <c r="R259" i="5"/>
  <c r="S259" i="5"/>
  <c r="Q260" i="5"/>
  <c r="R260" i="5"/>
  <c r="S260" i="5"/>
  <c r="Q261" i="5"/>
  <c r="R261" i="5"/>
  <c r="S261" i="5"/>
  <c r="Q262" i="5"/>
  <c r="R262" i="5"/>
  <c r="S262" i="5"/>
  <c r="Q263" i="5"/>
  <c r="R263" i="5"/>
  <c r="S263" i="5"/>
  <c r="Q264" i="5"/>
  <c r="R264" i="5"/>
  <c r="S264" i="5"/>
  <c r="Q265" i="5"/>
  <c r="R265" i="5"/>
  <c r="S265" i="5"/>
  <c r="Q266" i="5"/>
  <c r="R266" i="5"/>
  <c r="S266" i="5"/>
  <c r="Q267" i="5"/>
  <c r="R267" i="5"/>
  <c r="S267" i="5"/>
  <c r="Q268" i="5"/>
  <c r="R268" i="5"/>
  <c r="S268" i="5"/>
  <c r="Q269" i="5"/>
  <c r="R269" i="5"/>
  <c r="S269" i="5"/>
  <c r="Q270" i="5"/>
  <c r="R270" i="5"/>
  <c r="S270" i="5"/>
  <c r="Q271" i="5"/>
  <c r="R271" i="5"/>
  <c r="S271" i="5"/>
  <c r="Q272" i="5"/>
  <c r="R272" i="5"/>
  <c r="S272" i="5"/>
  <c r="Q273" i="5"/>
  <c r="R273" i="5"/>
  <c r="S273" i="5"/>
  <c r="Q274" i="5"/>
  <c r="R274" i="5"/>
  <c r="S274" i="5"/>
  <c r="Q275" i="5"/>
  <c r="R275" i="5"/>
  <c r="S275" i="5"/>
  <c r="Q276" i="5"/>
  <c r="R276" i="5"/>
  <c r="S276" i="5"/>
  <c r="Q277" i="5"/>
  <c r="R277" i="5"/>
  <c r="S277" i="5"/>
  <c r="Q278" i="5"/>
  <c r="R278" i="5"/>
  <c r="S278" i="5"/>
  <c r="Q279" i="5"/>
  <c r="R279" i="5"/>
  <c r="S279" i="5"/>
  <c r="Q280" i="5"/>
  <c r="R280" i="5"/>
  <c r="S280" i="5"/>
  <c r="Q281" i="5"/>
  <c r="R281" i="5"/>
  <c r="S281" i="5"/>
  <c r="Q282" i="5"/>
  <c r="R282" i="5"/>
  <c r="S282" i="5"/>
  <c r="Q283" i="5"/>
  <c r="R283" i="5"/>
  <c r="S283" i="5"/>
  <c r="Q284" i="5"/>
  <c r="R284" i="5"/>
  <c r="S284" i="5"/>
  <c r="Q285" i="5"/>
  <c r="R285" i="5"/>
  <c r="S285" i="5"/>
  <c r="Q286" i="5"/>
  <c r="R286" i="5"/>
  <c r="S286" i="5"/>
  <c r="Q287" i="5"/>
  <c r="R287" i="5"/>
  <c r="S287" i="5"/>
  <c r="Q288" i="5"/>
  <c r="R288" i="5"/>
  <c r="S288" i="5"/>
  <c r="Q289" i="5"/>
  <c r="R289" i="5"/>
  <c r="S289" i="5"/>
  <c r="Q290" i="5"/>
  <c r="R290" i="5"/>
  <c r="S290" i="5"/>
  <c r="Q291" i="5"/>
  <c r="R291" i="5"/>
  <c r="S291" i="5"/>
  <c r="Q292" i="5"/>
  <c r="R292" i="5"/>
  <c r="S292" i="5"/>
  <c r="Q293" i="5"/>
  <c r="R293" i="5"/>
  <c r="S293" i="5"/>
  <c r="Q294" i="5"/>
  <c r="R294" i="5"/>
  <c r="S294" i="5"/>
  <c r="Q295" i="5"/>
  <c r="R295" i="5"/>
  <c r="S295" i="5"/>
  <c r="Q296" i="5"/>
  <c r="R296" i="5"/>
  <c r="S296" i="5"/>
  <c r="Q297" i="5"/>
  <c r="R297" i="5"/>
  <c r="S297" i="5"/>
  <c r="Q298" i="5"/>
  <c r="R298" i="5"/>
  <c r="S298" i="5"/>
  <c r="Q299" i="5"/>
  <c r="R299" i="5"/>
  <c r="S299" i="5"/>
  <c r="Q300" i="5"/>
  <c r="R300" i="5"/>
  <c r="S300" i="5"/>
  <c r="Q301" i="5"/>
  <c r="R301" i="5"/>
  <c r="S301" i="5"/>
  <c r="Q302" i="5"/>
  <c r="R302" i="5"/>
  <c r="S302" i="5"/>
  <c r="Q303" i="5"/>
  <c r="R303" i="5"/>
  <c r="S303" i="5"/>
  <c r="Q304" i="5"/>
  <c r="R304" i="5"/>
  <c r="S304" i="5"/>
  <c r="Q305" i="5"/>
  <c r="R305" i="5"/>
  <c r="S305" i="5"/>
  <c r="Q306" i="5"/>
  <c r="R306" i="5"/>
  <c r="S306" i="5"/>
  <c r="Q307" i="5"/>
  <c r="R307" i="5"/>
  <c r="S307" i="5"/>
  <c r="Q308" i="5"/>
  <c r="R308" i="5"/>
  <c r="S308" i="5"/>
  <c r="Q309" i="5"/>
  <c r="R309" i="5"/>
  <c r="S309" i="5"/>
  <c r="Q310" i="5"/>
  <c r="R310" i="5"/>
  <c r="S310" i="5"/>
  <c r="Q311" i="5"/>
  <c r="R311" i="5"/>
  <c r="S311" i="5"/>
  <c r="S9" i="5"/>
  <c r="R9" i="5"/>
  <c r="T7" i="5" l="1"/>
  <c r="N7" i="5"/>
  <c r="J7" i="5"/>
  <c r="K7" i="5"/>
  <c r="M7" i="5"/>
  <c r="L7" i="5"/>
  <c r="V3" i="1" l="1"/>
  <c r="D18" i="3" l="1"/>
  <c r="D15" i="3"/>
  <c r="J298" i="4"/>
  <c r="I298" i="4"/>
  <c r="H298" i="4"/>
  <c r="G298" i="4"/>
  <c r="X3" i="1"/>
  <c r="E15" i="3" l="1"/>
  <c r="K2" i="4"/>
  <c r="L2" i="4"/>
  <c r="L298" i="4"/>
  <c r="K298" i="4"/>
  <c r="F15" i="3" l="1"/>
  <c r="W1" i="1"/>
  <c r="X1" i="1"/>
  <c r="G15" i="3" l="1"/>
  <c r="S3" i="1"/>
  <c r="W7" i="5" l="1"/>
  <c r="V7" i="5" l="1"/>
  <c r="G22" i="3"/>
  <c r="C1" i="6" l="1"/>
  <c r="P3" i="1" l="1"/>
  <c r="Q3" i="1"/>
  <c r="R3" i="1" l="1"/>
  <c r="G55" i="6" l="1"/>
  <c r="G66" i="6" s="1"/>
  <c r="F55" i="6"/>
  <c r="F66" i="6" s="1"/>
  <c r="E55" i="6"/>
  <c r="E66" i="6" s="1"/>
  <c r="D55" i="6"/>
  <c r="D66" i="6" s="1"/>
  <c r="A2" i="6"/>
  <c r="A3" i="6" s="1"/>
  <c r="A4" i="6" s="1"/>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F46" i="6" l="1"/>
  <c r="F57" i="6" s="1"/>
  <c r="E46" i="6"/>
  <c r="E57" i="6" s="1"/>
  <c r="D46" i="6"/>
  <c r="D57" i="6" s="1"/>
  <c r="G46" i="6" l="1"/>
  <c r="G57" i="6" s="1"/>
  <c r="G37" i="6"/>
  <c r="E18" i="3" l="1"/>
  <c r="B69" i="3"/>
  <c r="F18" i="3" l="1"/>
  <c r="W300" i="1"/>
  <c r="W301" i="1"/>
  <c r="W303" i="1"/>
  <c r="W304" i="1"/>
  <c r="W305" i="1"/>
  <c r="W306" i="1"/>
  <c r="W299" i="1"/>
  <c r="G18" i="3" l="1"/>
  <c r="O3" i="1"/>
  <c r="B1" i="5"/>
  <c r="C1" i="5" s="1"/>
  <c r="D1" i="5" s="1"/>
  <c r="E1" i="5" s="1"/>
  <c r="F1" i="5" s="1"/>
  <c r="G1" i="5" s="1"/>
  <c r="H1" i="5" s="1"/>
  <c r="I1" i="5" s="1"/>
  <c r="J1" i="5" l="1"/>
  <c r="K1" i="5" s="1"/>
  <c r="L1" i="5" s="1"/>
  <c r="M1" i="5" s="1"/>
  <c r="N1" i="5" s="1"/>
  <c r="O1" i="5" s="1"/>
  <c r="P1" i="5" s="1"/>
  <c r="Q1" i="5" s="1"/>
  <c r="R1" i="5" s="1"/>
  <c r="S1" i="5" s="1"/>
  <c r="T1" i="5" s="1"/>
  <c r="U1" i="5" s="1"/>
  <c r="V1" i="5" s="1"/>
  <c r="W1" i="5" s="1"/>
  <c r="G26" i="6"/>
  <c r="F34" i="3" l="1"/>
  <c r="F44" i="3" s="1"/>
  <c r="F72" i="3" s="1"/>
  <c r="B1" i="1"/>
  <c r="C1" i="1" s="1"/>
  <c r="D1" i="1" s="1"/>
  <c r="E1" i="1" s="1"/>
  <c r="F1" i="1" s="1"/>
  <c r="G1" i="1" s="1"/>
  <c r="H1" i="1" s="1"/>
  <c r="N3" i="1" l="1"/>
  <c r="H3" i="1" l="1"/>
  <c r="G34" i="3" l="1"/>
  <c r="G44" i="3" s="1"/>
  <c r="G72" i="3" s="1"/>
  <c r="E34" i="3"/>
  <c r="E44" i="3" s="1"/>
  <c r="E72" i="3" s="1"/>
  <c r="D34" i="3"/>
  <c r="D44" i="3" s="1"/>
  <c r="D72" i="3" s="1"/>
  <c r="C34" i="3"/>
  <c r="C44" i="3" s="1"/>
  <c r="C72" i="3" s="1"/>
  <c r="R7" i="5" l="1"/>
  <c r="S7" i="5" l="1"/>
  <c r="Q7" i="5"/>
  <c r="P7" i="5" l="1"/>
  <c r="L3" i="1" l="1"/>
  <c r="M3" i="1"/>
  <c r="W3" i="1" l="1"/>
  <c r="J3" i="1"/>
  <c r="K3" i="1"/>
  <c r="I3"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4" i="1"/>
  <c r="B24" i="3" l="1"/>
  <c r="W5" i="1" l="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226" i="1"/>
  <c r="W227" i="1"/>
  <c r="W228" i="1"/>
  <c r="W229" i="1"/>
  <c r="W230" i="1"/>
  <c r="W231" i="1"/>
  <c r="W232" i="1"/>
  <c r="W233" i="1"/>
  <c r="W234" i="1"/>
  <c r="W235" i="1"/>
  <c r="W236" i="1"/>
  <c r="W266" i="1"/>
  <c r="W237" i="1"/>
  <c r="W238" i="1"/>
  <c r="W239" i="1"/>
  <c r="W240" i="1"/>
  <c r="W241" i="1"/>
  <c r="W242" i="1"/>
  <c r="W243" i="1"/>
  <c r="W244" i="1"/>
  <c r="W245" i="1"/>
  <c r="W246" i="1"/>
  <c r="W247" i="1"/>
  <c r="W248" i="1"/>
  <c r="W249" i="1"/>
  <c r="W250" i="1"/>
  <c r="W251" i="1"/>
  <c r="W252" i="1"/>
  <c r="W253" i="1"/>
  <c r="W254" i="1"/>
  <c r="W255" i="1"/>
  <c r="W256" i="1"/>
  <c r="W257" i="1"/>
  <c r="W258" i="1"/>
  <c r="W259" i="1"/>
  <c r="W260" i="1"/>
  <c r="W261" i="1"/>
  <c r="W262" i="1"/>
  <c r="W263" i="1"/>
  <c r="W264" i="1"/>
  <c r="W265" i="1"/>
  <c r="W267" i="1"/>
  <c r="W268" i="1"/>
  <c r="W269" i="1"/>
  <c r="W270" i="1"/>
  <c r="W271" i="1"/>
  <c r="W272" i="1"/>
  <c r="W273" i="1"/>
  <c r="W274" i="1"/>
  <c r="W275" i="1"/>
  <c r="W276" i="1"/>
  <c r="W277" i="1"/>
  <c r="W278" i="1"/>
  <c r="W279" i="1"/>
  <c r="W280" i="1"/>
  <c r="W281" i="1"/>
  <c r="W282" i="1"/>
  <c r="W283" i="1"/>
  <c r="W284" i="1"/>
  <c r="W285" i="1"/>
  <c r="W286" i="1"/>
  <c r="W287" i="1"/>
  <c r="W288" i="1"/>
  <c r="W289" i="1"/>
  <c r="W290" i="1"/>
  <c r="W291" i="1"/>
  <c r="W292" i="1"/>
  <c r="W293" i="1"/>
  <c r="W294" i="1"/>
  <c r="W295" i="1"/>
  <c r="W296" i="1"/>
  <c r="W297" i="1"/>
  <c r="W298" i="1"/>
  <c r="W4" i="1"/>
  <c r="A1" i="3" s="1"/>
  <c r="B68" i="3" l="1"/>
  <c r="A68" i="3" s="1"/>
  <c r="C16" i="3"/>
  <c r="C26" i="3"/>
  <c r="C24" i="3"/>
  <c r="C47" i="3" s="1"/>
  <c r="D24" i="3"/>
  <c r="D47" i="3" s="1"/>
  <c r="D39" i="6" s="1"/>
  <c r="E24" i="3"/>
  <c r="E47" i="3" s="1"/>
  <c r="F24" i="3"/>
  <c r="F47" i="3" s="1"/>
  <c r="G24" i="3"/>
  <c r="G47" i="3" s="1"/>
  <c r="G28" i="3"/>
  <c r="F28" i="3"/>
  <c r="E28" i="3"/>
  <c r="D28" i="3"/>
  <c r="C28" i="3"/>
  <c r="G26" i="3"/>
  <c r="C58" i="3"/>
  <c r="C63" i="3"/>
  <c r="C30" i="3"/>
  <c r="C36" i="3" s="1"/>
  <c r="F26" i="3"/>
  <c r="D30" i="3"/>
  <c r="E30" i="3"/>
  <c r="E36" i="3" s="1"/>
  <c r="F30" i="3"/>
  <c r="G30" i="3"/>
  <c r="E26" i="3"/>
  <c r="D26" i="3"/>
  <c r="D69" i="3" l="1"/>
  <c r="C69" i="3"/>
  <c r="E69" i="3"/>
  <c r="G69" i="3"/>
  <c r="F69" i="3"/>
  <c r="C48" i="3"/>
  <c r="C38" i="6" s="1"/>
  <c r="C35" i="3"/>
  <c r="F35" i="3"/>
  <c r="F45" i="3" s="1"/>
  <c r="F46" i="3" s="1"/>
  <c r="F49" i="3" s="1"/>
  <c r="D35" i="3"/>
  <c r="G35" i="3"/>
  <c r="E39" i="6"/>
  <c r="G27" i="6"/>
  <c r="D16" i="3"/>
  <c r="E16" i="3" s="1"/>
  <c r="F16" i="3" s="1"/>
  <c r="G16" i="3" s="1"/>
  <c r="E26" i="6"/>
  <c r="G39" i="6"/>
  <c r="F39" i="6"/>
  <c r="C39" i="6"/>
  <c r="D36" i="3"/>
  <c r="E35" i="3"/>
  <c r="D48" i="3"/>
  <c r="G36" i="3"/>
  <c r="F36" i="3"/>
  <c r="F48" i="3"/>
  <c r="G48" i="3"/>
  <c r="G38" i="6" s="1"/>
  <c r="E48" i="3"/>
  <c r="E38" i="6" s="1"/>
  <c r="C68" i="3"/>
  <c r="F73" i="3" l="1"/>
  <c r="F74" i="3" s="1"/>
  <c r="F75" i="3" s="1"/>
  <c r="C37" i="3"/>
  <c r="C38" i="3" s="1"/>
  <c r="C45" i="3"/>
  <c r="C46" i="3" s="1"/>
  <c r="C49" i="3" s="1"/>
  <c r="C50" i="3" s="1"/>
  <c r="C51" i="3" s="1"/>
  <c r="G37" i="3"/>
  <c r="G38" i="3" s="1"/>
  <c r="F37" i="3"/>
  <c r="F38" i="3" s="1"/>
  <c r="F41" i="3" s="1"/>
  <c r="D38" i="6"/>
  <c r="F38" i="6"/>
  <c r="D45" i="3"/>
  <c r="D46" i="3" s="1"/>
  <c r="D49" i="3" s="1"/>
  <c r="E37" i="3"/>
  <c r="E45" i="3"/>
  <c r="E46" i="3" s="1"/>
  <c r="C73" i="3"/>
  <c r="C74" i="3" s="1"/>
  <c r="D37" i="3"/>
  <c r="E27" i="6" s="1"/>
  <c r="F50" i="3"/>
  <c r="F51" i="3" s="1"/>
  <c r="G45" i="3"/>
  <c r="G73" i="3" s="1"/>
  <c r="E73" i="3" l="1"/>
  <c r="E74" i="3" s="1"/>
  <c r="E75" i="3" s="1"/>
  <c r="C41" i="3"/>
  <c r="C39" i="3"/>
  <c r="D73" i="3"/>
  <c r="D74" i="3" s="1"/>
  <c r="D75" i="3" s="1"/>
  <c r="G62" i="3"/>
  <c r="F61" i="3"/>
  <c r="D62" i="3"/>
  <c r="C61" i="3"/>
  <c r="G40" i="3"/>
  <c r="G56" i="3" s="1"/>
  <c r="G41" i="3"/>
  <c r="E38" i="3"/>
  <c r="E41" i="3" s="1"/>
  <c r="E30" i="6"/>
  <c r="C75" i="3"/>
  <c r="G39" i="3"/>
  <c r="G41" i="6" s="1"/>
  <c r="F39" i="3"/>
  <c r="F40" i="3"/>
  <c r="D38" i="3"/>
  <c r="C40" i="3"/>
  <c r="C56" i="3" s="1"/>
  <c r="G74" i="3"/>
  <c r="G75" i="3" s="1"/>
  <c r="G46" i="3"/>
  <c r="G49" i="3" s="1"/>
  <c r="G50" i="3" s="1"/>
  <c r="G40" i="6" l="1"/>
  <c r="G57" i="3"/>
  <c r="G59" i="3" s="1"/>
  <c r="F56" i="3"/>
  <c r="D57" i="3"/>
  <c r="C59" i="3"/>
  <c r="G29" i="6"/>
  <c r="D41" i="3"/>
  <c r="G30" i="6" s="1"/>
  <c r="C64" i="3"/>
  <c r="D39" i="3"/>
  <c r="C41" i="6" s="1"/>
  <c r="D40" i="3"/>
  <c r="E40" i="3"/>
  <c r="E39" i="3"/>
  <c r="E41" i="6" s="1"/>
  <c r="E49" i="3"/>
  <c r="E50" i="3" s="1"/>
  <c r="E51" i="3" s="1"/>
  <c r="D50" i="3"/>
  <c r="D51" i="3" s="1"/>
  <c r="G51" i="3"/>
  <c r="E57" i="3" l="1"/>
  <c r="D56" i="3"/>
  <c r="D59" i="3" s="1"/>
  <c r="E62" i="3"/>
  <c r="D61" i="3"/>
  <c r="F62" i="3"/>
  <c r="F64" i="3" s="1"/>
  <c r="E61" i="3"/>
  <c r="E40" i="6"/>
  <c r="E56" i="3"/>
  <c r="F57" i="3"/>
  <c r="F59" i="3" s="1"/>
  <c r="G61" i="3"/>
  <c r="G64" i="3" s="1"/>
  <c r="G65" i="3" s="1"/>
  <c r="F41" i="6"/>
  <c r="F40" i="6"/>
  <c r="G44" i="6" s="1"/>
  <c r="G68" i="6" s="1"/>
  <c r="C40" i="6"/>
  <c r="D41" i="6"/>
  <c r="D40" i="6"/>
  <c r="C65" i="3"/>
  <c r="D44" i="6" l="1"/>
  <c r="D68" i="6" s="1"/>
  <c r="E59" i="3"/>
  <c r="E44" i="6"/>
  <c r="E68" i="6" s="1"/>
  <c r="F44" i="6"/>
  <c r="F68" i="6" s="1"/>
  <c r="F65" i="3"/>
  <c r="E64" i="3" l="1"/>
  <c r="E65" i="3" s="1"/>
  <c r="D64" i="3"/>
  <c r="D65" i="3" s="1"/>
  <c r="F2" i="4"/>
  <c r="F298" i="4"/>
  <c r="C2" i="4"/>
  <c r="C298" i="4"/>
  <c r="G3" i="1"/>
  <c r="E2" i="4"/>
  <c r="E298" i="4"/>
  <c r="G2" i="4"/>
  <c r="D298" i="4"/>
  <c r="D2" i="4"/>
  <c r="H2" i="4"/>
  <c r="I2" i="4"/>
  <c r="J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Melissa Jarmon</author>
  </authors>
  <commentList>
    <comment ref="I67" authorId="0" shapeId="0" xr:uid="{F4ED51FA-F94B-4157-8F9B-39832BDBDCC2}">
      <text>
        <r>
          <rPr>
            <b/>
            <sz val="9"/>
            <color indexed="81"/>
            <rFont val="Tahoma"/>
            <charset val="1"/>
          </rPr>
          <t>Melissa Jarmon:</t>
        </r>
        <r>
          <rPr>
            <sz val="9"/>
            <color indexed="81"/>
            <rFont val="Tahoma"/>
            <charset val="1"/>
          </rPr>
          <t xml:space="preserve">
Double Levy Failure: Feb &amp; April 2024</t>
        </r>
      </text>
    </comment>
    <comment ref="I247" authorId="0" shapeId="0" xr:uid="{2787EA6C-0C72-46BE-896E-3B7C1BF6E7A5}">
      <text>
        <r>
          <rPr>
            <b/>
            <sz val="9"/>
            <color indexed="81"/>
            <rFont val="Tahoma"/>
            <charset val="1"/>
          </rPr>
          <t>Melissa Jarmon:</t>
        </r>
        <r>
          <rPr>
            <sz val="9"/>
            <color indexed="81"/>
            <rFont val="Tahoma"/>
            <charset val="1"/>
          </rPr>
          <t xml:space="preserve">
Double Levy Failure: Feb &amp; Apr 2024</t>
        </r>
      </text>
    </comment>
  </commentList>
</comments>
</file>

<file path=xl/sharedStrings.xml><?xml version="1.0" encoding="utf-8"?>
<sst xmlns="http://schemas.openxmlformats.org/spreadsheetml/2006/main" count="3027" uniqueCount="1178">
  <si>
    <t>01109</t>
  </si>
  <si>
    <t>WASHTUCNA</t>
  </si>
  <si>
    <t>01122</t>
  </si>
  <si>
    <t>BENGE</t>
  </si>
  <si>
    <t>01147</t>
  </si>
  <si>
    <t>OTHELLO</t>
  </si>
  <si>
    <t>01158</t>
  </si>
  <si>
    <t>LIND</t>
  </si>
  <si>
    <t>01160</t>
  </si>
  <si>
    <t>RITZVILLE</t>
  </si>
  <si>
    <t>02250</t>
  </si>
  <si>
    <t>CLARKSTON</t>
  </si>
  <si>
    <t>02420</t>
  </si>
  <si>
    <t>ASOTIN-ANATONE</t>
  </si>
  <si>
    <t>03017</t>
  </si>
  <si>
    <t>KENNEWICK</t>
  </si>
  <si>
    <t>03050</t>
  </si>
  <si>
    <t>PATERSON</t>
  </si>
  <si>
    <t>03052</t>
  </si>
  <si>
    <t>KIONA BENTON</t>
  </si>
  <si>
    <t>03053</t>
  </si>
  <si>
    <t>FINLEY</t>
  </si>
  <si>
    <t>03116</t>
  </si>
  <si>
    <t>PROSSER</t>
  </si>
  <si>
    <t>03400</t>
  </si>
  <si>
    <t>RICHLAND</t>
  </si>
  <si>
    <t>04019</t>
  </si>
  <si>
    <t>MANSON</t>
  </si>
  <si>
    <t>04069</t>
  </si>
  <si>
    <t>STEHEKIN</t>
  </si>
  <si>
    <t>04127</t>
  </si>
  <si>
    <t>ENTIAT</t>
  </si>
  <si>
    <t>04129</t>
  </si>
  <si>
    <t>LAKE CHELAN</t>
  </si>
  <si>
    <t>04222</t>
  </si>
  <si>
    <t>CASHMERE</t>
  </si>
  <si>
    <t>04228</t>
  </si>
  <si>
    <t>CASCADE</t>
  </si>
  <si>
    <t>04246</t>
  </si>
  <si>
    <t>WENATCHEE</t>
  </si>
  <si>
    <t>05121</t>
  </si>
  <si>
    <t>PORT ANGELES</t>
  </si>
  <si>
    <t>05313</t>
  </si>
  <si>
    <t>CRESCENT</t>
  </si>
  <si>
    <t>05323</t>
  </si>
  <si>
    <t>SEQUIM</t>
  </si>
  <si>
    <t>05401</t>
  </si>
  <si>
    <t>CAPE FLATTERY</t>
  </si>
  <si>
    <t>05402</t>
  </si>
  <si>
    <t>QUILLAYUTE VALLEY</t>
  </si>
  <si>
    <t>06037</t>
  </si>
  <si>
    <t>VANCOUVER</t>
  </si>
  <si>
    <t>06098</t>
  </si>
  <si>
    <t>HOCKINSON</t>
  </si>
  <si>
    <t>06101</t>
  </si>
  <si>
    <t>LACENTER</t>
  </si>
  <si>
    <t>06103</t>
  </si>
  <si>
    <t>GREEN MOUNTAIN</t>
  </si>
  <si>
    <t>06112</t>
  </si>
  <si>
    <t>WASHOUGAL</t>
  </si>
  <si>
    <t>06114</t>
  </si>
  <si>
    <t>EVERGREEN (CLARK)</t>
  </si>
  <si>
    <t>06117</t>
  </si>
  <si>
    <t>CAMAS</t>
  </si>
  <si>
    <t>06119</t>
  </si>
  <si>
    <t>BATTLE GROUND</t>
  </si>
  <si>
    <t>06122</t>
  </si>
  <si>
    <t>RIDGEFIELD</t>
  </si>
  <si>
    <t>07002</t>
  </si>
  <si>
    <t>DAYTON</t>
  </si>
  <si>
    <t>07035</t>
  </si>
  <si>
    <t>STARBUCK</t>
  </si>
  <si>
    <t>08122</t>
  </si>
  <si>
    <t>LONGVIEW</t>
  </si>
  <si>
    <t>08130</t>
  </si>
  <si>
    <t>TOUTLE LAKE</t>
  </si>
  <si>
    <t>08401</t>
  </si>
  <si>
    <t>CASTLE ROCK</t>
  </si>
  <si>
    <t>08402</t>
  </si>
  <si>
    <t>KALAMA</t>
  </si>
  <si>
    <t>08404</t>
  </si>
  <si>
    <t>WOODLAND</t>
  </si>
  <si>
    <t>08458</t>
  </si>
  <si>
    <t>KELSO</t>
  </si>
  <si>
    <t>09013</t>
  </si>
  <si>
    <t>ORONDO</t>
  </si>
  <si>
    <t>09075</t>
  </si>
  <si>
    <t>BRIDGEPORT</t>
  </si>
  <si>
    <t>09102</t>
  </si>
  <si>
    <t>PALISADES</t>
  </si>
  <si>
    <t>09206</t>
  </si>
  <si>
    <t>EASTMONT</t>
  </si>
  <si>
    <t>09207</t>
  </si>
  <si>
    <t>MANSFIELD</t>
  </si>
  <si>
    <t>09209</t>
  </si>
  <si>
    <t>WATERVILLE</t>
  </si>
  <si>
    <t>10003</t>
  </si>
  <si>
    <t>KELLER</t>
  </si>
  <si>
    <t>10050</t>
  </si>
  <si>
    <t>CURLEW</t>
  </si>
  <si>
    <t>10065</t>
  </si>
  <si>
    <t>ORIENT</t>
  </si>
  <si>
    <t>10070</t>
  </si>
  <si>
    <t>INCHELIUM</t>
  </si>
  <si>
    <t>10309</t>
  </si>
  <si>
    <t>REPUBLIC</t>
  </si>
  <si>
    <t>11001</t>
  </si>
  <si>
    <t>PASCO</t>
  </si>
  <si>
    <t>11051</t>
  </si>
  <si>
    <t>NORTH FRANKLIN</t>
  </si>
  <si>
    <t>11054</t>
  </si>
  <si>
    <t>STAR</t>
  </si>
  <si>
    <t>11056</t>
  </si>
  <si>
    <t>KAHLOTUS</t>
  </si>
  <si>
    <t>12110</t>
  </si>
  <si>
    <t>POMEROY</t>
  </si>
  <si>
    <t>13073</t>
  </si>
  <si>
    <t>WAHLUKE</t>
  </si>
  <si>
    <t>13144</t>
  </si>
  <si>
    <t>QUINCY</t>
  </si>
  <si>
    <t>13146</t>
  </si>
  <si>
    <t>WARDEN</t>
  </si>
  <si>
    <t>13151</t>
  </si>
  <si>
    <t>COULEE/HARTLINE</t>
  </si>
  <si>
    <t>13156</t>
  </si>
  <si>
    <t>SOAP LAKE</t>
  </si>
  <si>
    <t>13160</t>
  </si>
  <si>
    <t>ROYAL</t>
  </si>
  <si>
    <t>13161</t>
  </si>
  <si>
    <t>MOSES LAKE</t>
  </si>
  <si>
    <t>13165</t>
  </si>
  <si>
    <t>EPHRATA</t>
  </si>
  <si>
    <t>13167</t>
  </si>
  <si>
    <t>WILSON CREEK</t>
  </si>
  <si>
    <t>13301</t>
  </si>
  <si>
    <t>GRAND COULEE DAM</t>
  </si>
  <si>
    <t>14005</t>
  </si>
  <si>
    <t>ABERDEEN</t>
  </si>
  <si>
    <t>14028</t>
  </si>
  <si>
    <t>HOQUIAM</t>
  </si>
  <si>
    <t>14064</t>
  </si>
  <si>
    <t>NORTH BEACH</t>
  </si>
  <si>
    <t>14065</t>
  </si>
  <si>
    <t>MC CLEARY</t>
  </si>
  <si>
    <t>14066</t>
  </si>
  <si>
    <t>MONTESANO</t>
  </si>
  <si>
    <t>14068</t>
  </si>
  <si>
    <t>ELMA</t>
  </si>
  <si>
    <t>14077</t>
  </si>
  <si>
    <t>TAHOLAH</t>
  </si>
  <si>
    <t>14097</t>
  </si>
  <si>
    <t>QUINAULT</t>
  </si>
  <si>
    <t>14099</t>
  </si>
  <si>
    <t>COSMOPOLIS</t>
  </si>
  <si>
    <t>14104</t>
  </si>
  <si>
    <t>SATSOP</t>
  </si>
  <si>
    <t>14117</t>
  </si>
  <si>
    <t>WISHKAH VALLEY</t>
  </si>
  <si>
    <t>14172</t>
  </si>
  <si>
    <t>OCOSTA</t>
  </si>
  <si>
    <t>14400</t>
  </si>
  <si>
    <t>OAKVILLE</t>
  </si>
  <si>
    <t>15201</t>
  </si>
  <si>
    <t>OAK HARBOR</t>
  </si>
  <si>
    <t>15204</t>
  </si>
  <si>
    <t>COUPEVILLE</t>
  </si>
  <si>
    <t>15206</t>
  </si>
  <si>
    <t>SOUTH WHIDBEY</t>
  </si>
  <si>
    <t>16020</t>
  </si>
  <si>
    <t>QUEETS-CLEARWATER</t>
  </si>
  <si>
    <t>16046</t>
  </si>
  <si>
    <t>BRINNON</t>
  </si>
  <si>
    <t>16048</t>
  </si>
  <si>
    <t>QUILCENE</t>
  </si>
  <si>
    <t>16049</t>
  </si>
  <si>
    <t>CHIMACUM</t>
  </si>
  <si>
    <t>16050</t>
  </si>
  <si>
    <t>PORT TOWNSEND</t>
  </si>
  <si>
    <t>17001</t>
  </si>
  <si>
    <t>SEATTLE</t>
  </si>
  <si>
    <t>17210</t>
  </si>
  <si>
    <t>FEDERAL WAY</t>
  </si>
  <si>
    <t>17216</t>
  </si>
  <si>
    <t>ENUMCLAW</t>
  </si>
  <si>
    <t>17400</t>
  </si>
  <si>
    <t>MERCER ISLAND</t>
  </si>
  <si>
    <t>17401</t>
  </si>
  <si>
    <t>HIGHLINE</t>
  </si>
  <si>
    <t>17402</t>
  </si>
  <si>
    <t>VASHON ISLAND</t>
  </si>
  <si>
    <t>17403</t>
  </si>
  <si>
    <t>RENTON</t>
  </si>
  <si>
    <t>17404</t>
  </si>
  <si>
    <t>SKYKOMISH</t>
  </si>
  <si>
    <t>17405</t>
  </si>
  <si>
    <t>BELLEVUE</t>
  </si>
  <si>
    <t>17406</t>
  </si>
  <si>
    <t>17407</t>
  </si>
  <si>
    <t>RIVERVIEW</t>
  </si>
  <si>
    <t>17408</t>
  </si>
  <si>
    <t>AUBURN</t>
  </si>
  <si>
    <t>17409</t>
  </si>
  <si>
    <t>TAHOMA</t>
  </si>
  <si>
    <t>17410</t>
  </si>
  <si>
    <t>SNOQUALMIE VALLEY</t>
  </si>
  <si>
    <t>17411</t>
  </si>
  <si>
    <t>ISSAQUAH</t>
  </si>
  <si>
    <t>17412</t>
  </si>
  <si>
    <t>SHORELINE</t>
  </si>
  <si>
    <t>17414</t>
  </si>
  <si>
    <t>LAKE WASHINGTON</t>
  </si>
  <si>
    <t>17415</t>
  </si>
  <si>
    <t>KENT</t>
  </si>
  <si>
    <t>17417</t>
  </si>
  <si>
    <t>NORTHSHORE</t>
  </si>
  <si>
    <t>18100</t>
  </si>
  <si>
    <t>BREMERTON</t>
  </si>
  <si>
    <t>18303</t>
  </si>
  <si>
    <t>BAINBRIDGE</t>
  </si>
  <si>
    <t>18400</t>
  </si>
  <si>
    <t>NORTH KITSAP</t>
  </si>
  <si>
    <t>18401</t>
  </si>
  <si>
    <t>CENTRAL KITSAP</t>
  </si>
  <si>
    <t>18402</t>
  </si>
  <si>
    <t>SOUTH KITSAP</t>
  </si>
  <si>
    <t>19007</t>
  </si>
  <si>
    <t>DAMMAN</t>
  </si>
  <si>
    <t>19028</t>
  </si>
  <si>
    <t>EASTON</t>
  </si>
  <si>
    <t>19400</t>
  </si>
  <si>
    <t>THORP</t>
  </si>
  <si>
    <t>19401</t>
  </si>
  <si>
    <t>ELLENSBURG</t>
  </si>
  <si>
    <t>19403</t>
  </si>
  <si>
    <t>KITTITAS</t>
  </si>
  <si>
    <t>19404</t>
  </si>
  <si>
    <t>CLE ELUM-ROSLYN</t>
  </si>
  <si>
    <t>20094</t>
  </si>
  <si>
    <t>WISHRAM</t>
  </si>
  <si>
    <t>20203</t>
  </si>
  <si>
    <t>BICKLETON</t>
  </si>
  <si>
    <t>20215</t>
  </si>
  <si>
    <t>CENTERVILLE</t>
  </si>
  <si>
    <t>20400</t>
  </si>
  <si>
    <t>TROUT LAKE</t>
  </si>
  <si>
    <t>20401</t>
  </si>
  <si>
    <t>GLENWOOD</t>
  </si>
  <si>
    <t>20402</t>
  </si>
  <si>
    <t>KLICKITAT</t>
  </si>
  <si>
    <t>20403</t>
  </si>
  <si>
    <t>ROOSEVELT</t>
  </si>
  <si>
    <t>20404</t>
  </si>
  <si>
    <t>GOLDENDALE</t>
  </si>
  <si>
    <t>20405</t>
  </si>
  <si>
    <t>WHITE SALMON</t>
  </si>
  <si>
    <t>20406</t>
  </si>
  <si>
    <t>LYLE</t>
  </si>
  <si>
    <t>21014</t>
  </si>
  <si>
    <t>NAPAVINE</t>
  </si>
  <si>
    <t>21036</t>
  </si>
  <si>
    <t>EVALINE</t>
  </si>
  <si>
    <t>21206</t>
  </si>
  <si>
    <t>MOSSYROCK</t>
  </si>
  <si>
    <t>21214</t>
  </si>
  <si>
    <t>MORTON</t>
  </si>
  <si>
    <t>21226</t>
  </si>
  <si>
    <t>ADNA</t>
  </si>
  <si>
    <t>21232</t>
  </si>
  <si>
    <t>WINLOCK</t>
  </si>
  <si>
    <t>21234</t>
  </si>
  <si>
    <t>BOISTFORT</t>
  </si>
  <si>
    <t>21237</t>
  </si>
  <si>
    <t>TOLEDO</t>
  </si>
  <si>
    <t>21300</t>
  </si>
  <si>
    <t>ONALASKA</t>
  </si>
  <si>
    <t>21301</t>
  </si>
  <si>
    <t>PE ELL</t>
  </si>
  <si>
    <t>21302</t>
  </si>
  <si>
    <t>CHEHALIS</t>
  </si>
  <si>
    <t>21303</t>
  </si>
  <si>
    <t>WHITE PASS</t>
  </si>
  <si>
    <t>21401</t>
  </si>
  <si>
    <t>CENTRALIA</t>
  </si>
  <si>
    <t>22008</t>
  </si>
  <si>
    <t>SPRAGUE</t>
  </si>
  <si>
    <t>22009</t>
  </si>
  <si>
    <t>REARDAN</t>
  </si>
  <si>
    <t>22017</t>
  </si>
  <si>
    <t>ALMIRA</t>
  </si>
  <si>
    <t>22073</t>
  </si>
  <si>
    <t>CRESTON</t>
  </si>
  <si>
    <t>22105</t>
  </si>
  <si>
    <t>ODESSA</t>
  </si>
  <si>
    <t>22200</t>
  </si>
  <si>
    <t>WILBUR</t>
  </si>
  <si>
    <t>22204</t>
  </si>
  <si>
    <t>HARRINGTON</t>
  </si>
  <si>
    <t>22207</t>
  </si>
  <si>
    <t>DAVENPORT</t>
  </si>
  <si>
    <t>23042</t>
  </si>
  <si>
    <t>SOUTHSIDE</t>
  </si>
  <si>
    <t>23054</t>
  </si>
  <si>
    <t>GRAPEVIEW</t>
  </si>
  <si>
    <t>23309</t>
  </si>
  <si>
    <t>SHELTON</t>
  </si>
  <si>
    <t>23311</t>
  </si>
  <si>
    <t>MARY M KNIGHT</t>
  </si>
  <si>
    <t>23402</t>
  </si>
  <si>
    <t>PIONEER</t>
  </si>
  <si>
    <t>23403</t>
  </si>
  <si>
    <t>NORTH MASON</t>
  </si>
  <si>
    <t>23404</t>
  </si>
  <si>
    <t>HOOD CANAL</t>
  </si>
  <si>
    <t>24014</t>
  </si>
  <si>
    <t>NESPELEM</t>
  </si>
  <si>
    <t>24019</t>
  </si>
  <si>
    <t>OMAK</t>
  </si>
  <si>
    <t>24105</t>
  </si>
  <si>
    <t>OKANOGAN</t>
  </si>
  <si>
    <t>24111</t>
  </si>
  <si>
    <t>BREWSTER</t>
  </si>
  <si>
    <t>24122</t>
  </si>
  <si>
    <t>PATEROS</t>
  </si>
  <si>
    <t>24350</t>
  </si>
  <si>
    <t>METHOW VALLEY</t>
  </si>
  <si>
    <t>24404</t>
  </si>
  <si>
    <t>TONASKET</t>
  </si>
  <si>
    <t>24410</t>
  </si>
  <si>
    <t>OROVILLE</t>
  </si>
  <si>
    <t>25101</t>
  </si>
  <si>
    <t>OCEAN BEACH</t>
  </si>
  <si>
    <t>25116</t>
  </si>
  <si>
    <t>RAYMOND</t>
  </si>
  <si>
    <t>25118</t>
  </si>
  <si>
    <t>SOUTH BEND</t>
  </si>
  <si>
    <t>25155</t>
  </si>
  <si>
    <t>NASELLE GRAYS RIV</t>
  </si>
  <si>
    <t>25160</t>
  </si>
  <si>
    <t>WILLAPA VALLEY</t>
  </si>
  <si>
    <t>25200</t>
  </si>
  <si>
    <t>NORTH RIVER</t>
  </si>
  <si>
    <t>26056</t>
  </si>
  <si>
    <t>NEWPORT</t>
  </si>
  <si>
    <t>26059</t>
  </si>
  <si>
    <t>CUSICK</t>
  </si>
  <si>
    <t>26070</t>
  </si>
  <si>
    <t>SELKIRK</t>
  </si>
  <si>
    <t>27001</t>
  </si>
  <si>
    <t>STEILACOOM HIST.</t>
  </si>
  <si>
    <t>27003</t>
  </si>
  <si>
    <t>PUYALLUP</t>
  </si>
  <si>
    <t>27010</t>
  </si>
  <si>
    <t>TACOMA</t>
  </si>
  <si>
    <t>27019</t>
  </si>
  <si>
    <t>CARBONADO</t>
  </si>
  <si>
    <t>27083</t>
  </si>
  <si>
    <t>UNIVERSITY PLACE</t>
  </si>
  <si>
    <t>27320</t>
  </si>
  <si>
    <t>SUMNER</t>
  </si>
  <si>
    <t>27343</t>
  </si>
  <si>
    <t>DIERINGER</t>
  </si>
  <si>
    <t>27344</t>
  </si>
  <si>
    <t>ORTING</t>
  </si>
  <si>
    <t>27400</t>
  </si>
  <si>
    <t>CLOVER PARK</t>
  </si>
  <si>
    <t>27401</t>
  </si>
  <si>
    <t>PENINSULA</t>
  </si>
  <si>
    <t>27402</t>
  </si>
  <si>
    <t>FRANKLIN PIERCE</t>
  </si>
  <si>
    <t>27403</t>
  </si>
  <si>
    <t>BETHEL</t>
  </si>
  <si>
    <t>27404</t>
  </si>
  <si>
    <t>EATONVILLE</t>
  </si>
  <si>
    <t>27416</t>
  </si>
  <si>
    <t>WHITE RIVER</t>
  </si>
  <si>
    <t>27417</t>
  </si>
  <si>
    <t>FIFE</t>
  </si>
  <si>
    <t>28010</t>
  </si>
  <si>
    <t>SHAW</t>
  </si>
  <si>
    <t>28137</t>
  </si>
  <si>
    <t>ORCAS</t>
  </si>
  <si>
    <t>28144</t>
  </si>
  <si>
    <t>LOPEZ</t>
  </si>
  <si>
    <t>28149</t>
  </si>
  <si>
    <t>SAN JUAN</t>
  </si>
  <si>
    <t>29011</t>
  </si>
  <si>
    <t>CONCRETE</t>
  </si>
  <si>
    <t>29100</t>
  </si>
  <si>
    <t>BURLINGTON EDISON</t>
  </si>
  <si>
    <t>29101</t>
  </si>
  <si>
    <t>SEDRO WOOLLEY</t>
  </si>
  <si>
    <t>29103</t>
  </si>
  <si>
    <t>ANACORTES</t>
  </si>
  <si>
    <t>29311</t>
  </si>
  <si>
    <t>LA CONNER</t>
  </si>
  <si>
    <t>29317</t>
  </si>
  <si>
    <t>CONWAY</t>
  </si>
  <si>
    <t>29320</t>
  </si>
  <si>
    <t>MT VERNON</t>
  </si>
  <si>
    <t>30002</t>
  </si>
  <si>
    <t>SKAMANIA</t>
  </si>
  <si>
    <t>30029</t>
  </si>
  <si>
    <t>MOUNT PLEASANT</t>
  </si>
  <si>
    <t>30031</t>
  </si>
  <si>
    <t>MILL A</t>
  </si>
  <si>
    <t>30303</t>
  </si>
  <si>
    <t>STEVENSON-CARSON</t>
  </si>
  <si>
    <t>31002</t>
  </si>
  <si>
    <t>EVERETT</t>
  </si>
  <si>
    <t>31004</t>
  </si>
  <si>
    <t>LAKE STEVENS</t>
  </si>
  <si>
    <t>31006</t>
  </si>
  <si>
    <t>MUKILTEO</t>
  </si>
  <si>
    <t>31015</t>
  </si>
  <si>
    <t>EDMONDS</t>
  </si>
  <si>
    <t>31016</t>
  </si>
  <si>
    <t>ARLINGTON</t>
  </si>
  <si>
    <t>31025</t>
  </si>
  <si>
    <t>MARYSVILLE</t>
  </si>
  <si>
    <t>31063</t>
  </si>
  <si>
    <t>INDEX</t>
  </si>
  <si>
    <t>31103</t>
  </si>
  <si>
    <t>MONROE</t>
  </si>
  <si>
    <t>31201</t>
  </si>
  <si>
    <t>SNOHOMISH</t>
  </si>
  <si>
    <t>31306</t>
  </si>
  <si>
    <t>LAKEWOOD</t>
  </si>
  <si>
    <t>31311</t>
  </si>
  <si>
    <t>SULTAN</t>
  </si>
  <si>
    <t>31330</t>
  </si>
  <si>
    <t>DARRINGTON</t>
  </si>
  <si>
    <t>31332</t>
  </si>
  <si>
    <t>GRANITE FALLS</t>
  </si>
  <si>
    <t>31401</t>
  </si>
  <si>
    <t>STANWOOD</t>
  </si>
  <si>
    <t>32081</t>
  </si>
  <si>
    <t>SPOKANE</t>
  </si>
  <si>
    <t>32123</t>
  </si>
  <si>
    <t>ORCHARD PRAIRIE</t>
  </si>
  <si>
    <t>32312</t>
  </si>
  <si>
    <t>GREAT NORTHERN</t>
  </si>
  <si>
    <t>32325</t>
  </si>
  <si>
    <t>NINE MILE FALLS</t>
  </si>
  <si>
    <t>32326</t>
  </si>
  <si>
    <t>MEDICAL LAKE</t>
  </si>
  <si>
    <t>32354</t>
  </si>
  <si>
    <t>MEAD</t>
  </si>
  <si>
    <t>32356</t>
  </si>
  <si>
    <t>CENTRAL VALLEY</t>
  </si>
  <si>
    <t>32358</t>
  </si>
  <si>
    <t>FREEMAN</t>
  </si>
  <si>
    <t>32360</t>
  </si>
  <si>
    <t>CHENEY</t>
  </si>
  <si>
    <t>32361</t>
  </si>
  <si>
    <t>EAST VALLEY (SPOK</t>
  </si>
  <si>
    <t>32362</t>
  </si>
  <si>
    <t>LIBERTY</t>
  </si>
  <si>
    <t>32363</t>
  </si>
  <si>
    <t>WEST VALLEY (SPOK</t>
  </si>
  <si>
    <t>32414</t>
  </si>
  <si>
    <t>DEER PARK</t>
  </si>
  <si>
    <t>32416</t>
  </si>
  <si>
    <t>RIVERSIDE</t>
  </si>
  <si>
    <t>33030</t>
  </si>
  <si>
    <t>ONION CREEK</t>
  </si>
  <si>
    <t>33036</t>
  </si>
  <si>
    <t>CHEWELAH</t>
  </si>
  <si>
    <t>33049</t>
  </si>
  <si>
    <t>WELLPINIT</t>
  </si>
  <si>
    <t>33070</t>
  </si>
  <si>
    <t>VALLEY</t>
  </si>
  <si>
    <t>33115</t>
  </si>
  <si>
    <t>COLVILLE</t>
  </si>
  <si>
    <t>33183</t>
  </si>
  <si>
    <t>LOON LAKE</t>
  </si>
  <si>
    <t>33202</t>
  </si>
  <si>
    <t>SUMMIT VALLEY</t>
  </si>
  <si>
    <t>33205</t>
  </si>
  <si>
    <t>EVERGREEN (STEV)</t>
  </si>
  <si>
    <t>33206</t>
  </si>
  <si>
    <t>COLUMBIA (STEV)</t>
  </si>
  <si>
    <t>33207</t>
  </si>
  <si>
    <t>MARY WALKER</t>
  </si>
  <si>
    <t>33211</t>
  </si>
  <si>
    <t>NORTHPORT</t>
  </si>
  <si>
    <t>33212</t>
  </si>
  <si>
    <t>KETTLE FALLS</t>
  </si>
  <si>
    <t>34002</t>
  </si>
  <si>
    <t>YELM</t>
  </si>
  <si>
    <t>34003</t>
  </si>
  <si>
    <t>NORTH THURSTON</t>
  </si>
  <si>
    <t>34033</t>
  </si>
  <si>
    <t>TUMWATER</t>
  </si>
  <si>
    <t>34111</t>
  </si>
  <si>
    <t>OLYMPIA</t>
  </si>
  <si>
    <t>34307</t>
  </si>
  <si>
    <t>RAINIER</t>
  </si>
  <si>
    <t>34324</t>
  </si>
  <si>
    <t>GRIFFIN</t>
  </si>
  <si>
    <t>34401</t>
  </si>
  <si>
    <t>ROCHESTER</t>
  </si>
  <si>
    <t>34402</t>
  </si>
  <si>
    <t>TENINO</t>
  </si>
  <si>
    <t>35200</t>
  </si>
  <si>
    <t>WAHKIAKUM</t>
  </si>
  <si>
    <t>36101</t>
  </si>
  <si>
    <t>DIXIE</t>
  </si>
  <si>
    <t>36140</t>
  </si>
  <si>
    <t>WALLA WALLA</t>
  </si>
  <si>
    <t>36250</t>
  </si>
  <si>
    <t>COLLEGE PLACE</t>
  </si>
  <si>
    <t>36300</t>
  </si>
  <si>
    <t>TOUCHET</t>
  </si>
  <si>
    <t>36400</t>
  </si>
  <si>
    <t>COLUMBIA (WALLA)</t>
  </si>
  <si>
    <t>36401</t>
  </si>
  <si>
    <t>WAITSBURG</t>
  </si>
  <si>
    <t>36402</t>
  </si>
  <si>
    <t>PRESCOTT</t>
  </si>
  <si>
    <t>37501</t>
  </si>
  <si>
    <t>BELLINGHAM</t>
  </si>
  <si>
    <t>37502</t>
  </si>
  <si>
    <t>FERNDALE</t>
  </si>
  <si>
    <t>37503</t>
  </si>
  <si>
    <t>BLAINE</t>
  </si>
  <si>
    <t>37504</t>
  </si>
  <si>
    <t>LYNDEN</t>
  </si>
  <si>
    <t>37505</t>
  </si>
  <si>
    <t>MERIDIAN</t>
  </si>
  <si>
    <t>37506</t>
  </si>
  <si>
    <t>NOOKSACK VALLEY</t>
  </si>
  <si>
    <t>37507</t>
  </si>
  <si>
    <t>MOUNT BAKER</t>
  </si>
  <si>
    <t>38126</t>
  </si>
  <si>
    <t>LACROSSE JOINT</t>
  </si>
  <si>
    <t>38264</t>
  </si>
  <si>
    <t>LAMONT</t>
  </si>
  <si>
    <t>38265</t>
  </si>
  <si>
    <t>TEKOA</t>
  </si>
  <si>
    <t>38267</t>
  </si>
  <si>
    <t>PULLMAN</t>
  </si>
  <si>
    <t>38300</t>
  </si>
  <si>
    <t>COLFAX</t>
  </si>
  <si>
    <t>38301</t>
  </si>
  <si>
    <t>PALOUSE</t>
  </si>
  <si>
    <t>38302</t>
  </si>
  <si>
    <t>GARFIELD</t>
  </si>
  <si>
    <t>38304</t>
  </si>
  <si>
    <t>STEPTOE</t>
  </si>
  <si>
    <t>38306</t>
  </si>
  <si>
    <t>COLTON</t>
  </si>
  <si>
    <t>38308</t>
  </si>
  <si>
    <t>ENDICOTT</t>
  </si>
  <si>
    <t>38320</t>
  </si>
  <si>
    <t>ROSALIA</t>
  </si>
  <si>
    <t>38322</t>
  </si>
  <si>
    <t>ST JOHN</t>
  </si>
  <si>
    <t>38324</t>
  </si>
  <si>
    <t>OAKESDALE</t>
  </si>
  <si>
    <t>39002</t>
  </si>
  <si>
    <t>UNION GAP</t>
  </si>
  <si>
    <t>39003</t>
  </si>
  <si>
    <t>NACHES VALLEY</t>
  </si>
  <si>
    <t>39007</t>
  </si>
  <si>
    <t>YAKIMA</t>
  </si>
  <si>
    <t>39090</t>
  </si>
  <si>
    <t>EAST VALLEY (YAK)</t>
  </si>
  <si>
    <t>39119</t>
  </si>
  <si>
    <t>SELAH</t>
  </si>
  <si>
    <t>39120</t>
  </si>
  <si>
    <t>MABTON</t>
  </si>
  <si>
    <t>39200</t>
  </si>
  <si>
    <t>GRANDVIEW</t>
  </si>
  <si>
    <t>39201</t>
  </si>
  <si>
    <t>SUNNYSIDE</t>
  </si>
  <si>
    <t>39202</t>
  </si>
  <si>
    <t>TOPPENISH</t>
  </si>
  <si>
    <t>39203</t>
  </si>
  <si>
    <t>HIGHLAND</t>
  </si>
  <si>
    <t>39204</t>
  </si>
  <si>
    <t>GRANGER</t>
  </si>
  <si>
    <t>39205</t>
  </si>
  <si>
    <t>ZILLAH</t>
  </si>
  <si>
    <t>39207</t>
  </si>
  <si>
    <t>WAPATO</t>
  </si>
  <si>
    <t>39208</t>
  </si>
  <si>
    <t>WEST VALLEY (YAK)</t>
  </si>
  <si>
    <t>39209</t>
  </si>
  <si>
    <t>MOUNT ADAMS</t>
  </si>
  <si>
    <t>2019 Certified Levy</t>
  </si>
  <si>
    <t>2019 Voter Aproved Levy</t>
  </si>
  <si>
    <t>Assumptions</t>
  </si>
  <si>
    <t>Max Per Pupil</t>
  </si>
  <si>
    <t>Max Tax Rate</t>
  </si>
  <si>
    <t>LEA Max Per Pupil</t>
  </si>
  <si>
    <t>CCDDD</t>
  </si>
  <si>
    <t>District</t>
  </si>
  <si>
    <t>Select District</t>
  </si>
  <si>
    <t>Assessed Value w/Timber</t>
  </si>
  <si>
    <t>CCDDD Sort</t>
  </si>
  <si>
    <t>Estimated Levy Revenue</t>
  </si>
  <si>
    <t>A.</t>
  </si>
  <si>
    <t>B.</t>
  </si>
  <si>
    <t>C.</t>
  </si>
  <si>
    <t>D.</t>
  </si>
  <si>
    <t>F.</t>
  </si>
  <si>
    <t>Row Labels</t>
  </si>
  <si>
    <t>Input alternate enrollment estimate:</t>
  </si>
  <si>
    <t>Calendar Year</t>
  </si>
  <si>
    <t>Estimated Local Effort Assistance (LEA)</t>
  </si>
  <si>
    <t>I.</t>
  </si>
  <si>
    <t>J.</t>
  </si>
  <si>
    <t>K.</t>
  </si>
  <si>
    <t>L.</t>
  </si>
  <si>
    <t>N.</t>
  </si>
  <si>
    <t>School Year Levy Total</t>
  </si>
  <si>
    <t>Estimated Payable Levy Revenue Calendar Year</t>
  </si>
  <si>
    <t>Estimated LEA Payable Calendar Year</t>
  </si>
  <si>
    <t>School Year</t>
  </si>
  <si>
    <t>School Year Totals</t>
  </si>
  <si>
    <t>Spring Levy 52.62%</t>
  </si>
  <si>
    <t>Fall Levy 47.38%</t>
  </si>
  <si>
    <t>January-August LEA 72%</t>
  </si>
  <si>
    <t>September-December LEA 28%</t>
  </si>
  <si>
    <t>Total Estimated Local Funds (Levy + LEA)</t>
  </si>
  <si>
    <t>S.</t>
  </si>
  <si>
    <t>M.</t>
  </si>
  <si>
    <t>O.</t>
  </si>
  <si>
    <t>P.</t>
  </si>
  <si>
    <t>Q.</t>
  </si>
  <si>
    <t>R.</t>
  </si>
  <si>
    <t>T.</t>
  </si>
  <si>
    <t>V.</t>
  </si>
  <si>
    <t>00000</t>
  </si>
  <si>
    <t>State Total</t>
  </si>
  <si>
    <t>Input Alternate Voter Approved Levy:</t>
  </si>
  <si>
    <t>Input alternate Assessed Value:</t>
  </si>
  <si>
    <t>Enter any revised data into colored cells (Voter Approved Levy, Enrollment or Assessed Value)</t>
  </si>
  <si>
    <t>Notes for use:</t>
  </si>
  <si>
    <t>&lt;---------Select District with dropdown here</t>
  </si>
  <si>
    <t>X.</t>
  </si>
  <si>
    <t>Input alternate enrollment transfer:</t>
  </si>
  <si>
    <t>High / Non-high enrollment Transfer &amp; Innovative Academy</t>
  </si>
  <si>
    <t>Enrollment Growth</t>
  </si>
  <si>
    <t>Grow Enroll</t>
  </si>
  <si>
    <t>non-high district?</t>
  </si>
  <si>
    <t>Transfer Out</t>
  </si>
  <si>
    <t>Transfer In</t>
  </si>
  <si>
    <t>State Summary</t>
  </si>
  <si>
    <t>YES</t>
  </si>
  <si>
    <t>Washtucna School District</t>
  </si>
  <si>
    <t>No</t>
  </si>
  <si>
    <t>Benge School District</t>
  </si>
  <si>
    <t>Yes</t>
  </si>
  <si>
    <t>Othello School District</t>
  </si>
  <si>
    <t>Lind School District</t>
  </si>
  <si>
    <t>Ritzville School District</t>
  </si>
  <si>
    <t>Clarkston School District</t>
  </si>
  <si>
    <t>Asotin-Anatone School District</t>
  </si>
  <si>
    <t>Kennewick School District</t>
  </si>
  <si>
    <t>Paterson School District</t>
  </si>
  <si>
    <t>Kiona-Benton City School District</t>
  </si>
  <si>
    <t>Finley School District</t>
  </si>
  <si>
    <t>Prosser School District</t>
  </si>
  <si>
    <t>Richland School District</t>
  </si>
  <si>
    <t>Manson School District</t>
  </si>
  <si>
    <t>Stehekin School District</t>
  </si>
  <si>
    <t>Entiat School District</t>
  </si>
  <si>
    <t>Lake Chelan School District</t>
  </si>
  <si>
    <t>CASHMERE SCHOOL DISTRICT</t>
  </si>
  <si>
    <t>Cascade School District</t>
  </si>
  <si>
    <t>Wenatchee School District</t>
  </si>
  <si>
    <t>Port Angeles School District</t>
  </si>
  <si>
    <t>Crescent School District</t>
  </si>
  <si>
    <t>Sequim School District</t>
  </si>
  <si>
    <t>Cape Flattery School District</t>
  </si>
  <si>
    <t>Quillayute Valley School District</t>
  </si>
  <si>
    <t>05903</t>
  </si>
  <si>
    <t>Quileute Tribal School District</t>
  </si>
  <si>
    <t>Vancouver School District</t>
  </si>
  <si>
    <t>Hockinson School District</t>
  </si>
  <si>
    <t>Green Mountain School District</t>
  </si>
  <si>
    <t>Washougal School District</t>
  </si>
  <si>
    <t>Evergreen School District (Clark)</t>
  </si>
  <si>
    <t>Camas School District</t>
  </si>
  <si>
    <t>Battle Ground School District</t>
  </si>
  <si>
    <t>Ridgefield School District</t>
  </si>
  <si>
    <t>Dayton School District</t>
  </si>
  <si>
    <t>Starbuck School District</t>
  </si>
  <si>
    <t>Longview School District</t>
  </si>
  <si>
    <t>Toutle Lake School District</t>
  </si>
  <si>
    <t>Castle Rock School District</t>
  </si>
  <si>
    <t>Kalama School District</t>
  </si>
  <si>
    <t>Woodland School District</t>
  </si>
  <si>
    <t>Kelso School District</t>
  </si>
  <si>
    <t>Orondo School District</t>
  </si>
  <si>
    <t>Bridgeport School District</t>
  </si>
  <si>
    <t>Palisades School District</t>
  </si>
  <si>
    <t>Eastmont School District</t>
  </si>
  <si>
    <t>Mansfield School District</t>
  </si>
  <si>
    <t>Waterville School District</t>
  </si>
  <si>
    <t>Keller School District</t>
  </si>
  <si>
    <t>Curlew School District</t>
  </si>
  <si>
    <t>Orient School District</t>
  </si>
  <si>
    <t>Inchelium School District</t>
  </si>
  <si>
    <t>Republic School District</t>
  </si>
  <si>
    <t>Pasco School District</t>
  </si>
  <si>
    <t>North Franklin School District</t>
  </si>
  <si>
    <t>Star School District No. 054</t>
  </si>
  <si>
    <t>Kahlotus School District</t>
  </si>
  <si>
    <t>Pomeroy School District</t>
  </si>
  <si>
    <t>Wahluke School District</t>
  </si>
  <si>
    <t>Quincy School District</t>
  </si>
  <si>
    <t>Warden School District</t>
  </si>
  <si>
    <t>Coulee-Hartline School District</t>
  </si>
  <si>
    <t>Soap Lake School District</t>
  </si>
  <si>
    <t>Royal School District</t>
  </si>
  <si>
    <t>Moses Lake School District</t>
  </si>
  <si>
    <t>Ephrata School District</t>
  </si>
  <si>
    <t>Wilson Creek School District</t>
  </si>
  <si>
    <t>Grand Coulee Dam School District</t>
  </si>
  <si>
    <t>Aberdeen School District</t>
  </si>
  <si>
    <t>Hoquiam School District</t>
  </si>
  <si>
    <t>North Beach School District</t>
  </si>
  <si>
    <t>McCleary School District</t>
  </si>
  <si>
    <t>Montesano School District</t>
  </si>
  <si>
    <t>Elma School District</t>
  </si>
  <si>
    <t>Taholah School District</t>
  </si>
  <si>
    <t>Lake Quinault School District</t>
  </si>
  <si>
    <t>Cosmopolis School District</t>
  </si>
  <si>
    <t>Satsop School District</t>
  </si>
  <si>
    <t>Wishkah Valley School District</t>
  </si>
  <si>
    <t>Ocosta School District</t>
  </si>
  <si>
    <t>Oakville School District</t>
  </si>
  <si>
    <t>Oak Harbor School District</t>
  </si>
  <si>
    <t>Coupeville School District</t>
  </si>
  <si>
    <t>South Whidbey School District</t>
  </si>
  <si>
    <t>Queets-Clearwater School District</t>
  </si>
  <si>
    <t>Brinnon School District</t>
  </si>
  <si>
    <t>Quilcene School District</t>
  </si>
  <si>
    <t>Chimacum School District</t>
  </si>
  <si>
    <t>Port Townsend School District</t>
  </si>
  <si>
    <t>Seattle Public Schools</t>
  </si>
  <si>
    <t>Federal Way School District</t>
  </si>
  <si>
    <t>Enumclaw School District</t>
  </si>
  <si>
    <t>Mercer Island School District</t>
  </si>
  <si>
    <t>Highline School District</t>
  </si>
  <si>
    <t>Vashon Island School District</t>
  </si>
  <si>
    <t>Renton School District</t>
  </si>
  <si>
    <t>Skykomish School District</t>
  </si>
  <si>
    <t>Bellevue School District</t>
  </si>
  <si>
    <t>Tukwila School District</t>
  </si>
  <si>
    <t>Riverview School District</t>
  </si>
  <si>
    <t>Auburn School District</t>
  </si>
  <si>
    <t>Tahoma School District</t>
  </si>
  <si>
    <t>Snoqualmie Valley School District</t>
  </si>
  <si>
    <t>Issaquah School District</t>
  </si>
  <si>
    <t>Shoreline School District</t>
  </si>
  <si>
    <t>Lake Washington School District</t>
  </si>
  <si>
    <t>Kent School District</t>
  </si>
  <si>
    <t>Northshore School District</t>
  </si>
  <si>
    <t>17903</t>
  </si>
  <si>
    <t>Muckleshoot Indian Tribe</t>
  </si>
  <si>
    <t>Bremerton School District</t>
  </si>
  <si>
    <t>Bainbridge Island School District</t>
  </si>
  <si>
    <t>North Kitsap School District</t>
  </si>
  <si>
    <t>Central Kitsap School District</t>
  </si>
  <si>
    <t>South Kitsap School District</t>
  </si>
  <si>
    <t>18902</t>
  </si>
  <si>
    <t>Suquamish Tribal Education Department</t>
  </si>
  <si>
    <t>Damman School District</t>
  </si>
  <si>
    <t>Easton School District</t>
  </si>
  <si>
    <t>Thorp School District</t>
  </si>
  <si>
    <t>Ellensburg School District</t>
  </si>
  <si>
    <t>Kittitas School District</t>
  </si>
  <si>
    <t>Cle Elum-Roslyn School District</t>
  </si>
  <si>
    <t>Wishram School District</t>
  </si>
  <si>
    <t>Bickleton School District</t>
  </si>
  <si>
    <t>Centerville School District</t>
  </si>
  <si>
    <t>Trout Lake School District</t>
  </si>
  <si>
    <t>Glenwood School District</t>
  </si>
  <si>
    <t>Klickitat School District</t>
  </si>
  <si>
    <t>Roosevelt School District</t>
  </si>
  <si>
    <t>Goldendale School District</t>
  </si>
  <si>
    <t>White Salmon Valley School District</t>
  </si>
  <si>
    <t>Lyle School District</t>
  </si>
  <si>
    <t>Napavine School District</t>
  </si>
  <si>
    <t>Evaline School District</t>
  </si>
  <si>
    <t>Mossyrock School District</t>
  </si>
  <si>
    <t>Morton School District</t>
  </si>
  <si>
    <t>Adna School District</t>
  </si>
  <si>
    <t>Winlock School District</t>
  </si>
  <si>
    <t>Boistfort School District</t>
  </si>
  <si>
    <t>Toledo School District</t>
  </si>
  <si>
    <t>Onalaska School District</t>
  </si>
  <si>
    <t>Pe Ell School District</t>
  </si>
  <si>
    <t>Chehalis School District</t>
  </si>
  <si>
    <t>White Pass School District</t>
  </si>
  <si>
    <t>Centralia School District</t>
  </si>
  <si>
    <t>Sprague School District</t>
  </si>
  <si>
    <t>Reardan-Edwall School District</t>
  </si>
  <si>
    <t>Almira School District</t>
  </si>
  <si>
    <t>Creston School District</t>
  </si>
  <si>
    <t>Odessa School District</t>
  </si>
  <si>
    <t>Wilbur School District</t>
  </si>
  <si>
    <t>Harrington School District</t>
  </si>
  <si>
    <t>Davenport School District</t>
  </si>
  <si>
    <t>Southside School District</t>
  </si>
  <si>
    <t>Grapeview School District</t>
  </si>
  <si>
    <t>Shelton School District</t>
  </si>
  <si>
    <t>Mary M Knight School District</t>
  </si>
  <si>
    <t>Pioneer School District</t>
  </si>
  <si>
    <t>North Mason School District</t>
  </si>
  <si>
    <t>Hood Canal School District</t>
  </si>
  <si>
    <t>Omak School District</t>
  </si>
  <si>
    <t>Okanogan School District</t>
  </si>
  <si>
    <t>Brewster School District</t>
  </si>
  <si>
    <t>Pateros School District</t>
  </si>
  <si>
    <t>Methow Valley School District</t>
  </si>
  <si>
    <t>Tonasket School District</t>
  </si>
  <si>
    <t>Oroville School District</t>
  </si>
  <si>
    <t>Ocean Beach School District</t>
  </si>
  <si>
    <t>Raymond School District</t>
  </si>
  <si>
    <t>South Bend School District</t>
  </si>
  <si>
    <t>Naselle-Grays River Valley School District</t>
  </si>
  <si>
    <t>Willapa Valley School District</t>
  </si>
  <si>
    <t>North River School District</t>
  </si>
  <si>
    <t>Newport School District</t>
  </si>
  <si>
    <t>Cusick School District</t>
  </si>
  <si>
    <t>Selkirk School District</t>
  </si>
  <si>
    <t>Steilacoom Hist. School District</t>
  </si>
  <si>
    <t>Puyallup School District</t>
  </si>
  <si>
    <t>Tacoma School District</t>
  </si>
  <si>
    <t>Carbonado School District</t>
  </si>
  <si>
    <t>University Place School District</t>
  </si>
  <si>
    <t>Sumner School District</t>
  </si>
  <si>
    <t>Dieringer School District</t>
  </si>
  <si>
    <t>Orting School District</t>
  </si>
  <si>
    <t>Clover Park School District</t>
  </si>
  <si>
    <t>Peninsula School District</t>
  </si>
  <si>
    <t>Franklin Pierce School District</t>
  </si>
  <si>
    <t>Bethel School District</t>
  </si>
  <si>
    <t>Eatonville School District</t>
  </si>
  <si>
    <t>White River School District</t>
  </si>
  <si>
    <t>Fife School District</t>
  </si>
  <si>
    <t>Shaw Island School District</t>
  </si>
  <si>
    <t>Orcas Island School District</t>
  </si>
  <si>
    <t>Lopez School District</t>
  </si>
  <si>
    <t>San Juan Island School District</t>
  </si>
  <si>
    <t>Concrete School District</t>
  </si>
  <si>
    <t>Burlington-Edison School District</t>
  </si>
  <si>
    <t>Sedro-Woolley School District</t>
  </si>
  <si>
    <t>Anacortes School District</t>
  </si>
  <si>
    <t>La Conner School District</t>
  </si>
  <si>
    <t>Conway School District</t>
  </si>
  <si>
    <t>Mount Vernon School District</t>
  </si>
  <si>
    <t>Skamania School District</t>
  </si>
  <si>
    <t>Mount Pleasant School District</t>
  </si>
  <si>
    <t>Mill A School District</t>
  </si>
  <si>
    <t>Stevenson-Carson School District</t>
  </si>
  <si>
    <t>Everett School District</t>
  </si>
  <si>
    <t>Lake Stevens School District</t>
  </si>
  <si>
    <t>Mukilteo School District</t>
  </si>
  <si>
    <t>Edmonds School District</t>
  </si>
  <si>
    <t>Arlington School District</t>
  </si>
  <si>
    <t>Marysville School District</t>
  </si>
  <si>
    <t>Index School District</t>
  </si>
  <si>
    <t>Monroe School District</t>
  </si>
  <si>
    <t>Snohomish School District</t>
  </si>
  <si>
    <t>Lakewood School District</t>
  </si>
  <si>
    <t>Sultan School District</t>
  </si>
  <si>
    <t>Darrington School District</t>
  </si>
  <si>
    <t>Granite Falls School District</t>
  </si>
  <si>
    <t>Stanwood-Camano School District</t>
  </si>
  <si>
    <t>Spokane School District</t>
  </si>
  <si>
    <t>Orchard Prairie School District</t>
  </si>
  <si>
    <t>Great Northern School District</t>
  </si>
  <si>
    <t>Nine Mile Falls School District</t>
  </si>
  <si>
    <t>Medical Lake School District</t>
  </si>
  <si>
    <t>Mead School District</t>
  </si>
  <si>
    <t>Central Valley School District</t>
  </si>
  <si>
    <t>Freeman School District</t>
  </si>
  <si>
    <t>Cheney School District</t>
  </si>
  <si>
    <t>East Valley School District (Spokane)</t>
  </si>
  <si>
    <t>Liberty School District</t>
  </si>
  <si>
    <t>West Valley School District (Spokane)</t>
  </si>
  <si>
    <t>Deer Park School District</t>
  </si>
  <si>
    <t>Riverside School District</t>
  </si>
  <si>
    <t>Onion Creek School District</t>
  </si>
  <si>
    <t>Chewelah School District</t>
  </si>
  <si>
    <t>Wellpinit School District</t>
  </si>
  <si>
    <t>Valley School District</t>
  </si>
  <si>
    <t>Colville School District</t>
  </si>
  <si>
    <t>Loon Lake School District</t>
  </si>
  <si>
    <t>Summit Valley School District</t>
  </si>
  <si>
    <t>Evergreen School District (Stevens)</t>
  </si>
  <si>
    <t>Columbia (Stevens) School District</t>
  </si>
  <si>
    <t>Mary Walker School District</t>
  </si>
  <si>
    <t>Northport School District</t>
  </si>
  <si>
    <t>Kettle Falls School District</t>
  </si>
  <si>
    <t>Yelm School District</t>
  </si>
  <si>
    <t>North Thurston Public Schools</t>
  </si>
  <si>
    <t>Tumwater School District</t>
  </si>
  <si>
    <t>Olympia School District</t>
  </si>
  <si>
    <t>Rainier School District</t>
  </si>
  <si>
    <t>Griffin School District</t>
  </si>
  <si>
    <t>Rochester School District</t>
  </si>
  <si>
    <t>Tenino School District</t>
  </si>
  <si>
    <t>34901</t>
  </si>
  <si>
    <t>WA HE LUT Indian School Agency</t>
  </si>
  <si>
    <t>Wahkiakum School District</t>
  </si>
  <si>
    <t>Dixie School District</t>
  </si>
  <si>
    <t>Walla Walla Public Schools</t>
  </si>
  <si>
    <t>College Place School District</t>
  </si>
  <si>
    <t>Touchet School District</t>
  </si>
  <si>
    <t>Columbia (Walla Walla) School District</t>
  </si>
  <si>
    <t>Waitsburg School District</t>
  </si>
  <si>
    <t>Prescott School District</t>
  </si>
  <si>
    <t>Bellingham School District</t>
  </si>
  <si>
    <t>Ferndale School District</t>
  </si>
  <si>
    <t>Blaine School District</t>
  </si>
  <si>
    <t>Lynden School District</t>
  </si>
  <si>
    <t>Meridian School District</t>
  </si>
  <si>
    <t>Nooksack Valley School District</t>
  </si>
  <si>
    <t>Mount Baker School District</t>
  </si>
  <si>
    <t>37903</t>
  </si>
  <si>
    <t>Lummi Tribal Agency</t>
  </si>
  <si>
    <t>Lamont School District</t>
  </si>
  <si>
    <t>Tekoa School District</t>
  </si>
  <si>
    <t>Pullman School District</t>
  </si>
  <si>
    <t>Colfax School District</t>
  </si>
  <si>
    <t>Palouse School District</t>
  </si>
  <si>
    <t>Garfield School District</t>
  </si>
  <si>
    <t>Steptoe School District</t>
  </si>
  <si>
    <t>Colton School District</t>
  </si>
  <si>
    <t>Endicott School District</t>
  </si>
  <si>
    <t>Rosalia School District</t>
  </si>
  <si>
    <t>St. John School District</t>
  </si>
  <si>
    <t>Oakesdale School District</t>
  </si>
  <si>
    <t>Union Gap School District</t>
  </si>
  <si>
    <t>Naches Valley School District</t>
  </si>
  <si>
    <t>Yakima School District</t>
  </si>
  <si>
    <t>East Valley School District (Yakima)</t>
  </si>
  <si>
    <t>Selah School District</t>
  </si>
  <si>
    <t>Mabton School District</t>
  </si>
  <si>
    <t>Grandview School District</t>
  </si>
  <si>
    <t>Sunnyside School District</t>
  </si>
  <si>
    <t>Toppenish School District</t>
  </si>
  <si>
    <t>Highland School District</t>
  </si>
  <si>
    <t>Granger School District</t>
  </si>
  <si>
    <t>Zillah School District</t>
  </si>
  <si>
    <t>Wapato School District</t>
  </si>
  <si>
    <t>West Valley School District (Yakima)</t>
  </si>
  <si>
    <t>Mount Adams School District</t>
  </si>
  <si>
    <t>TUKWILA</t>
  </si>
  <si>
    <t>La Center School District</t>
  </si>
  <si>
    <t>LaCrosse School District</t>
  </si>
  <si>
    <t>STATE SUMMARY</t>
  </si>
  <si>
    <t>CY 2018 AV for CY 2019 Levy</t>
  </si>
  <si>
    <t>27901</t>
  </si>
  <si>
    <t>LEA Max Tax Rate</t>
  </si>
  <si>
    <t>39901</t>
  </si>
  <si>
    <t>Yakama Nation Tribal Compact</t>
  </si>
  <si>
    <t>CY 2019 AV for CY 2020 Levy</t>
  </si>
  <si>
    <t>2023-24</t>
  </si>
  <si>
    <t>Total
SY 2023-24</t>
  </si>
  <si>
    <t>CY 2020 AV for CY 2021 Levy</t>
  </si>
  <si>
    <t>CY 2024 AV for CY 2025 Levy (Proj)</t>
  </si>
  <si>
    <t>2024-25</t>
  </si>
  <si>
    <t>Toppenish</t>
  </si>
  <si>
    <t>Puyallup</t>
  </si>
  <si>
    <t>Wa He Lut Indian</t>
  </si>
  <si>
    <t>North Thurston</t>
  </si>
  <si>
    <t>Quillayute Valley</t>
  </si>
  <si>
    <t>Muckleshoot</t>
  </si>
  <si>
    <t>Enumclaw</t>
  </si>
  <si>
    <t>Suquamish</t>
  </si>
  <si>
    <t>North Kitsap</t>
  </si>
  <si>
    <t>Lummi</t>
  </si>
  <si>
    <t>Ferndale</t>
  </si>
  <si>
    <t>Yakama Nation</t>
  </si>
  <si>
    <t>Chief Leschi</t>
  </si>
  <si>
    <t>Quileute</t>
  </si>
  <si>
    <t>V.1</t>
  </si>
  <si>
    <t>Estimated LEA Eligible Calendar Year</t>
  </si>
  <si>
    <t>State Funded Tribal Compact Local Effort Assistance (LEA) - If Applicable</t>
  </si>
  <si>
    <t>Nespelem School District #14</t>
  </si>
  <si>
    <t>Chief Leschi Tribal Compact</t>
  </si>
  <si>
    <t>Input Alternate CPI for Levy:</t>
  </si>
  <si>
    <t>Input Alternate CPI for LEA:</t>
  </si>
  <si>
    <t>Anticipated Month of Ballot</t>
  </si>
  <si>
    <t xml:space="preserve">Select Here </t>
  </si>
  <si>
    <t>Anticipated Year of Ballot</t>
  </si>
  <si>
    <t>Primary Contact Name and Email</t>
  </si>
  <si>
    <t>name</t>
  </si>
  <si>
    <t>e-mail</t>
  </si>
  <si>
    <t>Districts are to fill out the green highlighted cells before printing and obtaining approver's signature.</t>
  </si>
  <si>
    <t>Part I.  Basic Education Assurances</t>
  </si>
  <si>
    <t>Will your district comply with WAC chapter 392-127 (46:1,000 compliance) using only state funds?</t>
  </si>
  <si>
    <t>Yes or No</t>
  </si>
  <si>
    <t xml:space="preserve">Will your district provide 180 days of instruction or obtain a waiver from SBE on an alternative calendar? </t>
  </si>
  <si>
    <t>Part II. Narrative of Proposed Levy Expenditure Plan*</t>
  </si>
  <si>
    <t>*OSPI approval of this plan does not constitute a legal opinion or approval of your official ballot language.</t>
  </si>
  <si>
    <t>Part III.  Enrichment Levy Authority</t>
  </si>
  <si>
    <t>Your maximum allowable levy is limited by which of the following?</t>
  </si>
  <si>
    <t>$2.50/$1,000AV</t>
  </si>
  <si>
    <t>Part IV.  Enrichment Levy Revenues and Expenditures</t>
  </si>
  <si>
    <t>Current Year</t>
  </si>
  <si>
    <t>Future Anticipated Collections</t>
  </si>
  <si>
    <t>Estimated Per Pupil Levy or Rate per $1,000</t>
  </si>
  <si>
    <t>Estimated Enrichment Levy Collections</t>
  </si>
  <si>
    <t>Estimated School Year Collection</t>
  </si>
  <si>
    <t>Estimated Expenditure Program</t>
  </si>
  <si>
    <t>Regular Instruction - 00</t>
  </si>
  <si>
    <t>Special Education Instruction - 20</t>
  </si>
  <si>
    <t xml:space="preserve">Vocational Education - 30 </t>
  </si>
  <si>
    <t>Skill Center Instruction - 40</t>
  </si>
  <si>
    <t>Compensatory Education - 50/60</t>
  </si>
  <si>
    <t>Other Instructional Programs - 70</t>
  </si>
  <si>
    <t>Community Services - 80</t>
  </si>
  <si>
    <t>Support Services - 90</t>
  </si>
  <si>
    <t>Totals By Program</t>
  </si>
  <si>
    <t>And</t>
  </si>
  <si>
    <t>Estimated Expenditures by Object</t>
  </si>
  <si>
    <t>Salaries - Certified Employees - 02</t>
  </si>
  <si>
    <t>Salaries - Classified Employees - 03</t>
  </si>
  <si>
    <t>Benefits and Payroll Taxes - 04</t>
  </si>
  <si>
    <t>Supplies, Instructional Resources and Non-capitalized items - 05</t>
  </si>
  <si>
    <t>Purchased Services - 07</t>
  </si>
  <si>
    <t>Travel - 08</t>
  </si>
  <si>
    <t>Capital Outlay - 09</t>
  </si>
  <si>
    <t>Totals By Object</t>
  </si>
  <si>
    <t>Part V. Certification / Signature</t>
  </si>
  <si>
    <t>I attest that all is true and correct.</t>
  </si>
  <si>
    <t>Printed Name</t>
  </si>
  <si>
    <t>Signature</t>
  </si>
  <si>
    <t xml:space="preserve">Superintendent </t>
  </si>
  <si>
    <t>Date</t>
  </si>
  <si>
    <t>Part VI. OSPI Decision</t>
  </si>
  <si>
    <t>Approved</t>
  </si>
  <si>
    <t>Revision Requested</t>
  </si>
  <si>
    <t>Nespelem School District</t>
  </si>
  <si>
    <t>District Name:</t>
  </si>
  <si>
    <t>January</t>
  </si>
  <si>
    <t>Per Pupil</t>
  </si>
  <si>
    <t>February</t>
  </si>
  <si>
    <t>March</t>
  </si>
  <si>
    <t>2025-26</t>
  </si>
  <si>
    <t>April</t>
  </si>
  <si>
    <t>2026-27</t>
  </si>
  <si>
    <t>May</t>
  </si>
  <si>
    <t>2027-28</t>
  </si>
  <si>
    <t>June</t>
  </si>
  <si>
    <t>2028-29</t>
  </si>
  <si>
    <t>July</t>
  </si>
  <si>
    <t>August</t>
  </si>
  <si>
    <t>September</t>
  </si>
  <si>
    <t>October</t>
  </si>
  <si>
    <t>November</t>
  </si>
  <si>
    <t>December</t>
  </si>
  <si>
    <t>per pupil or $2.50 per $1000 AV</t>
  </si>
  <si>
    <t>CY 2025 AV for CY 2026 Levy (Proj)</t>
  </si>
  <si>
    <t>Total
SY 2024-25</t>
  </si>
  <si>
    <r>
      <t xml:space="preserve">Estimated Enrichment Levy </t>
    </r>
    <r>
      <rPr>
        <b/>
        <sz val="11"/>
        <rFont val="Segoe UI"/>
        <family val="2"/>
      </rPr>
      <t>Authority</t>
    </r>
    <r>
      <rPr>
        <sz val="11"/>
        <color theme="1"/>
        <rFont val="Segoe UI"/>
        <family val="2"/>
      </rPr>
      <t xml:space="preserve"> of first collection Year?</t>
    </r>
  </si>
  <si>
    <r>
      <t xml:space="preserve">Max Levy Per Tax Rate </t>
    </r>
    <r>
      <rPr>
        <sz val="11"/>
        <color theme="4"/>
        <rFont val="Segoe UI"/>
        <family val="2"/>
      </rPr>
      <t>(B * I / $1,000)</t>
    </r>
  </si>
  <si>
    <r>
      <t xml:space="preserve">Max Levy Per Pupil </t>
    </r>
    <r>
      <rPr>
        <sz val="11"/>
        <color theme="4"/>
        <rFont val="Segoe UI"/>
        <family val="2"/>
      </rPr>
      <t>(J * A)</t>
    </r>
  </si>
  <si>
    <r>
      <t xml:space="preserve">Maximum Levy: Lesser of Pupil </t>
    </r>
    <r>
      <rPr>
        <sz val="11"/>
        <color theme="4"/>
        <rFont val="Segoe UI"/>
        <family val="2"/>
      </rPr>
      <t>(L)</t>
    </r>
    <r>
      <rPr>
        <sz val="11"/>
        <color theme="1"/>
        <rFont val="Segoe UI"/>
        <family val="2"/>
      </rPr>
      <t xml:space="preserve"> or Tax Rate </t>
    </r>
    <r>
      <rPr>
        <sz val="11"/>
        <color theme="4"/>
        <rFont val="Segoe UI"/>
        <family val="2"/>
      </rPr>
      <t>(K)</t>
    </r>
  </si>
  <si>
    <r>
      <t xml:space="preserve">Rollback </t>
    </r>
    <r>
      <rPr>
        <sz val="11"/>
        <color theme="4"/>
        <rFont val="Segoe UI"/>
        <family val="2"/>
      </rPr>
      <t>If (R &gt; M, R - M)</t>
    </r>
  </si>
  <si>
    <r>
      <t xml:space="preserve">Max LEA per Pupil </t>
    </r>
    <r>
      <rPr>
        <sz val="11"/>
        <color theme="4"/>
        <rFont val="Segoe UI"/>
        <family val="2"/>
      </rPr>
      <t>(C - P)</t>
    </r>
  </si>
  <si>
    <r>
      <t xml:space="preserve">Voter Approved Levy </t>
    </r>
    <r>
      <rPr>
        <sz val="11"/>
        <color theme="4"/>
        <rFont val="Segoe UI"/>
        <family val="2"/>
      </rPr>
      <t xml:space="preserve">(F) </t>
    </r>
  </si>
  <si>
    <r>
      <t xml:space="preserve">Voter Approved Levy Rate </t>
    </r>
    <r>
      <rPr>
        <sz val="11"/>
        <color theme="4"/>
        <rFont val="Segoe UI"/>
        <family val="2"/>
      </rPr>
      <t>(R / F * $1,000)</t>
    </r>
  </si>
  <si>
    <r>
      <t xml:space="preserve">Estimated Maximum LEA </t>
    </r>
    <r>
      <rPr>
        <sz val="11"/>
        <color theme="4"/>
        <rFont val="Segoe UI"/>
        <family val="2"/>
      </rPr>
      <t>(Q * J)</t>
    </r>
  </si>
  <si>
    <r>
      <t xml:space="preserve">Estimated Max Payable LEA </t>
    </r>
    <r>
      <rPr>
        <sz val="11"/>
        <color theme="4"/>
        <rFont val="Segoe UI"/>
        <family val="2"/>
      </rPr>
      <t>(T * (Min(S,D)/D))</t>
    </r>
  </si>
  <si>
    <t xml:space="preserve">Completed forms can be returned to </t>
  </si>
  <si>
    <t>PreBallotApprovals@k12.wa.us.</t>
  </si>
  <si>
    <t>Purpose of Enrichment Levy Pre-Ballot Approval Form:</t>
  </si>
  <si>
    <t>E2SSB 6362 Section 304 (1):</t>
  </si>
  <si>
    <t>"As required by RCW 84.52.053 (4), before a school district may submit an enrichment levy under RCW 84.52.053 to the voters, it must have received approval from the office of the superintendent of public instruction of an expenditure plan for the district's enrichment levy and other local revenues as defined in RCW 28A.150.276."</t>
  </si>
  <si>
    <t>Instructions</t>
  </si>
  <si>
    <t>Part I - Provide Basic Education Assurances</t>
  </si>
  <si>
    <t>Answer the two simple 'Yes' or 'No' questions that provide basic education assurances under Part I that are assumed to be applicable for the duration of the levy which you are submitting for approval.</t>
  </si>
  <si>
    <t>Part II - Provide Narrative of Proposed Expenditure Plan</t>
  </si>
  <si>
    <t>This is a free text box in which you explain at a high level how your district plans on spending the proceeds of your enrichment levy.</t>
  </si>
  <si>
    <t>Note: OSPI approval of your plan and the language contained in this narrative does NOT constitute a legal opinion or approval of your official ballot language.</t>
  </si>
  <si>
    <t>Part III - Provide Narrative of Proposed Expenditure Plan</t>
  </si>
  <si>
    <t>Part IV - Provide Estimate of Enrichment Levy Revenues and Expenditures</t>
  </si>
  <si>
    <t>Part V - Certification / Signature</t>
  </si>
  <si>
    <t>District Superintendent must sign and date (electronic signature acceptable) submission.</t>
  </si>
  <si>
    <t>Part VI - OSPI Decision</t>
  </si>
  <si>
    <t>OSPI will indicate either approval or that a revision of the plan has been requested within five working days.</t>
  </si>
  <si>
    <t>Note: OSPI approval will be issued electronically via email from either an EDS system or an individual.</t>
  </si>
  <si>
    <t>&lt;----- Select district in "LevyCalc" Tab cell C3</t>
  </si>
  <si>
    <t>"LevyCalc" tab</t>
  </si>
  <si>
    <t>Tab Colors key:</t>
  </si>
  <si>
    <t>Drop Down</t>
  </si>
  <si>
    <t>Input</t>
  </si>
  <si>
    <t>Formula</t>
  </si>
  <si>
    <t>Anticipated Voter Approved Levy</t>
  </si>
  <si>
    <t>The estimated Levy Authority of first collection year in line 27, both per pupil and total. This will be auto populated by the "LevyCalc" tab.</t>
  </si>
  <si>
    <t>The levy your district expected to be limited by in row 26 - per pupil or $2.50rate/$1,000AV. Will be auto populated by the "LevyCalc" tab.</t>
  </si>
  <si>
    <t>CY 2021 AV for CY 2022 Levy</t>
  </si>
  <si>
    <t>CY 2026 AV for CY 2027 Levy (Proj)</t>
  </si>
  <si>
    <t>CY 2027 AV for CY 2028 Levy (Proj)</t>
  </si>
  <si>
    <t>Q.1</t>
  </si>
  <si>
    <r>
      <t xml:space="preserve">Max LEA per Pupil </t>
    </r>
    <r>
      <rPr>
        <sz val="11"/>
        <color theme="4"/>
        <rFont val="Segoe UI"/>
        <family val="2"/>
      </rPr>
      <t>Max(P,C)</t>
    </r>
  </si>
  <si>
    <t>School Year LEA Total including Stabilization</t>
  </si>
  <si>
    <t>Total
SY 2025-26</t>
  </si>
  <si>
    <t>Max per Pupil</t>
  </si>
  <si>
    <t>Max Levy Per Rate</t>
  </si>
  <si>
    <t>Max Levy per Pupil</t>
  </si>
  <si>
    <t>Your estimated maximum allowable levy authority is:</t>
  </si>
  <si>
    <t>Maximum Authority</t>
  </si>
  <si>
    <t>Max Tax Rate Authority</t>
  </si>
  <si>
    <t>CY 2028 AV for CY 2029 Levy (Proj)</t>
  </si>
  <si>
    <t>2029-30</t>
  </si>
  <si>
    <r>
      <t xml:space="preserve">Total Enrollment From Above </t>
    </r>
    <r>
      <rPr>
        <sz val="11"/>
        <color theme="4"/>
        <rFont val="Segoe UI"/>
        <family val="2"/>
      </rPr>
      <t>(G.1 + H.1)</t>
    </r>
  </si>
  <si>
    <r>
      <t xml:space="preserve">Per Pupil Eligible for LEA </t>
    </r>
    <r>
      <rPr>
        <sz val="11"/>
        <color theme="4"/>
        <rFont val="Segoe UI"/>
        <family val="2"/>
      </rPr>
      <t>(I * D / $1,000) / G.1</t>
    </r>
  </si>
  <si>
    <r>
      <t xml:space="preserve">Estimated Max Payable LEA </t>
    </r>
    <r>
      <rPr>
        <sz val="11"/>
        <color theme="4"/>
        <rFont val="Segoe UI"/>
        <family val="2"/>
      </rPr>
      <t>(Q.1 * G.2)</t>
    </r>
  </si>
  <si>
    <t>G.2</t>
  </si>
  <si>
    <t>G.1</t>
  </si>
  <si>
    <t>H.1</t>
  </si>
  <si>
    <t>E.1</t>
  </si>
  <si>
    <t>E.2</t>
  </si>
  <si>
    <t>Select the year in cell C26 for the first collection year to populate data in rows 26 &amp; 27.</t>
  </si>
  <si>
    <t xml:space="preserve">Estimated Per Pupil Levy or Rate per $1,000 in line 38.  </t>
  </si>
  <si>
    <t xml:space="preserve">Amount of Levy per calendar year going to voter for and needing advance approval on in line 39. Note, current calendar year is included for school year calculation only. </t>
  </si>
  <si>
    <t>Anticipated enrichment levy revenue by calendar year on line 40.  Tool will automatically convert these amounts into school year on line 44.</t>
  </si>
  <si>
    <t>If voter approved levy amount is higher than the amount expected to collect, line 41 is for the rollback amount to show the amount that will not be collected. This is pulled from the VAL prior to calculating the school year collection amounts in row 40 as districts do not need to show estimated expenditure breakdown on this amount.</t>
  </si>
  <si>
    <t>Rollback (row 39 - row 40)</t>
  </si>
  <si>
    <t>Enter estimated expenditures by program in lines 47 through 54. Sheet will total programs on line 55.</t>
  </si>
  <si>
    <t>Enter estimated expenditures by object in lines 58 through 64. Sheet will total objects on line 65.</t>
  </si>
  <si>
    <t>Notes: Linking program to object will not be required. However, the total on line 55 and line 65 must tie. Line 67 will show you in red if you have a variance been program or object expenditure detail.</t>
  </si>
  <si>
    <t>***Tribal Compact Schools - select district to be used as base for per pupil calculation to estimate LEA funding (estimate begins with row 67)***</t>
  </si>
  <si>
    <t>Complete the "LevyCalc" tab prior to the "Pre-Ballot Approval" tab and the pink cells will auto populate from worksheet.  Input the amount requesting pre-approval for in row 25 of the "LevyCalc" tab (alternate input for "F") and it will flow through the tool and into the "Pre-Ballot Approval" tab.</t>
  </si>
  <si>
    <t>CY 2022 AV for CY 2023 Levy</t>
  </si>
  <si>
    <t>Total
SY 2026-27</t>
  </si>
  <si>
    <t>24915</t>
  </si>
  <si>
    <t>Paschal Sherman Tribal</t>
  </si>
  <si>
    <r>
      <t xml:space="preserve">Variance to School Year Collection </t>
    </r>
    <r>
      <rPr>
        <b/>
        <sz val="11"/>
        <color rgb="FFFF0000"/>
        <rFont val="Segoe UI"/>
        <family val="2"/>
      </rPr>
      <t>(Must Be Zero)</t>
    </r>
  </si>
  <si>
    <r>
      <t xml:space="preserve">Variance </t>
    </r>
    <r>
      <rPr>
        <b/>
        <sz val="11"/>
        <color rgb="FFFF0000"/>
        <rFont val="Segoe UI"/>
        <family val="2"/>
      </rPr>
      <t>(Must Be Zero)</t>
    </r>
  </si>
  <si>
    <t>Line 68 will display any difference between estimated expenditures (line 55) and estimated school year collections (line 44) and should display zero</t>
  </si>
  <si>
    <t>CY 2029 AV for CY 2030 Levy (Proj)</t>
  </si>
  <si>
    <t>CY 2030 AV for CY 2031 Levy (Proj)</t>
  </si>
  <si>
    <t>2030-31</t>
  </si>
  <si>
    <t>2031-32</t>
  </si>
  <si>
    <t>CY 2023 AV for CY 2024 Levy</t>
  </si>
  <si>
    <t>Ensure all green highlighted cells are completed before obtaining approver's signature.</t>
  </si>
  <si>
    <t>Note: This is calculated in row "O" on the LevyCalc sheet and will populate automatically or can be entered manually.</t>
  </si>
  <si>
    <t>Note: This is pulled from row "R" on the LevyCalc sheet and will populate automatically or can be entered manually.</t>
  </si>
  <si>
    <t>Note: This is calculated in row "S" on the LevyCalc sheet and will populate automatically or can be entered manually.</t>
  </si>
  <si>
    <r>
      <t xml:space="preserve">Note: </t>
    </r>
    <r>
      <rPr>
        <b/>
        <sz val="11"/>
        <color rgb="FFFF0000"/>
        <rFont val="Segoe UI"/>
        <family val="2"/>
      </rPr>
      <t>Levy Authority</t>
    </r>
    <r>
      <rPr>
        <sz val="11"/>
        <color rgb="FFFF0000"/>
        <rFont val="Segoe UI"/>
        <family val="2"/>
      </rPr>
      <t xml:space="preserve"> is defined as the LESSOR OF A) calendar year per pupil amount * enrollment or B) $2.50 / $1,000 * Assessed Values.  This is calculated in row "M" on the LevyCalc sheet and will auto populate.</t>
    </r>
  </si>
  <si>
    <t>Worksheet for Estimating 2025 through 2029 Levy Authority and LEA</t>
  </si>
  <si>
    <t>Assessed Valuations are estimates for 2025 as of March 2024 and estimations with available adjustments for all years.</t>
  </si>
  <si>
    <t>Enrollment 2023-24/ Out years includes caseload forecast</t>
  </si>
  <si>
    <t>2024 Fall only 47.38%</t>
  </si>
  <si>
    <t>2024 September - December LEA only 28%</t>
  </si>
  <si>
    <t>2024 Fall Levy</t>
  </si>
  <si>
    <t>Sept-Dec 2024 LEA (28%)</t>
  </si>
  <si>
    <t>Paschal Sherman</t>
  </si>
  <si>
    <t>SY 2023-24 Enroll</t>
  </si>
  <si>
    <t>No Transfers</t>
  </si>
  <si>
    <t>Transfers</t>
  </si>
  <si>
    <t>Total
SY 2027-28</t>
  </si>
  <si>
    <t>2032-33</t>
  </si>
  <si>
    <t>Year of Ballot</t>
  </si>
  <si>
    <t>Levy Authority</t>
  </si>
  <si>
    <t>RCW 84.52.0531: Enrichment levies by school districts—Maximum dollar amount—Enrichment levy expenditure plan approval—Rules—Deposit of funds.</t>
  </si>
  <si>
    <t>CPI for Levy as of September 2024</t>
  </si>
  <si>
    <t>Final August 2024</t>
  </si>
  <si>
    <t>SY 2023-24 Enroll TK (TKZ271)</t>
  </si>
  <si>
    <t>SY 2023-24 Total Enroll w/RS (A17)</t>
  </si>
  <si>
    <t xml:space="preserve">Calendar 2025 is based on SY 2023-24 Final August AAFTE with TK enrollment, Non-high / high transfers are pulled out on separate line (this also includes Innovative Academy).  Out years are increased according to caseload forecasted projections. </t>
  </si>
  <si>
    <t>During the 2021 legislative session RCW 84.52.0531 was updated to define CPI inflation for Levy as the most recent 12-month period as of September 25th of the year before taxes are payable.  All rates in model for out years are based on September 2024 calendar year estimates. Out year rates are adjustable using cells under E.1 and E.2.</t>
  </si>
  <si>
    <t>Voter Approved Levy are actual amounts for each year, if the value is zero there isn't an approval levy as of August 2024 elections</t>
  </si>
  <si>
    <t>PreBallotApprovals@k12.wa.us</t>
  </si>
  <si>
    <t>**updated as of November 13, 2024</t>
  </si>
  <si>
    <t>Not final until 11/26/24</t>
  </si>
  <si>
    <r>
      <t xml:space="preserve">CPI for LEA as of October 2024 </t>
    </r>
    <r>
      <rPr>
        <sz val="11"/>
        <color rgb="FFFF0000"/>
        <rFont val="Segoe UI"/>
        <family val="2"/>
      </rPr>
      <t>(Not final until March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</si>
</sst>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000%"/>
    <numFmt numFmtId="168" formatCode="_(* #,##0.0_);_(* \(#,##0.0\);_(* &quot;-&quot;??_);_(@_)"/>
    <numFmt numFmtId="169" formatCode="mm/dd/yyyy"/>
  </numFmts>
  <fonts count="38">
    <font>
      <sz val="11"/>
      <color theme="1"/>
      <name val="Calibri"/>
      <family val="2"/>
      <scheme val="minor"/>
    </font>
    <font>
      <sz val="11"/>
      <color theme="1"/>
      <name val="Calibri"/>
      <family val="2"/>
      <scheme val="minor"/>
    </font>
    <font>
      <sz val="11"/>
      <color theme="4" tint="0.59999389629810485"/>
      <name val="Calibri"/>
      <family val="2"/>
      <scheme val="minor"/>
    </font>
    <font>
      <b/>
      <sz val="11"/>
      <color theme="1"/>
      <name val="Calibri"/>
      <family val="2"/>
      <scheme val="minor"/>
    </font>
    <font>
      <b/>
      <sz val="11"/>
      <name val="Calibri"/>
      <family val="2"/>
      <scheme val="minor"/>
    </font>
    <font>
      <sz val="11"/>
      <color theme="1"/>
      <name val="Calibri"/>
      <family val="2"/>
    </font>
    <font>
      <sz val="11"/>
      <name val="Calibri"/>
      <family val="2"/>
      <scheme val="minor"/>
    </font>
    <font>
      <b/>
      <u/>
      <sz val="11"/>
      <color theme="1"/>
      <name val="Calibri"/>
      <family val="2"/>
    </font>
    <font>
      <b/>
      <sz val="11"/>
      <color theme="1"/>
      <name val="Calibri"/>
      <family val="2"/>
    </font>
    <font>
      <sz val="11"/>
      <name val="Calibri"/>
      <family val="2"/>
    </font>
    <font>
      <u/>
      <sz val="11"/>
      <color theme="10"/>
      <name val="Calibri"/>
      <family val="2"/>
      <scheme val="minor"/>
    </font>
    <font>
      <sz val="8"/>
      <name val="Calibri"/>
      <family val="2"/>
      <scheme val="minor"/>
    </font>
    <font>
      <sz val="8"/>
      <color theme="1"/>
      <name val="Calibri"/>
      <family val="2"/>
      <scheme val="minor"/>
    </font>
    <font>
      <sz val="9"/>
      <color theme="1"/>
      <name val="Segoe UI"/>
      <family val="2"/>
    </font>
    <font>
      <i/>
      <sz val="11"/>
      <color theme="1"/>
      <name val="Segoe UI"/>
      <family val="2"/>
    </font>
    <font>
      <sz val="11"/>
      <color theme="1"/>
      <name val="Segoe UI"/>
      <family val="2"/>
    </font>
    <font>
      <i/>
      <sz val="9"/>
      <color theme="1"/>
      <name val="Segoe UI"/>
      <family val="2"/>
    </font>
    <font>
      <b/>
      <u/>
      <sz val="11"/>
      <color theme="1"/>
      <name val="Segoe UI"/>
      <family val="2"/>
    </font>
    <font>
      <b/>
      <sz val="11"/>
      <name val="Segoe UI"/>
      <family val="2"/>
    </font>
    <font>
      <b/>
      <sz val="11"/>
      <color theme="1"/>
      <name val="Segoe UI"/>
      <family val="2"/>
    </font>
    <font>
      <sz val="8"/>
      <color theme="0" tint="-0.249977111117893"/>
      <name val="Segoe UI"/>
      <family val="2"/>
    </font>
    <font>
      <b/>
      <sz val="14"/>
      <name val="Segoe UI"/>
      <family val="2"/>
    </font>
    <font>
      <sz val="9"/>
      <color theme="0" tint="-0.249977111117893"/>
      <name val="Segoe UI"/>
      <family val="2"/>
    </font>
    <font>
      <b/>
      <sz val="14"/>
      <color theme="1"/>
      <name val="Segoe UI"/>
      <family val="2"/>
    </font>
    <font>
      <sz val="11"/>
      <color rgb="FFFF0000"/>
      <name val="Segoe UI"/>
      <family val="2"/>
    </font>
    <font>
      <sz val="11"/>
      <color theme="0"/>
      <name val="Segoe UI"/>
      <family val="2"/>
    </font>
    <font>
      <b/>
      <i/>
      <sz val="11"/>
      <color theme="1"/>
      <name val="Segoe UI"/>
      <family val="2"/>
    </font>
    <font>
      <sz val="11"/>
      <color theme="4"/>
      <name val="Segoe UI"/>
      <family val="2"/>
    </font>
    <font>
      <b/>
      <sz val="12"/>
      <color theme="1"/>
      <name val="Segoe UI"/>
      <family val="2"/>
    </font>
    <font>
      <sz val="14"/>
      <color theme="1"/>
      <name val="Segoe UI"/>
      <family val="2"/>
    </font>
    <font>
      <b/>
      <sz val="18"/>
      <color theme="1"/>
      <name val="Segoe UI"/>
      <family val="2"/>
    </font>
    <font>
      <b/>
      <sz val="11"/>
      <color rgb="FFFF0000"/>
      <name val="Segoe UI"/>
      <family val="2"/>
    </font>
    <font>
      <u/>
      <sz val="11"/>
      <color theme="1"/>
      <name val="Segoe UI"/>
      <family val="2"/>
    </font>
    <font>
      <sz val="10"/>
      <name val="Arial MT"/>
    </font>
    <font>
      <sz val="9"/>
      <color indexed="81"/>
      <name val="Tahoma"/>
      <charset val="1"/>
    </font>
    <font>
      <b/>
      <sz val="9"/>
      <color indexed="81"/>
      <name val="Tahoma"/>
      <charset val="1"/>
    </font>
    <font>
      <sz val="8"/>
      <color theme="8" tint="0.59999389629810485"/>
      <name val="Arial MT"/>
    </font>
    <font>
      <sz val="10"/>
      <color theme="1"/>
      <name val="arial MT"/>
    </font>
  </fonts>
  <fills count="10">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00000"/>
        <bgColor indexed="64"/>
      </patternFill>
    </fill>
    <fill>
      <patternFill patternType="solid">
        <fgColor rgb="FFFFFF00"/>
        <bgColor indexed="64"/>
      </patternFill>
    </fill>
    <fill>
      <patternFill patternType="solid">
        <fgColor theme="2"/>
        <bgColor indexed="64"/>
      </patternFill>
    </fill>
    <fill>
      <patternFill patternType="solid">
        <fgColor theme="5" tint="0.79998168889431442"/>
        <bgColor indexed="64"/>
      </patternFill>
    </fill>
  </fills>
  <borders count="21">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1" fillId="0" borderId="0"/>
    <xf numFmtId="0" fontId="10" fillId="0" borderId="0" applyNumberFormat="0" applyFill="0" applyBorder="0" applyAlignment="0" applyProtection="0"/>
    <xf numFmtId="9" fontId="1" fillId="0" borderId="0" applyFont="0" applyFill="0" applyBorder="0" applyAlignment="0" applyProtection="0"/>
  </cellStyleXfs>
  <cellXfs count="178">
    <xf numFmtId="0" fontId="0" fillId="0" borderId="0" xfId="0"/>
    <xf numFmtId="43" fontId="0" fillId="0" borderId="0" xfId="1" applyFont="1"/>
    <xf numFmtId="164" fontId="0" fillId="0" borderId="0" xfId="1" applyNumberFormat="1" applyFont="1"/>
    <xf numFmtId="0" fontId="0" fillId="0" borderId="0" xfId="0" applyAlignment="1">
      <alignment wrapText="1"/>
    </xf>
    <xf numFmtId="0" fontId="2" fillId="0" borderId="0" xfId="0" applyFont="1"/>
    <xf numFmtId="0" fontId="3" fillId="0" borderId="0" xfId="0" applyFont="1" applyAlignment="1">
      <alignment horizontal="center"/>
    </xf>
    <xf numFmtId="164" fontId="0" fillId="0" borderId="0" xfId="0" applyNumberFormat="1"/>
    <xf numFmtId="164" fontId="0" fillId="0" borderId="0" xfId="1" applyNumberFormat="1" applyFont="1" applyAlignment="1">
      <alignment wrapText="1"/>
    </xf>
    <xf numFmtId="0" fontId="5" fillId="0" borderId="0" xfId="3"/>
    <xf numFmtId="0" fontId="5" fillId="0" borderId="0" xfId="3" applyAlignment="1">
      <alignment horizontal="right"/>
    </xf>
    <xf numFmtId="0" fontId="5" fillId="0" borderId="0" xfId="3" applyAlignment="1">
      <alignment horizontal="center"/>
    </xf>
    <xf numFmtId="43" fontId="0" fillId="0" borderId="0" xfId="4" applyFont="1"/>
    <xf numFmtId="167" fontId="0" fillId="0" borderId="0" xfId="5" applyNumberFormat="1" applyFont="1"/>
    <xf numFmtId="167" fontId="0" fillId="0" borderId="0" xfId="5" applyNumberFormat="1" applyFont="1" applyFill="1"/>
    <xf numFmtId="0" fontId="6" fillId="0" borderId="0" xfId="3" applyFont="1"/>
    <xf numFmtId="0" fontId="4" fillId="0" borderId="1" xfId="3" applyFont="1" applyBorder="1"/>
    <xf numFmtId="0" fontId="4" fillId="0" borderId="2" xfId="3" applyFont="1" applyBorder="1"/>
    <xf numFmtId="0" fontId="7" fillId="0" borderId="0" xfId="3" applyFont="1"/>
    <xf numFmtId="0" fontId="7" fillId="0" borderId="0" xfId="3" applyFont="1" applyAlignment="1">
      <alignment horizontal="center"/>
    </xf>
    <xf numFmtId="0" fontId="7" fillId="0" borderId="0" xfId="3" applyFont="1" applyAlignment="1">
      <alignment horizontal="center" wrapText="1"/>
    </xf>
    <xf numFmtId="0" fontId="4" fillId="0" borderId="0" xfId="3" quotePrefix="1" applyFont="1"/>
    <xf numFmtId="43" fontId="4" fillId="0" borderId="0" xfId="3" applyNumberFormat="1" applyFont="1" applyAlignment="1">
      <alignment horizontal="center"/>
    </xf>
    <xf numFmtId="0" fontId="8" fillId="0" borderId="0" xfId="3" applyFont="1" applyAlignment="1">
      <alignment horizontal="center"/>
    </xf>
    <xf numFmtId="43" fontId="8" fillId="0" borderId="0" xfId="4" applyFont="1"/>
    <xf numFmtId="43" fontId="8" fillId="0" borderId="0" xfId="4" applyFont="1" applyFill="1"/>
    <xf numFmtId="43" fontId="5" fillId="0" borderId="0" xfId="3" applyNumberFormat="1"/>
    <xf numFmtId="43" fontId="6" fillId="0" borderId="0" xfId="0" applyNumberFormat="1" applyFont="1"/>
    <xf numFmtId="0" fontId="0" fillId="0" borderId="0" xfId="0" applyAlignment="1">
      <alignment horizontal="center"/>
    </xf>
    <xf numFmtId="0" fontId="6" fillId="0" borderId="0" xfId="0" applyFont="1"/>
    <xf numFmtId="0" fontId="9" fillId="0" borderId="0" xfId="0" quotePrefix="1" applyFont="1" applyAlignment="1">
      <alignment horizontal="left"/>
    </xf>
    <xf numFmtId="0" fontId="9" fillId="0" borderId="0" xfId="0" applyFont="1" applyAlignment="1">
      <alignment horizontal="left"/>
    </xf>
    <xf numFmtId="49" fontId="9" fillId="0" borderId="0" xfId="0" applyNumberFormat="1" applyFont="1" applyAlignment="1">
      <alignment horizontal="left"/>
    </xf>
    <xf numFmtId="49" fontId="6" fillId="0" borderId="0" xfId="0" applyNumberFormat="1" applyFont="1"/>
    <xf numFmtId="0" fontId="0" fillId="0" borderId="0" xfId="0" applyAlignment="1">
      <alignment horizontal="right"/>
    </xf>
    <xf numFmtId="0" fontId="7" fillId="0" borderId="0" xfId="0" applyFont="1" applyAlignment="1">
      <alignment horizontal="center" wrapText="1"/>
    </xf>
    <xf numFmtId="43" fontId="0" fillId="0" borderId="0" xfId="0" applyNumberFormat="1"/>
    <xf numFmtId="0" fontId="4" fillId="0" borderId="0" xfId="0" applyFont="1"/>
    <xf numFmtId="0" fontId="12" fillId="0" borderId="0" xfId="0" applyFont="1"/>
    <xf numFmtId="0" fontId="13" fillId="0" borderId="0" xfId="0" applyFont="1" applyAlignment="1">
      <alignment horizontal="center"/>
    </xf>
    <xf numFmtId="0" fontId="14" fillId="0" borderId="0" xfId="0" applyFont="1"/>
    <xf numFmtId="0" fontId="15" fillId="0" borderId="0" xfId="0" applyFont="1"/>
    <xf numFmtId="169" fontId="15" fillId="3" borderId="0" xfId="0" applyNumberFormat="1" applyFont="1" applyFill="1" applyAlignment="1">
      <alignment horizontal="center"/>
    </xf>
    <xf numFmtId="1" fontId="15" fillId="3" borderId="4" xfId="0" applyNumberFormat="1" applyFont="1" applyFill="1" applyBorder="1" applyAlignment="1">
      <alignment horizontal="center"/>
    </xf>
    <xf numFmtId="0" fontId="16" fillId="0" borderId="0" xfId="0" applyFont="1" applyAlignment="1">
      <alignment horizontal="center" vertical="top"/>
    </xf>
    <xf numFmtId="0" fontId="17" fillId="0" borderId="0" xfId="0" applyFont="1"/>
    <xf numFmtId="0" fontId="15" fillId="0" borderId="0" xfId="0" applyFont="1" applyAlignment="1">
      <alignment horizontal="right"/>
    </xf>
    <xf numFmtId="0" fontId="15" fillId="3" borderId="7" xfId="0" applyFont="1" applyFill="1" applyBorder="1" applyAlignment="1">
      <alignment horizontal="center"/>
    </xf>
    <xf numFmtId="0" fontId="15" fillId="0" borderId="0" xfId="0" applyFont="1" applyAlignment="1">
      <alignment horizontal="left"/>
    </xf>
    <xf numFmtId="0" fontId="15" fillId="0" borderId="0" xfId="0" applyFont="1" applyAlignment="1">
      <alignment horizontal="center"/>
    </xf>
    <xf numFmtId="165" fontId="15" fillId="8" borderId="7" xfId="2" applyNumberFormat="1" applyFont="1" applyFill="1" applyBorder="1"/>
    <xf numFmtId="0" fontId="19" fillId="0" borderId="0" xfId="0" applyFont="1" applyAlignment="1">
      <alignment horizontal="center"/>
    </xf>
    <xf numFmtId="0" fontId="19" fillId="0" borderId="0" xfId="0" applyFont="1"/>
    <xf numFmtId="1" fontId="19" fillId="0" borderId="0" xfId="0" applyNumberFormat="1" applyFont="1" applyAlignment="1">
      <alignment horizontal="center" wrapText="1"/>
    </xf>
    <xf numFmtId="1" fontId="19" fillId="0" borderId="0" xfId="0" applyNumberFormat="1" applyFont="1" applyAlignment="1">
      <alignment horizontal="center"/>
    </xf>
    <xf numFmtId="0" fontId="19" fillId="0" borderId="0" xfId="0" applyFont="1" applyAlignment="1">
      <alignment horizontal="left" indent="2"/>
    </xf>
    <xf numFmtId="165" fontId="15" fillId="5" borderId="7" xfId="2" applyNumberFormat="1" applyFont="1" applyFill="1" applyBorder="1"/>
    <xf numFmtId="0" fontId="17" fillId="0" borderId="0" xfId="0" applyFont="1" applyAlignment="1">
      <alignment horizontal="center"/>
    </xf>
    <xf numFmtId="165" fontId="19" fillId="8" borderId="7" xfId="2" applyNumberFormat="1" applyFont="1" applyFill="1" applyBorder="1" applyAlignment="1"/>
    <xf numFmtId="165" fontId="19" fillId="8" borderId="7" xfId="2" applyNumberFormat="1" applyFont="1" applyFill="1" applyBorder="1"/>
    <xf numFmtId="165" fontId="19" fillId="8" borderId="7" xfId="2" applyNumberFormat="1" applyFont="1" applyFill="1" applyBorder="1" applyAlignment="1">
      <alignment vertical="center"/>
    </xf>
    <xf numFmtId="169" fontId="15" fillId="0" borderId="6" xfId="0" applyNumberFormat="1" applyFont="1" applyBorder="1" applyAlignment="1">
      <alignment horizontal="center"/>
    </xf>
    <xf numFmtId="0" fontId="15" fillId="0" borderId="0" xfId="0" applyFont="1" applyAlignment="1">
      <alignment horizontal="right" vertical="center"/>
    </xf>
    <xf numFmtId="0" fontId="15" fillId="0" borderId="7" xfId="0" applyFont="1" applyBorder="1"/>
    <xf numFmtId="0" fontId="15" fillId="0" borderId="0" xfId="0" applyFont="1" applyAlignment="1">
      <alignment horizontal="right" vertical="center" wrapText="1"/>
    </xf>
    <xf numFmtId="0" fontId="20" fillId="0" borderId="0" xfId="0" applyFont="1"/>
    <xf numFmtId="0" fontId="15" fillId="0" borderId="0" xfId="0" applyFont="1" applyProtection="1">
      <protection locked="0"/>
    </xf>
    <xf numFmtId="0" fontId="22" fillId="0" borderId="0" xfId="0" applyFont="1"/>
    <xf numFmtId="0" fontId="21" fillId="0" borderId="0" xfId="0" applyFont="1" applyAlignment="1">
      <alignment horizontal="center"/>
    </xf>
    <xf numFmtId="0" fontId="23" fillId="0" borderId="0" xfId="0" applyFont="1" applyAlignment="1">
      <alignment horizontal="right"/>
    </xf>
    <xf numFmtId="0" fontId="24" fillId="0" borderId="0" xfId="0" applyFont="1"/>
    <xf numFmtId="0" fontId="24" fillId="0" borderId="0" xfId="0" applyFont="1" applyAlignment="1">
      <alignment horizontal="left"/>
    </xf>
    <xf numFmtId="0" fontId="23" fillId="0" borderId="0" xfId="0" applyFont="1" applyAlignment="1" applyProtection="1">
      <alignment horizontal="center"/>
      <protection locked="0"/>
    </xf>
    <xf numFmtId="0" fontId="24" fillId="0" borderId="0" xfId="0" applyFont="1" applyAlignment="1">
      <alignment horizontal="left" indent="2"/>
    </xf>
    <xf numFmtId="0" fontId="19" fillId="0" borderId="0" xfId="0" applyFont="1" applyAlignment="1">
      <alignment horizontal="right"/>
    </xf>
    <xf numFmtId="0" fontId="19" fillId="0" borderId="0" xfId="0" applyFont="1" applyProtection="1">
      <protection locked="0"/>
    </xf>
    <xf numFmtId="44" fontId="15" fillId="0" borderId="0" xfId="2" applyFont="1"/>
    <xf numFmtId="44" fontId="15" fillId="0" borderId="0" xfId="0" applyNumberFormat="1" applyFont="1"/>
    <xf numFmtId="44" fontId="15" fillId="0" borderId="0" xfId="0" applyNumberFormat="1" applyFont="1" applyProtection="1">
      <protection locked="0"/>
    </xf>
    <xf numFmtId="44" fontId="15" fillId="0" borderId="0" xfId="2" applyFont="1" applyProtection="1">
      <protection locked="0"/>
    </xf>
    <xf numFmtId="165" fontId="15" fillId="0" borderId="0" xfId="0" applyNumberFormat="1" applyFont="1" applyProtection="1">
      <protection locked="0"/>
    </xf>
    <xf numFmtId="166" fontId="15" fillId="0" borderId="0" xfId="0" applyNumberFormat="1" applyFont="1"/>
    <xf numFmtId="166" fontId="15" fillId="0" borderId="0" xfId="0" applyNumberFormat="1" applyFont="1" applyProtection="1">
      <protection locked="0"/>
    </xf>
    <xf numFmtId="0" fontId="26" fillId="0" borderId="0" xfId="0" applyFont="1"/>
    <xf numFmtId="0" fontId="26" fillId="0" borderId="0" xfId="0" applyFont="1" applyAlignment="1">
      <alignment horizontal="right"/>
    </xf>
    <xf numFmtId="164" fontId="26" fillId="3" borderId="0" xfId="1" applyNumberFormat="1" applyFont="1" applyFill="1" applyProtection="1">
      <protection locked="0"/>
    </xf>
    <xf numFmtId="166" fontId="26" fillId="0" borderId="0" xfId="0" applyNumberFormat="1" applyFont="1" applyProtection="1">
      <protection locked="0"/>
    </xf>
    <xf numFmtId="0" fontId="26" fillId="0" borderId="0" xfId="0" applyFont="1" applyProtection="1">
      <protection locked="0"/>
    </xf>
    <xf numFmtId="166" fontId="26" fillId="3" borderId="0" xfId="8" applyNumberFormat="1" applyFont="1" applyFill="1" applyProtection="1">
      <protection locked="0"/>
    </xf>
    <xf numFmtId="165" fontId="15" fillId="0" borderId="0" xfId="2" applyNumberFormat="1" applyFont="1"/>
    <xf numFmtId="43" fontId="15" fillId="0" borderId="0" xfId="1" applyFont="1"/>
    <xf numFmtId="43" fontId="26" fillId="3" borderId="0" xfId="1" applyFont="1" applyFill="1" applyProtection="1">
      <protection locked="0"/>
    </xf>
    <xf numFmtId="168" fontId="15" fillId="0" borderId="0" xfId="1" applyNumberFormat="1" applyFont="1"/>
    <xf numFmtId="165" fontId="26" fillId="3" borderId="0" xfId="2" applyNumberFormat="1" applyFont="1" applyFill="1" applyProtection="1">
      <protection locked="0"/>
    </xf>
    <xf numFmtId="43" fontId="15" fillId="0" borderId="0" xfId="0" applyNumberFormat="1" applyFont="1" applyProtection="1">
      <protection locked="0"/>
    </xf>
    <xf numFmtId="0" fontId="28" fillId="2" borderId="0" xfId="0" applyFont="1" applyFill="1" applyAlignment="1">
      <alignment horizontal="right"/>
    </xf>
    <xf numFmtId="165" fontId="28" fillId="2" borderId="0" xfId="2" applyNumberFormat="1" applyFont="1" applyFill="1"/>
    <xf numFmtId="165" fontId="15" fillId="0" borderId="0" xfId="2" applyNumberFormat="1" applyFont="1" applyFill="1"/>
    <xf numFmtId="165" fontId="15" fillId="2" borderId="0" xfId="2" applyNumberFormat="1" applyFont="1" applyFill="1"/>
    <xf numFmtId="44" fontId="15" fillId="0" borderId="0" xfId="2" applyFont="1" applyFill="1"/>
    <xf numFmtId="0" fontId="29" fillId="0" borderId="0" xfId="0" applyFont="1"/>
    <xf numFmtId="0" fontId="23" fillId="4" borderId="0" xfId="0" applyFont="1" applyFill="1" applyAlignment="1">
      <alignment horizontal="right"/>
    </xf>
    <xf numFmtId="165" fontId="23" fillId="4" borderId="0" xfId="2" applyNumberFormat="1" applyFont="1" applyFill="1"/>
    <xf numFmtId="0" fontId="29" fillId="0" borderId="0" xfId="0" applyFont="1" applyProtection="1">
      <protection locked="0"/>
    </xf>
    <xf numFmtId="0" fontId="23" fillId="5" borderId="0" xfId="0" applyFont="1" applyFill="1" applyAlignment="1">
      <alignment horizontal="right"/>
    </xf>
    <xf numFmtId="0" fontId="10" fillId="0" borderId="0" xfId="7" applyAlignment="1">
      <alignment horizontal="left" vertical="top"/>
    </xf>
    <xf numFmtId="0" fontId="30" fillId="5" borderId="0" xfId="0" applyFont="1" applyFill="1"/>
    <xf numFmtId="0" fontId="15" fillId="5" borderId="0" xfId="0" applyFont="1" applyFill="1"/>
    <xf numFmtId="14" fontId="15" fillId="7" borderId="0" xfId="0" applyNumberFormat="1" applyFont="1" applyFill="1"/>
    <xf numFmtId="165" fontId="15" fillId="9" borderId="7" xfId="2" applyNumberFormat="1" applyFont="1" applyFill="1" applyBorder="1"/>
    <xf numFmtId="0" fontId="15" fillId="9" borderId="7" xfId="0" applyFont="1" applyFill="1" applyBorder="1" applyAlignment="1">
      <alignment horizontal="center"/>
    </xf>
    <xf numFmtId="0" fontId="15" fillId="0" borderId="0" xfId="0" applyFont="1" applyAlignment="1">
      <alignment wrapText="1"/>
    </xf>
    <xf numFmtId="0" fontId="15" fillId="3" borderId="16" xfId="0" applyFont="1" applyFill="1" applyBorder="1"/>
    <xf numFmtId="0" fontId="15" fillId="5" borderId="17" xfId="0" applyFont="1" applyFill="1" applyBorder="1"/>
    <xf numFmtId="0" fontId="15" fillId="9" borderId="18" xfId="0" applyFont="1" applyFill="1" applyBorder="1"/>
    <xf numFmtId="0" fontId="15" fillId="8" borderId="19" xfId="0" applyFont="1" applyFill="1" applyBorder="1"/>
    <xf numFmtId="44" fontId="15" fillId="9" borderId="7" xfId="2" applyFont="1" applyFill="1" applyBorder="1"/>
    <xf numFmtId="0" fontId="23" fillId="0" borderId="0" xfId="0" applyFont="1"/>
    <xf numFmtId="0" fontId="5" fillId="0" borderId="0" xfId="3" applyAlignment="1">
      <alignment horizontal="center" vertical="center"/>
    </xf>
    <xf numFmtId="0" fontId="5" fillId="7" borderId="0" xfId="3" applyFill="1" applyAlignment="1">
      <alignment wrapText="1"/>
    </xf>
    <xf numFmtId="164" fontId="15" fillId="0" borderId="0" xfId="1" applyNumberFormat="1" applyFont="1"/>
    <xf numFmtId="0" fontId="4" fillId="0" borderId="3" xfId="0" applyFont="1" applyBorder="1" applyAlignment="1">
      <alignment horizontal="center" wrapText="1"/>
    </xf>
    <xf numFmtId="43" fontId="21" fillId="0" borderId="0" xfId="1" applyFont="1" applyAlignment="1">
      <alignment horizontal="center"/>
    </xf>
    <xf numFmtId="1" fontId="15" fillId="0" borderId="0" xfId="0" applyNumberFormat="1" applyFont="1" applyAlignment="1">
      <alignment horizontal="center"/>
    </xf>
    <xf numFmtId="44" fontId="15" fillId="0" borderId="0" xfId="2" applyFont="1" applyProtection="1"/>
    <xf numFmtId="165" fontId="15" fillId="0" borderId="0" xfId="2" applyNumberFormat="1" applyFont="1" applyProtection="1"/>
    <xf numFmtId="43" fontId="15" fillId="0" borderId="0" xfId="1" applyFont="1" applyProtection="1"/>
    <xf numFmtId="168" fontId="15" fillId="0" borderId="0" xfId="1" applyNumberFormat="1" applyFont="1" applyProtection="1"/>
    <xf numFmtId="0" fontId="4" fillId="0" borderId="20" xfId="3" applyFont="1" applyBorder="1" applyAlignment="1">
      <alignment wrapText="1"/>
    </xf>
    <xf numFmtId="167" fontId="33" fillId="0" borderId="0" xfId="5" applyNumberFormat="1" applyFont="1" applyFill="1"/>
    <xf numFmtId="0" fontId="6" fillId="5" borderId="0" xfId="0" applyFont="1" applyFill="1"/>
    <xf numFmtId="0" fontId="0" fillId="5" borderId="0" xfId="0" applyFill="1" applyAlignment="1">
      <alignment horizontal="left"/>
    </xf>
    <xf numFmtId="43" fontId="6" fillId="5" borderId="0" xfId="0" applyNumberFormat="1" applyFont="1" applyFill="1"/>
    <xf numFmtId="0" fontId="6" fillId="5" borderId="0" xfId="3" applyFont="1" applyFill="1"/>
    <xf numFmtId="0" fontId="5" fillId="5" borderId="0" xfId="3" applyFill="1"/>
    <xf numFmtId="1" fontId="15" fillId="8" borderId="7" xfId="0" applyNumberFormat="1" applyFont="1" applyFill="1" applyBorder="1" applyAlignment="1">
      <alignment horizontal="center"/>
    </xf>
    <xf numFmtId="0" fontId="10" fillId="0" borderId="0" xfId="7"/>
    <xf numFmtId="0" fontId="36" fillId="0" borderId="0" xfId="0" applyFont="1"/>
    <xf numFmtId="166" fontId="26" fillId="4" borderId="0" xfId="8" applyNumberFormat="1" applyFont="1" applyFill="1" applyProtection="1"/>
    <xf numFmtId="0" fontId="24" fillId="0" borderId="0" xfId="0" applyFont="1" applyAlignment="1">
      <alignment wrapText="1"/>
    </xf>
    <xf numFmtId="0" fontId="10" fillId="0" borderId="0" xfId="7" applyAlignment="1"/>
    <xf numFmtId="0" fontId="15" fillId="0" borderId="0" xfId="0" applyFont="1" applyAlignment="1">
      <alignment horizontal="left" wrapText="1"/>
    </xf>
    <xf numFmtId="0" fontId="23" fillId="0" borderId="0" xfId="0" applyFont="1" applyAlignment="1">
      <alignment horizontal="left" wrapText="1"/>
    </xf>
    <xf numFmtId="0" fontId="15" fillId="0" borderId="0" xfId="0" applyFont="1" applyAlignment="1">
      <alignment horizontal="left" wrapText="1" indent="4"/>
    </xf>
    <xf numFmtId="0" fontId="24" fillId="0" borderId="0" xfId="0" applyFont="1" applyAlignment="1">
      <alignment horizontal="left" wrapText="1"/>
    </xf>
    <xf numFmtId="0" fontId="15" fillId="9" borderId="0" xfId="0" applyFont="1" applyFill="1" applyAlignment="1">
      <alignment horizontal="left" wrapText="1"/>
    </xf>
    <xf numFmtId="0" fontId="23" fillId="5" borderId="0" xfId="0" applyFont="1" applyFill="1" applyAlignment="1">
      <alignment horizontal="left"/>
    </xf>
    <xf numFmtId="0" fontId="23" fillId="4" borderId="0" xfId="0" applyFont="1" applyFill="1" applyAlignment="1">
      <alignment horizontal="center"/>
    </xf>
    <xf numFmtId="0" fontId="21" fillId="0" borderId="0" xfId="0" applyFont="1" applyAlignment="1">
      <alignment horizontal="center"/>
    </xf>
    <xf numFmtId="0" fontId="23" fillId="3" borderId="0" xfId="0" applyFont="1" applyFill="1" applyAlignment="1" applyProtection="1">
      <alignment horizontal="center"/>
      <protection locked="0"/>
    </xf>
    <xf numFmtId="0" fontId="24" fillId="0" borderId="0" xfId="0" applyFont="1" applyAlignment="1">
      <alignment horizontal="left" wrapText="1" indent="2"/>
    </xf>
    <xf numFmtId="0" fontId="25" fillId="6" borderId="0" xfId="0" applyFont="1" applyFill="1" applyAlignment="1">
      <alignment horizontal="left" wrapText="1" indent="2"/>
    </xf>
    <xf numFmtId="0" fontId="24" fillId="0" borderId="0" xfId="0" applyFont="1" applyAlignment="1">
      <alignment horizontal="left" vertical="center" wrapText="1" indent="2"/>
    </xf>
    <xf numFmtId="0" fontId="17" fillId="0" borderId="0" xfId="0" applyFont="1" applyAlignment="1">
      <alignment horizontal="center"/>
    </xf>
    <xf numFmtId="0" fontId="19" fillId="0" borderId="0" xfId="0" applyFont="1" applyAlignment="1">
      <alignment horizontal="left" indent="2"/>
    </xf>
    <xf numFmtId="0" fontId="32" fillId="0" borderId="14" xfId="0" applyFont="1" applyBorder="1" applyAlignment="1">
      <alignment horizontal="center" wrapText="1"/>
    </xf>
    <xf numFmtId="0" fontId="32" fillId="0" borderId="15" xfId="0" applyFont="1" applyBorder="1" applyAlignment="1">
      <alignment horizontal="center" wrapText="1"/>
    </xf>
    <xf numFmtId="0" fontId="15" fillId="0" borderId="4" xfId="0" applyFont="1" applyBorder="1" applyAlignment="1">
      <alignment horizontal="center"/>
    </xf>
    <xf numFmtId="0" fontId="17" fillId="0" borderId="0" xfId="0" applyFont="1" applyAlignment="1">
      <alignment horizontal="left"/>
    </xf>
    <xf numFmtId="0" fontId="15" fillId="0" borderId="0" xfId="0" applyFont="1" applyAlignment="1">
      <alignment horizontal="right" indent="3"/>
    </xf>
    <xf numFmtId="0" fontId="15" fillId="0" borderId="11" xfId="0" applyFont="1" applyBorder="1" applyAlignment="1">
      <alignment horizontal="right" indent="3"/>
    </xf>
    <xf numFmtId="0" fontId="19" fillId="0" borderId="0" xfId="0" applyFont="1" applyAlignment="1">
      <alignment horizontal="right" indent="3"/>
    </xf>
    <xf numFmtId="0" fontId="19" fillId="0" borderId="11" xfId="0" applyFont="1" applyBorder="1" applyAlignment="1">
      <alignment horizontal="right" indent="3"/>
    </xf>
    <xf numFmtId="0" fontId="15" fillId="0" borderId="0" xfId="0" applyFont="1" applyAlignment="1">
      <alignment horizontal="right" wrapText="1" indent="3"/>
    </xf>
    <xf numFmtId="0" fontId="15" fillId="9" borderId="4" xfId="0" applyFont="1" applyFill="1" applyBorder="1" applyAlignment="1">
      <alignment horizontal="center"/>
    </xf>
    <xf numFmtId="169" fontId="15" fillId="0" borderId="5" xfId="0" applyNumberFormat="1" applyFont="1" applyBorder="1" applyAlignment="1">
      <alignment horizontal="center"/>
    </xf>
    <xf numFmtId="0" fontId="15" fillId="5" borderId="6" xfId="0" applyFont="1" applyFill="1" applyBorder="1" applyAlignment="1">
      <alignment horizontal="center"/>
    </xf>
    <xf numFmtId="0" fontId="15" fillId="5" borderId="4" xfId="0" applyFont="1" applyFill="1" applyBorder="1" applyAlignment="1">
      <alignment horizontal="center"/>
    </xf>
    <xf numFmtId="0" fontId="16" fillId="0" borderId="5" xfId="0" applyFont="1" applyBorder="1" applyAlignment="1">
      <alignment horizontal="center" vertical="top"/>
    </xf>
    <xf numFmtId="0" fontId="15" fillId="5" borderId="8" xfId="0" applyFont="1" applyFill="1" applyBorder="1" applyAlignment="1">
      <alignment horizontal="center"/>
    </xf>
    <xf numFmtId="0" fontId="15" fillId="5" borderId="5" xfId="0" applyFont="1" applyFill="1" applyBorder="1" applyAlignment="1">
      <alignment horizontal="center"/>
    </xf>
    <xf numFmtId="0" fontId="15" fillId="5" borderId="9" xfId="0" applyFont="1" applyFill="1" applyBorder="1" applyAlignment="1">
      <alignment horizontal="center"/>
    </xf>
    <xf numFmtId="0" fontId="15" fillId="5" borderId="10" xfId="0" applyFont="1" applyFill="1" applyBorder="1" applyAlignment="1">
      <alignment horizontal="center"/>
    </xf>
    <xf numFmtId="0" fontId="15" fillId="5" borderId="0" xfId="0" applyFont="1" applyFill="1" applyAlignment="1">
      <alignment horizontal="center"/>
    </xf>
    <xf numFmtId="0" fontId="15" fillId="5" borderId="11" xfId="0" applyFont="1" applyFill="1" applyBorder="1" applyAlignment="1">
      <alignment horizontal="center"/>
    </xf>
    <xf numFmtId="0" fontId="15" fillId="5" borderId="12" xfId="0" applyFont="1" applyFill="1" applyBorder="1" applyAlignment="1">
      <alignment horizontal="center"/>
    </xf>
    <xf numFmtId="0" fontId="15" fillId="5" borderId="13" xfId="0" applyFont="1" applyFill="1" applyBorder="1" applyAlignment="1">
      <alignment horizontal="center"/>
    </xf>
    <xf numFmtId="0" fontId="19" fillId="0" borderId="0" xfId="0" applyFont="1" applyAlignment="1">
      <alignment horizontal="center"/>
    </xf>
    <xf numFmtId="41" fontId="37" fillId="0" borderId="0" xfId="6" applyNumberFormat="1" applyFont="1"/>
  </cellXfs>
  <cellStyles count="9">
    <cellStyle name="Comma" xfId="1" builtinId="3"/>
    <cellStyle name="Comma 2" xfId="4" xr:uid="{00000000-0005-0000-0000-000001000000}"/>
    <cellStyle name="Currency" xfId="2" builtinId="4"/>
    <cellStyle name="Hyperlink" xfId="7" builtinId="8"/>
    <cellStyle name="Normal" xfId="0" builtinId="0"/>
    <cellStyle name="Normal 2" xfId="3" xr:uid="{00000000-0005-0000-0000-000005000000}"/>
    <cellStyle name="Normal 23" xfId="6" xr:uid="{00000000-0005-0000-0000-000006000000}"/>
    <cellStyle name="Percent" xfId="8" builtinId="5"/>
    <cellStyle name="Percent 2" xfId="5" xr:uid="{00000000-0005-0000-0000-000008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C00000"/>
      </font>
      <fill>
        <patternFill>
          <bgColor rgb="FFFF7C80"/>
        </patternFill>
      </fill>
    </dxf>
    <dxf>
      <font>
        <b/>
        <i val="0"/>
        <color rgb="FFC00000"/>
      </font>
      <fill>
        <patternFill>
          <bgColor rgb="FFFF7C8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eBallotApprovals@k12.wa.us?subject=Levy%20Pre-Ballot%20Approva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pp.leg.wa.gov/RCW/default.aspx?cite=84.52.0531"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PreBallotApprovals@k12.wa.us?subject=Levy%20Pre-Ballot%20Approval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M61"/>
  <sheetViews>
    <sheetView tabSelected="1" zoomScaleNormal="100" workbookViewId="0"/>
  </sheetViews>
  <sheetFormatPr defaultColWidth="9.28515625" defaultRowHeight="16.5"/>
  <cols>
    <col min="1" max="1" width="12.28515625" style="40" bestFit="1" customWidth="1"/>
    <col min="2" max="12" width="9.28515625" style="40"/>
    <col min="13" max="13" width="10.7109375" style="40" customWidth="1"/>
    <col min="14" max="16384" width="9.28515625" style="40"/>
  </cols>
  <sheetData>
    <row r="1" spans="1:13" ht="26.25">
      <c r="A1" s="105" t="s">
        <v>1075</v>
      </c>
      <c r="B1" s="106"/>
      <c r="C1" s="106"/>
      <c r="D1" s="106"/>
      <c r="E1" s="106"/>
      <c r="F1" s="106"/>
      <c r="G1" s="106"/>
      <c r="H1" s="106"/>
      <c r="I1" s="106"/>
      <c r="J1" s="106"/>
      <c r="K1" s="106"/>
      <c r="L1" s="106"/>
      <c r="M1" s="106"/>
    </row>
    <row r="2" spans="1:13" s="99" customFormat="1" ht="16.5" customHeight="1">
      <c r="A2" s="141" t="s">
        <v>1076</v>
      </c>
      <c r="B2" s="141"/>
      <c r="C2" s="141"/>
      <c r="D2" s="141"/>
      <c r="E2" s="141"/>
      <c r="F2" s="141"/>
      <c r="G2" s="141"/>
      <c r="H2" s="141"/>
      <c r="I2" s="141"/>
      <c r="J2" s="141"/>
      <c r="K2" s="141"/>
      <c r="L2" s="141"/>
      <c r="M2" s="141"/>
    </row>
    <row r="3" spans="1:13" ht="48" customHeight="1">
      <c r="A3" s="142" t="s">
        <v>1077</v>
      </c>
      <c r="B3" s="142"/>
      <c r="C3" s="142"/>
      <c r="D3" s="142"/>
      <c r="E3" s="142"/>
      <c r="F3" s="142"/>
      <c r="G3" s="142"/>
      <c r="H3" s="142"/>
      <c r="I3" s="142"/>
      <c r="J3" s="142"/>
      <c r="K3" s="142"/>
      <c r="L3" s="142"/>
      <c r="M3" s="142"/>
    </row>
    <row r="4" spans="1:13" ht="8.4499999999999993" customHeight="1">
      <c r="A4" s="116"/>
      <c r="B4" s="116"/>
      <c r="C4" s="116"/>
      <c r="D4" s="116"/>
      <c r="E4" s="116"/>
      <c r="F4" s="116"/>
      <c r="G4" s="116"/>
      <c r="H4" s="116"/>
      <c r="I4" s="116"/>
      <c r="J4" s="116"/>
      <c r="K4" s="116"/>
      <c r="L4" s="116"/>
      <c r="M4" s="116"/>
    </row>
    <row r="5" spans="1:13" ht="26.25">
      <c r="A5" s="105" t="s">
        <v>1078</v>
      </c>
      <c r="B5" s="106"/>
      <c r="C5" s="106"/>
      <c r="D5" s="106"/>
      <c r="E5" s="106"/>
      <c r="F5" s="106"/>
      <c r="G5" s="106"/>
      <c r="H5" s="106"/>
      <c r="I5" s="106"/>
      <c r="J5" s="106"/>
      <c r="K5" s="106"/>
      <c r="L5" s="106"/>
      <c r="M5" s="106"/>
    </row>
    <row r="6" spans="1:13" ht="49.15" customHeight="1">
      <c r="A6" s="144" t="s">
        <v>1133</v>
      </c>
      <c r="B6" s="144"/>
      <c r="C6" s="144"/>
      <c r="D6" s="144"/>
      <c r="E6" s="144"/>
      <c r="F6" s="144"/>
      <c r="G6" s="144"/>
      <c r="H6" s="144"/>
      <c r="I6" s="144"/>
      <c r="J6" s="144"/>
      <c r="K6" s="144"/>
      <c r="L6" s="144"/>
      <c r="M6" s="144"/>
    </row>
    <row r="7" spans="1:13" ht="8.4499999999999993" customHeight="1">
      <c r="A7" s="116"/>
      <c r="B7" s="116"/>
      <c r="C7" s="116"/>
      <c r="D7" s="116"/>
      <c r="E7" s="116"/>
      <c r="F7" s="116"/>
      <c r="G7" s="116"/>
      <c r="H7" s="116"/>
      <c r="I7" s="116"/>
      <c r="J7" s="116"/>
      <c r="K7" s="116"/>
      <c r="L7" s="116"/>
      <c r="M7" s="116"/>
    </row>
    <row r="8" spans="1:13" ht="20.25">
      <c r="A8" s="141" t="s">
        <v>1079</v>
      </c>
      <c r="B8" s="141"/>
      <c r="C8" s="141"/>
      <c r="D8" s="141"/>
      <c r="E8" s="141"/>
      <c r="F8" s="141"/>
      <c r="G8" s="141"/>
      <c r="H8" s="141"/>
      <c r="I8" s="141"/>
      <c r="J8" s="141"/>
      <c r="K8" s="141"/>
      <c r="L8" s="141"/>
      <c r="M8" s="141"/>
    </row>
    <row r="9" spans="1:13" ht="8.4499999999999993" customHeight="1">
      <c r="A9" s="116"/>
      <c r="B9" s="116"/>
      <c r="C9" s="116"/>
      <c r="D9" s="116"/>
      <c r="E9" s="116"/>
      <c r="F9" s="116"/>
      <c r="G9" s="116"/>
      <c r="H9" s="116"/>
      <c r="I9" s="116"/>
      <c r="J9" s="116"/>
      <c r="K9" s="116"/>
      <c r="L9" s="116"/>
      <c r="M9" s="116"/>
    </row>
    <row r="10" spans="1:13" ht="33" customHeight="1">
      <c r="A10" s="140" t="s">
        <v>1080</v>
      </c>
      <c r="B10" s="140"/>
      <c r="C10" s="140"/>
      <c r="D10" s="140"/>
      <c r="E10" s="140"/>
      <c r="F10" s="140"/>
      <c r="G10" s="140"/>
      <c r="H10" s="140"/>
      <c r="I10" s="140"/>
      <c r="J10" s="140"/>
      <c r="K10" s="140"/>
      <c r="L10" s="140"/>
      <c r="M10" s="140"/>
    </row>
    <row r="11" spans="1:13" ht="8.4499999999999993" customHeight="1">
      <c r="A11" s="116"/>
      <c r="B11" s="116"/>
      <c r="C11" s="116"/>
      <c r="D11" s="116"/>
      <c r="E11" s="116"/>
      <c r="F11" s="116"/>
      <c r="G11" s="116"/>
      <c r="H11" s="116"/>
      <c r="I11" s="116"/>
      <c r="J11" s="116"/>
      <c r="K11" s="116"/>
      <c r="L11" s="116"/>
      <c r="M11" s="116"/>
    </row>
    <row r="12" spans="1:13" ht="20.25">
      <c r="A12" s="141" t="s">
        <v>1081</v>
      </c>
      <c r="B12" s="141"/>
      <c r="C12" s="141"/>
      <c r="D12" s="141"/>
      <c r="E12" s="141"/>
      <c r="F12" s="141"/>
      <c r="G12" s="141"/>
      <c r="H12" s="141"/>
      <c r="I12" s="141"/>
      <c r="J12" s="141"/>
      <c r="K12" s="141"/>
      <c r="L12" s="141"/>
      <c r="M12" s="141"/>
    </row>
    <row r="13" spans="1:13" ht="8.4499999999999993" customHeight="1">
      <c r="A13" s="116"/>
      <c r="B13" s="116"/>
      <c r="C13" s="116"/>
      <c r="D13" s="116"/>
      <c r="E13" s="116"/>
      <c r="F13" s="116"/>
      <c r="G13" s="116"/>
      <c r="H13" s="116"/>
      <c r="I13" s="116"/>
      <c r="J13" s="116"/>
      <c r="K13" s="116"/>
      <c r="L13" s="116"/>
      <c r="M13" s="116"/>
    </row>
    <row r="14" spans="1:13" ht="17.45" customHeight="1">
      <c r="A14" s="140" t="s">
        <v>1082</v>
      </c>
      <c r="B14" s="140"/>
      <c r="C14" s="140"/>
      <c r="D14" s="140"/>
      <c r="E14" s="140"/>
      <c r="F14" s="140"/>
      <c r="G14" s="140"/>
      <c r="H14" s="140"/>
      <c r="I14" s="140"/>
      <c r="J14" s="140"/>
      <c r="K14" s="140"/>
      <c r="L14" s="140"/>
      <c r="M14" s="140"/>
    </row>
    <row r="15" spans="1:13" ht="34.15" customHeight="1">
      <c r="A15" s="143" t="s">
        <v>1083</v>
      </c>
      <c r="B15" s="143"/>
      <c r="C15" s="143"/>
      <c r="D15" s="143"/>
      <c r="E15" s="143"/>
      <c r="F15" s="143"/>
      <c r="G15" s="143"/>
      <c r="H15" s="143"/>
      <c r="I15" s="143"/>
      <c r="J15" s="143"/>
      <c r="K15" s="143"/>
      <c r="L15" s="143"/>
      <c r="M15" s="143"/>
    </row>
    <row r="16" spans="1:13" ht="8.4499999999999993" customHeight="1">
      <c r="A16" s="116"/>
      <c r="B16" s="116"/>
      <c r="C16" s="116"/>
      <c r="D16" s="116"/>
      <c r="E16" s="116"/>
      <c r="F16" s="116"/>
      <c r="G16" s="116"/>
      <c r="H16" s="116"/>
      <c r="I16" s="116"/>
      <c r="J16" s="116"/>
      <c r="K16" s="116"/>
      <c r="L16" s="116"/>
      <c r="M16" s="116"/>
    </row>
    <row r="17" spans="1:13" ht="17.45" customHeight="1">
      <c r="A17" s="141" t="s">
        <v>1084</v>
      </c>
      <c r="B17" s="141"/>
      <c r="C17" s="141"/>
      <c r="D17" s="141"/>
      <c r="E17" s="141"/>
      <c r="F17" s="141"/>
      <c r="G17" s="141"/>
      <c r="H17" s="141"/>
      <c r="I17" s="141"/>
      <c r="J17" s="141"/>
      <c r="K17" s="141"/>
      <c r="L17" s="141"/>
      <c r="M17" s="141"/>
    </row>
    <row r="18" spans="1:13" ht="8.4499999999999993" customHeight="1">
      <c r="A18" s="116"/>
      <c r="B18" s="116"/>
      <c r="C18" s="116"/>
      <c r="D18" s="116"/>
      <c r="E18" s="116"/>
      <c r="F18" s="116"/>
      <c r="G18" s="116"/>
      <c r="H18" s="116"/>
      <c r="I18" s="116"/>
      <c r="J18" s="116"/>
      <c r="K18" s="116"/>
      <c r="L18" s="116"/>
      <c r="M18" s="116"/>
    </row>
    <row r="19" spans="1:13">
      <c r="A19" s="140" t="s">
        <v>1123</v>
      </c>
      <c r="B19" s="140"/>
      <c r="C19" s="140"/>
      <c r="D19" s="140"/>
      <c r="E19" s="140"/>
      <c r="F19" s="140"/>
      <c r="G19" s="140"/>
      <c r="H19" s="140"/>
      <c r="I19" s="140"/>
      <c r="J19" s="140"/>
      <c r="K19" s="140"/>
      <c r="L19" s="140"/>
      <c r="M19" s="140"/>
    </row>
    <row r="20" spans="1:13" ht="8.4499999999999993" customHeight="1">
      <c r="A20" s="116"/>
      <c r="B20" s="116"/>
      <c r="C20" s="116"/>
      <c r="D20" s="116"/>
      <c r="E20" s="116"/>
      <c r="F20" s="116"/>
      <c r="G20" s="116"/>
      <c r="H20" s="116"/>
      <c r="I20" s="116"/>
      <c r="J20" s="116"/>
      <c r="K20" s="116"/>
      <c r="L20" s="116"/>
      <c r="M20" s="116"/>
    </row>
    <row r="21" spans="1:13" ht="35.25" customHeight="1">
      <c r="A21" s="140" t="s">
        <v>1099</v>
      </c>
      <c r="B21" s="140"/>
      <c r="C21" s="140"/>
      <c r="D21" s="140"/>
      <c r="E21" s="140"/>
      <c r="F21" s="140"/>
      <c r="G21" s="140"/>
      <c r="H21" s="140"/>
      <c r="I21" s="140"/>
      <c r="J21" s="140"/>
      <c r="K21" s="140"/>
      <c r="L21" s="140"/>
      <c r="M21" s="140"/>
    </row>
    <row r="22" spans="1:13" ht="8.4499999999999993" customHeight="1">
      <c r="A22" s="116"/>
      <c r="B22" s="116"/>
      <c r="C22" s="116"/>
      <c r="D22" s="116"/>
      <c r="E22" s="116"/>
      <c r="F22" s="116"/>
      <c r="G22" s="116"/>
      <c r="H22" s="116"/>
      <c r="I22" s="116"/>
      <c r="J22" s="116"/>
      <c r="K22" s="116"/>
      <c r="L22" s="116"/>
      <c r="M22" s="116"/>
    </row>
    <row r="23" spans="1:13" ht="32.25" customHeight="1">
      <c r="A23" s="140" t="s">
        <v>1098</v>
      </c>
      <c r="B23" s="140"/>
      <c r="C23" s="140"/>
      <c r="D23" s="140"/>
      <c r="E23" s="140"/>
      <c r="F23" s="140"/>
      <c r="G23" s="140"/>
      <c r="H23" s="140"/>
      <c r="I23" s="140"/>
      <c r="J23" s="140"/>
      <c r="K23" s="140"/>
      <c r="L23" s="140"/>
      <c r="M23" s="140"/>
    </row>
    <row r="24" spans="1:13" ht="36.6" customHeight="1">
      <c r="A24" s="143" t="s">
        <v>1150</v>
      </c>
      <c r="B24" s="143"/>
      <c r="C24" s="143"/>
      <c r="D24" s="143"/>
      <c r="E24" s="143"/>
      <c r="F24" s="143"/>
      <c r="G24" s="143"/>
      <c r="H24" s="143"/>
      <c r="I24" s="143"/>
      <c r="J24" s="143"/>
      <c r="K24" s="143"/>
      <c r="L24" s="143"/>
      <c r="M24" s="143"/>
    </row>
    <row r="25" spans="1:13" ht="8.4499999999999993" customHeight="1">
      <c r="A25" s="116"/>
      <c r="B25" s="116"/>
      <c r="C25" s="116"/>
      <c r="D25" s="116"/>
      <c r="E25" s="116"/>
      <c r="F25" s="116"/>
      <c r="G25" s="116"/>
      <c r="H25" s="116"/>
      <c r="I25" s="116"/>
      <c r="J25" s="116"/>
      <c r="K25" s="116"/>
      <c r="L25" s="116"/>
      <c r="M25" s="116"/>
    </row>
    <row r="26" spans="1:13" ht="20.25">
      <c r="A26" s="141" t="s">
        <v>1085</v>
      </c>
      <c r="B26" s="141"/>
      <c r="C26" s="141"/>
      <c r="D26" s="141"/>
      <c r="E26" s="141"/>
      <c r="F26" s="141"/>
      <c r="G26" s="141"/>
      <c r="H26" s="141"/>
      <c r="I26" s="141"/>
      <c r="J26" s="141"/>
      <c r="K26" s="141"/>
      <c r="L26" s="141"/>
      <c r="M26" s="141"/>
    </row>
    <row r="27" spans="1:13" ht="8.4499999999999993" customHeight="1">
      <c r="A27" s="116"/>
      <c r="B27" s="116"/>
      <c r="C27" s="116"/>
      <c r="D27" s="116"/>
      <c r="E27" s="116"/>
      <c r="F27" s="116"/>
      <c r="G27" s="116"/>
      <c r="H27" s="116"/>
      <c r="I27" s="116"/>
      <c r="J27" s="116"/>
      <c r="K27" s="116"/>
      <c r="L27" s="116"/>
      <c r="M27" s="116"/>
    </row>
    <row r="28" spans="1:13">
      <c r="A28" s="140" t="s">
        <v>1124</v>
      </c>
      <c r="B28" s="140"/>
      <c r="C28" s="140"/>
      <c r="D28" s="140"/>
      <c r="E28" s="140"/>
      <c r="F28" s="140"/>
      <c r="G28" s="140"/>
      <c r="H28" s="140"/>
      <c r="I28" s="140"/>
      <c r="J28" s="140"/>
      <c r="K28" s="140"/>
      <c r="L28" s="140"/>
      <c r="M28" s="140"/>
    </row>
    <row r="29" spans="1:13">
      <c r="A29" s="143" t="s">
        <v>1149</v>
      </c>
      <c r="B29" s="143"/>
      <c r="C29" s="143"/>
      <c r="D29" s="143"/>
      <c r="E29" s="143"/>
      <c r="F29" s="143"/>
      <c r="G29" s="143"/>
      <c r="H29" s="143"/>
      <c r="I29" s="143"/>
      <c r="J29" s="143"/>
      <c r="K29" s="143"/>
      <c r="L29" s="143"/>
      <c r="M29" s="143"/>
    </row>
    <row r="30" spans="1:13" ht="8.4499999999999993" customHeight="1">
      <c r="A30" s="116"/>
      <c r="B30" s="116"/>
      <c r="C30" s="116"/>
      <c r="D30" s="116"/>
      <c r="E30" s="116"/>
      <c r="F30" s="116"/>
      <c r="G30" s="116"/>
      <c r="H30" s="116"/>
      <c r="I30" s="116"/>
      <c r="J30" s="116"/>
      <c r="K30" s="116"/>
      <c r="L30" s="116"/>
      <c r="M30" s="116"/>
    </row>
    <row r="31" spans="1:13" ht="31.5" customHeight="1">
      <c r="A31" s="140" t="s">
        <v>1125</v>
      </c>
      <c r="B31" s="140"/>
      <c r="C31" s="140"/>
      <c r="D31" s="140"/>
      <c r="E31" s="140"/>
      <c r="F31" s="140"/>
      <c r="G31" s="140"/>
      <c r="H31" s="140"/>
      <c r="I31" s="140"/>
      <c r="J31" s="140"/>
      <c r="K31" s="140"/>
      <c r="L31" s="140"/>
      <c r="M31" s="140"/>
    </row>
    <row r="32" spans="1:13">
      <c r="A32" s="143" t="s">
        <v>1148</v>
      </c>
      <c r="B32" s="143"/>
      <c r="C32" s="143"/>
      <c r="D32" s="143"/>
      <c r="E32" s="143"/>
      <c r="F32" s="143"/>
      <c r="G32" s="143"/>
      <c r="H32" s="143"/>
      <c r="I32" s="143"/>
      <c r="J32" s="143"/>
      <c r="K32" s="143"/>
      <c r="L32" s="143"/>
      <c r="M32" s="143"/>
    </row>
    <row r="33" spans="1:13" ht="8.4499999999999993" customHeight="1">
      <c r="A33" s="116"/>
      <c r="B33" s="116"/>
      <c r="C33" s="116"/>
      <c r="D33" s="116"/>
      <c r="E33" s="116"/>
      <c r="F33" s="116"/>
      <c r="G33" s="116"/>
      <c r="H33" s="116"/>
      <c r="I33" s="116"/>
      <c r="J33" s="116"/>
      <c r="K33" s="116"/>
      <c r="L33" s="116"/>
      <c r="M33" s="116"/>
    </row>
    <row r="34" spans="1:13">
      <c r="A34" s="140" t="s">
        <v>1126</v>
      </c>
      <c r="B34" s="140"/>
      <c r="C34" s="140"/>
      <c r="D34" s="140"/>
      <c r="E34" s="140"/>
      <c r="F34" s="140"/>
      <c r="G34" s="140"/>
      <c r="H34" s="140"/>
      <c r="I34" s="140"/>
      <c r="J34" s="140"/>
      <c r="K34" s="140"/>
      <c r="L34" s="140"/>
      <c r="M34" s="140"/>
    </row>
    <row r="35" spans="1:13">
      <c r="A35" s="143" t="s">
        <v>1147</v>
      </c>
      <c r="B35" s="143"/>
      <c r="C35" s="143"/>
      <c r="D35" s="143"/>
      <c r="E35" s="143"/>
      <c r="F35" s="143"/>
      <c r="G35" s="143"/>
      <c r="H35" s="143"/>
      <c r="I35" s="143"/>
      <c r="J35" s="143"/>
      <c r="K35" s="143"/>
      <c r="L35" s="143"/>
      <c r="M35" s="143"/>
    </row>
    <row r="36" spans="1:13" ht="8.4499999999999993" customHeight="1">
      <c r="A36" s="116"/>
      <c r="B36" s="116"/>
      <c r="C36" s="116"/>
      <c r="D36" s="116"/>
      <c r="E36" s="116"/>
      <c r="F36" s="116"/>
      <c r="G36" s="116"/>
      <c r="H36" s="116"/>
      <c r="I36" s="116"/>
      <c r="J36" s="116"/>
      <c r="K36" s="116"/>
      <c r="L36" s="116"/>
      <c r="M36" s="116"/>
    </row>
    <row r="37" spans="1:13" ht="49.9" customHeight="1">
      <c r="A37" s="140" t="s">
        <v>1127</v>
      </c>
      <c r="B37" s="140"/>
      <c r="C37" s="140"/>
      <c r="D37" s="140"/>
      <c r="E37" s="140"/>
      <c r="F37" s="140"/>
      <c r="G37" s="140"/>
      <c r="H37" s="140"/>
      <c r="I37" s="140"/>
      <c r="J37" s="140"/>
      <c r="K37" s="140"/>
      <c r="L37" s="140"/>
      <c r="M37" s="140"/>
    </row>
    <row r="38" spans="1:13" ht="8.4499999999999993" customHeight="1">
      <c r="A38" s="116"/>
      <c r="B38" s="116"/>
      <c r="C38" s="116"/>
      <c r="D38" s="116"/>
      <c r="E38" s="116"/>
      <c r="F38" s="116"/>
      <c r="G38" s="116"/>
      <c r="H38" s="116"/>
      <c r="I38" s="116"/>
      <c r="J38" s="116"/>
      <c r="K38" s="116"/>
      <c r="L38" s="116"/>
      <c r="M38" s="116"/>
    </row>
    <row r="39" spans="1:13">
      <c r="A39" s="140" t="s">
        <v>1129</v>
      </c>
      <c r="B39" s="140"/>
      <c r="C39" s="140"/>
      <c r="D39" s="140"/>
      <c r="E39" s="140"/>
      <c r="F39" s="140"/>
      <c r="G39" s="140"/>
      <c r="H39" s="140"/>
      <c r="I39" s="140"/>
      <c r="J39" s="140"/>
      <c r="K39" s="140"/>
      <c r="L39" s="140"/>
      <c r="M39" s="140"/>
    </row>
    <row r="40" spans="1:13" ht="8.4499999999999993" customHeight="1">
      <c r="A40" s="116"/>
      <c r="B40" s="116"/>
      <c r="C40" s="116"/>
      <c r="D40" s="116"/>
      <c r="E40" s="116"/>
      <c r="F40" s="116"/>
      <c r="G40" s="116"/>
      <c r="H40" s="116"/>
      <c r="I40" s="116"/>
      <c r="J40" s="116"/>
      <c r="K40" s="116"/>
      <c r="L40" s="116"/>
      <c r="M40" s="116"/>
    </row>
    <row r="41" spans="1:13">
      <c r="A41" s="140" t="s">
        <v>1130</v>
      </c>
      <c r="B41" s="140"/>
      <c r="C41" s="140"/>
      <c r="D41" s="140"/>
      <c r="E41" s="140"/>
      <c r="F41" s="140"/>
      <c r="G41" s="140"/>
      <c r="H41" s="140"/>
      <c r="I41" s="140"/>
      <c r="J41" s="140"/>
      <c r="K41" s="140"/>
      <c r="L41" s="140"/>
      <c r="M41" s="140"/>
    </row>
    <row r="42" spans="1:13" ht="8.4499999999999993" customHeight="1">
      <c r="A42" s="116"/>
      <c r="B42" s="116"/>
      <c r="C42" s="116"/>
      <c r="D42" s="116"/>
      <c r="E42" s="116"/>
      <c r="F42" s="116"/>
      <c r="G42" s="116"/>
      <c r="H42" s="116"/>
      <c r="I42" s="116"/>
      <c r="J42" s="116"/>
      <c r="K42" s="116"/>
      <c r="L42" s="116"/>
      <c r="M42" s="116"/>
    </row>
    <row r="43" spans="1:13" ht="33.6" customHeight="1">
      <c r="A43" s="143" t="s">
        <v>1131</v>
      </c>
      <c r="B43" s="143"/>
      <c r="C43" s="143"/>
      <c r="D43" s="143"/>
      <c r="E43" s="143"/>
      <c r="F43" s="143"/>
      <c r="G43" s="143"/>
      <c r="H43" s="143"/>
      <c r="I43" s="143"/>
      <c r="J43" s="143"/>
      <c r="K43" s="143"/>
      <c r="L43" s="143"/>
      <c r="M43" s="143"/>
    </row>
    <row r="44" spans="1:13" ht="8.4499999999999993" customHeight="1">
      <c r="A44" s="116"/>
      <c r="B44" s="116"/>
      <c r="C44" s="116"/>
      <c r="D44" s="116"/>
      <c r="E44" s="116"/>
      <c r="F44" s="116"/>
      <c r="G44" s="116"/>
      <c r="H44" s="116"/>
      <c r="I44" s="116"/>
      <c r="J44" s="116"/>
      <c r="K44" s="116"/>
      <c r="L44" s="116"/>
      <c r="M44" s="116"/>
    </row>
    <row r="45" spans="1:13" ht="35.25" customHeight="1">
      <c r="A45" s="140" t="s">
        <v>1140</v>
      </c>
      <c r="B45" s="140"/>
      <c r="C45" s="140"/>
      <c r="D45" s="140"/>
      <c r="E45" s="140"/>
      <c r="F45" s="140"/>
      <c r="G45" s="140"/>
      <c r="H45" s="140"/>
      <c r="I45" s="140"/>
      <c r="J45" s="140"/>
      <c r="K45" s="140"/>
      <c r="L45" s="140"/>
      <c r="M45" s="140"/>
    </row>
    <row r="46" spans="1:13" ht="8.4499999999999993" customHeight="1">
      <c r="A46" s="116"/>
      <c r="B46" s="116"/>
      <c r="C46" s="116"/>
      <c r="D46" s="116"/>
      <c r="E46" s="116"/>
      <c r="F46" s="116"/>
      <c r="G46" s="116"/>
      <c r="H46" s="116"/>
      <c r="I46" s="116"/>
      <c r="J46" s="116"/>
      <c r="K46" s="116"/>
      <c r="L46" s="116"/>
      <c r="M46" s="116"/>
    </row>
    <row r="47" spans="1:13" ht="20.25">
      <c r="A47" s="141" t="s">
        <v>1086</v>
      </c>
      <c r="B47" s="141"/>
      <c r="C47" s="141"/>
      <c r="D47" s="141"/>
      <c r="E47" s="141"/>
      <c r="F47" s="141"/>
      <c r="G47" s="141"/>
      <c r="H47" s="141"/>
      <c r="I47" s="141"/>
      <c r="J47" s="141"/>
      <c r="K47" s="141"/>
      <c r="L47" s="141"/>
      <c r="M47" s="141"/>
    </row>
    <row r="48" spans="1:13" ht="8.4499999999999993" customHeight="1">
      <c r="A48" s="116"/>
      <c r="B48" s="116"/>
      <c r="C48" s="116"/>
      <c r="D48" s="116"/>
      <c r="E48" s="116"/>
      <c r="F48" s="116"/>
      <c r="G48" s="116"/>
      <c r="H48" s="116"/>
      <c r="I48" s="116"/>
      <c r="J48" s="116"/>
      <c r="K48" s="116"/>
      <c r="L48" s="116"/>
      <c r="M48" s="116"/>
    </row>
    <row r="49" spans="1:13">
      <c r="A49" s="140" t="s">
        <v>1146</v>
      </c>
      <c r="B49" s="140"/>
      <c r="C49" s="140"/>
      <c r="D49" s="140"/>
      <c r="E49" s="140"/>
      <c r="F49" s="140"/>
      <c r="G49" s="140"/>
      <c r="H49" s="140"/>
      <c r="I49" s="140"/>
      <c r="J49" s="140"/>
      <c r="K49" s="140"/>
      <c r="L49" s="140"/>
      <c r="M49" s="140"/>
    </row>
    <row r="50" spans="1:13" ht="8.4499999999999993" customHeight="1">
      <c r="A50" s="116"/>
      <c r="B50" s="116"/>
      <c r="C50" s="116"/>
      <c r="D50" s="116"/>
      <c r="E50" s="116"/>
      <c r="F50" s="116"/>
      <c r="G50" s="116"/>
      <c r="H50" s="116"/>
      <c r="I50" s="116"/>
      <c r="J50" s="116"/>
      <c r="K50" s="116"/>
      <c r="L50" s="116"/>
      <c r="M50" s="116"/>
    </row>
    <row r="51" spans="1:13">
      <c r="A51" s="140" t="s">
        <v>1087</v>
      </c>
      <c r="B51" s="140"/>
      <c r="C51" s="140"/>
      <c r="D51" s="140"/>
      <c r="E51" s="140"/>
      <c r="F51" s="140"/>
      <c r="G51" s="140"/>
      <c r="H51" s="140"/>
      <c r="I51" s="140"/>
      <c r="J51" s="140"/>
      <c r="K51" s="140"/>
      <c r="L51" s="140"/>
      <c r="M51" s="140"/>
    </row>
    <row r="52" spans="1:13" ht="8.4499999999999993" customHeight="1">
      <c r="A52" s="116"/>
      <c r="B52" s="116"/>
      <c r="C52" s="116"/>
      <c r="D52" s="116"/>
      <c r="E52" s="116"/>
      <c r="F52" s="116"/>
      <c r="G52" s="116"/>
      <c r="H52" s="116"/>
      <c r="I52" s="116"/>
      <c r="J52" s="116"/>
      <c r="K52" s="116"/>
      <c r="L52" s="116"/>
      <c r="M52" s="116"/>
    </row>
    <row r="53" spans="1:13" ht="16.5" customHeight="1">
      <c r="A53" s="69" t="s">
        <v>1073</v>
      </c>
      <c r="B53" s="138"/>
      <c r="C53" s="138"/>
      <c r="D53" s="138"/>
      <c r="E53" s="139" t="s">
        <v>1174</v>
      </c>
      <c r="F53" s="138"/>
      <c r="G53" s="138"/>
      <c r="H53" s="138"/>
      <c r="I53" s="138"/>
      <c r="J53" s="138"/>
      <c r="K53" s="138"/>
      <c r="L53" s="138"/>
      <c r="M53" s="138"/>
    </row>
    <row r="54" spans="1:13" ht="8.4499999999999993" customHeight="1">
      <c r="A54" s="116"/>
      <c r="B54" s="116"/>
      <c r="C54" s="116"/>
      <c r="D54" s="116"/>
      <c r="E54" s="116"/>
      <c r="F54" s="116"/>
      <c r="G54" s="116"/>
      <c r="H54" s="116"/>
      <c r="I54" s="116"/>
      <c r="J54" s="116"/>
      <c r="K54" s="116"/>
      <c r="L54" s="116"/>
      <c r="M54" s="116"/>
    </row>
    <row r="55" spans="1:13" ht="20.25">
      <c r="A55" s="141" t="s">
        <v>1088</v>
      </c>
      <c r="B55" s="141"/>
      <c r="C55" s="141"/>
      <c r="D55" s="141"/>
      <c r="E55" s="141"/>
      <c r="F55" s="141"/>
      <c r="G55" s="141"/>
      <c r="H55" s="141"/>
      <c r="I55" s="141"/>
      <c r="J55" s="141"/>
      <c r="K55" s="141"/>
      <c r="L55" s="141"/>
      <c r="M55" s="141"/>
    </row>
    <row r="56" spans="1:13" ht="8.4499999999999993" customHeight="1">
      <c r="A56" s="116"/>
      <c r="B56" s="116"/>
      <c r="C56" s="116"/>
      <c r="D56" s="116"/>
      <c r="E56" s="116"/>
      <c r="F56" s="116"/>
      <c r="G56" s="116"/>
      <c r="H56" s="116"/>
      <c r="I56" s="116"/>
      <c r="J56" s="116"/>
      <c r="K56" s="116"/>
      <c r="L56" s="116"/>
      <c r="M56" s="116"/>
    </row>
    <row r="57" spans="1:13">
      <c r="A57" s="140" t="s">
        <v>1089</v>
      </c>
      <c r="B57" s="140"/>
      <c r="C57" s="140"/>
      <c r="D57" s="140"/>
      <c r="E57" s="140"/>
      <c r="F57" s="140"/>
      <c r="G57" s="140"/>
      <c r="H57" s="140"/>
      <c r="I57" s="140"/>
      <c r="J57" s="140"/>
      <c r="K57" s="140"/>
      <c r="L57" s="140"/>
      <c r="M57" s="140"/>
    </row>
    <row r="58" spans="1:13">
      <c r="A58" s="143" t="s">
        <v>1090</v>
      </c>
      <c r="B58" s="143"/>
      <c r="C58" s="143"/>
      <c r="D58" s="143"/>
      <c r="E58" s="143"/>
      <c r="F58" s="143"/>
      <c r="G58" s="143"/>
      <c r="H58" s="143"/>
      <c r="I58" s="143"/>
      <c r="J58" s="143"/>
      <c r="K58" s="143"/>
      <c r="L58" s="143"/>
      <c r="M58" s="143"/>
    </row>
    <row r="59" spans="1:13" ht="8.4499999999999993" customHeight="1">
      <c r="A59" s="116"/>
      <c r="B59" s="116"/>
      <c r="C59" s="116"/>
      <c r="D59" s="116"/>
      <c r="E59" s="116"/>
      <c r="F59" s="116"/>
      <c r="G59" s="116"/>
      <c r="H59" s="116"/>
      <c r="I59" s="116"/>
      <c r="J59" s="116"/>
      <c r="K59" s="116"/>
      <c r="L59" s="116"/>
      <c r="M59" s="116"/>
    </row>
    <row r="61" spans="1:13">
      <c r="A61" s="107">
        <v>45609</v>
      </c>
    </row>
  </sheetData>
  <mergeCells count="31">
    <mergeCell ref="A58:M58"/>
    <mergeCell ref="A6:M6"/>
    <mergeCell ref="A35:M35"/>
    <mergeCell ref="A29:M29"/>
    <mergeCell ref="A47:M47"/>
    <mergeCell ref="A49:M49"/>
    <mergeCell ref="A51:M51"/>
    <mergeCell ref="A37:M37"/>
    <mergeCell ref="A55:M55"/>
    <mergeCell ref="A57:M57"/>
    <mergeCell ref="A28:M28"/>
    <mergeCell ref="A34:M34"/>
    <mergeCell ref="A39:M39"/>
    <mergeCell ref="A41:M41"/>
    <mergeCell ref="A43:M43"/>
    <mergeCell ref="A45:M45"/>
    <mergeCell ref="A32:M32"/>
    <mergeCell ref="A23:M23"/>
    <mergeCell ref="A24:M24"/>
    <mergeCell ref="A31:M31"/>
    <mergeCell ref="A19:M19"/>
    <mergeCell ref="A21:M21"/>
    <mergeCell ref="A26:M26"/>
    <mergeCell ref="A2:M2"/>
    <mergeCell ref="A3:M3"/>
    <mergeCell ref="A8:M8"/>
    <mergeCell ref="A10:M10"/>
    <mergeCell ref="A12:M12"/>
    <mergeCell ref="A14:M14"/>
    <mergeCell ref="A15:M15"/>
    <mergeCell ref="A17:M17"/>
  </mergeCells>
  <hyperlinks>
    <hyperlink ref="E53" r:id="rId1" xr:uid="{29090D4A-7F60-425A-907A-553F20004B8E}"/>
  </hyperlinks>
  <pageMargins left="0.7" right="0.7" top="0.75" bottom="0.75" header="0.3" footer="0.3"/>
  <pageSetup scale="6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D75"/>
  <sheetViews>
    <sheetView zoomScaleNormal="100" workbookViewId="0">
      <selection activeCell="C3" sqref="C3:D3"/>
    </sheetView>
  </sheetViews>
  <sheetFormatPr defaultColWidth="9.140625" defaultRowHeight="16.5"/>
  <cols>
    <col min="1" max="1" width="6.28515625" style="40" customWidth="1"/>
    <col min="2" max="2" width="64.85546875" style="40" customWidth="1"/>
    <col min="3" max="6" width="21.7109375" style="40" customWidth="1"/>
    <col min="7" max="7" width="19.85546875" style="40" customWidth="1"/>
    <col min="8" max="9" width="13.28515625" style="40" customWidth="1"/>
    <col min="10" max="16384" width="9.140625" style="40"/>
  </cols>
  <sheetData>
    <row r="1" spans="1:30" ht="20.25">
      <c r="A1" s="64" t="str">
        <f>VLOOKUP($C$3,Data!$B$4:$X$306,22,FALSE)</f>
        <v>14005</v>
      </c>
      <c r="B1" s="147" t="s">
        <v>1151</v>
      </c>
      <c r="C1" s="147"/>
      <c r="D1" s="147"/>
      <c r="E1" s="147"/>
      <c r="F1" s="147"/>
      <c r="G1" s="147"/>
      <c r="H1" s="65"/>
      <c r="I1" s="65"/>
      <c r="J1" s="65"/>
      <c r="K1" s="65"/>
      <c r="L1" s="65"/>
      <c r="M1" s="65"/>
      <c r="N1" s="65"/>
      <c r="O1" s="65"/>
      <c r="P1" s="65"/>
      <c r="Q1" s="65"/>
      <c r="R1" s="65"/>
      <c r="S1" s="65"/>
      <c r="T1" s="65"/>
      <c r="U1" s="65"/>
      <c r="V1" s="65"/>
      <c r="W1" s="65"/>
      <c r="X1" s="65"/>
      <c r="Y1" s="65"/>
      <c r="Z1" s="65"/>
      <c r="AA1" s="65"/>
      <c r="AB1" s="65"/>
      <c r="AC1" s="65"/>
      <c r="AD1" s="65"/>
    </row>
    <row r="2" spans="1:30" ht="10.5" customHeight="1">
      <c r="A2" s="66"/>
      <c r="B2" s="67"/>
      <c r="C2" s="67"/>
      <c r="D2" s="67"/>
      <c r="E2" s="67"/>
      <c r="F2" s="67"/>
      <c r="G2" s="67"/>
      <c r="H2" s="65"/>
      <c r="I2" s="65"/>
      <c r="J2" s="65"/>
      <c r="K2" s="65"/>
      <c r="L2" s="65"/>
      <c r="M2" s="65"/>
      <c r="N2" s="65"/>
      <c r="O2" s="65"/>
      <c r="P2" s="65"/>
      <c r="Q2" s="65"/>
      <c r="R2" s="65"/>
      <c r="S2" s="65"/>
      <c r="T2" s="65"/>
      <c r="U2" s="65"/>
      <c r="V2" s="65"/>
      <c r="W2" s="65"/>
      <c r="X2" s="65"/>
      <c r="Y2" s="65"/>
      <c r="Z2" s="65"/>
      <c r="AA2" s="65"/>
      <c r="AB2" s="65"/>
      <c r="AC2" s="65"/>
      <c r="AD2" s="65"/>
    </row>
    <row r="3" spans="1:30" ht="20.25">
      <c r="B3" s="68" t="s">
        <v>597</v>
      </c>
      <c r="C3" s="148" t="s">
        <v>137</v>
      </c>
      <c r="D3" s="148"/>
      <c r="E3" s="69" t="s">
        <v>639</v>
      </c>
      <c r="F3" s="69"/>
      <c r="G3" s="69"/>
      <c r="H3" s="65"/>
      <c r="I3" s="65"/>
      <c r="J3" s="65"/>
      <c r="K3" s="65"/>
      <c r="L3" s="65"/>
      <c r="M3" s="65"/>
      <c r="N3" s="65"/>
      <c r="O3" s="65"/>
      <c r="P3" s="65"/>
      <c r="Q3" s="65"/>
      <c r="R3" s="65"/>
      <c r="S3" s="65"/>
      <c r="T3" s="65"/>
      <c r="U3" s="65"/>
      <c r="V3" s="65"/>
      <c r="W3" s="65"/>
      <c r="X3" s="65"/>
      <c r="Y3" s="65"/>
      <c r="Z3" s="65"/>
      <c r="AA3" s="65"/>
      <c r="AB3" s="65"/>
      <c r="AC3" s="65"/>
      <c r="AD3" s="65"/>
    </row>
    <row r="4" spans="1:30" ht="12.6" customHeight="1">
      <c r="A4" s="66"/>
      <c r="B4" s="67"/>
      <c r="C4" s="67"/>
      <c r="D4" s="67"/>
      <c r="E4" s="67"/>
      <c r="F4" s="67"/>
      <c r="G4" s="67"/>
      <c r="H4" s="65"/>
      <c r="I4" s="65"/>
      <c r="J4" s="65"/>
      <c r="K4" s="65"/>
      <c r="L4" s="65"/>
      <c r="M4" s="65"/>
      <c r="N4" s="65"/>
      <c r="O4" s="65"/>
      <c r="P4" s="65"/>
      <c r="Q4" s="65"/>
      <c r="R4" s="65"/>
      <c r="S4" s="65"/>
      <c r="T4" s="65"/>
      <c r="U4" s="65"/>
      <c r="V4" s="65"/>
      <c r="W4" s="65"/>
      <c r="X4" s="65"/>
      <c r="Y4" s="65"/>
      <c r="Z4" s="65"/>
      <c r="AA4" s="65"/>
      <c r="AB4" s="65"/>
      <c r="AC4" s="65"/>
      <c r="AD4" s="65"/>
    </row>
    <row r="5" spans="1:30" ht="15" customHeight="1">
      <c r="B5" s="70" t="s">
        <v>638</v>
      </c>
      <c r="C5" s="71"/>
      <c r="D5" s="71"/>
      <c r="H5" s="65"/>
      <c r="I5" s="65"/>
      <c r="J5" s="65"/>
      <c r="K5" s="65"/>
      <c r="L5" s="65"/>
      <c r="M5" s="65"/>
      <c r="N5" s="65"/>
      <c r="O5" s="65"/>
      <c r="P5" s="65"/>
      <c r="Q5" s="65"/>
      <c r="R5" s="65"/>
      <c r="S5" s="65"/>
      <c r="T5" s="65"/>
      <c r="U5" s="65"/>
      <c r="V5" s="65"/>
      <c r="W5" s="65"/>
      <c r="X5" s="65"/>
      <c r="Y5" s="65"/>
      <c r="Z5" s="65"/>
      <c r="AA5" s="65"/>
      <c r="AB5" s="65"/>
      <c r="AC5" s="65"/>
      <c r="AD5" s="65"/>
    </row>
    <row r="6" spans="1:30">
      <c r="B6" s="150" t="s">
        <v>1132</v>
      </c>
      <c r="C6" s="150"/>
      <c r="D6" s="150"/>
      <c r="E6" s="150"/>
      <c r="F6" s="150"/>
      <c r="G6" s="150"/>
      <c r="H6" s="65"/>
      <c r="I6" s="65"/>
      <c r="J6" s="65"/>
      <c r="K6" s="65"/>
      <c r="L6" s="65"/>
      <c r="M6" s="65"/>
      <c r="N6" s="65"/>
      <c r="O6" s="65"/>
      <c r="P6" s="65"/>
      <c r="Q6" s="65"/>
      <c r="R6" s="65"/>
      <c r="S6" s="65"/>
      <c r="T6" s="65"/>
      <c r="U6" s="65"/>
      <c r="V6" s="65"/>
      <c r="W6" s="65"/>
      <c r="X6" s="65"/>
      <c r="Y6" s="65"/>
      <c r="Z6" s="65"/>
      <c r="AA6" s="65"/>
      <c r="AB6" s="65"/>
      <c r="AC6" s="65"/>
      <c r="AD6" s="65"/>
    </row>
    <row r="7" spans="1:30" ht="17.45" customHeight="1">
      <c r="B7" s="72" t="s">
        <v>637</v>
      </c>
      <c r="C7" s="71"/>
      <c r="D7" s="71"/>
      <c r="H7" s="65"/>
      <c r="I7" s="65"/>
      <c r="J7" s="65"/>
      <c r="K7" s="65"/>
      <c r="L7" s="65"/>
      <c r="M7" s="65"/>
      <c r="N7" s="65"/>
      <c r="O7" s="65"/>
      <c r="P7" s="65"/>
      <c r="Q7" s="65"/>
      <c r="R7" s="65"/>
      <c r="S7" s="65"/>
      <c r="T7" s="65"/>
      <c r="U7" s="65"/>
      <c r="V7" s="65"/>
      <c r="W7" s="65"/>
      <c r="X7" s="65"/>
      <c r="Y7" s="65"/>
      <c r="Z7" s="65"/>
      <c r="AA7" s="65"/>
      <c r="AB7" s="65"/>
      <c r="AC7" s="65"/>
      <c r="AD7" s="65"/>
    </row>
    <row r="8" spans="1:30" ht="32.25" customHeight="1">
      <c r="B8" s="149" t="s">
        <v>1171</v>
      </c>
      <c r="C8" s="149"/>
      <c r="D8" s="149"/>
      <c r="E8" s="149"/>
      <c r="F8" s="149"/>
      <c r="G8" s="149"/>
      <c r="H8" s="65"/>
      <c r="I8" s="65"/>
      <c r="J8" s="65"/>
      <c r="K8" s="65"/>
      <c r="L8" s="65"/>
      <c r="M8" s="65"/>
      <c r="N8" s="65"/>
      <c r="O8" s="65"/>
      <c r="P8" s="65"/>
      <c r="Q8" s="65"/>
      <c r="R8" s="65"/>
      <c r="S8" s="65"/>
      <c r="T8" s="65"/>
      <c r="U8" s="65"/>
      <c r="V8" s="65"/>
      <c r="W8" s="65"/>
      <c r="X8" s="65"/>
      <c r="Y8" s="65"/>
      <c r="Z8" s="65"/>
      <c r="AA8" s="65"/>
      <c r="AB8" s="65"/>
      <c r="AC8" s="65"/>
      <c r="AD8" s="65"/>
    </row>
    <row r="9" spans="1:30">
      <c r="B9" s="135" t="s">
        <v>1166</v>
      </c>
      <c r="H9" s="65"/>
      <c r="I9" s="65"/>
      <c r="J9" s="65"/>
      <c r="K9" s="65"/>
      <c r="L9" s="65"/>
      <c r="M9" s="65"/>
      <c r="N9" s="65"/>
      <c r="O9" s="65"/>
      <c r="P9" s="65"/>
      <c r="Q9" s="65"/>
      <c r="R9" s="65"/>
      <c r="S9" s="65"/>
      <c r="T9" s="65"/>
      <c r="U9" s="65"/>
      <c r="V9" s="65"/>
      <c r="W9" s="65"/>
      <c r="X9" s="65"/>
      <c r="Y9" s="65"/>
      <c r="Z9" s="65"/>
      <c r="AA9" s="65"/>
      <c r="AB9" s="65"/>
      <c r="AC9" s="65"/>
      <c r="AD9" s="65"/>
    </row>
    <row r="10" spans="1:30" ht="36" customHeight="1">
      <c r="B10" s="151" t="s">
        <v>1172</v>
      </c>
      <c r="C10" s="151"/>
      <c r="D10" s="151"/>
      <c r="E10" s="151"/>
      <c r="F10" s="151"/>
      <c r="G10" s="151"/>
      <c r="H10" s="65"/>
      <c r="I10" s="65"/>
      <c r="J10" s="65"/>
      <c r="K10" s="65"/>
      <c r="L10" s="65"/>
      <c r="M10" s="65"/>
      <c r="N10" s="65"/>
      <c r="O10" s="65"/>
      <c r="P10" s="65"/>
      <c r="Q10" s="65"/>
      <c r="R10" s="65"/>
      <c r="S10" s="65"/>
      <c r="T10" s="65"/>
      <c r="U10" s="65"/>
      <c r="V10" s="65"/>
      <c r="W10" s="65"/>
      <c r="X10" s="65"/>
      <c r="Y10" s="65"/>
      <c r="Z10" s="65"/>
      <c r="AA10" s="65"/>
      <c r="AB10" s="65"/>
      <c r="AC10" s="65"/>
      <c r="AD10" s="65"/>
    </row>
    <row r="11" spans="1:30">
      <c r="B11" s="72" t="s">
        <v>1173</v>
      </c>
      <c r="H11" s="65"/>
      <c r="I11" s="65"/>
      <c r="J11" s="65"/>
      <c r="K11" s="65"/>
      <c r="L11" s="65"/>
      <c r="M11" s="65"/>
      <c r="N11" s="65"/>
      <c r="O11" s="65"/>
      <c r="P11" s="65"/>
      <c r="Q11" s="65"/>
      <c r="R11" s="65"/>
      <c r="S11" s="65"/>
      <c r="T11" s="65"/>
      <c r="U11" s="65"/>
      <c r="V11" s="65"/>
      <c r="W11" s="65"/>
      <c r="X11" s="65"/>
      <c r="Y11" s="65"/>
      <c r="Z11" s="65"/>
      <c r="AA11" s="65"/>
      <c r="AB11" s="65"/>
      <c r="AC11" s="65"/>
      <c r="AD11" s="65"/>
    </row>
    <row r="12" spans="1:30">
      <c r="B12" s="72" t="s">
        <v>1152</v>
      </c>
      <c r="H12" s="65"/>
      <c r="I12" s="65"/>
      <c r="J12" s="65"/>
      <c r="K12" s="65"/>
      <c r="L12" s="65"/>
      <c r="M12" s="65"/>
      <c r="N12" s="65"/>
      <c r="O12" s="65"/>
      <c r="P12" s="65"/>
      <c r="Q12" s="65"/>
      <c r="R12" s="65"/>
      <c r="S12" s="65"/>
      <c r="T12" s="65"/>
      <c r="U12" s="65"/>
      <c r="V12" s="65"/>
      <c r="W12" s="65"/>
      <c r="X12" s="65"/>
      <c r="Y12" s="65"/>
      <c r="Z12" s="65"/>
      <c r="AA12" s="65"/>
      <c r="AB12" s="65"/>
      <c r="AC12" s="65"/>
      <c r="AD12" s="65"/>
    </row>
    <row r="13" spans="1:30" ht="10.5" customHeight="1">
      <c r="A13" s="66"/>
      <c r="B13" s="67"/>
      <c r="C13" s="67"/>
      <c r="D13" s="67"/>
      <c r="E13" s="67"/>
      <c r="F13" s="67"/>
      <c r="G13" s="67"/>
      <c r="H13" s="65"/>
      <c r="I13" s="65"/>
      <c r="J13" s="65"/>
      <c r="K13" s="65"/>
      <c r="L13" s="65"/>
      <c r="M13" s="65"/>
      <c r="N13" s="65"/>
      <c r="O13" s="65"/>
      <c r="P13" s="65"/>
      <c r="Q13" s="65"/>
      <c r="R13" s="65"/>
      <c r="S13" s="65"/>
      <c r="T13" s="65"/>
      <c r="U13" s="65"/>
      <c r="V13" s="65"/>
      <c r="W13" s="65"/>
      <c r="X13" s="65"/>
      <c r="Y13" s="65"/>
      <c r="Z13" s="65"/>
      <c r="AA13" s="65"/>
      <c r="AB13" s="65"/>
      <c r="AC13" s="65"/>
      <c r="AD13" s="65"/>
    </row>
    <row r="14" spans="1:30" ht="20.25">
      <c r="B14" s="146" t="s">
        <v>591</v>
      </c>
      <c r="C14" s="146"/>
      <c r="D14" s="146"/>
      <c r="E14" s="146"/>
      <c r="F14" s="146"/>
      <c r="G14" s="146"/>
      <c r="H14" s="65"/>
      <c r="I14" s="65"/>
      <c r="J14" s="65"/>
      <c r="K14" s="65"/>
      <c r="L14" s="65"/>
      <c r="M14" s="65"/>
      <c r="N14" s="65"/>
      <c r="O14" s="65"/>
      <c r="P14" s="65"/>
      <c r="Q14" s="65"/>
      <c r="R14" s="65"/>
      <c r="S14" s="65"/>
      <c r="T14" s="65"/>
      <c r="U14" s="65"/>
      <c r="V14" s="65"/>
      <c r="W14" s="65"/>
      <c r="X14" s="65"/>
      <c r="Y14" s="65"/>
      <c r="Z14" s="65"/>
      <c r="AA14" s="65"/>
      <c r="AB14" s="65"/>
      <c r="AC14" s="65"/>
      <c r="AD14" s="65"/>
    </row>
    <row r="15" spans="1:30">
      <c r="B15" s="73" t="s">
        <v>608</v>
      </c>
      <c r="C15" s="50">
        <v>2025</v>
      </c>
      <c r="D15" s="50">
        <f>C15+1</f>
        <v>2026</v>
      </c>
      <c r="E15" s="50">
        <f>D15+1</f>
        <v>2027</v>
      </c>
      <c r="F15" s="50">
        <f>E15+1</f>
        <v>2028</v>
      </c>
      <c r="G15" s="50">
        <f>F15+1</f>
        <v>2029</v>
      </c>
      <c r="H15" s="74"/>
      <c r="I15" s="74"/>
      <c r="J15" s="65"/>
      <c r="K15" s="65"/>
      <c r="L15" s="65"/>
      <c r="M15" s="65"/>
      <c r="N15" s="65"/>
      <c r="O15" s="65"/>
      <c r="P15" s="65"/>
      <c r="Q15" s="65"/>
      <c r="R15" s="65"/>
      <c r="S15" s="65"/>
      <c r="T15" s="65"/>
      <c r="U15" s="65"/>
      <c r="V15" s="65"/>
      <c r="W15" s="65"/>
      <c r="X15" s="65"/>
      <c r="Y15" s="65"/>
      <c r="Z15" s="65"/>
      <c r="AA15" s="65"/>
      <c r="AB15" s="65"/>
      <c r="AC15" s="65"/>
      <c r="AD15" s="65"/>
    </row>
    <row r="16" spans="1:30">
      <c r="A16" s="40" t="s">
        <v>601</v>
      </c>
      <c r="B16" s="40" t="s">
        <v>592</v>
      </c>
      <c r="C16" s="123">
        <f>IFERROR(IF(A1="17001",ROUND(3779.63*(1+(IF(C21=0,C$20,C21))),2),ROUND(3149.69*(1+(IF(C21=0,C$20,C21))),2)),ROUND(3149.69*(1+(IF(C21=0,C$20,C21))),2))</f>
        <v>3247.33</v>
      </c>
      <c r="D16" s="76">
        <f>ROUND(C16*(1+(IF(D21=0,D$20,D21))),2)</f>
        <v>3328.51</v>
      </c>
      <c r="E16" s="76">
        <f t="shared" ref="E16:G16" si="0">ROUND(D16*(1+(IF(E21=0,E$20,E21))),2)</f>
        <v>3405.07</v>
      </c>
      <c r="F16" s="76">
        <f t="shared" si="0"/>
        <v>3483.39</v>
      </c>
      <c r="G16" s="76">
        <f t="shared" si="0"/>
        <v>3563.51</v>
      </c>
      <c r="H16" s="77"/>
      <c r="I16" s="77"/>
      <c r="J16" s="65"/>
      <c r="K16" s="65"/>
      <c r="L16" s="65"/>
      <c r="M16" s="65"/>
      <c r="N16" s="65"/>
      <c r="O16" s="65"/>
      <c r="P16" s="65"/>
      <c r="Q16" s="65"/>
      <c r="R16" s="65"/>
      <c r="S16" s="65"/>
      <c r="T16" s="65"/>
      <c r="U16" s="65"/>
      <c r="V16" s="65"/>
      <c r="W16" s="65"/>
      <c r="X16" s="65"/>
      <c r="Y16" s="65"/>
      <c r="Z16" s="65"/>
      <c r="AA16" s="65"/>
      <c r="AB16" s="65"/>
      <c r="AC16" s="65"/>
      <c r="AD16" s="65"/>
    </row>
    <row r="17" spans="1:30">
      <c r="A17" s="40" t="s">
        <v>602</v>
      </c>
      <c r="B17" s="40" t="s">
        <v>593</v>
      </c>
      <c r="C17" s="123">
        <v>2.5</v>
      </c>
      <c r="D17" s="75">
        <v>2.5</v>
      </c>
      <c r="E17" s="75">
        <v>2.5</v>
      </c>
      <c r="F17" s="75">
        <v>2.5</v>
      </c>
      <c r="G17" s="75">
        <v>2.5</v>
      </c>
      <c r="H17" s="78"/>
      <c r="I17" s="78"/>
      <c r="J17" s="65"/>
      <c r="K17" s="65"/>
      <c r="L17" s="65"/>
      <c r="M17" s="65"/>
      <c r="N17" s="65"/>
      <c r="O17" s="65"/>
      <c r="P17" s="65"/>
      <c r="Q17" s="65"/>
      <c r="R17" s="65"/>
      <c r="S17" s="65"/>
      <c r="T17" s="65"/>
      <c r="U17" s="65"/>
      <c r="V17" s="65"/>
      <c r="W17" s="65"/>
      <c r="X17" s="65"/>
      <c r="Y17" s="65"/>
      <c r="Z17" s="65"/>
      <c r="AA17" s="65"/>
      <c r="AB17" s="65"/>
      <c r="AC17" s="65"/>
      <c r="AD17" s="65"/>
    </row>
    <row r="18" spans="1:30">
      <c r="A18" s="40" t="s">
        <v>603</v>
      </c>
      <c r="B18" s="40" t="s">
        <v>594</v>
      </c>
      <c r="C18" s="76">
        <f>ROUND(1949.11*(1+(IF(C23=0,C$22,C23))),2)</f>
        <v>2023.18</v>
      </c>
      <c r="D18" s="76">
        <f>ROUND(C18*(1+(IF(D23=0,D$22,D23))),2)</f>
        <v>2073.7600000000002</v>
      </c>
      <c r="E18" s="76">
        <f>ROUND(D18*(1+(IF(E23=0,E$22,E23))),2)</f>
        <v>2121.46</v>
      </c>
      <c r="F18" s="76">
        <f>ROUND(E18*(1+(IF(F23=0,F$22,F23))),2)</f>
        <v>2170.25</v>
      </c>
      <c r="G18" s="76">
        <f>ROUND(F18*(1+(IF(G23=0,G$22,G23))),2)</f>
        <v>2220.17</v>
      </c>
      <c r="H18" s="77"/>
      <c r="I18" s="77"/>
      <c r="J18" s="65"/>
      <c r="K18" s="65"/>
      <c r="L18" s="65"/>
      <c r="M18" s="65"/>
      <c r="N18" s="65"/>
      <c r="O18" s="65"/>
      <c r="P18" s="65"/>
      <c r="Q18" s="65"/>
      <c r="R18" s="65"/>
      <c r="S18" s="65"/>
      <c r="T18" s="65"/>
      <c r="U18" s="65"/>
      <c r="V18" s="65"/>
      <c r="W18" s="65"/>
      <c r="X18" s="65"/>
      <c r="Y18" s="65"/>
      <c r="Z18" s="65"/>
      <c r="AA18" s="65"/>
      <c r="AB18" s="65"/>
      <c r="AC18" s="65"/>
      <c r="AD18" s="65"/>
    </row>
    <row r="19" spans="1:30">
      <c r="A19" s="40" t="s">
        <v>604</v>
      </c>
      <c r="B19" s="40" t="s">
        <v>960</v>
      </c>
      <c r="C19" s="123">
        <v>1.5</v>
      </c>
      <c r="D19" s="75">
        <v>1.5</v>
      </c>
      <c r="E19" s="75">
        <v>1.5</v>
      </c>
      <c r="F19" s="75">
        <v>1.5</v>
      </c>
      <c r="G19" s="75">
        <v>1.5</v>
      </c>
      <c r="H19" s="79"/>
      <c r="I19" s="79"/>
      <c r="J19" s="65"/>
      <c r="K19" s="65"/>
      <c r="L19" s="65"/>
      <c r="M19" s="65"/>
      <c r="N19" s="65"/>
      <c r="O19" s="65"/>
      <c r="P19" s="65"/>
      <c r="Q19" s="65"/>
      <c r="R19" s="65"/>
      <c r="S19" s="65"/>
      <c r="T19" s="65"/>
      <c r="U19" s="65"/>
      <c r="V19" s="65"/>
      <c r="W19" s="65"/>
      <c r="X19" s="65"/>
      <c r="Y19" s="65"/>
      <c r="Z19" s="65"/>
      <c r="AA19" s="65"/>
      <c r="AB19" s="65"/>
      <c r="AC19" s="65"/>
      <c r="AD19" s="65"/>
    </row>
    <row r="20" spans="1:30">
      <c r="A20" s="40" t="s">
        <v>1121</v>
      </c>
      <c r="B20" s="40" t="s">
        <v>1167</v>
      </c>
      <c r="C20" s="80">
        <v>3.1E-2</v>
      </c>
      <c r="D20" s="80">
        <v>2.5000000000000001E-2</v>
      </c>
      <c r="E20" s="80">
        <v>2.3E-2</v>
      </c>
      <c r="F20" s="80">
        <v>2.3E-2</v>
      </c>
      <c r="G20" s="80">
        <v>2.3E-2</v>
      </c>
      <c r="H20" s="81"/>
      <c r="I20" s="81"/>
      <c r="J20" s="65"/>
      <c r="K20" s="65"/>
      <c r="L20" s="65"/>
      <c r="M20" s="65"/>
      <c r="N20" s="65"/>
      <c r="O20" s="65"/>
      <c r="P20" s="65"/>
      <c r="Q20" s="65"/>
      <c r="R20" s="65"/>
      <c r="S20" s="65"/>
      <c r="T20" s="65"/>
      <c r="U20" s="65"/>
      <c r="V20" s="65"/>
      <c r="W20" s="65"/>
      <c r="X20" s="65"/>
      <c r="Y20" s="65"/>
      <c r="Z20" s="65"/>
      <c r="AA20" s="65"/>
      <c r="AB20" s="65"/>
      <c r="AC20" s="65"/>
      <c r="AD20" s="65"/>
    </row>
    <row r="21" spans="1:30" s="82" customFormat="1">
      <c r="B21" s="83" t="s">
        <v>988</v>
      </c>
      <c r="C21" s="137"/>
      <c r="D21" s="87"/>
      <c r="E21" s="87"/>
      <c r="F21" s="87"/>
      <c r="G21" s="87"/>
      <c r="H21" s="85"/>
      <c r="I21" s="85"/>
      <c r="J21" s="86"/>
      <c r="K21" s="86"/>
      <c r="L21" s="86"/>
      <c r="M21" s="86"/>
      <c r="N21" s="86"/>
      <c r="O21" s="86"/>
      <c r="P21" s="86"/>
      <c r="Q21" s="86"/>
      <c r="R21" s="86"/>
      <c r="S21" s="86"/>
      <c r="T21" s="86"/>
      <c r="U21" s="86"/>
      <c r="V21" s="86"/>
      <c r="W21" s="86"/>
      <c r="X21" s="86"/>
      <c r="Y21" s="86"/>
      <c r="Z21" s="86"/>
      <c r="AA21" s="86"/>
      <c r="AB21" s="86"/>
      <c r="AC21" s="86"/>
      <c r="AD21" s="86"/>
    </row>
    <row r="22" spans="1:30">
      <c r="A22" s="40" t="s">
        <v>1122</v>
      </c>
      <c r="B22" s="40" t="s">
        <v>1177</v>
      </c>
      <c r="C22" s="80">
        <v>3.7999999999999999E-2</v>
      </c>
      <c r="D22" s="80">
        <v>2.5000000000000001E-2</v>
      </c>
      <c r="E22" s="80">
        <v>2.3E-2</v>
      </c>
      <c r="F22" s="80">
        <f t="shared" ref="D22:G22" si="1">F20</f>
        <v>2.3E-2</v>
      </c>
      <c r="G22" s="80">
        <f t="shared" si="1"/>
        <v>2.3E-2</v>
      </c>
      <c r="H22" s="81"/>
      <c r="I22" s="81"/>
      <c r="J22" s="65"/>
      <c r="K22" s="65"/>
      <c r="L22" s="65"/>
      <c r="M22" s="65"/>
      <c r="N22" s="65"/>
      <c r="O22" s="65"/>
      <c r="P22" s="65"/>
      <c r="Q22" s="65"/>
      <c r="R22" s="65"/>
      <c r="S22" s="65"/>
      <c r="T22" s="65"/>
      <c r="U22" s="65"/>
      <c r="V22" s="65"/>
      <c r="W22" s="65"/>
      <c r="X22" s="65"/>
      <c r="Y22" s="65"/>
      <c r="Z22" s="65"/>
      <c r="AA22" s="65"/>
      <c r="AB22" s="65"/>
      <c r="AC22" s="65"/>
      <c r="AD22" s="65"/>
    </row>
    <row r="23" spans="1:30" s="82" customFormat="1">
      <c r="B23" s="83" t="s">
        <v>989</v>
      </c>
      <c r="C23" s="87"/>
      <c r="D23" s="87"/>
      <c r="E23" s="87"/>
      <c r="F23" s="87"/>
      <c r="G23" s="87"/>
      <c r="H23" s="85"/>
      <c r="I23" s="85"/>
      <c r="J23" s="86"/>
      <c r="K23" s="86"/>
      <c r="L23" s="86"/>
      <c r="M23" s="86"/>
      <c r="N23" s="86"/>
      <c r="O23" s="86"/>
      <c r="P23" s="86"/>
      <c r="Q23" s="86"/>
      <c r="R23" s="86"/>
      <c r="S23" s="86"/>
      <c r="T23" s="86"/>
      <c r="U23" s="86"/>
      <c r="V23" s="86"/>
      <c r="W23" s="86"/>
      <c r="X23" s="86"/>
      <c r="Y23" s="86"/>
      <c r="Z23" s="86"/>
      <c r="AA23" s="86"/>
      <c r="AB23" s="86"/>
      <c r="AC23" s="86"/>
      <c r="AD23" s="86"/>
    </row>
    <row r="24" spans="1:30">
      <c r="A24" s="40" t="s">
        <v>605</v>
      </c>
      <c r="B24" s="40" t="str">
        <f>CONCATENATE(PROPER(C3)," Voter Approved Levy")</f>
        <v>Aberdeen Voter Approved Levy</v>
      </c>
      <c r="C24" s="124">
        <f>IFERROR(VLOOKUP($A$1,'Voter Approved'!$A:$L,MATCH(C$15,'Voter Approved'!1:1,0),FALSE),0)</f>
        <v>5950000</v>
      </c>
      <c r="D24" s="124">
        <f>IFERROR(VLOOKUP($A$1,'Voter Approved'!$A:$L,MATCH(D$15,'Voter Approved'!1:1,0),FALSE),0)</f>
        <v>5950000</v>
      </c>
      <c r="E24" s="124">
        <f>IFERROR(VLOOKUP($A$1,'Voter Approved'!$A:$L,MATCH(E$15,'Voter Approved'!1:1,0),FALSE),0)</f>
        <v>5950000</v>
      </c>
      <c r="F24" s="124">
        <f>IFERROR(VLOOKUP($A$1,'Voter Approved'!$A:$L,MATCH(F$15,'Voter Approved'!1:1,0),FALSE),0)</f>
        <v>5950000</v>
      </c>
      <c r="G24" s="124">
        <f>IFERROR(VLOOKUP($A$1,'Voter Approved'!$A:$L,MATCH(G$15,'Voter Approved'!1:1,0),FALSE),0)</f>
        <v>0</v>
      </c>
      <c r="H24" s="81"/>
      <c r="I24" s="81"/>
      <c r="J24" s="65"/>
      <c r="K24" s="65"/>
      <c r="L24" s="65"/>
      <c r="M24" s="65"/>
      <c r="N24" s="65"/>
      <c r="O24" s="65"/>
      <c r="P24" s="65"/>
      <c r="Q24" s="65"/>
      <c r="R24" s="65"/>
      <c r="S24" s="65"/>
      <c r="T24" s="65"/>
      <c r="U24" s="65"/>
      <c r="V24" s="65"/>
      <c r="W24" s="65"/>
      <c r="X24" s="65"/>
      <c r="Y24" s="65"/>
      <c r="Z24" s="65"/>
      <c r="AA24" s="65"/>
      <c r="AB24" s="65"/>
      <c r="AC24" s="65"/>
      <c r="AD24" s="65"/>
    </row>
    <row r="25" spans="1:30" s="82" customFormat="1">
      <c r="B25" s="83" t="s">
        <v>635</v>
      </c>
      <c r="C25" s="84"/>
      <c r="D25" s="84"/>
      <c r="E25" s="84"/>
      <c r="F25" s="84"/>
      <c r="G25" s="84"/>
      <c r="H25" s="85"/>
      <c r="I25" s="85"/>
      <c r="J25" s="86"/>
      <c r="K25" s="86"/>
      <c r="L25" s="86"/>
      <c r="M25" s="86"/>
      <c r="N25" s="86"/>
      <c r="O25" s="86"/>
      <c r="P25" s="86"/>
      <c r="Q25" s="86"/>
      <c r="R25" s="86"/>
      <c r="S25" s="86"/>
      <c r="T25" s="86"/>
      <c r="U25" s="86"/>
      <c r="V25" s="86"/>
      <c r="W25" s="86"/>
      <c r="X25" s="86"/>
      <c r="Y25" s="86"/>
      <c r="Z25" s="86"/>
      <c r="AA25" s="86"/>
      <c r="AB25" s="86"/>
      <c r="AC25" s="86"/>
      <c r="AD25" s="86"/>
    </row>
    <row r="26" spans="1:30">
      <c r="A26" s="40" t="s">
        <v>1119</v>
      </c>
      <c r="B26" s="40" t="s">
        <v>1153</v>
      </c>
      <c r="C26" s="125">
        <f>VLOOKUP($A$1,enrollment,'District AAFTE'!J$1,FALSE)</f>
        <v>3148.09</v>
      </c>
      <c r="D26" s="89">
        <f>VLOOKUP($A$1,enrollment,'District AAFTE'!K$1,FALSE)</f>
        <v>3202.6504424101649</v>
      </c>
      <c r="E26" s="89">
        <f>VLOOKUP($A$1,enrollment,'District AAFTE'!L$1,FALSE)</f>
        <v>3239.8249600619383</v>
      </c>
      <c r="F26" s="89">
        <f>VLOOKUP($A$1,enrollment,'District AAFTE'!M$1,FALSE)</f>
        <v>3196.7117626131294</v>
      </c>
      <c r="G26" s="89">
        <f>VLOOKUP($A$1,enrollment,'District AAFTE'!N$1,FALSE)</f>
        <v>3228.6788802392607</v>
      </c>
      <c r="H26" s="65"/>
      <c r="I26" s="65"/>
      <c r="J26" s="65"/>
      <c r="K26" s="65"/>
      <c r="L26" s="65"/>
      <c r="M26" s="65"/>
      <c r="N26" s="65"/>
      <c r="O26" s="65"/>
      <c r="P26" s="65"/>
      <c r="Q26" s="65"/>
      <c r="R26" s="65"/>
      <c r="S26" s="65"/>
      <c r="T26" s="65"/>
      <c r="U26" s="65"/>
      <c r="V26" s="65"/>
      <c r="W26" s="65"/>
      <c r="X26" s="65"/>
      <c r="Y26" s="65"/>
      <c r="Z26" s="65"/>
      <c r="AA26" s="65"/>
      <c r="AB26" s="65"/>
      <c r="AC26" s="65"/>
      <c r="AD26" s="65"/>
    </row>
    <row r="27" spans="1:30" s="82" customFormat="1">
      <c r="B27" s="83" t="s">
        <v>607</v>
      </c>
      <c r="C27" s="90"/>
      <c r="D27" s="90"/>
      <c r="E27" s="90"/>
      <c r="F27" s="90"/>
      <c r="G27" s="90"/>
      <c r="H27" s="86"/>
      <c r="I27" s="86"/>
      <c r="J27" s="86"/>
      <c r="K27" s="86"/>
      <c r="L27" s="86"/>
      <c r="M27" s="86"/>
      <c r="N27" s="86"/>
      <c r="O27" s="86"/>
      <c r="P27" s="86"/>
      <c r="Q27" s="86"/>
      <c r="R27" s="86"/>
      <c r="S27" s="86"/>
      <c r="T27" s="86"/>
      <c r="U27" s="86"/>
      <c r="V27" s="86"/>
      <c r="W27" s="86"/>
      <c r="X27" s="86"/>
      <c r="Y27" s="86"/>
      <c r="Z27" s="86"/>
      <c r="AA27" s="86"/>
      <c r="AB27" s="86"/>
      <c r="AC27" s="86"/>
      <c r="AD27" s="86"/>
    </row>
    <row r="28" spans="1:30" s="82" customFormat="1">
      <c r="A28" s="40" t="s">
        <v>1120</v>
      </c>
      <c r="B28" s="40" t="s">
        <v>642</v>
      </c>
      <c r="C28" s="126">
        <f>-VLOOKUP($A$1,enrollment,'District AAFTE'!$H$1,FALSE)+VLOOKUP($A$1,enrollment,'District AAFTE'!$I$1,FALSE)</f>
        <v>-126.34</v>
      </c>
      <c r="D28" s="91">
        <f>-VLOOKUP($A$1,enrollment,'District AAFTE'!$H$1,FALSE)+VLOOKUP($A$1,enrollment,'District AAFTE'!$I$1,FALSE)</f>
        <v>-126.34</v>
      </c>
      <c r="E28" s="91">
        <f>-VLOOKUP($A$1,enrollment,'District AAFTE'!$H$1,FALSE)+VLOOKUP($A$1,enrollment,'District AAFTE'!$I$1,FALSE)</f>
        <v>-126.34</v>
      </c>
      <c r="F28" s="91">
        <f>-VLOOKUP($A$1,enrollment,'District AAFTE'!$H$1,FALSE)+VLOOKUP($A$1,enrollment,'District AAFTE'!$I$1,FALSE)</f>
        <v>-126.34</v>
      </c>
      <c r="G28" s="91">
        <f>-VLOOKUP($A$1,enrollment,'District AAFTE'!$H$1,FALSE)+VLOOKUP($A$1,enrollment,'District AAFTE'!$I$1,FALSE)</f>
        <v>-126.34</v>
      </c>
      <c r="H28" s="86"/>
      <c r="I28" s="86"/>
      <c r="J28" s="86"/>
      <c r="K28" s="86"/>
      <c r="L28" s="86"/>
      <c r="M28" s="86"/>
      <c r="N28" s="86"/>
      <c r="O28" s="86"/>
      <c r="P28" s="86"/>
      <c r="Q28" s="86"/>
      <c r="R28" s="86"/>
      <c r="S28" s="86"/>
      <c r="T28" s="86"/>
      <c r="U28" s="86"/>
      <c r="V28" s="86"/>
      <c r="W28" s="86"/>
      <c r="X28" s="86"/>
      <c r="Y28" s="86"/>
      <c r="Z28" s="86"/>
      <c r="AA28" s="86"/>
      <c r="AB28" s="86"/>
      <c r="AC28" s="86"/>
      <c r="AD28" s="86"/>
    </row>
    <row r="29" spans="1:30" s="82" customFormat="1">
      <c r="B29" s="83" t="s">
        <v>641</v>
      </c>
      <c r="C29" s="90"/>
      <c r="D29" s="90"/>
      <c r="E29" s="90"/>
      <c r="F29" s="90"/>
      <c r="G29" s="90"/>
      <c r="H29" s="86"/>
      <c r="I29" s="86"/>
      <c r="J29" s="86"/>
      <c r="K29" s="86"/>
      <c r="L29" s="86"/>
      <c r="M29" s="86"/>
      <c r="N29" s="86"/>
      <c r="O29" s="86"/>
      <c r="P29" s="86"/>
      <c r="Q29" s="86"/>
      <c r="R29" s="86"/>
      <c r="S29" s="86"/>
      <c r="T29" s="86"/>
      <c r="U29" s="86"/>
      <c r="V29" s="86"/>
      <c r="W29" s="86"/>
      <c r="X29" s="86"/>
      <c r="Y29" s="86"/>
      <c r="Z29" s="86"/>
      <c r="AA29" s="86"/>
      <c r="AB29" s="86"/>
      <c r="AC29" s="86"/>
      <c r="AD29" s="86"/>
    </row>
    <row r="30" spans="1:30">
      <c r="A30" s="40" t="s">
        <v>610</v>
      </c>
      <c r="B30" s="40" t="s">
        <v>598</v>
      </c>
      <c r="C30" s="124">
        <f>VLOOKUP($A$1,Data!$A:$X,MATCH(C$15,Data!1:1,0),FALSE)</f>
        <v>2684028022</v>
      </c>
      <c r="D30" s="88">
        <f>VLOOKUP($A$1,Data!$A:$X,MATCH(D$15,Data!1:1,0),FALSE)</f>
        <v>2966980915</v>
      </c>
      <c r="E30" s="88">
        <f>VLOOKUP($A$1,Data!$A:$X,MATCH(E$15,Data!1:1,0),FALSE)</f>
        <v>3270416200</v>
      </c>
      <c r="F30" s="88">
        <f>VLOOKUP($A$1,Data!$A:$X,MATCH(F$15,Data!1:1,0),FALSE)</f>
        <v>3569643419</v>
      </c>
      <c r="G30" s="88">
        <f>VLOOKUP($A$1,Data!$A:$X,MATCH(G$15,Data!1:1,0),FALSE)</f>
        <v>4010481218</v>
      </c>
      <c r="H30" s="65"/>
      <c r="I30" s="65"/>
      <c r="J30" s="65"/>
      <c r="K30" s="65"/>
      <c r="L30" s="65"/>
      <c r="M30" s="65"/>
      <c r="N30" s="65"/>
      <c r="O30" s="65"/>
      <c r="P30" s="65"/>
      <c r="Q30" s="65"/>
      <c r="R30" s="65"/>
      <c r="S30" s="65"/>
      <c r="T30" s="65"/>
      <c r="U30" s="65"/>
      <c r="V30" s="65"/>
      <c r="W30" s="65"/>
      <c r="X30" s="65"/>
      <c r="Y30" s="65"/>
      <c r="Z30" s="65"/>
      <c r="AA30" s="65"/>
      <c r="AB30" s="65"/>
      <c r="AC30" s="65"/>
      <c r="AD30" s="65"/>
    </row>
    <row r="31" spans="1:30" s="82" customFormat="1">
      <c r="B31" s="83" t="s">
        <v>636</v>
      </c>
      <c r="C31" s="92"/>
      <c r="D31" s="92"/>
      <c r="E31" s="92"/>
      <c r="F31" s="92"/>
      <c r="G31" s="92"/>
      <c r="H31" s="86"/>
      <c r="I31" s="86"/>
      <c r="J31" s="86"/>
      <c r="K31" s="86"/>
      <c r="L31" s="86"/>
      <c r="M31" s="86"/>
      <c r="N31" s="86"/>
      <c r="O31" s="86"/>
      <c r="P31" s="86"/>
      <c r="Q31" s="86"/>
      <c r="R31" s="86"/>
      <c r="S31" s="86"/>
      <c r="T31" s="86"/>
      <c r="U31" s="86"/>
      <c r="V31" s="86"/>
      <c r="W31" s="86"/>
      <c r="X31" s="86"/>
      <c r="Y31" s="86"/>
      <c r="Z31" s="86"/>
      <c r="AA31" s="86"/>
      <c r="AB31" s="86"/>
      <c r="AC31" s="86"/>
      <c r="AD31" s="86"/>
    </row>
    <row r="32" spans="1:30" ht="10.5" customHeight="1">
      <c r="A32" s="66"/>
      <c r="B32" s="67"/>
      <c r="C32" s="67"/>
      <c r="D32" s="67"/>
      <c r="E32" s="67"/>
      <c r="F32" s="67"/>
      <c r="G32" s="67"/>
      <c r="H32" s="65"/>
      <c r="I32" s="65"/>
      <c r="J32" s="65"/>
      <c r="K32" s="65"/>
      <c r="L32" s="65"/>
      <c r="M32" s="65"/>
      <c r="N32" s="65"/>
      <c r="O32" s="65"/>
      <c r="P32" s="65"/>
      <c r="Q32" s="65"/>
      <c r="R32" s="65"/>
      <c r="S32" s="65"/>
      <c r="T32" s="65"/>
      <c r="U32" s="65"/>
      <c r="V32" s="65"/>
      <c r="W32" s="65"/>
      <c r="X32" s="65"/>
      <c r="Y32" s="65"/>
      <c r="Z32" s="65"/>
      <c r="AA32" s="65"/>
      <c r="AB32" s="65"/>
      <c r="AC32" s="65"/>
      <c r="AD32" s="65"/>
    </row>
    <row r="33" spans="1:30" ht="20.25">
      <c r="B33" s="146" t="s">
        <v>600</v>
      </c>
      <c r="C33" s="146"/>
      <c r="D33" s="146"/>
      <c r="E33" s="146"/>
      <c r="F33" s="146"/>
      <c r="G33" s="146"/>
      <c r="H33" s="65"/>
      <c r="I33" s="65"/>
      <c r="J33" s="65"/>
      <c r="K33" s="65"/>
      <c r="L33" s="65"/>
      <c r="M33" s="65"/>
      <c r="N33" s="65"/>
      <c r="O33" s="65"/>
      <c r="P33" s="65"/>
      <c r="Q33" s="65"/>
      <c r="R33" s="65"/>
      <c r="S33" s="65"/>
      <c r="T33" s="65"/>
      <c r="U33" s="65"/>
      <c r="V33" s="65"/>
      <c r="W33" s="65"/>
      <c r="X33" s="65"/>
      <c r="Y33" s="65"/>
      <c r="Z33" s="65"/>
      <c r="AA33" s="65"/>
      <c r="AB33" s="65"/>
      <c r="AC33" s="65"/>
      <c r="AD33" s="65"/>
    </row>
    <row r="34" spans="1:30">
      <c r="B34" s="73" t="s">
        <v>608</v>
      </c>
      <c r="C34" s="50">
        <f>C15</f>
        <v>2025</v>
      </c>
      <c r="D34" s="50">
        <f>D15</f>
        <v>2026</v>
      </c>
      <c r="E34" s="50">
        <f>E15</f>
        <v>2027</v>
      </c>
      <c r="F34" s="50">
        <f>F15</f>
        <v>2028</v>
      </c>
      <c r="G34" s="50">
        <f>G15</f>
        <v>2029</v>
      </c>
      <c r="H34" s="65"/>
      <c r="I34" s="65"/>
      <c r="J34" s="65"/>
      <c r="K34" s="65"/>
      <c r="L34" s="65"/>
      <c r="M34" s="65"/>
      <c r="N34" s="65"/>
      <c r="O34" s="65"/>
      <c r="P34" s="65"/>
      <c r="Q34" s="65"/>
      <c r="R34" s="65"/>
      <c r="S34" s="65"/>
      <c r="T34" s="65"/>
      <c r="U34" s="65"/>
      <c r="V34" s="65"/>
      <c r="W34" s="65"/>
      <c r="X34" s="65"/>
      <c r="Y34" s="65"/>
      <c r="Z34" s="65"/>
      <c r="AA34" s="65"/>
      <c r="AB34" s="65"/>
      <c r="AC34" s="65"/>
      <c r="AD34" s="65"/>
    </row>
    <row r="35" spans="1:30">
      <c r="A35" s="40" t="s">
        <v>611</v>
      </c>
      <c r="B35" s="110" t="s">
        <v>1115</v>
      </c>
      <c r="C35" s="89">
        <f>IF(C27=0,C26,C27)+IF(C29=0,C28,C29)</f>
        <v>3021.75</v>
      </c>
      <c r="D35" s="89">
        <f>IF(D27=0,D26,D27)+IF(D29=0,D28,D29)</f>
        <v>3076.3104424101648</v>
      </c>
      <c r="E35" s="89">
        <f>IF(E27=0,E26,E27)+IF(E29=0,E28,E29)</f>
        <v>3113.4849600619382</v>
      </c>
      <c r="F35" s="89">
        <f>IF(F27=0,F26,F27)+IF(F29=0,F28,F29)</f>
        <v>3070.3717626131292</v>
      </c>
      <c r="G35" s="89">
        <f>IF(G27=0,G26,G27)+IF(G29=0,G28,G29)</f>
        <v>3102.3388802392606</v>
      </c>
      <c r="H35" s="65"/>
      <c r="I35" s="65"/>
      <c r="J35" s="93"/>
      <c r="K35" s="65"/>
      <c r="L35" s="65"/>
      <c r="M35" s="65"/>
      <c r="N35" s="65"/>
      <c r="O35" s="65"/>
      <c r="P35" s="65"/>
      <c r="Q35" s="65"/>
      <c r="R35" s="65"/>
      <c r="S35" s="65"/>
      <c r="T35" s="65"/>
      <c r="U35" s="65"/>
      <c r="V35" s="65"/>
      <c r="W35" s="65"/>
      <c r="X35" s="65"/>
      <c r="Y35" s="65"/>
      <c r="Z35" s="65"/>
      <c r="AA35" s="65"/>
      <c r="AB35" s="65"/>
      <c r="AC35" s="65"/>
      <c r="AD35" s="65"/>
    </row>
    <row r="36" spans="1:30">
      <c r="A36" s="40" t="s">
        <v>612</v>
      </c>
      <c r="B36" s="40" t="s">
        <v>1064</v>
      </c>
      <c r="C36" s="88">
        <f>IF(C31=0,C30*C17/1000,C31*C17/1000)</f>
        <v>6710070.0549999997</v>
      </c>
      <c r="D36" s="88">
        <f>IF(D31=0,D30*D17/1000,D31*D17/1000)</f>
        <v>7417452.2874999996</v>
      </c>
      <c r="E36" s="88">
        <f>IF(E31=0,E30*E17/1000,E31*E17/1000)</f>
        <v>8176040.5</v>
      </c>
      <c r="F36" s="88">
        <f>IF(F31=0,F30*F17/1000,F31*F17/1000)</f>
        <v>8924108.5474999994</v>
      </c>
      <c r="G36" s="88">
        <f>IF(G31=0,G30*G17/1000,G31*G17/1000)</f>
        <v>10026203.045</v>
      </c>
      <c r="H36" s="65"/>
      <c r="I36" s="65"/>
      <c r="J36" s="65"/>
      <c r="K36" s="65"/>
      <c r="L36" s="65"/>
      <c r="M36" s="65"/>
      <c r="N36" s="65"/>
      <c r="O36" s="65"/>
      <c r="P36" s="65"/>
      <c r="Q36" s="65"/>
      <c r="R36" s="65"/>
      <c r="S36" s="65"/>
      <c r="T36" s="65"/>
      <c r="U36" s="65"/>
      <c r="V36" s="65"/>
      <c r="W36" s="65"/>
      <c r="X36" s="65"/>
      <c r="Y36" s="65"/>
      <c r="Z36" s="65"/>
      <c r="AA36" s="65"/>
      <c r="AB36" s="65"/>
      <c r="AC36" s="65"/>
      <c r="AD36" s="65"/>
    </row>
    <row r="37" spans="1:30">
      <c r="A37" s="40" t="s">
        <v>613</v>
      </c>
      <c r="B37" s="40" t="s">
        <v>1065</v>
      </c>
      <c r="C37" s="88">
        <f>C35*C16</f>
        <v>9812619.4275000002</v>
      </c>
      <c r="D37" s="88">
        <f>D35*D16</f>
        <v>10239530.070666658</v>
      </c>
      <c r="E37" s="88">
        <f>E35*E16</f>
        <v>10601634.232958104</v>
      </c>
      <c r="F37" s="88">
        <f>F35*F16</f>
        <v>10695302.294168947</v>
      </c>
      <c r="G37" s="88">
        <f>G35*G16</f>
        <v>11055215.623121409</v>
      </c>
      <c r="H37" s="65"/>
      <c r="I37" s="65"/>
      <c r="J37" s="65"/>
      <c r="K37" s="65"/>
      <c r="L37" s="65"/>
      <c r="M37" s="65"/>
      <c r="N37" s="65"/>
      <c r="O37" s="65"/>
      <c r="P37" s="65"/>
      <c r="Q37" s="65"/>
      <c r="R37" s="65"/>
      <c r="S37" s="65"/>
      <c r="T37" s="65"/>
      <c r="U37" s="65"/>
      <c r="V37" s="65"/>
      <c r="W37" s="65"/>
      <c r="X37" s="65"/>
      <c r="Y37" s="65"/>
      <c r="Z37" s="65"/>
      <c r="AA37" s="65"/>
      <c r="AB37" s="65"/>
      <c r="AC37" s="65"/>
      <c r="AD37" s="65"/>
    </row>
    <row r="38" spans="1:30">
      <c r="A38" s="40" t="s">
        <v>626</v>
      </c>
      <c r="B38" s="40" t="s">
        <v>1066</v>
      </c>
      <c r="C38" s="88">
        <f>MIN(C36,C37)</f>
        <v>6710070.0549999997</v>
      </c>
      <c r="D38" s="88">
        <f t="shared" ref="D38:G38" si="2">MIN(D36,D37)</f>
        <v>7417452.2874999996</v>
      </c>
      <c r="E38" s="88">
        <f>MIN(E36,E37)</f>
        <v>8176040.5</v>
      </c>
      <c r="F38" s="88">
        <f>MIN(F36,F37)</f>
        <v>8924108.5474999994</v>
      </c>
      <c r="G38" s="88">
        <f t="shared" si="2"/>
        <v>10026203.045</v>
      </c>
      <c r="H38" s="65"/>
      <c r="I38" s="65"/>
      <c r="J38" s="65"/>
      <c r="K38" s="65"/>
      <c r="L38" s="65"/>
      <c r="M38" s="65"/>
      <c r="N38" s="65"/>
      <c r="O38" s="65"/>
      <c r="P38" s="65"/>
      <c r="Q38" s="65"/>
      <c r="R38" s="65"/>
      <c r="S38" s="65"/>
      <c r="T38" s="65"/>
      <c r="U38" s="65"/>
      <c r="V38" s="65"/>
      <c r="W38" s="65"/>
      <c r="X38" s="65"/>
      <c r="Y38" s="65"/>
      <c r="Z38" s="65"/>
      <c r="AA38" s="65"/>
      <c r="AB38" s="65"/>
      <c r="AC38" s="65"/>
      <c r="AD38" s="65"/>
    </row>
    <row r="39" spans="1:30">
      <c r="A39" s="40" t="s">
        <v>614</v>
      </c>
      <c r="B39" s="40" t="s">
        <v>1067</v>
      </c>
      <c r="C39" s="88">
        <f>IF(C38&lt;C47,C47-C38,0)</f>
        <v>0</v>
      </c>
      <c r="D39" s="88">
        <f t="shared" ref="D39:G39" si="3">IF(D38&lt;D47,D47-D38,0)</f>
        <v>0</v>
      </c>
      <c r="E39" s="88">
        <f t="shared" si="3"/>
        <v>0</v>
      </c>
      <c r="F39" s="88">
        <f>IF(F38&lt;F47,F47-F38,0)</f>
        <v>0</v>
      </c>
      <c r="G39" s="88">
        <f t="shared" si="3"/>
        <v>0</v>
      </c>
      <c r="H39" s="65"/>
      <c r="I39" s="65"/>
      <c r="J39" s="65"/>
      <c r="K39" s="65"/>
      <c r="L39" s="65"/>
      <c r="M39" s="65"/>
      <c r="N39" s="65"/>
      <c r="O39" s="65"/>
      <c r="P39" s="65"/>
      <c r="Q39" s="65"/>
      <c r="R39" s="65"/>
      <c r="S39" s="65"/>
      <c r="T39" s="65"/>
      <c r="U39" s="65"/>
      <c r="V39" s="65"/>
      <c r="W39" s="65"/>
      <c r="X39" s="65"/>
      <c r="Y39" s="65"/>
      <c r="Z39" s="65"/>
      <c r="AA39" s="65"/>
      <c r="AB39" s="65"/>
      <c r="AC39" s="65"/>
      <c r="AD39" s="65"/>
    </row>
    <row r="40" spans="1:30" ht="17.25">
      <c r="A40" s="40" t="s">
        <v>627</v>
      </c>
      <c r="B40" s="94" t="s">
        <v>616</v>
      </c>
      <c r="C40" s="95">
        <f>IF(C25=0,IF(C38&lt;C24,C38,C24),IF(C38&lt;C25,C38,C25))</f>
        <v>5950000</v>
      </c>
      <c r="D40" s="95">
        <f>IF(D25=0,IF(D38&lt;D24,D38,D24),IF(D38&lt;D25,D38,D25))</f>
        <v>5950000</v>
      </c>
      <c r="E40" s="95">
        <f>IF(E25=0,IF(E38&lt;E24,E38,E24),IF(E38&lt;E25,E38,E25))</f>
        <v>5950000</v>
      </c>
      <c r="F40" s="95">
        <f>IF(F25=0,IF(F38&lt;F24,F38,F24),IF(F38&lt;F25,F38,F25))</f>
        <v>5950000</v>
      </c>
      <c r="G40" s="95">
        <f>IF(G25=0,IF(G38&lt;G24,G38,G24),IF(G38&lt;G25,G38,G25))</f>
        <v>0</v>
      </c>
      <c r="H40" s="65"/>
      <c r="I40" s="65"/>
      <c r="J40" s="65"/>
      <c r="K40" s="65"/>
      <c r="L40" s="65"/>
      <c r="M40" s="65"/>
      <c r="N40" s="65"/>
      <c r="O40" s="65"/>
      <c r="P40" s="65"/>
      <c r="Q40" s="65"/>
      <c r="R40" s="65"/>
      <c r="S40" s="65"/>
      <c r="T40" s="65"/>
      <c r="U40" s="65"/>
      <c r="V40" s="65"/>
      <c r="W40" s="65"/>
      <c r="X40" s="65"/>
      <c r="Y40" s="65"/>
      <c r="Z40" s="65"/>
      <c r="AA40" s="65"/>
      <c r="AB40" s="65"/>
      <c r="AC40" s="65"/>
      <c r="AD40" s="65"/>
    </row>
    <row r="41" spans="1:30">
      <c r="B41" s="40" t="s">
        <v>1112</v>
      </c>
      <c r="C41" s="75">
        <f>IFERROR(IF(C31=0,ROUND(C38/C30*1000,2),ROUND(C47/C31*1000,2)),0)</f>
        <v>2.5</v>
      </c>
      <c r="D41" s="75">
        <f t="shared" ref="D41:G41" si="4">IFERROR(IF(D31=0,ROUND(D38/D30*1000,2),ROUND(D47/D31*1000,2)),0)</f>
        <v>2.5</v>
      </c>
      <c r="E41" s="75">
        <f t="shared" si="4"/>
        <v>2.5</v>
      </c>
      <c r="F41" s="75">
        <f t="shared" si="4"/>
        <v>2.5</v>
      </c>
      <c r="G41" s="75">
        <f t="shared" si="4"/>
        <v>2.5</v>
      </c>
      <c r="H41" s="65"/>
      <c r="I41" s="65"/>
      <c r="J41" s="65"/>
      <c r="K41" s="65"/>
      <c r="L41" s="65"/>
      <c r="M41" s="65"/>
      <c r="N41" s="65"/>
      <c r="O41" s="65"/>
      <c r="P41" s="65"/>
      <c r="Q41" s="65"/>
      <c r="R41" s="65"/>
      <c r="S41" s="65"/>
      <c r="T41" s="65"/>
      <c r="U41" s="65"/>
      <c r="V41" s="65"/>
      <c r="W41" s="65"/>
      <c r="X41" s="65"/>
      <c r="Y41" s="65"/>
      <c r="Z41" s="65"/>
      <c r="AA41" s="65"/>
      <c r="AB41" s="65"/>
      <c r="AC41" s="65"/>
      <c r="AD41" s="65"/>
    </row>
    <row r="42" spans="1:30" ht="9.6" customHeight="1">
      <c r="B42" s="67"/>
      <c r="C42" s="121"/>
      <c r="D42" s="121"/>
      <c r="E42" s="121"/>
      <c r="F42" s="121"/>
      <c r="G42" s="121"/>
      <c r="H42" s="65"/>
      <c r="I42" s="65"/>
      <c r="J42" s="65"/>
      <c r="K42" s="65"/>
      <c r="L42" s="65"/>
      <c r="M42" s="65"/>
      <c r="N42" s="65"/>
      <c r="O42" s="65"/>
      <c r="P42" s="65"/>
      <c r="Q42" s="65"/>
      <c r="R42" s="65"/>
      <c r="S42" s="65"/>
      <c r="T42" s="65"/>
      <c r="U42" s="65"/>
      <c r="V42" s="65"/>
      <c r="W42" s="65"/>
      <c r="X42" s="65"/>
      <c r="Y42" s="65"/>
      <c r="Z42" s="65"/>
      <c r="AA42" s="65"/>
      <c r="AB42" s="65"/>
      <c r="AC42" s="65"/>
      <c r="AD42" s="65"/>
    </row>
    <row r="43" spans="1:30" ht="20.25">
      <c r="A43" s="66"/>
      <c r="B43" s="146" t="s">
        <v>609</v>
      </c>
      <c r="C43" s="146"/>
      <c r="D43" s="146"/>
      <c r="E43" s="146"/>
      <c r="F43" s="146"/>
      <c r="G43" s="146"/>
      <c r="H43" s="65"/>
      <c r="I43" s="65"/>
      <c r="J43" s="65"/>
      <c r="K43" s="65"/>
      <c r="L43" s="65"/>
      <c r="M43" s="65"/>
      <c r="N43" s="65"/>
      <c r="O43" s="65"/>
      <c r="P43" s="65"/>
      <c r="Q43" s="65"/>
      <c r="R43" s="65"/>
      <c r="S43" s="65"/>
      <c r="T43" s="65"/>
      <c r="U43" s="65"/>
      <c r="V43" s="65"/>
      <c r="W43" s="65"/>
      <c r="X43" s="65"/>
      <c r="Y43" s="65"/>
      <c r="Z43" s="65"/>
      <c r="AA43" s="65"/>
      <c r="AB43" s="65"/>
      <c r="AC43" s="65"/>
      <c r="AD43" s="65"/>
    </row>
    <row r="44" spans="1:30">
      <c r="B44" s="73" t="s">
        <v>608</v>
      </c>
      <c r="C44" s="50">
        <f>C34</f>
        <v>2025</v>
      </c>
      <c r="D44" s="50">
        <f>D34</f>
        <v>2026</v>
      </c>
      <c r="E44" s="50">
        <f>E34</f>
        <v>2027</v>
      </c>
      <c r="F44" s="50">
        <f>F34</f>
        <v>2028</v>
      </c>
      <c r="G44" s="50">
        <f>G34</f>
        <v>2029</v>
      </c>
      <c r="H44" s="65"/>
      <c r="I44" s="65"/>
      <c r="J44" s="65"/>
      <c r="K44" s="65"/>
      <c r="L44" s="65"/>
      <c r="M44" s="65"/>
      <c r="N44" s="65"/>
      <c r="O44" s="65"/>
      <c r="P44" s="65"/>
      <c r="Q44" s="65"/>
      <c r="R44" s="65"/>
      <c r="S44" s="65"/>
      <c r="T44" s="65"/>
      <c r="U44" s="65"/>
      <c r="V44" s="65"/>
      <c r="W44" s="65"/>
      <c r="X44" s="65"/>
      <c r="Y44" s="65"/>
      <c r="Z44" s="65"/>
      <c r="AA44" s="65"/>
      <c r="AB44" s="65"/>
      <c r="AC44" s="65"/>
      <c r="AD44" s="65"/>
    </row>
    <row r="45" spans="1:30">
      <c r="A45" s="40" t="s">
        <v>628</v>
      </c>
      <c r="B45" s="110" t="s">
        <v>1116</v>
      </c>
      <c r="C45" s="88">
        <f>IF(C31=0,((C30*C19/1000)/C35),((C31*C19/1000)/C35))</f>
        <v>1332.3544413005709</v>
      </c>
      <c r="D45" s="88">
        <f>IF(D31=0,((D30*D19/1000)/D35),((D31*D19/1000)/D35))</f>
        <v>1446.6912412822794</v>
      </c>
      <c r="E45" s="88">
        <f>IF(E31=0,((E30*E19/1000)/E35),((E31*E19/1000)/E35))</f>
        <v>1575.6055876057321</v>
      </c>
      <c r="F45" s="88">
        <f>IF(F31=0,((F30*F19/1000)/F35),((F31*F19/1000)/F35))</f>
        <v>1743.9142691772693</v>
      </c>
      <c r="G45" s="88">
        <f>IF(G31=0,((G30*G19/1000)/G35),((G31*G19/1000)/G35))</f>
        <v>1939.0924264650455</v>
      </c>
      <c r="H45" s="65"/>
      <c r="I45" s="65"/>
      <c r="J45" s="65"/>
      <c r="K45" s="65"/>
      <c r="L45" s="65"/>
      <c r="M45" s="65"/>
      <c r="N45" s="65"/>
      <c r="O45" s="65"/>
      <c r="P45" s="65"/>
      <c r="Q45" s="65"/>
      <c r="R45" s="65"/>
      <c r="S45" s="65"/>
      <c r="T45" s="65"/>
      <c r="U45" s="65"/>
      <c r="V45" s="65"/>
      <c r="W45" s="65"/>
      <c r="X45" s="65"/>
      <c r="Y45" s="65"/>
      <c r="Z45" s="65"/>
      <c r="AA45" s="65"/>
      <c r="AB45" s="65"/>
      <c r="AC45" s="65"/>
      <c r="AD45" s="65"/>
    </row>
    <row r="46" spans="1:30">
      <c r="A46" s="40" t="s">
        <v>629</v>
      </c>
      <c r="B46" s="40" t="s">
        <v>1068</v>
      </c>
      <c r="C46" s="88">
        <f>IF(C45&lt;C$18,C$18-C45,0)</f>
        <v>690.82555869942917</v>
      </c>
      <c r="D46" s="88">
        <f>IF(D45&lt;D$18,D$18-D45,0)</f>
        <v>627.06875871772081</v>
      </c>
      <c r="E46" s="88">
        <f>IF(E45&lt;E$18,E$18-E45,0)</f>
        <v>545.85441239426791</v>
      </c>
      <c r="F46" s="88">
        <f t="shared" ref="F46" si="5">IF(F45&lt;F$18,F$18-F45,0)</f>
        <v>426.33573082273074</v>
      </c>
      <c r="G46" s="88">
        <f t="shared" ref="G46" si="6">IF(G45&lt;G$18,G$18-G45,0)</f>
        <v>281.07757353495458</v>
      </c>
      <c r="H46" s="65"/>
      <c r="I46" s="65"/>
      <c r="J46" s="65"/>
      <c r="K46" s="65"/>
      <c r="L46" s="65"/>
      <c r="M46" s="65"/>
      <c r="N46" s="65"/>
      <c r="O46" s="65"/>
      <c r="P46" s="65"/>
      <c r="Q46" s="65"/>
      <c r="R46" s="65"/>
      <c r="S46" s="65"/>
      <c r="T46" s="65"/>
      <c r="U46" s="65"/>
      <c r="V46" s="65"/>
      <c r="W46" s="65"/>
      <c r="X46" s="65"/>
      <c r="Y46" s="65"/>
      <c r="Z46" s="65"/>
      <c r="AA46" s="65"/>
      <c r="AB46" s="65"/>
      <c r="AC46" s="65"/>
      <c r="AD46" s="65"/>
    </row>
    <row r="47" spans="1:30">
      <c r="A47" s="40" t="s">
        <v>630</v>
      </c>
      <c r="B47" s="40" t="s">
        <v>1069</v>
      </c>
      <c r="C47" s="88">
        <f>IF(C25=0,C24,C25)</f>
        <v>5950000</v>
      </c>
      <c r="D47" s="96">
        <f>IF(D25=0,D24,D25)</f>
        <v>5950000</v>
      </c>
      <c r="E47" s="96">
        <f>IF(E25=0,E24,E25)</f>
        <v>5950000</v>
      </c>
      <c r="F47" s="96">
        <f>IF(F25=0,F24,F25)</f>
        <v>5950000</v>
      </c>
      <c r="G47" s="96">
        <f>IF(G25=0,G24,G25)</f>
        <v>0</v>
      </c>
      <c r="H47" s="65"/>
      <c r="I47" s="65"/>
      <c r="J47" s="65"/>
      <c r="K47" s="65"/>
      <c r="L47" s="65"/>
      <c r="M47" s="65"/>
      <c r="N47" s="65"/>
      <c r="O47" s="65"/>
      <c r="P47" s="65"/>
      <c r="Q47" s="65"/>
      <c r="R47" s="65"/>
      <c r="S47" s="65"/>
      <c r="T47" s="65"/>
      <c r="U47" s="65"/>
      <c r="V47" s="65"/>
      <c r="W47" s="65"/>
      <c r="X47" s="65"/>
      <c r="Y47" s="65"/>
      <c r="Z47" s="65"/>
      <c r="AA47" s="65"/>
      <c r="AB47" s="65"/>
      <c r="AC47" s="65"/>
      <c r="AD47" s="65"/>
    </row>
    <row r="48" spans="1:30">
      <c r="A48" s="40" t="s">
        <v>625</v>
      </c>
      <c r="B48" s="40" t="s">
        <v>1070</v>
      </c>
      <c r="C48" s="75">
        <f>IFERROR(IF(C31=0,ROUND(C47/C30*1000,2),ROUND(C47/C31*1000,2)),0)</f>
        <v>2.2200000000000002</v>
      </c>
      <c r="D48" s="75">
        <f>IFERROR(IF(D31=0,ROUND(D47/D30*1000,2),ROUND(D47/D31*1000,2)),0)</f>
        <v>2.0099999999999998</v>
      </c>
      <c r="E48" s="75">
        <f>IFERROR(IF(E31=0,ROUND(E47/E30*1000,2),ROUND(E47/E31*1000,2)),0)</f>
        <v>1.82</v>
      </c>
      <c r="F48" s="75">
        <f>IFERROR(IF(F31=0,ROUND(F47/F30*1000,2),ROUND(F47/F31*1000,2)),0)</f>
        <v>1.67</v>
      </c>
      <c r="G48" s="75">
        <f>IFERROR(IF(G31=0,ROUND(G47/G30*1000,2),ROUND(G47/G31*1000,2)),0)</f>
        <v>0</v>
      </c>
      <c r="H48" s="65"/>
      <c r="I48" s="65"/>
      <c r="J48" s="65"/>
      <c r="K48" s="65"/>
      <c r="L48" s="65"/>
      <c r="M48" s="65"/>
      <c r="N48" s="65"/>
      <c r="O48" s="65"/>
      <c r="P48" s="65"/>
      <c r="Q48" s="65"/>
      <c r="R48" s="65"/>
      <c r="S48" s="65"/>
      <c r="T48" s="65"/>
      <c r="U48" s="65"/>
      <c r="V48" s="65"/>
      <c r="W48" s="65"/>
      <c r="X48" s="65"/>
      <c r="Y48" s="65"/>
      <c r="Z48" s="65"/>
      <c r="AA48" s="65"/>
      <c r="AB48" s="65"/>
      <c r="AC48" s="65"/>
      <c r="AD48" s="65"/>
    </row>
    <row r="49" spans="1:30">
      <c r="A49" s="40" t="s">
        <v>631</v>
      </c>
      <c r="B49" s="40" t="s">
        <v>1071</v>
      </c>
      <c r="C49" s="88">
        <f>C46*C35</f>
        <v>2087502.132</v>
      </c>
      <c r="D49" s="88">
        <f>D46*D35</f>
        <v>1929058.1705525045</v>
      </c>
      <c r="E49" s="88">
        <f>E46*E35</f>
        <v>1699509.5033730001</v>
      </c>
      <c r="F49" s="88">
        <f t="shared" ref="F49" si="7">F46*F35</f>
        <v>1309009.1893111444</v>
      </c>
      <c r="G49" s="88">
        <f t="shared" ref="G49" si="8">G46*G35</f>
        <v>871997.88474079943</v>
      </c>
      <c r="H49" s="77"/>
      <c r="I49" s="77"/>
      <c r="J49" s="65"/>
      <c r="K49" s="65"/>
      <c r="L49" s="65"/>
      <c r="M49" s="65"/>
      <c r="N49" s="65"/>
      <c r="O49" s="65"/>
      <c r="P49" s="65"/>
      <c r="Q49" s="65"/>
      <c r="R49" s="65"/>
      <c r="S49" s="65"/>
      <c r="T49" s="65"/>
      <c r="U49" s="65"/>
      <c r="V49" s="65"/>
      <c r="W49" s="65"/>
      <c r="X49" s="65"/>
      <c r="Y49" s="65"/>
      <c r="Z49" s="65"/>
      <c r="AA49" s="65"/>
      <c r="AB49" s="65"/>
      <c r="AC49" s="65"/>
      <c r="AD49" s="65"/>
    </row>
    <row r="50" spans="1:30">
      <c r="A50" s="40" t="s">
        <v>632</v>
      </c>
      <c r="B50" s="40" t="s">
        <v>1072</v>
      </c>
      <c r="C50" s="88">
        <f>C49*(MIN(C19,C48)/C19)</f>
        <v>2087502.132</v>
      </c>
      <c r="D50" s="88">
        <f>D49*(MIN(D19,D48)/D19)</f>
        <v>1929058.1705525045</v>
      </c>
      <c r="E50" s="88">
        <f>E49*(MIN(E19,E48)/E19)</f>
        <v>1699509.5033730001</v>
      </c>
      <c r="F50" s="88">
        <f>F49*(MIN(F19,F48)/F19)</f>
        <v>1309009.1893111444</v>
      </c>
      <c r="G50" s="88">
        <f>G49*(MIN(G19,G48)/G19)</f>
        <v>0</v>
      </c>
      <c r="H50" s="77"/>
      <c r="I50" s="77"/>
      <c r="J50" s="65"/>
      <c r="K50" s="65"/>
      <c r="L50" s="65"/>
      <c r="M50" s="65"/>
      <c r="N50" s="65"/>
      <c r="O50" s="65"/>
      <c r="P50" s="65"/>
      <c r="Q50" s="65"/>
      <c r="R50" s="65"/>
      <c r="S50" s="65"/>
      <c r="T50" s="65"/>
      <c r="U50" s="65"/>
      <c r="V50" s="65"/>
      <c r="W50" s="65"/>
      <c r="X50" s="65"/>
      <c r="Y50" s="65"/>
      <c r="Z50" s="65"/>
      <c r="AA50" s="65"/>
      <c r="AB50" s="65"/>
      <c r="AC50" s="65"/>
      <c r="AD50" s="65"/>
    </row>
    <row r="51" spans="1:30" ht="17.25">
      <c r="A51" s="40" t="s">
        <v>640</v>
      </c>
      <c r="B51" s="94" t="s">
        <v>617</v>
      </c>
      <c r="C51" s="95">
        <f>C50</f>
        <v>2087502.132</v>
      </c>
      <c r="D51" s="95">
        <f t="shared" ref="D51:G51" si="9">D50</f>
        <v>1929058.1705525045</v>
      </c>
      <c r="E51" s="95">
        <f t="shared" si="9"/>
        <v>1699509.5033730001</v>
      </c>
      <c r="F51" s="95">
        <f t="shared" ref="F51" si="10">F50</f>
        <v>1309009.1893111444</v>
      </c>
      <c r="G51" s="95">
        <f t="shared" si="9"/>
        <v>0</v>
      </c>
      <c r="H51" s="77"/>
      <c r="I51" s="77"/>
      <c r="J51" s="65"/>
      <c r="K51" s="65"/>
      <c r="L51" s="65"/>
      <c r="M51" s="65"/>
      <c r="N51" s="65"/>
      <c r="O51" s="65"/>
      <c r="P51" s="65"/>
      <c r="Q51" s="65"/>
      <c r="R51" s="65"/>
      <c r="S51" s="65"/>
      <c r="T51" s="65"/>
      <c r="U51" s="65"/>
      <c r="V51" s="65"/>
      <c r="W51" s="65"/>
      <c r="X51" s="65"/>
      <c r="Y51" s="65"/>
      <c r="Z51" s="65"/>
      <c r="AA51" s="65"/>
      <c r="AB51" s="65"/>
      <c r="AC51" s="65"/>
      <c r="AD51" s="65"/>
    </row>
    <row r="52" spans="1:30">
      <c r="C52" s="119"/>
      <c r="H52" s="65"/>
      <c r="I52" s="65"/>
      <c r="J52" s="65"/>
      <c r="K52" s="65"/>
      <c r="L52" s="65"/>
      <c r="M52" s="65"/>
      <c r="N52" s="65"/>
      <c r="O52" s="65"/>
      <c r="P52" s="65"/>
      <c r="Q52" s="65"/>
      <c r="R52" s="65"/>
      <c r="S52" s="65"/>
      <c r="T52" s="65"/>
      <c r="U52" s="65"/>
      <c r="V52" s="65"/>
      <c r="W52" s="65"/>
      <c r="X52" s="65"/>
      <c r="Y52" s="65"/>
      <c r="Z52" s="65"/>
      <c r="AA52" s="65"/>
      <c r="AB52" s="65"/>
      <c r="AC52" s="65"/>
      <c r="AD52" s="65"/>
    </row>
    <row r="53" spans="1:30" ht="10.5" customHeight="1">
      <c r="A53" s="66"/>
      <c r="B53" s="67"/>
      <c r="C53" s="67"/>
      <c r="D53" s="67"/>
      <c r="E53" s="67"/>
      <c r="F53" s="67"/>
      <c r="G53" s="67"/>
      <c r="H53" s="65"/>
      <c r="I53" s="65"/>
      <c r="J53" s="65"/>
      <c r="K53" s="65"/>
      <c r="L53" s="65"/>
      <c r="M53" s="65"/>
      <c r="N53" s="65"/>
      <c r="O53" s="65"/>
      <c r="P53" s="65"/>
      <c r="Q53" s="65"/>
      <c r="R53" s="65"/>
      <c r="S53" s="65"/>
      <c r="T53" s="65"/>
      <c r="U53" s="65"/>
      <c r="V53" s="65"/>
      <c r="W53" s="65"/>
      <c r="X53" s="65"/>
      <c r="Y53" s="65"/>
      <c r="Z53" s="65"/>
      <c r="AA53" s="65"/>
      <c r="AB53" s="65"/>
      <c r="AC53" s="65"/>
      <c r="AD53" s="65"/>
    </row>
    <row r="54" spans="1:30" ht="20.25">
      <c r="B54" s="146" t="s">
        <v>619</v>
      </c>
      <c r="C54" s="146"/>
      <c r="D54" s="146"/>
      <c r="E54" s="146"/>
      <c r="F54" s="146"/>
      <c r="G54" s="146"/>
      <c r="H54" s="65"/>
      <c r="I54" s="65"/>
      <c r="J54" s="65"/>
      <c r="K54" s="65"/>
      <c r="L54" s="65"/>
      <c r="M54" s="65"/>
      <c r="N54" s="65"/>
      <c r="O54" s="65"/>
      <c r="P54" s="65"/>
      <c r="Q54" s="65"/>
      <c r="R54" s="65"/>
      <c r="S54" s="65"/>
      <c r="T54" s="65"/>
      <c r="U54" s="65"/>
      <c r="V54" s="65"/>
      <c r="W54" s="65"/>
      <c r="X54" s="65"/>
      <c r="Y54" s="65"/>
      <c r="Z54" s="65"/>
      <c r="AA54" s="65"/>
      <c r="AB54" s="65"/>
      <c r="AC54" s="65"/>
      <c r="AD54" s="65"/>
    </row>
    <row r="55" spans="1:30">
      <c r="B55" s="73" t="s">
        <v>618</v>
      </c>
      <c r="C55" s="50" t="s">
        <v>968</v>
      </c>
      <c r="D55" s="50" t="s">
        <v>1047</v>
      </c>
      <c r="E55" s="50" t="s">
        <v>1049</v>
      </c>
      <c r="F55" s="50" t="s">
        <v>1051</v>
      </c>
      <c r="G55" s="50" t="s">
        <v>1053</v>
      </c>
      <c r="H55" s="65"/>
      <c r="I55" s="65"/>
      <c r="J55" s="65"/>
      <c r="K55" s="65"/>
      <c r="L55" s="65"/>
      <c r="M55" s="65"/>
      <c r="N55" s="65"/>
      <c r="O55" s="65"/>
      <c r="P55" s="65"/>
      <c r="Q55" s="65"/>
      <c r="R55" s="65"/>
      <c r="S55" s="65"/>
      <c r="T55" s="65"/>
      <c r="U55" s="65"/>
      <c r="V55" s="65"/>
      <c r="W55" s="65"/>
      <c r="X55" s="65"/>
      <c r="Y55" s="65"/>
      <c r="Z55" s="65"/>
      <c r="AA55" s="65"/>
      <c r="AB55" s="65"/>
      <c r="AC55" s="65"/>
      <c r="AD55" s="65"/>
    </row>
    <row r="56" spans="1:30">
      <c r="B56" s="40" t="s">
        <v>620</v>
      </c>
      <c r="C56" s="88">
        <f>ROUND(C40*0.5262,2)</f>
        <v>3130890</v>
      </c>
      <c r="D56" s="88">
        <f>ROUND(D40*0.5262,2)</f>
        <v>3130890</v>
      </c>
      <c r="E56" s="88">
        <f t="shared" ref="E56:G56" si="11">ROUND(E40*0.5262,2)</f>
        <v>3130890</v>
      </c>
      <c r="F56" s="88">
        <f t="shared" si="11"/>
        <v>3130890</v>
      </c>
      <c r="G56" s="88">
        <f t="shared" si="11"/>
        <v>0</v>
      </c>
      <c r="H56" s="65"/>
      <c r="I56" s="65"/>
      <c r="J56" s="65"/>
      <c r="K56" s="65"/>
      <c r="L56" s="65"/>
      <c r="M56" s="65"/>
      <c r="N56" s="65"/>
      <c r="O56" s="65"/>
      <c r="P56" s="65"/>
      <c r="Q56" s="65"/>
      <c r="R56" s="65"/>
      <c r="S56" s="65"/>
      <c r="T56" s="65"/>
      <c r="U56" s="65"/>
      <c r="V56" s="65"/>
      <c r="W56" s="65"/>
      <c r="X56" s="65"/>
      <c r="Y56" s="65"/>
      <c r="Z56" s="65"/>
      <c r="AA56" s="65"/>
      <c r="AB56" s="65"/>
      <c r="AC56" s="65"/>
      <c r="AD56" s="65"/>
    </row>
    <row r="57" spans="1:30">
      <c r="B57" s="40" t="s">
        <v>621</v>
      </c>
      <c r="C57" s="97"/>
      <c r="D57" s="88">
        <f>ROUND(C40*0.4738,2)</f>
        <v>2819110</v>
      </c>
      <c r="E57" s="88">
        <f t="shared" ref="E57:G57" si="12">ROUND(D40*0.4738,2)</f>
        <v>2819110</v>
      </c>
      <c r="F57" s="88">
        <f t="shared" si="12"/>
        <v>2819110</v>
      </c>
      <c r="G57" s="88">
        <f t="shared" si="12"/>
        <v>2819110</v>
      </c>
      <c r="H57" s="65"/>
      <c r="I57" s="65"/>
      <c r="J57" s="65"/>
      <c r="K57" s="65"/>
      <c r="L57" s="65"/>
      <c r="M57" s="65"/>
      <c r="N57" s="65"/>
      <c r="O57" s="65"/>
      <c r="P57" s="65"/>
      <c r="Q57" s="65"/>
      <c r="R57" s="65"/>
      <c r="S57" s="65"/>
      <c r="T57" s="65"/>
      <c r="U57" s="65"/>
      <c r="V57" s="65"/>
      <c r="W57" s="65"/>
      <c r="X57" s="65"/>
      <c r="Y57" s="65"/>
      <c r="Z57" s="65"/>
      <c r="AA57" s="65"/>
      <c r="AB57" s="65"/>
      <c r="AC57" s="65"/>
      <c r="AD57" s="65"/>
    </row>
    <row r="58" spans="1:30">
      <c r="B58" s="40" t="s">
        <v>1154</v>
      </c>
      <c r="C58" s="96">
        <f>IFERROR(VLOOKUP($A$1,Data,Data!X$1,FALSE),0)</f>
        <v>2463760</v>
      </c>
      <c r="D58" s="97"/>
      <c r="E58" s="97"/>
      <c r="F58" s="97"/>
      <c r="G58" s="97"/>
      <c r="H58" s="65"/>
      <c r="I58" s="65"/>
      <c r="J58" s="65"/>
      <c r="K58" s="65"/>
      <c r="L58" s="65"/>
      <c r="M58" s="65"/>
      <c r="N58" s="65"/>
      <c r="O58" s="65"/>
      <c r="P58" s="65"/>
      <c r="Q58" s="65"/>
      <c r="R58" s="65"/>
      <c r="S58" s="65"/>
      <c r="T58" s="65"/>
      <c r="U58" s="65"/>
      <c r="V58" s="65"/>
      <c r="W58" s="65"/>
      <c r="X58" s="65"/>
      <c r="Y58" s="65"/>
      <c r="Z58" s="65"/>
      <c r="AA58" s="65"/>
      <c r="AB58" s="65"/>
      <c r="AC58" s="65"/>
      <c r="AD58" s="65"/>
    </row>
    <row r="59" spans="1:30" ht="17.25">
      <c r="B59" s="94" t="s">
        <v>615</v>
      </c>
      <c r="C59" s="95">
        <f>SUM(C58,C56)</f>
        <v>5594650</v>
      </c>
      <c r="D59" s="95">
        <f>D56+D57</f>
        <v>5950000</v>
      </c>
      <c r="E59" s="95">
        <f>E56+E57</f>
        <v>5950000</v>
      </c>
      <c r="F59" s="95">
        <f>F56+F57</f>
        <v>5950000</v>
      </c>
      <c r="G59" s="95">
        <f>G56+G57</f>
        <v>2819110</v>
      </c>
      <c r="H59" s="65"/>
      <c r="I59" s="65"/>
      <c r="J59" s="65"/>
      <c r="K59" s="65"/>
      <c r="L59" s="65"/>
      <c r="M59" s="65"/>
      <c r="N59" s="65"/>
      <c r="O59" s="65"/>
      <c r="P59" s="65"/>
      <c r="Q59" s="65"/>
      <c r="R59" s="65"/>
      <c r="S59" s="65"/>
      <c r="T59" s="65"/>
      <c r="U59" s="65"/>
      <c r="V59" s="65"/>
      <c r="W59" s="65"/>
      <c r="X59" s="65"/>
      <c r="Y59" s="65"/>
      <c r="Z59" s="65"/>
      <c r="AA59" s="65"/>
      <c r="AB59" s="65"/>
      <c r="AC59" s="65"/>
      <c r="AD59" s="65"/>
    </row>
    <row r="60" spans="1:30">
      <c r="C60" s="96"/>
      <c r="D60" s="96"/>
      <c r="E60" s="96"/>
      <c r="F60" s="96"/>
      <c r="G60" s="96"/>
      <c r="H60" s="65"/>
      <c r="I60" s="65"/>
      <c r="J60" s="65"/>
      <c r="K60" s="65"/>
      <c r="L60" s="65"/>
      <c r="M60" s="65"/>
      <c r="N60" s="65"/>
      <c r="O60" s="65"/>
      <c r="P60" s="65"/>
      <c r="Q60" s="65"/>
      <c r="R60" s="65"/>
      <c r="S60" s="65"/>
      <c r="T60" s="65"/>
      <c r="U60" s="65"/>
      <c r="V60" s="65"/>
      <c r="W60" s="65"/>
      <c r="X60" s="65"/>
      <c r="Y60" s="65"/>
      <c r="Z60" s="65"/>
      <c r="AA60" s="65"/>
      <c r="AB60" s="65"/>
      <c r="AC60" s="65"/>
      <c r="AD60" s="65"/>
    </row>
    <row r="61" spans="1:30">
      <c r="B61" s="40" t="s">
        <v>622</v>
      </c>
      <c r="C61" s="96">
        <f>ROUND(C51*0.72,2)</f>
        <v>1503001.54</v>
      </c>
      <c r="D61" s="96">
        <f t="shared" ref="D61:G61" si="13">ROUND(D51*0.72,2)</f>
        <v>1388921.88</v>
      </c>
      <c r="E61" s="96">
        <f t="shared" si="13"/>
        <v>1223646.8400000001</v>
      </c>
      <c r="F61" s="96">
        <f t="shared" si="13"/>
        <v>942486.62</v>
      </c>
      <c r="G61" s="96">
        <f t="shared" si="13"/>
        <v>0</v>
      </c>
      <c r="H61" s="98"/>
      <c r="I61" s="98"/>
      <c r="J61" s="65"/>
      <c r="K61" s="65"/>
      <c r="L61" s="65"/>
      <c r="M61" s="65"/>
      <c r="N61" s="65"/>
      <c r="O61" s="65"/>
      <c r="P61" s="65"/>
      <c r="Q61" s="65"/>
      <c r="R61" s="65"/>
      <c r="S61" s="65"/>
      <c r="T61" s="65"/>
      <c r="U61" s="65"/>
      <c r="V61" s="65"/>
      <c r="W61" s="65"/>
      <c r="X61" s="65"/>
      <c r="Y61" s="65"/>
      <c r="Z61" s="65"/>
      <c r="AA61" s="65"/>
      <c r="AB61" s="65"/>
      <c r="AC61" s="65"/>
      <c r="AD61" s="65"/>
    </row>
    <row r="62" spans="1:30">
      <c r="B62" s="40" t="s">
        <v>623</v>
      </c>
      <c r="C62" s="97"/>
      <c r="D62" s="96">
        <f>ROUND(C51*0.28,2)</f>
        <v>584500.6</v>
      </c>
      <c r="E62" s="96">
        <f t="shared" ref="E62:G62" si="14">ROUND(D51*0.28,2)</f>
        <v>540136.29</v>
      </c>
      <c r="F62" s="96">
        <f t="shared" si="14"/>
        <v>475862.66</v>
      </c>
      <c r="G62" s="96">
        <f t="shared" si="14"/>
        <v>366522.57</v>
      </c>
      <c r="H62" s="65"/>
      <c r="I62" s="65"/>
      <c r="J62" s="65"/>
      <c r="K62" s="65"/>
      <c r="L62" s="65"/>
      <c r="M62" s="65"/>
      <c r="N62" s="65"/>
      <c r="O62" s="65"/>
      <c r="P62" s="65"/>
      <c r="Q62" s="65"/>
      <c r="R62" s="65"/>
      <c r="S62" s="65"/>
      <c r="T62" s="65"/>
      <c r="U62" s="65"/>
      <c r="V62" s="65"/>
      <c r="W62" s="65"/>
      <c r="X62" s="65"/>
      <c r="Y62" s="65"/>
      <c r="Z62" s="65"/>
      <c r="AA62" s="65"/>
      <c r="AB62" s="65"/>
      <c r="AC62" s="65"/>
      <c r="AD62" s="65"/>
    </row>
    <row r="63" spans="1:30">
      <c r="B63" s="40" t="s">
        <v>1155</v>
      </c>
      <c r="C63" s="96">
        <f>IFERROR(VLOOKUP($A$1,Data,Data!V$1,FALSE),0)</f>
        <v>705521.53</v>
      </c>
      <c r="D63" s="97"/>
      <c r="E63" s="97"/>
      <c r="F63" s="97"/>
      <c r="G63" s="97"/>
      <c r="H63" s="65"/>
      <c r="I63" s="65"/>
      <c r="J63" s="65"/>
      <c r="K63" s="65"/>
      <c r="L63" s="65"/>
      <c r="M63" s="65"/>
      <c r="N63" s="65"/>
      <c r="O63" s="65"/>
      <c r="P63" s="65"/>
      <c r="Q63" s="65"/>
      <c r="R63" s="65"/>
      <c r="S63" s="65"/>
      <c r="T63" s="65"/>
      <c r="U63" s="65"/>
      <c r="V63" s="65"/>
      <c r="W63" s="65"/>
      <c r="X63" s="65"/>
      <c r="Y63" s="65"/>
      <c r="Z63" s="65"/>
      <c r="AA63" s="65"/>
      <c r="AB63" s="65"/>
      <c r="AC63" s="65"/>
      <c r="AD63" s="65"/>
    </row>
    <row r="64" spans="1:30" ht="17.25">
      <c r="B64" s="94" t="s">
        <v>1105</v>
      </c>
      <c r="C64" s="95">
        <f>SUM(C63,C61,C60)</f>
        <v>2208523.0700000003</v>
      </c>
      <c r="D64" s="95">
        <f>SUM(D62,D61,D60)</f>
        <v>1973422.48</v>
      </c>
      <c r="E64" s="95">
        <f t="shared" ref="E64:G64" si="15">SUM(E62,E61,E60)</f>
        <v>1763783.1300000001</v>
      </c>
      <c r="F64" s="95">
        <f t="shared" si="15"/>
        <v>1418349.28</v>
      </c>
      <c r="G64" s="95">
        <f t="shared" si="15"/>
        <v>366522.57</v>
      </c>
      <c r="H64" s="65"/>
      <c r="I64" s="65"/>
      <c r="J64" s="65"/>
      <c r="K64" s="65"/>
      <c r="L64" s="65"/>
      <c r="M64" s="65"/>
      <c r="N64" s="65"/>
      <c r="O64" s="65"/>
      <c r="P64" s="65"/>
      <c r="Q64" s="65"/>
      <c r="R64" s="65"/>
      <c r="S64" s="65"/>
      <c r="T64" s="65"/>
      <c r="U64" s="65"/>
      <c r="V64" s="65"/>
      <c r="W64" s="65"/>
      <c r="X64" s="65"/>
      <c r="Y64" s="65"/>
      <c r="Z64" s="65"/>
      <c r="AA64" s="65"/>
      <c r="AB64" s="65"/>
      <c r="AC64" s="65"/>
      <c r="AD64" s="65"/>
    </row>
    <row r="65" spans="1:30" s="99" customFormat="1" ht="20.25">
      <c r="B65" s="100" t="s">
        <v>624</v>
      </c>
      <c r="C65" s="101">
        <f>C64+C59</f>
        <v>7803173.0700000003</v>
      </c>
      <c r="D65" s="101">
        <f t="shared" ref="D65:G65" si="16">D64+D59</f>
        <v>7923422.4800000004</v>
      </c>
      <c r="E65" s="101">
        <f t="shared" si="16"/>
        <v>7713783.1299999999</v>
      </c>
      <c r="F65" s="101">
        <f t="shared" ref="F65" si="17">F64+F59</f>
        <v>7368349.2800000003</v>
      </c>
      <c r="G65" s="101">
        <f t="shared" si="16"/>
        <v>3185632.57</v>
      </c>
      <c r="H65" s="65"/>
      <c r="I65" s="65"/>
      <c r="J65" s="102"/>
      <c r="K65" s="102"/>
      <c r="L65" s="102"/>
      <c r="M65" s="102"/>
      <c r="N65" s="102"/>
      <c r="O65" s="102"/>
      <c r="P65" s="102"/>
      <c r="Q65" s="102"/>
      <c r="R65" s="102"/>
      <c r="S65" s="102"/>
      <c r="T65" s="102"/>
      <c r="U65" s="102"/>
      <c r="V65" s="102"/>
      <c r="W65" s="102"/>
      <c r="X65" s="102"/>
      <c r="Y65" s="102"/>
      <c r="Z65" s="102"/>
      <c r="AA65" s="102"/>
      <c r="AB65" s="102"/>
      <c r="AC65" s="102"/>
      <c r="AD65" s="102"/>
    </row>
    <row r="66" spans="1:30">
      <c r="H66" s="65"/>
      <c r="I66" s="65"/>
      <c r="J66" s="65"/>
      <c r="K66" s="65"/>
      <c r="L66" s="65"/>
      <c r="M66" s="65"/>
      <c r="N66" s="65"/>
      <c r="O66" s="65"/>
      <c r="P66" s="65"/>
      <c r="Q66" s="65"/>
      <c r="R66" s="65"/>
      <c r="S66" s="65"/>
      <c r="T66" s="65"/>
      <c r="U66" s="65"/>
      <c r="V66" s="65"/>
      <c r="W66" s="65"/>
      <c r="X66" s="65"/>
      <c r="Y66" s="65"/>
      <c r="Z66" s="65"/>
      <c r="AA66" s="65"/>
      <c r="AB66" s="65"/>
      <c r="AC66" s="65"/>
      <c r="AD66" s="65"/>
    </row>
    <row r="67" spans="1:30" ht="20.25">
      <c r="B67" s="146" t="s">
        <v>985</v>
      </c>
      <c r="C67" s="146"/>
      <c r="D67" s="146"/>
      <c r="E67" s="146"/>
      <c r="F67" s="146"/>
      <c r="G67" s="146"/>
      <c r="H67" s="65"/>
      <c r="I67" s="65"/>
      <c r="J67" s="65"/>
      <c r="K67" s="65"/>
      <c r="L67" s="65"/>
      <c r="M67" s="65"/>
      <c r="N67" s="65"/>
      <c r="O67" s="65"/>
      <c r="P67" s="65"/>
      <c r="Q67" s="65"/>
      <c r="R67" s="65"/>
      <c r="S67" s="65"/>
      <c r="T67" s="65"/>
      <c r="U67" s="65"/>
      <c r="V67" s="65"/>
      <c r="W67" s="65"/>
      <c r="X67" s="65"/>
      <c r="Y67" s="65"/>
      <c r="Z67" s="65"/>
      <c r="AA67" s="65"/>
      <c r="AB67" s="65"/>
      <c r="AC67" s="65"/>
      <c r="AD67" s="65"/>
    </row>
    <row r="68" spans="1:30" ht="20.25">
      <c r="A68" s="64" t="e">
        <f>VLOOKUP($B$68,Data!$B$299:$X$306,22,FALSE)</f>
        <v>#N/A</v>
      </c>
      <c r="B68" s="103" t="str">
        <f>IFERROR(VLOOKUP($A$1,'District AAFTE'!$A$312:$D$319,4,FALSE),"Not Applicable")</f>
        <v>Not Applicable</v>
      </c>
      <c r="C68" s="145" t="str">
        <f>IF($B$68="Not Applicable","","Tribal")</f>
        <v/>
      </c>
      <c r="D68" s="145"/>
      <c r="E68" s="145"/>
      <c r="F68" s="145"/>
      <c r="G68" s="145"/>
      <c r="H68" s="65"/>
      <c r="I68" s="65"/>
      <c r="J68" s="65"/>
      <c r="K68" s="65"/>
      <c r="L68" s="65"/>
      <c r="M68" s="65"/>
      <c r="N68" s="65"/>
      <c r="O68" s="65"/>
      <c r="P68" s="65"/>
      <c r="Q68" s="65"/>
      <c r="R68" s="65"/>
      <c r="S68" s="65"/>
      <c r="T68" s="65"/>
      <c r="U68" s="65"/>
      <c r="V68" s="65"/>
      <c r="W68" s="65"/>
      <c r="X68" s="65"/>
      <c r="Y68" s="65"/>
      <c r="Z68" s="65"/>
      <c r="AA68" s="65"/>
      <c r="AB68" s="65"/>
      <c r="AC68" s="65"/>
      <c r="AD68" s="65"/>
    </row>
    <row r="69" spans="1:30">
      <c r="A69" s="40" t="s">
        <v>1118</v>
      </c>
      <c r="B69" s="40" t="str">
        <f>B26</f>
        <v>Enrollment 2023-24/ Out years includes caseload forecast</v>
      </c>
      <c r="C69" s="125">
        <f>IFERROR(VLOOKUP($A$68,enrollment,'District AAFTE'!P$1,FALSE),0)</f>
        <v>0</v>
      </c>
      <c r="D69" s="125">
        <f>IFERROR(VLOOKUP($A$68,enrollment,'District AAFTE'!Q$1,FALSE),0)</f>
        <v>0</v>
      </c>
      <c r="E69" s="125">
        <f>IFERROR(VLOOKUP($A$68,enrollment,'District AAFTE'!R$1,FALSE),0)</f>
        <v>0</v>
      </c>
      <c r="F69" s="125">
        <f>IFERROR(VLOOKUP($A$68,enrollment,'District AAFTE'!S$1,FALSE),0)</f>
        <v>0</v>
      </c>
      <c r="G69" s="125">
        <f>IFERROR(VLOOKUP($A$68,enrollment,'District AAFTE'!T$1,FALSE),0)</f>
        <v>0</v>
      </c>
      <c r="H69" s="65"/>
      <c r="I69" s="65"/>
      <c r="J69" s="65"/>
      <c r="K69" s="65"/>
      <c r="L69" s="65"/>
      <c r="M69" s="65"/>
      <c r="N69" s="65"/>
      <c r="O69" s="65"/>
      <c r="P69" s="65"/>
      <c r="Q69" s="65"/>
      <c r="R69" s="65"/>
      <c r="S69" s="65"/>
      <c r="T69" s="65"/>
      <c r="U69" s="65"/>
      <c r="V69" s="65"/>
      <c r="W69" s="65"/>
      <c r="X69" s="65"/>
      <c r="Y69" s="65"/>
      <c r="Z69" s="65"/>
      <c r="AA69" s="65"/>
      <c r="AB69" s="65"/>
      <c r="AC69" s="65"/>
      <c r="AD69" s="65"/>
    </row>
    <row r="70" spans="1:30">
      <c r="B70" s="83" t="s">
        <v>607</v>
      </c>
      <c r="C70" s="90"/>
      <c r="D70" s="90"/>
      <c r="E70" s="90"/>
      <c r="F70" s="90"/>
      <c r="G70" s="90"/>
      <c r="H70" s="65"/>
      <c r="I70" s="65"/>
      <c r="J70" s="65"/>
      <c r="K70" s="65"/>
      <c r="L70" s="65"/>
      <c r="M70" s="65"/>
      <c r="N70" s="65"/>
      <c r="O70" s="65"/>
      <c r="P70" s="65"/>
      <c r="Q70" s="65"/>
      <c r="R70" s="65"/>
      <c r="S70" s="65"/>
      <c r="T70" s="65"/>
      <c r="U70" s="65"/>
      <c r="V70" s="65"/>
      <c r="W70" s="65"/>
      <c r="X70" s="65"/>
      <c r="Y70" s="65"/>
      <c r="Z70" s="65"/>
      <c r="AA70" s="65"/>
      <c r="AB70" s="65"/>
      <c r="AC70" s="65"/>
      <c r="AD70" s="65"/>
    </row>
    <row r="71" spans="1:30" ht="20.25">
      <c r="B71" s="146" t="s">
        <v>609</v>
      </c>
      <c r="C71" s="146"/>
      <c r="D71" s="146"/>
      <c r="E71" s="146"/>
      <c r="F71" s="146"/>
      <c r="G71" s="146"/>
    </row>
    <row r="72" spans="1:30">
      <c r="B72" s="73" t="s">
        <v>608</v>
      </c>
      <c r="C72" s="50">
        <f>C44</f>
        <v>2025</v>
      </c>
      <c r="D72" s="50">
        <f>D44</f>
        <v>2026</v>
      </c>
      <c r="E72" s="50">
        <f>E44</f>
        <v>2027</v>
      </c>
      <c r="F72" s="50">
        <f>F44</f>
        <v>2028</v>
      </c>
      <c r="G72" s="50">
        <f>G44</f>
        <v>2029</v>
      </c>
    </row>
    <row r="73" spans="1:30">
      <c r="A73" s="40" t="s">
        <v>1103</v>
      </c>
      <c r="B73" s="110" t="s">
        <v>1104</v>
      </c>
      <c r="C73" s="97" t="str">
        <f>IF($B$68="Not Applicable","",MIN(C45,C18))</f>
        <v/>
      </c>
      <c r="D73" s="97" t="str">
        <f>IF($B$68="Not Applicable","",MIN(D45,D18))</f>
        <v/>
      </c>
      <c r="E73" s="97" t="str">
        <f>IF($B$68="Not Applicable","",MIN(E45,E18))</f>
        <v/>
      </c>
      <c r="F73" s="97" t="str">
        <f>IF($B$68="Not Applicable","",MIN(F45,F18))</f>
        <v/>
      </c>
      <c r="G73" s="97" t="str">
        <f>IF($B$68="Not Applicable","",MIN(G45,G18))</f>
        <v/>
      </c>
    </row>
    <row r="74" spans="1:30">
      <c r="A74" s="40" t="s">
        <v>983</v>
      </c>
      <c r="B74" s="110" t="s">
        <v>1117</v>
      </c>
      <c r="C74" s="88" t="str">
        <f>IFERROR(IF(C$70&gt;0,C$73*C$70,C$73*C$69),"")</f>
        <v/>
      </c>
      <c r="D74" s="88" t="str">
        <f>IFERROR(IF(D$70&gt;0,D$73*D$70,D$73*D$69),"")</f>
        <v/>
      </c>
      <c r="E74" s="88" t="str">
        <f>IFERROR(IF(E$70&gt;0,E$73*E$70,E$73*E$69),"")</f>
        <v/>
      </c>
      <c r="F74" s="88" t="str">
        <f>IFERROR(IF(F$70&gt;0,F$73*F$70,F$73*F$69),"")</f>
        <v/>
      </c>
      <c r="G74" s="88" t="str">
        <f>IFERROR(IF(G$70&gt;0,G$73*G$70,G$73*G$69),"")</f>
        <v/>
      </c>
    </row>
    <row r="75" spans="1:30" ht="17.25">
      <c r="B75" s="94" t="s">
        <v>984</v>
      </c>
      <c r="C75" s="95" t="str">
        <f>C74</f>
        <v/>
      </c>
      <c r="D75" s="95" t="str">
        <f>D74</f>
        <v/>
      </c>
      <c r="E75" s="95" t="str">
        <f t="shared" ref="E75:G75" si="18">E74</f>
        <v/>
      </c>
      <c r="F75" s="95" t="str">
        <f t="shared" ref="F75" si="19">F74</f>
        <v/>
      </c>
      <c r="G75" s="95" t="str">
        <f t="shared" si="18"/>
        <v/>
      </c>
    </row>
  </sheetData>
  <sheetProtection selectLockedCells="1"/>
  <protectedRanges>
    <protectedRange sqref="C23:G23" name="LEACPI"/>
    <protectedRange sqref="C21:G21" name="LevyCPI"/>
    <protectedRange sqref="H1:L1048576" name="Free Space"/>
    <protectedRange sqref="D25:G25" name="Alt Voter Approved Levy"/>
    <protectedRange sqref="D27:G27 D70:G70" name="Alt Enroll"/>
    <protectedRange sqref="D29:G29" name="Alt Transf Enroll"/>
    <protectedRange sqref="C31:G31" name="Alt Assessed Val"/>
  </protectedRanges>
  <mergeCells count="12">
    <mergeCell ref="C68:G68"/>
    <mergeCell ref="B71:G71"/>
    <mergeCell ref="B54:G54"/>
    <mergeCell ref="B1:G1"/>
    <mergeCell ref="B33:G33"/>
    <mergeCell ref="B43:G43"/>
    <mergeCell ref="C3:D3"/>
    <mergeCell ref="B14:G14"/>
    <mergeCell ref="B8:G8"/>
    <mergeCell ref="B67:G67"/>
    <mergeCell ref="B6:G6"/>
    <mergeCell ref="B10:G10"/>
  </mergeCells>
  <dataValidations count="1">
    <dataValidation type="list" allowBlank="1" showInputMessage="1" showErrorMessage="1" sqref="D5" xr:uid="{00000000-0002-0000-0100-000000000000}">
      <formula1>$B$4:$B$302</formula1>
    </dataValidation>
  </dataValidations>
  <hyperlinks>
    <hyperlink ref="B9" r:id="rId1" display="https://app.leg.wa.gov/RCW/default.aspx?cite=84.52.0531" xr:uid="{43C8FFB4-B30A-42FB-A24B-163289728304}"/>
  </hyperlinks>
  <printOptions horizontalCentered="1"/>
  <pageMargins left="0.25" right="0.25" top="0.75" bottom="0.75" header="0.3" footer="0.3"/>
  <pageSetup scale="57" fitToWidth="0" fitToHeight="0" orientation="portrait" r:id="rId2"/>
  <rowBreaks count="1" manualBreakCount="1">
    <brk id="12"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Data!$B$4:$B$298</xm:f>
          </x14:formula1>
          <xm:sqref>C7 C5 C3:D3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CB302"/>
  <sheetViews>
    <sheetView zoomScaleNormal="100" workbookViewId="0">
      <selection activeCell="C2" sqref="C2"/>
    </sheetView>
  </sheetViews>
  <sheetFormatPr defaultColWidth="8.85546875" defaultRowHeight="16.5"/>
  <cols>
    <col min="1" max="1" width="4.7109375" style="38" customWidth="1"/>
    <col min="2" max="2" width="59" style="40" customWidth="1"/>
    <col min="3" max="3" width="18.7109375" style="40" customWidth="1"/>
    <col min="4" max="5" width="18.28515625" style="40" customWidth="1"/>
    <col min="6" max="6" width="18.85546875" style="40" customWidth="1"/>
    <col min="7" max="7" width="18.28515625" style="40" customWidth="1"/>
    <col min="8" max="8" width="14.7109375" style="40" customWidth="1"/>
    <col min="9" max="9" width="14.140625" style="40" bestFit="1" customWidth="1"/>
    <col min="10" max="10" width="15.7109375" style="40" customWidth="1"/>
    <col min="11" max="11" width="10.140625" style="40" customWidth="1"/>
    <col min="12" max="16384" width="8.85546875" style="40"/>
  </cols>
  <sheetData>
    <row r="1" spans="1:80">
      <c r="A1" s="38">
        <v>1</v>
      </c>
      <c r="B1" s="39" t="s">
        <v>1042</v>
      </c>
      <c r="C1" s="163" t="str">
        <f>LevyCalc!C3</f>
        <v>ABERDEEN</v>
      </c>
      <c r="D1" s="163"/>
      <c r="E1" s="163"/>
      <c r="F1" s="40" t="s">
        <v>1091</v>
      </c>
      <c r="CA1" s="40" t="s">
        <v>136</v>
      </c>
      <c r="CB1" s="40" t="s">
        <v>721</v>
      </c>
    </row>
    <row r="2" spans="1:80">
      <c r="A2" s="38">
        <f>A1+1</f>
        <v>2</v>
      </c>
      <c r="B2" s="39" t="s">
        <v>990</v>
      </c>
      <c r="C2" s="41" t="s">
        <v>1045</v>
      </c>
      <c r="D2" s="164" t="s">
        <v>992</v>
      </c>
      <c r="E2" s="164"/>
      <c r="F2" s="42">
        <v>2025</v>
      </c>
      <c r="CA2" s="40" t="s">
        <v>265</v>
      </c>
      <c r="CB2" s="40" t="s">
        <v>790</v>
      </c>
    </row>
    <row r="3" spans="1:80" ht="16.5" customHeight="1" thickBot="1">
      <c r="A3" s="38">
        <f t="shared" ref="A3:A71" si="0">A2+1</f>
        <v>3</v>
      </c>
      <c r="B3" s="39" t="s">
        <v>993</v>
      </c>
      <c r="C3" s="165"/>
      <c r="D3" s="166"/>
      <c r="E3" s="166"/>
      <c r="F3" s="166"/>
      <c r="K3" s="110"/>
      <c r="CA3" s="40" t="s">
        <v>287</v>
      </c>
      <c r="CB3" s="40" t="s">
        <v>801</v>
      </c>
    </row>
    <row r="4" spans="1:80" ht="16.5" customHeight="1">
      <c r="A4" s="38">
        <f t="shared" si="0"/>
        <v>4</v>
      </c>
      <c r="C4" s="167" t="s">
        <v>994</v>
      </c>
      <c r="D4" s="167"/>
      <c r="E4" s="167" t="s">
        <v>995</v>
      </c>
      <c r="F4" s="167"/>
      <c r="J4" s="154" t="s">
        <v>1093</v>
      </c>
      <c r="K4" s="155"/>
      <c r="CA4" s="40" t="s">
        <v>391</v>
      </c>
      <c r="CB4" s="40" t="s">
        <v>852</v>
      </c>
    </row>
    <row r="5" spans="1:80">
      <c r="A5" s="38">
        <f t="shared" si="0"/>
        <v>5</v>
      </c>
      <c r="C5" s="43"/>
      <c r="D5" s="43"/>
      <c r="E5" s="43"/>
      <c r="F5" s="43"/>
      <c r="J5" s="111" t="s">
        <v>1094</v>
      </c>
      <c r="K5" s="112" t="s">
        <v>1095</v>
      </c>
      <c r="CA5" s="40" t="s">
        <v>415</v>
      </c>
      <c r="CB5" s="40" t="s">
        <v>864</v>
      </c>
    </row>
    <row r="6" spans="1:80" ht="17.25" thickBot="1">
      <c r="A6" s="38">
        <f t="shared" si="0"/>
        <v>6</v>
      </c>
      <c r="B6" s="39" t="s">
        <v>996</v>
      </c>
      <c r="C6" s="43"/>
      <c r="D6" s="43"/>
      <c r="E6" s="43"/>
      <c r="F6" s="43"/>
      <c r="J6" s="113" t="s">
        <v>1092</v>
      </c>
      <c r="K6" s="114" t="s">
        <v>1096</v>
      </c>
      <c r="CA6" s="40" t="s">
        <v>12</v>
      </c>
      <c r="CB6" s="40" t="s">
        <v>658</v>
      </c>
    </row>
    <row r="7" spans="1:80">
      <c r="A7" s="38">
        <f t="shared" si="0"/>
        <v>7</v>
      </c>
      <c r="B7" s="39" t="s">
        <v>1073</v>
      </c>
      <c r="C7" s="104" t="s">
        <v>1074</v>
      </c>
      <c r="D7" s="43"/>
      <c r="E7" s="43"/>
      <c r="F7" s="43"/>
      <c r="CA7" s="40" t="s">
        <v>199</v>
      </c>
      <c r="CB7" s="40" t="s">
        <v>753</v>
      </c>
    </row>
    <row r="8" spans="1:80">
      <c r="A8" s="38">
        <f t="shared" si="0"/>
        <v>8</v>
      </c>
      <c r="C8" s="43"/>
      <c r="D8" s="43"/>
      <c r="E8" s="43"/>
      <c r="F8" s="43"/>
      <c r="CA8" s="40" t="s">
        <v>217</v>
      </c>
      <c r="CB8" s="40" t="s">
        <v>764</v>
      </c>
    </row>
    <row r="9" spans="1:80">
      <c r="A9" s="38">
        <f t="shared" si="0"/>
        <v>9</v>
      </c>
      <c r="B9" s="44" t="s">
        <v>997</v>
      </c>
      <c r="CA9" s="40" t="s">
        <v>64</v>
      </c>
      <c r="CB9" s="40" t="s">
        <v>685</v>
      </c>
    </row>
    <row r="10" spans="1:80">
      <c r="A10" s="38">
        <f t="shared" si="0"/>
        <v>10</v>
      </c>
      <c r="CA10" s="40" t="s">
        <v>194</v>
      </c>
      <c r="CB10" s="40" t="s">
        <v>750</v>
      </c>
    </row>
    <row r="11" spans="1:80">
      <c r="A11" s="38">
        <f t="shared" si="0"/>
        <v>11</v>
      </c>
      <c r="B11" s="40" t="s">
        <v>998</v>
      </c>
      <c r="CA11" s="40" t="s">
        <v>519</v>
      </c>
      <c r="CB11" s="40" t="s">
        <v>918</v>
      </c>
    </row>
    <row r="12" spans="1:80">
      <c r="A12" s="38">
        <f t="shared" si="0"/>
        <v>12</v>
      </c>
      <c r="C12" s="45"/>
      <c r="D12" s="45"/>
      <c r="E12" s="45" t="s">
        <v>999</v>
      </c>
      <c r="F12" s="46"/>
      <c r="CA12" s="40" t="s">
        <v>2</v>
      </c>
      <c r="CB12" s="40" t="s">
        <v>652</v>
      </c>
    </row>
    <row r="13" spans="1:80">
      <c r="A13" s="38">
        <f t="shared" si="0"/>
        <v>13</v>
      </c>
      <c r="B13" s="40" t="s">
        <v>1000</v>
      </c>
      <c r="CA13" s="40" t="s">
        <v>369</v>
      </c>
      <c r="CB13" s="40" t="s">
        <v>841</v>
      </c>
    </row>
    <row r="14" spans="1:80">
      <c r="A14" s="38">
        <f t="shared" si="0"/>
        <v>14</v>
      </c>
      <c r="C14" s="45"/>
      <c r="D14" s="45"/>
      <c r="E14" s="45" t="s">
        <v>999</v>
      </c>
      <c r="F14" s="46"/>
      <c r="CA14" s="40" t="s">
        <v>369</v>
      </c>
      <c r="CB14" s="40" t="s">
        <v>841</v>
      </c>
    </row>
    <row r="15" spans="1:80">
      <c r="A15" s="38">
        <f t="shared" si="0"/>
        <v>15</v>
      </c>
      <c r="C15" s="45"/>
      <c r="D15" s="45"/>
      <c r="F15" s="45"/>
      <c r="CA15" s="40" t="s">
        <v>239</v>
      </c>
      <c r="CB15" s="40" t="s">
        <v>777</v>
      </c>
    </row>
    <row r="16" spans="1:80">
      <c r="A16" s="38">
        <f t="shared" si="0"/>
        <v>16</v>
      </c>
      <c r="B16" s="44" t="s">
        <v>1001</v>
      </c>
      <c r="E16" s="45"/>
      <c r="CA16" s="40" t="s">
        <v>239</v>
      </c>
      <c r="CB16" s="40" t="s">
        <v>777</v>
      </c>
    </row>
    <row r="17" spans="1:80">
      <c r="A17" s="38">
        <f t="shared" si="0"/>
        <v>17</v>
      </c>
      <c r="B17" s="168"/>
      <c r="C17" s="169"/>
      <c r="D17" s="169"/>
      <c r="E17" s="169"/>
      <c r="F17" s="169"/>
      <c r="G17" s="170"/>
      <c r="CA17" s="40" t="s">
        <v>523</v>
      </c>
      <c r="CB17" s="40" t="s">
        <v>920</v>
      </c>
    </row>
    <row r="18" spans="1:80">
      <c r="A18" s="38">
        <f t="shared" si="0"/>
        <v>18</v>
      </c>
      <c r="B18" s="171"/>
      <c r="C18" s="172"/>
      <c r="D18" s="172"/>
      <c r="E18" s="172"/>
      <c r="F18" s="172"/>
      <c r="G18" s="173"/>
      <c r="CA18" s="40" t="s">
        <v>269</v>
      </c>
      <c r="CB18" s="40" t="s">
        <v>792</v>
      </c>
    </row>
    <row r="19" spans="1:80">
      <c r="A19" s="38">
        <f t="shared" si="0"/>
        <v>19</v>
      </c>
      <c r="B19" s="171"/>
      <c r="C19" s="172"/>
      <c r="D19" s="172"/>
      <c r="E19" s="172"/>
      <c r="F19" s="172"/>
      <c r="G19" s="173"/>
      <c r="CA19" s="40" t="s">
        <v>215</v>
      </c>
      <c r="CB19" s="40" t="s">
        <v>763</v>
      </c>
    </row>
    <row r="20" spans="1:80">
      <c r="A20" s="38">
        <f t="shared" si="0"/>
        <v>20</v>
      </c>
      <c r="B20" s="171"/>
      <c r="C20" s="172"/>
      <c r="D20" s="172"/>
      <c r="E20" s="172"/>
      <c r="F20" s="172"/>
      <c r="G20" s="173"/>
      <c r="CA20" s="40" t="s">
        <v>319</v>
      </c>
      <c r="CB20" s="40" t="s">
        <v>816</v>
      </c>
    </row>
    <row r="21" spans="1:80">
      <c r="A21" s="38">
        <f t="shared" si="0"/>
        <v>21</v>
      </c>
      <c r="B21" s="174"/>
      <c r="C21" s="166"/>
      <c r="D21" s="166"/>
      <c r="E21" s="166"/>
      <c r="F21" s="166"/>
      <c r="G21" s="175"/>
      <c r="CA21" s="40" t="s">
        <v>86</v>
      </c>
      <c r="CB21" s="40" t="s">
        <v>696</v>
      </c>
    </row>
    <row r="22" spans="1:80">
      <c r="A22" s="38">
        <f t="shared" si="0"/>
        <v>22</v>
      </c>
      <c r="B22" s="47" t="s">
        <v>1002</v>
      </c>
      <c r="C22" s="48"/>
      <c r="D22" s="48"/>
      <c r="E22" s="48"/>
      <c r="F22" s="48"/>
      <c r="G22" s="48"/>
      <c r="CA22" s="40" t="s">
        <v>170</v>
      </c>
      <c r="CB22" s="40" t="s">
        <v>738</v>
      </c>
    </row>
    <row r="23" spans="1:80">
      <c r="A23" s="38">
        <f t="shared" si="0"/>
        <v>23</v>
      </c>
      <c r="E23" s="45"/>
      <c r="CA23" s="40" t="s">
        <v>387</v>
      </c>
      <c r="CB23" s="40" t="s">
        <v>850</v>
      </c>
    </row>
    <row r="24" spans="1:80">
      <c r="A24" s="38">
        <f t="shared" si="0"/>
        <v>24</v>
      </c>
      <c r="B24" s="44" t="s">
        <v>1003</v>
      </c>
      <c r="CA24" s="40" t="s">
        <v>62</v>
      </c>
      <c r="CB24" s="40" t="s">
        <v>684</v>
      </c>
    </row>
    <row r="25" spans="1:80">
      <c r="A25" s="38">
        <f t="shared" si="0"/>
        <v>25</v>
      </c>
      <c r="C25" s="45"/>
      <c r="D25" s="45"/>
      <c r="E25" s="45"/>
      <c r="F25" s="48"/>
      <c r="H25" s="89"/>
      <c r="I25" s="89"/>
      <c r="CA25" s="40" t="s">
        <v>46</v>
      </c>
      <c r="CB25" s="40" t="s">
        <v>675</v>
      </c>
    </row>
    <row r="26" spans="1:80">
      <c r="A26" s="38">
        <f t="shared" si="0"/>
        <v>26</v>
      </c>
      <c r="B26" s="40" t="s">
        <v>1063</v>
      </c>
      <c r="C26" s="134">
        <f>F2+1</f>
        <v>2026</v>
      </c>
      <c r="D26" s="45" t="s">
        <v>1107</v>
      </c>
      <c r="E26" s="108">
        <f>INDEX(LevyCalc!$C$16:$G$16,MATCH($C$26,CY,0))</f>
        <v>3328.51</v>
      </c>
      <c r="F26" s="45" t="s">
        <v>593</v>
      </c>
      <c r="G26" s="115">
        <f>INDEX(LevyCalc!$C$17:$G$17,MATCH($C$26,CY,0))</f>
        <v>2.5</v>
      </c>
      <c r="CA26" s="40" t="s">
        <v>353</v>
      </c>
      <c r="CB26" s="40" t="s">
        <v>833</v>
      </c>
    </row>
    <row r="27" spans="1:80">
      <c r="A27" s="38">
        <f t="shared" si="0"/>
        <v>27</v>
      </c>
      <c r="C27" s="122"/>
      <c r="D27" s="45" t="s">
        <v>1109</v>
      </c>
      <c r="E27" s="108">
        <f>INDEX(LevyCalc!$C$37:$G$37,MATCH($C$26,CY,0))</f>
        <v>10239530.070666658</v>
      </c>
      <c r="F27" s="45" t="s">
        <v>1108</v>
      </c>
      <c r="G27" s="108">
        <f>INDEX(LevyCalc!$C$36:$G$36,MATCH($C$26,CY,0))</f>
        <v>7417452.2874999996</v>
      </c>
      <c r="CA27" s="40" t="s">
        <v>353</v>
      </c>
      <c r="CB27" s="40" t="s">
        <v>833</v>
      </c>
    </row>
    <row r="28" spans="1:80" customFormat="1">
      <c r="A28" s="38">
        <f t="shared" si="0"/>
        <v>28</v>
      </c>
      <c r="CA28" s="40" t="s">
        <v>36</v>
      </c>
      <c r="CB28" s="40" t="s">
        <v>670</v>
      </c>
    </row>
    <row r="29" spans="1:80">
      <c r="A29" s="38">
        <f t="shared" si="0"/>
        <v>29</v>
      </c>
      <c r="B29" s="40" t="s">
        <v>1004</v>
      </c>
      <c r="F29" s="45" t="s">
        <v>1060</v>
      </c>
      <c r="G29" s="109" t="str">
        <f>IF(INDEX(LevyCalc!$C$38:$G$38,MATCH($C$26,CY,0))=INDEX(LevyCalc!$C$37:$G$37,MATCH($C$26,CY,0)),"per pupil","$2.50/$1000AV")</f>
        <v>$2.50/$1000AV</v>
      </c>
      <c r="CA29" s="40" t="s">
        <v>34</v>
      </c>
      <c r="CB29" s="40" t="s">
        <v>669</v>
      </c>
    </row>
    <row r="30" spans="1:80">
      <c r="A30" s="38">
        <f t="shared" si="0"/>
        <v>30</v>
      </c>
      <c r="B30" s="40" t="s">
        <v>1110</v>
      </c>
      <c r="C30" s="122"/>
      <c r="D30" s="45" t="s">
        <v>1111</v>
      </c>
      <c r="E30" s="115">
        <f>MIN(E27,G27)</f>
        <v>7417452.2874999996</v>
      </c>
      <c r="F30" s="45" t="s">
        <v>593</v>
      </c>
      <c r="G30" s="115">
        <f>INDEX(LevyCalc!$C$41:$G$41,MATCH($C$26,CY,0))</f>
        <v>2.5</v>
      </c>
      <c r="CA30" s="40" t="s">
        <v>76</v>
      </c>
      <c r="CB30" s="40" t="s">
        <v>691</v>
      </c>
    </row>
    <row r="31" spans="1:80" customFormat="1">
      <c r="A31" s="38">
        <f t="shared" si="0"/>
        <v>31</v>
      </c>
      <c r="D31" s="40"/>
      <c r="CA31" s="40" t="s">
        <v>241</v>
      </c>
      <c r="CB31" s="40" t="s">
        <v>778</v>
      </c>
    </row>
    <row r="32" spans="1:80">
      <c r="A32" s="38">
        <f t="shared" si="0"/>
        <v>32</v>
      </c>
      <c r="CA32" s="40" t="s">
        <v>221</v>
      </c>
      <c r="CB32" s="40" t="s">
        <v>766</v>
      </c>
    </row>
    <row r="33" spans="1:80">
      <c r="A33" s="38">
        <f t="shared" si="0"/>
        <v>33</v>
      </c>
      <c r="B33" s="44" t="s">
        <v>1006</v>
      </c>
      <c r="CA33" s="40" t="s">
        <v>447</v>
      </c>
      <c r="CB33" s="40" t="s">
        <v>880</v>
      </c>
    </row>
    <row r="34" spans="1:80">
      <c r="A34" s="38">
        <f t="shared" si="0"/>
        <v>34</v>
      </c>
      <c r="B34" s="44"/>
      <c r="CA34" s="40" t="s">
        <v>281</v>
      </c>
      <c r="CB34" s="40" t="s">
        <v>798</v>
      </c>
    </row>
    <row r="35" spans="1:80">
      <c r="A35" s="38">
        <f t="shared" si="0"/>
        <v>35</v>
      </c>
      <c r="C35" s="50" t="s">
        <v>1007</v>
      </c>
      <c r="D35" s="176" t="s">
        <v>1008</v>
      </c>
      <c r="E35" s="176"/>
      <c r="F35" s="176"/>
      <c r="G35" s="176"/>
      <c r="H35" s="51"/>
      <c r="CA35" s="40" t="s">
        <v>277</v>
      </c>
      <c r="CB35" s="40" t="s">
        <v>796</v>
      </c>
    </row>
    <row r="36" spans="1:80" ht="16.5" customHeight="1">
      <c r="A36" s="38">
        <f t="shared" si="0"/>
        <v>36</v>
      </c>
      <c r="C36" s="176" t="s">
        <v>608</v>
      </c>
      <c r="D36" s="176"/>
      <c r="E36" s="176"/>
      <c r="F36" s="176"/>
      <c r="G36" s="176"/>
      <c r="CA36" s="40" t="s">
        <v>451</v>
      </c>
      <c r="CB36" s="40" t="s">
        <v>882</v>
      </c>
    </row>
    <row r="37" spans="1:80">
      <c r="A37" s="38">
        <f t="shared" si="0"/>
        <v>37</v>
      </c>
      <c r="C37" s="52">
        <f>D37-1</f>
        <v>2025</v>
      </c>
      <c r="D37" s="53">
        <f>IFERROR(C26," ")</f>
        <v>2026</v>
      </c>
      <c r="E37" s="53">
        <f>IFERROR(D37+1," ")</f>
        <v>2027</v>
      </c>
      <c r="F37" s="53">
        <f t="shared" ref="F37:G37" si="1">IFERROR(E37+1," ")</f>
        <v>2028</v>
      </c>
      <c r="G37" s="53">
        <f t="shared" si="1"/>
        <v>2029</v>
      </c>
      <c r="CA37" s="40" t="s">
        <v>465</v>
      </c>
      <c r="CB37" s="40" t="s">
        <v>889</v>
      </c>
    </row>
    <row r="38" spans="1:80">
      <c r="A38" s="38">
        <f t="shared" si="0"/>
        <v>38</v>
      </c>
      <c r="B38" s="54" t="s">
        <v>1009</v>
      </c>
      <c r="C38" s="115">
        <f>IFERROR(INDEX(LevyCalc!$C$48:$G$48,MATCH(C$37,LevyCalc!$C$15:$G$15,0)),0)</f>
        <v>2.2200000000000002</v>
      </c>
      <c r="D38" s="115">
        <f>IFERROR(INDEX(LevyCalc!$C$48:$G$48,MATCH(D$37,LevyCalc!$C$15:$G$15,0)),0)</f>
        <v>2.0099999999999998</v>
      </c>
      <c r="E38" s="115">
        <f>IFERROR(INDEX(LevyCalc!$C$48:$G$48,MATCH(E$37,LevyCalc!$C$15:$G$15,0)),0)</f>
        <v>1.82</v>
      </c>
      <c r="F38" s="115">
        <f>IFERROR(INDEX(LevyCalc!$C$48:$G$48,MATCH(F$37,LevyCalc!$C$15:$G$15,0)),0)</f>
        <v>1.67</v>
      </c>
      <c r="G38" s="115">
        <f>IFERROR(INDEX(LevyCalc!$C$48:$G$48,MATCH(G$37,LevyCalc!$C$15:$G$15,0)),0)</f>
        <v>0</v>
      </c>
      <c r="CA38" s="40" t="s">
        <v>174</v>
      </c>
      <c r="CB38" s="40" t="s">
        <v>740</v>
      </c>
    </row>
    <row r="39" spans="1:80">
      <c r="A39" s="38">
        <f t="shared" si="0"/>
        <v>39</v>
      </c>
      <c r="B39" s="54" t="s">
        <v>1097</v>
      </c>
      <c r="C39" s="108">
        <f>IFERROR(INDEX(LevyCalc!$C$47:$G$47,MATCH(C$37,LevyCalc!$C$15:$G$15,0)),0)</f>
        <v>5950000</v>
      </c>
      <c r="D39" s="108">
        <f>IFERROR(INDEX(LevyCalc!$C$47:$G$47,MATCH(D$37,LevyCalc!$C$15:$G$15,0)),0)</f>
        <v>5950000</v>
      </c>
      <c r="E39" s="108">
        <f>IFERROR(INDEX(LevyCalc!$C$47:$G$47,MATCH(E$37,LevyCalc!$C$15:$G$15,0)),0)</f>
        <v>5950000</v>
      </c>
      <c r="F39" s="108">
        <f>IFERROR(INDEX(LevyCalc!$C$47:$G$47,MATCH(F$37,LevyCalc!$C$15:$G$15,0)),0)</f>
        <v>5950000</v>
      </c>
      <c r="G39" s="108">
        <f>IFERROR(INDEX(LevyCalc!$C$47:$G$47,MATCH(G$37,LevyCalc!$C$15:$G$15,0)),0)</f>
        <v>0</v>
      </c>
      <c r="CA39" s="40" t="s">
        <v>10</v>
      </c>
      <c r="CB39" s="40" t="s">
        <v>657</v>
      </c>
    </row>
    <row r="40" spans="1:80">
      <c r="A40" s="38">
        <f t="shared" si="0"/>
        <v>40</v>
      </c>
      <c r="B40" s="54" t="s">
        <v>1010</v>
      </c>
      <c r="C40" s="108">
        <f>IFERROR(INDEX(LevyCalc!$C$40:$G$40,MATCH(C$37,LevyCalc!$C$15:$G$15,0)),0)</f>
        <v>5950000</v>
      </c>
      <c r="D40" s="108">
        <f>IFERROR(INDEX(LevyCalc!$C$40:$G$40,MATCH(D$37,LevyCalc!$C$15:$G$15,0)),0)</f>
        <v>5950000</v>
      </c>
      <c r="E40" s="108">
        <f>IFERROR(INDEX(LevyCalc!$C$40:$G$40,MATCH(E$37,LevyCalc!$C$15:$G$15,0)),0)</f>
        <v>5950000</v>
      </c>
      <c r="F40" s="108">
        <f>IFERROR(INDEX(LevyCalc!$C$40:$G$40,MATCH(F$37,LevyCalc!$C$15:$G$15,0)),0)</f>
        <v>5950000</v>
      </c>
      <c r="G40" s="108">
        <f>IFERROR(INDEX(LevyCalc!$C$40:$G$40,MATCH(G$37,LevyCalc!$C$15:$G$15,0)),0)</f>
        <v>0</v>
      </c>
      <c r="CA40" s="40" t="s">
        <v>235</v>
      </c>
      <c r="CB40" s="40" t="s">
        <v>775</v>
      </c>
    </row>
    <row r="41" spans="1:80">
      <c r="A41" s="38">
        <f t="shared" si="0"/>
        <v>41</v>
      </c>
      <c r="B41" s="54" t="s">
        <v>1128</v>
      </c>
      <c r="C41" s="108">
        <f>IFERROR(INDEX(LevyCalc!$C$39:$G$39,MATCH(C$37,LevyCalc!$C$15:$G$15,0)),0)</f>
        <v>0</v>
      </c>
      <c r="D41" s="108">
        <f>IFERROR(INDEX(LevyCalc!$C$39:$G$39,MATCH(D$37,LevyCalc!$C$15:$G$15,0)),0)</f>
        <v>0</v>
      </c>
      <c r="E41" s="108">
        <f>IFERROR(INDEX(LevyCalc!$C$39:$G$39,MATCH(E$37,LevyCalc!$C$15:$G$15,0)),0)</f>
        <v>0</v>
      </c>
      <c r="F41" s="108">
        <f>IFERROR(INDEX(LevyCalc!$C$39:$G$39,MATCH(F$37,LevyCalc!$C$15:$G$15,0)),0)</f>
        <v>0</v>
      </c>
      <c r="G41" s="108">
        <f>IFERROR(INDEX(LevyCalc!$C$39:$G$39,MATCH(G$37,LevyCalc!$C$15:$G$15,0)),0)</f>
        <v>0</v>
      </c>
      <c r="CA41" s="40" t="s">
        <v>363</v>
      </c>
      <c r="CB41" s="40" t="s">
        <v>838</v>
      </c>
    </row>
    <row r="42" spans="1:80" ht="26.25" customHeight="1">
      <c r="A42" s="38">
        <f t="shared" si="0"/>
        <v>42</v>
      </c>
      <c r="C42" s="56"/>
      <c r="D42" s="152" t="s">
        <v>618</v>
      </c>
      <c r="E42" s="152"/>
      <c r="F42" s="152"/>
      <c r="G42" s="152"/>
      <c r="CA42" s="40" t="s">
        <v>541</v>
      </c>
      <c r="CB42" s="40" t="s">
        <v>930</v>
      </c>
    </row>
    <row r="43" spans="1:80">
      <c r="A43" s="38">
        <f t="shared" si="0"/>
        <v>43</v>
      </c>
      <c r="C43" s="48"/>
      <c r="D43" s="50" t="str">
        <f>IF(C37=" ","",VLOOKUP(C$37,Sheet1!$C$4:$D$26,2))</f>
        <v>2025-26</v>
      </c>
      <c r="E43" s="50" t="str">
        <f>IF(D37=" ","",VLOOKUP(D$37,Sheet1!$C$4:$D$26,2))</f>
        <v>2026-27</v>
      </c>
      <c r="F43" s="50" t="str">
        <f>IF(E37=" ","",VLOOKUP(E$37,Sheet1!$C$4:$D$26,2))</f>
        <v>2027-28</v>
      </c>
      <c r="G43" s="50" t="str">
        <f>IF(F37=" ","",VLOOKUP(F$37,Sheet1!$C$4:$D$26,2))</f>
        <v>2028-29</v>
      </c>
      <c r="CA43" s="40" t="s">
        <v>549</v>
      </c>
      <c r="CB43" s="40" t="s">
        <v>934</v>
      </c>
    </row>
    <row r="44" spans="1:80">
      <c r="A44" s="38">
        <f t="shared" si="0"/>
        <v>44</v>
      </c>
      <c r="B44" s="160" t="s">
        <v>1011</v>
      </c>
      <c r="C44" s="161"/>
      <c r="D44" s="49">
        <f>ROUND((0.5262*D40)+(0.4738*C40),0)</f>
        <v>5950000</v>
      </c>
      <c r="E44" s="49">
        <f>ROUND((0.5262*E40)+(0.4738*D40),0)</f>
        <v>5950000</v>
      </c>
      <c r="F44" s="49">
        <f>ROUND((0.5262*F40)+(0.4738*E40),0)</f>
        <v>5950000</v>
      </c>
      <c r="G44" s="49">
        <f>ROUND((0.5262*G40)+(0.4738*F40),0)</f>
        <v>2819110</v>
      </c>
      <c r="CA44" s="40" t="s">
        <v>479</v>
      </c>
      <c r="CB44" s="40" t="s">
        <v>896</v>
      </c>
    </row>
    <row r="45" spans="1:80" ht="24.75" customHeight="1">
      <c r="A45" s="38">
        <f t="shared" si="0"/>
        <v>45</v>
      </c>
      <c r="C45" s="48"/>
      <c r="D45" s="152" t="s">
        <v>618</v>
      </c>
      <c r="E45" s="152"/>
      <c r="F45" s="152"/>
      <c r="G45" s="152"/>
      <c r="CA45" s="40" t="s">
        <v>513</v>
      </c>
      <c r="CB45" s="40" t="s">
        <v>915</v>
      </c>
    </row>
    <row r="46" spans="1:80">
      <c r="A46" s="38">
        <f t="shared" si="0"/>
        <v>46</v>
      </c>
      <c r="B46" s="153" t="s">
        <v>1012</v>
      </c>
      <c r="C46" s="153"/>
      <c r="D46" s="50" t="str">
        <f>D43</f>
        <v>2025-26</v>
      </c>
      <c r="E46" s="50" t="str">
        <f>E43</f>
        <v>2026-27</v>
      </c>
      <c r="F46" s="50" t="str">
        <f>F43</f>
        <v>2027-28</v>
      </c>
      <c r="G46" s="50" t="str">
        <f>G43</f>
        <v>2028-29</v>
      </c>
      <c r="CA46" s="40" t="s">
        <v>471</v>
      </c>
      <c r="CB46" s="40" t="s">
        <v>892</v>
      </c>
    </row>
    <row r="47" spans="1:80">
      <c r="A47" s="38">
        <f t="shared" si="0"/>
        <v>47</v>
      </c>
      <c r="B47" s="158" t="s">
        <v>1013</v>
      </c>
      <c r="C47" s="159"/>
      <c r="D47" s="55"/>
      <c r="E47" s="55"/>
      <c r="F47" s="55"/>
      <c r="G47" s="55"/>
      <c r="CA47" s="40" t="s">
        <v>385</v>
      </c>
      <c r="CB47" s="40" t="s">
        <v>849</v>
      </c>
    </row>
    <row r="48" spans="1:80">
      <c r="A48" s="38">
        <f t="shared" si="0"/>
        <v>48</v>
      </c>
      <c r="B48" s="158" t="s">
        <v>1014</v>
      </c>
      <c r="C48" s="159"/>
      <c r="D48" s="55"/>
      <c r="E48" s="55"/>
      <c r="F48" s="55"/>
      <c r="G48" s="55"/>
      <c r="CA48" s="40" t="s">
        <v>395</v>
      </c>
      <c r="CB48" s="40" t="s">
        <v>854</v>
      </c>
    </row>
    <row r="49" spans="1:80">
      <c r="A49" s="38">
        <f t="shared" si="0"/>
        <v>49</v>
      </c>
      <c r="B49" s="158" t="s">
        <v>1015</v>
      </c>
      <c r="C49" s="159"/>
      <c r="D49" s="55"/>
      <c r="E49" s="55"/>
      <c r="F49" s="55"/>
      <c r="G49" s="55"/>
      <c r="CA49" s="40" t="s">
        <v>152</v>
      </c>
      <c r="CB49" s="40" t="s">
        <v>729</v>
      </c>
    </row>
    <row r="50" spans="1:80">
      <c r="A50" s="38">
        <f t="shared" si="0"/>
        <v>50</v>
      </c>
      <c r="B50" s="158" t="s">
        <v>1016</v>
      </c>
      <c r="C50" s="159"/>
      <c r="D50" s="55"/>
      <c r="E50" s="55"/>
      <c r="F50" s="55"/>
      <c r="G50" s="55"/>
      <c r="CA50" s="40" t="s">
        <v>122</v>
      </c>
      <c r="CB50" s="40" t="s">
        <v>714</v>
      </c>
    </row>
    <row r="51" spans="1:80">
      <c r="A51" s="38">
        <f t="shared" si="0"/>
        <v>51</v>
      </c>
      <c r="B51" s="158" t="s">
        <v>1017</v>
      </c>
      <c r="C51" s="159"/>
      <c r="D51" s="55"/>
      <c r="E51" s="55"/>
      <c r="F51" s="55"/>
      <c r="G51" s="55"/>
      <c r="CA51" s="40" t="s">
        <v>164</v>
      </c>
      <c r="CB51" s="40" t="s">
        <v>735</v>
      </c>
    </row>
    <row r="52" spans="1:80">
      <c r="A52" s="38">
        <f t="shared" si="0"/>
        <v>52</v>
      </c>
      <c r="B52" s="158" t="s">
        <v>1018</v>
      </c>
      <c r="C52" s="159"/>
      <c r="D52" s="55"/>
      <c r="E52" s="55"/>
      <c r="F52" s="55"/>
      <c r="G52" s="55"/>
      <c r="CA52" s="40" t="s">
        <v>42</v>
      </c>
      <c r="CB52" s="40" t="s">
        <v>673</v>
      </c>
    </row>
    <row r="53" spans="1:80">
      <c r="A53" s="38">
        <f t="shared" si="0"/>
        <v>53</v>
      </c>
      <c r="B53" s="158" t="s">
        <v>1019</v>
      </c>
      <c r="C53" s="159"/>
      <c r="D53" s="55"/>
      <c r="E53" s="55"/>
      <c r="F53" s="55"/>
      <c r="G53" s="55"/>
      <c r="CA53" s="40" t="s">
        <v>289</v>
      </c>
      <c r="CB53" s="40" t="s">
        <v>802</v>
      </c>
    </row>
    <row r="54" spans="1:80">
      <c r="A54" s="38">
        <f t="shared" si="0"/>
        <v>54</v>
      </c>
      <c r="B54" s="158" t="s">
        <v>1020</v>
      </c>
      <c r="C54" s="159"/>
      <c r="D54" s="55"/>
      <c r="E54" s="55"/>
      <c r="F54" s="55"/>
      <c r="G54" s="55"/>
      <c r="CA54" s="40" t="s">
        <v>98</v>
      </c>
      <c r="CB54" s="40" t="s">
        <v>702</v>
      </c>
    </row>
    <row r="55" spans="1:80">
      <c r="A55" s="38">
        <f t="shared" si="0"/>
        <v>55</v>
      </c>
      <c r="B55" s="160" t="s">
        <v>1021</v>
      </c>
      <c r="C55" s="161"/>
      <c r="D55" s="57">
        <f>SUM(D47:D54)</f>
        <v>0</v>
      </c>
      <c r="E55" s="57">
        <f t="shared" ref="E55:G55" si="2">SUM(E47:E54)</f>
        <v>0</v>
      </c>
      <c r="F55" s="57">
        <f t="shared" si="2"/>
        <v>0</v>
      </c>
      <c r="G55" s="57">
        <f t="shared" si="2"/>
        <v>0</v>
      </c>
      <c r="CA55" s="40" t="s">
        <v>343</v>
      </c>
      <c r="CB55" s="40" t="s">
        <v>828</v>
      </c>
    </row>
    <row r="56" spans="1:80" ht="27" customHeight="1">
      <c r="A56" s="38">
        <f t="shared" si="0"/>
        <v>56</v>
      </c>
      <c r="C56" s="48"/>
      <c r="D56" s="152" t="s">
        <v>1022</v>
      </c>
      <c r="E56" s="152"/>
      <c r="F56" s="152"/>
      <c r="G56" s="152"/>
      <c r="CA56" s="40" t="s">
        <v>225</v>
      </c>
      <c r="CB56" s="40" t="s">
        <v>770</v>
      </c>
    </row>
    <row r="57" spans="1:80">
      <c r="A57" s="38">
        <f t="shared" si="0"/>
        <v>57</v>
      </c>
      <c r="B57" s="153" t="s">
        <v>1023</v>
      </c>
      <c r="C57" s="153"/>
      <c r="D57" s="50" t="str">
        <f>D46</f>
        <v>2025-26</v>
      </c>
      <c r="E57" s="50" t="str">
        <f>E46</f>
        <v>2026-27</v>
      </c>
      <c r="F57" s="50" t="str">
        <f>F46</f>
        <v>2027-28</v>
      </c>
      <c r="G57" s="50" t="str">
        <f>G46</f>
        <v>2028-29</v>
      </c>
      <c r="CA57" s="40" t="s">
        <v>429</v>
      </c>
      <c r="CB57" s="40" t="s">
        <v>871</v>
      </c>
    </row>
    <row r="58" spans="1:80">
      <c r="A58" s="38">
        <f t="shared" si="0"/>
        <v>58</v>
      </c>
      <c r="B58" s="158" t="s">
        <v>1024</v>
      </c>
      <c r="C58" s="159"/>
      <c r="D58" s="55"/>
      <c r="E58" s="55"/>
      <c r="F58" s="55"/>
      <c r="G58" s="55"/>
      <c r="CA58" s="40" t="s">
        <v>297</v>
      </c>
      <c r="CB58" s="40" t="s">
        <v>806</v>
      </c>
    </row>
    <row r="59" spans="1:80">
      <c r="A59" s="38">
        <f t="shared" si="0"/>
        <v>59</v>
      </c>
      <c r="B59" s="158" t="s">
        <v>1025</v>
      </c>
      <c r="C59" s="159"/>
      <c r="D59" s="55"/>
      <c r="E59" s="55"/>
      <c r="F59" s="55"/>
      <c r="G59" s="55"/>
      <c r="CA59" s="40" t="s">
        <v>68</v>
      </c>
      <c r="CB59" s="40" t="s">
        <v>687</v>
      </c>
    </row>
    <row r="60" spans="1:80">
      <c r="A60" s="38">
        <f t="shared" si="0"/>
        <v>60</v>
      </c>
      <c r="B60" s="158" t="s">
        <v>1026</v>
      </c>
      <c r="C60" s="159"/>
      <c r="D60" s="55"/>
      <c r="E60" s="55"/>
      <c r="F60" s="55"/>
      <c r="G60" s="55"/>
      <c r="CA60" s="40" t="s">
        <v>459</v>
      </c>
      <c r="CB60" s="40" t="s">
        <v>886</v>
      </c>
    </row>
    <row r="61" spans="1:80">
      <c r="A61" s="38">
        <f t="shared" si="0"/>
        <v>61</v>
      </c>
      <c r="B61" s="162" t="s">
        <v>1027</v>
      </c>
      <c r="C61" s="159"/>
      <c r="D61" s="55"/>
      <c r="E61" s="55"/>
      <c r="F61" s="55"/>
      <c r="G61" s="55"/>
      <c r="CA61" s="40" t="s">
        <v>359</v>
      </c>
      <c r="CB61" s="40" t="s">
        <v>836</v>
      </c>
    </row>
    <row r="62" spans="1:80">
      <c r="A62" s="38">
        <f t="shared" si="0"/>
        <v>62</v>
      </c>
      <c r="B62" s="158" t="s">
        <v>1028</v>
      </c>
      <c r="C62" s="159"/>
      <c r="D62" s="55"/>
      <c r="E62" s="55"/>
      <c r="F62" s="55"/>
      <c r="G62" s="55"/>
      <c r="CA62" s="40" t="s">
        <v>505</v>
      </c>
      <c r="CB62" s="40" t="s">
        <v>911</v>
      </c>
    </row>
    <row r="63" spans="1:80">
      <c r="A63" s="38">
        <f t="shared" si="0"/>
        <v>63</v>
      </c>
      <c r="B63" s="158" t="s">
        <v>1029</v>
      </c>
      <c r="C63" s="159"/>
      <c r="D63" s="55"/>
      <c r="E63" s="55"/>
      <c r="F63" s="55"/>
      <c r="G63" s="55"/>
      <c r="CA63" s="40" t="s">
        <v>453</v>
      </c>
      <c r="CB63" s="40" t="s">
        <v>883</v>
      </c>
    </row>
    <row r="64" spans="1:80">
      <c r="A64" s="38">
        <f t="shared" si="0"/>
        <v>64</v>
      </c>
      <c r="B64" s="158" t="s">
        <v>1030</v>
      </c>
      <c r="C64" s="159"/>
      <c r="D64" s="55"/>
      <c r="E64" s="55"/>
      <c r="F64" s="55"/>
      <c r="G64" s="55"/>
      <c r="CA64" s="40" t="s">
        <v>565</v>
      </c>
      <c r="CB64" s="40" t="s">
        <v>942</v>
      </c>
    </row>
    <row r="65" spans="1:80">
      <c r="A65" s="38">
        <f t="shared" si="0"/>
        <v>65</v>
      </c>
      <c r="B65" s="160" t="s">
        <v>1031</v>
      </c>
      <c r="C65" s="161"/>
      <c r="D65" s="57">
        <f>SUM(D58:D64)</f>
        <v>0</v>
      </c>
      <c r="E65" s="57">
        <f t="shared" ref="E65:G65" si="3">SUM(E58:E64)</f>
        <v>0</v>
      </c>
      <c r="F65" s="57">
        <f t="shared" si="3"/>
        <v>0</v>
      </c>
      <c r="G65" s="57">
        <f t="shared" si="3"/>
        <v>0</v>
      </c>
      <c r="CA65" s="40" t="s">
        <v>90</v>
      </c>
      <c r="CB65" s="40" t="s">
        <v>698</v>
      </c>
    </row>
    <row r="66" spans="1:80">
      <c r="A66" s="38">
        <f t="shared" si="0"/>
        <v>66</v>
      </c>
      <c r="B66" s="160" t="s">
        <v>1139</v>
      </c>
      <c r="C66" s="161"/>
      <c r="D66" s="58">
        <f>D65-D55</f>
        <v>0</v>
      </c>
      <c r="E66" s="58">
        <f>E65-E55</f>
        <v>0</v>
      </c>
      <c r="F66" s="58">
        <f>F65-F55</f>
        <v>0</v>
      </c>
      <c r="G66" s="58">
        <f>G65-G55</f>
        <v>0</v>
      </c>
      <c r="CA66" s="40" t="s">
        <v>227</v>
      </c>
      <c r="CB66" s="40" t="s">
        <v>771</v>
      </c>
    </row>
    <row r="67" spans="1:80">
      <c r="A67" s="38">
        <f t="shared" si="0"/>
        <v>67</v>
      </c>
      <c r="CA67" s="40" t="s">
        <v>371</v>
      </c>
      <c r="CB67" s="40" t="s">
        <v>842</v>
      </c>
    </row>
    <row r="68" spans="1:80">
      <c r="A68" s="38">
        <f t="shared" si="0"/>
        <v>68</v>
      </c>
      <c r="B68" s="153" t="s">
        <v>1138</v>
      </c>
      <c r="C68" s="153"/>
      <c r="D68" s="59">
        <f>(D55-D44)</f>
        <v>-5950000</v>
      </c>
      <c r="E68" s="59">
        <f>(E55-E44)</f>
        <v>-5950000</v>
      </c>
      <c r="F68" s="59">
        <f>(F55-F44)</f>
        <v>-5950000</v>
      </c>
      <c r="G68" s="59">
        <f>(G55-G44)</f>
        <v>-2819110</v>
      </c>
      <c r="CA68" s="40" t="s">
        <v>413</v>
      </c>
      <c r="CB68" s="40" t="s">
        <v>863</v>
      </c>
    </row>
    <row r="69" spans="1:80">
      <c r="A69" s="38">
        <f t="shared" si="0"/>
        <v>69</v>
      </c>
      <c r="B69" s="45"/>
      <c r="CA69" s="40" t="s">
        <v>231</v>
      </c>
      <c r="CB69" s="40" t="s">
        <v>773</v>
      </c>
    </row>
    <row r="70" spans="1:80">
      <c r="A70" s="38">
        <f t="shared" si="0"/>
        <v>70</v>
      </c>
      <c r="B70" s="157" t="s">
        <v>1032</v>
      </c>
      <c r="C70" s="157"/>
      <c r="CA70" s="40" t="s">
        <v>146</v>
      </c>
      <c r="CB70" s="40" t="s">
        <v>726</v>
      </c>
    </row>
    <row r="71" spans="1:80">
      <c r="A71" s="38">
        <f t="shared" si="0"/>
        <v>71</v>
      </c>
      <c r="B71" s="44"/>
      <c r="D71" s="40" t="s">
        <v>1033</v>
      </c>
      <c r="CA71" s="40" t="s">
        <v>551</v>
      </c>
      <c r="CB71" s="40" t="s">
        <v>935</v>
      </c>
    </row>
    <row r="72" spans="1:80">
      <c r="A72" s="38">
        <f t="shared" ref="A72:A79" si="4">A71+1</f>
        <v>72</v>
      </c>
      <c r="C72" s="45"/>
      <c r="D72" s="45" t="s">
        <v>1034</v>
      </c>
      <c r="E72" s="156"/>
      <c r="F72" s="156"/>
      <c r="G72" s="156"/>
      <c r="CA72" s="40" t="s">
        <v>30</v>
      </c>
      <c r="CB72" s="40" t="s">
        <v>667</v>
      </c>
    </row>
    <row r="73" spans="1:80">
      <c r="A73" s="38">
        <f t="shared" si="4"/>
        <v>73</v>
      </c>
      <c r="C73" s="45"/>
      <c r="D73" s="45" t="s">
        <v>1035</v>
      </c>
      <c r="E73" s="156"/>
      <c r="F73" s="156"/>
      <c r="G73" s="156"/>
      <c r="CA73" s="40" t="s">
        <v>182</v>
      </c>
      <c r="CB73" s="40" t="s">
        <v>744</v>
      </c>
    </row>
    <row r="74" spans="1:80" ht="24" customHeight="1">
      <c r="A74" s="38">
        <f t="shared" si="4"/>
        <v>74</v>
      </c>
      <c r="C74" s="45"/>
      <c r="D74" s="45"/>
      <c r="E74" s="40" t="s">
        <v>1036</v>
      </c>
      <c r="CA74" s="40" t="s">
        <v>130</v>
      </c>
      <c r="CB74" s="40" t="s">
        <v>718</v>
      </c>
    </row>
    <row r="75" spans="1:80">
      <c r="A75" s="38">
        <f t="shared" si="4"/>
        <v>75</v>
      </c>
      <c r="C75" s="45"/>
      <c r="D75" s="45" t="s">
        <v>1037</v>
      </c>
      <c r="E75" s="60"/>
      <c r="CA75" s="40" t="s">
        <v>259</v>
      </c>
      <c r="CB75" s="40" t="s">
        <v>787</v>
      </c>
    </row>
    <row r="76" spans="1:80">
      <c r="A76" s="38">
        <f t="shared" si="4"/>
        <v>76</v>
      </c>
      <c r="CA76" s="40" t="s">
        <v>407</v>
      </c>
      <c r="CB76" s="40" t="s">
        <v>860</v>
      </c>
    </row>
    <row r="77" spans="1:80">
      <c r="A77" s="38">
        <f t="shared" si="4"/>
        <v>77</v>
      </c>
      <c r="B77" s="157" t="s">
        <v>1038</v>
      </c>
      <c r="C77" s="157"/>
      <c r="CA77" s="40" t="s">
        <v>60</v>
      </c>
      <c r="CB77" s="40" t="s">
        <v>683</v>
      </c>
    </row>
    <row r="78" spans="1:80" ht="33">
      <c r="A78" s="38">
        <f t="shared" si="4"/>
        <v>78</v>
      </c>
      <c r="C78" s="61"/>
      <c r="D78" s="61" t="s">
        <v>1039</v>
      </c>
      <c r="E78" s="62"/>
      <c r="F78" s="63" t="s">
        <v>1040</v>
      </c>
      <c r="G78" s="62"/>
      <c r="CA78" s="40" t="s">
        <v>477</v>
      </c>
      <c r="CB78" s="40" t="s">
        <v>895</v>
      </c>
    </row>
    <row r="79" spans="1:80" ht="23.45" customHeight="1">
      <c r="A79" s="38">
        <f t="shared" si="4"/>
        <v>79</v>
      </c>
      <c r="C79" s="45"/>
      <c r="D79" s="45" t="s">
        <v>1037</v>
      </c>
      <c r="E79" s="60"/>
      <c r="F79" s="45" t="s">
        <v>1037</v>
      </c>
      <c r="G79" s="60"/>
      <c r="CA79" s="40" t="s">
        <v>180</v>
      </c>
      <c r="CB79" s="40" t="s">
        <v>743</v>
      </c>
    </row>
    <row r="80" spans="1:80">
      <c r="CA80" s="40" t="s">
        <v>521</v>
      </c>
      <c r="CB80" s="40" t="s">
        <v>919</v>
      </c>
    </row>
    <row r="81" spans="79:80">
      <c r="CA81" s="40" t="s">
        <v>375</v>
      </c>
      <c r="CB81" s="40" t="s">
        <v>844</v>
      </c>
    </row>
    <row r="82" spans="79:80">
      <c r="CA82" s="40" t="s">
        <v>20</v>
      </c>
      <c r="CB82" s="40" t="s">
        <v>662</v>
      </c>
    </row>
    <row r="83" spans="79:80">
      <c r="CA83" s="40" t="s">
        <v>367</v>
      </c>
      <c r="CB83" s="40" t="s">
        <v>840</v>
      </c>
    </row>
    <row r="84" spans="79:80">
      <c r="CA84" s="40" t="s">
        <v>449</v>
      </c>
      <c r="CB84" s="40" t="s">
        <v>881</v>
      </c>
    </row>
    <row r="85" spans="79:80">
      <c r="CA85" s="40" t="s">
        <v>545</v>
      </c>
      <c r="CB85" s="40" t="s">
        <v>932</v>
      </c>
    </row>
    <row r="86" spans="79:80">
      <c r="CA86" s="40" t="s">
        <v>245</v>
      </c>
      <c r="CB86" s="40" t="s">
        <v>780</v>
      </c>
    </row>
    <row r="87" spans="79:80">
      <c r="CA87" s="40" t="s">
        <v>251</v>
      </c>
      <c r="CB87" s="40" t="s">
        <v>783</v>
      </c>
    </row>
    <row r="88" spans="79:80">
      <c r="CA88" s="40" t="s">
        <v>134</v>
      </c>
      <c r="CB88" s="40" t="s">
        <v>720</v>
      </c>
    </row>
    <row r="89" spans="79:80">
      <c r="CA89" s="40" t="s">
        <v>571</v>
      </c>
      <c r="CB89" s="40" t="s">
        <v>945</v>
      </c>
    </row>
    <row r="90" spans="79:80">
      <c r="CA90" s="40" t="s">
        <v>579</v>
      </c>
      <c r="CB90" s="40" t="s">
        <v>949</v>
      </c>
    </row>
    <row r="91" spans="79:80">
      <c r="CA91" s="40" t="s">
        <v>431</v>
      </c>
      <c r="CB91" s="40" t="s">
        <v>872</v>
      </c>
    </row>
    <row r="92" spans="79:80">
      <c r="CA92" s="40" t="s">
        <v>301</v>
      </c>
      <c r="CB92" s="40" t="s">
        <v>808</v>
      </c>
    </row>
    <row r="93" spans="79:80">
      <c r="CA93" s="40" t="s">
        <v>439</v>
      </c>
      <c r="CB93" s="40" t="s">
        <v>876</v>
      </c>
    </row>
    <row r="94" spans="79:80">
      <c r="CA94" s="40" t="s">
        <v>56</v>
      </c>
      <c r="CB94" s="40" t="s">
        <v>681</v>
      </c>
    </row>
    <row r="95" spans="79:80">
      <c r="CA95" s="40" t="s">
        <v>497</v>
      </c>
      <c r="CB95" s="40" t="s">
        <v>905</v>
      </c>
    </row>
    <row r="96" spans="79:80">
      <c r="CA96" s="40" t="s">
        <v>295</v>
      </c>
      <c r="CB96" s="40" t="s">
        <v>805</v>
      </c>
    </row>
    <row r="97" spans="79:80">
      <c r="CA97" s="40" t="s">
        <v>577</v>
      </c>
      <c r="CB97" s="40" t="s">
        <v>948</v>
      </c>
    </row>
    <row r="98" spans="79:80">
      <c r="CA98" s="40" t="s">
        <v>186</v>
      </c>
      <c r="CB98" s="40" t="s">
        <v>746</v>
      </c>
    </row>
    <row r="99" spans="79:80">
      <c r="CA99" s="40" t="s">
        <v>52</v>
      </c>
      <c r="CB99" s="40" t="s">
        <v>680</v>
      </c>
    </row>
    <row r="100" spans="79:80">
      <c r="CA100" s="40" t="s">
        <v>311</v>
      </c>
      <c r="CB100" s="40" t="s">
        <v>813</v>
      </c>
    </row>
    <row r="101" spans="79:80">
      <c r="CA101" s="40" t="s">
        <v>138</v>
      </c>
      <c r="CB101" s="40" t="s">
        <v>722</v>
      </c>
    </row>
    <row r="102" spans="79:80">
      <c r="CA102" s="40" t="s">
        <v>102</v>
      </c>
      <c r="CB102" s="40" t="s">
        <v>704</v>
      </c>
    </row>
    <row r="103" spans="79:80">
      <c r="CA103" s="40" t="s">
        <v>419</v>
      </c>
      <c r="CB103" s="40" t="s">
        <v>866</v>
      </c>
    </row>
    <row r="104" spans="79:80">
      <c r="CA104" s="40" t="s">
        <v>205</v>
      </c>
      <c r="CB104" s="40" t="s">
        <v>756</v>
      </c>
    </row>
    <row r="105" spans="79:80">
      <c r="CA105" s="40" t="s">
        <v>112</v>
      </c>
      <c r="CB105" s="40" t="s">
        <v>709</v>
      </c>
    </row>
    <row r="106" spans="79:80">
      <c r="CA106" s="40" t="s">
        <v>78</v>
      </c>
      <c r="CB106" s="40" t="s">
        <v>692</v>
      </c>
    </row>
    <row r="107" spans="79:80">
      <c r="CA107" s="40" t="s">
        <v>96</v>
      </c>
      <c r="CB107" s="40" t="s">
        <v>701</v>
      </c>
    </row>
    <row r="108" spans="79:80">
      <c r="CA108" s="40" t="s">
        <v>82</v>
      </c>
      <c r="CB108" s="40" t="s">
        <v>694</v>
      </c>
    </row>
    <row r="109" spans="79:80">
      <c r="CA109" s="40" t="s">
        <v>14</v>
      </c>
      <c r="CB109" s="40" t="s">
        <v>659</v>
      </c>
    </row>
    <row r="110" spans="79:80">
      <c r="CA110" s="40" t="s">
        <v>211</v>
      </c>
      <c r="CB110" s="40" t="s">
        <v>759</v>
      </c>
    </row>
    <row r="111" spans="79:80">
      <c r="CA111" s="40" t="s">
        <v>485</v>
      </c>
      <c r="CB111" s="40" t="s">
        <v>899</v>
      </c>
    </row>
    <row r="112" spans="79:80">
      <c r="CA112" s="40" t="s">
        <v>18</v>
      </c>
      <c r="CB112" s="40" t="s">
        <v>661</v>
      </c>
    </row>
    <row r="113" spans="79:80">
      <c r="CA113" s="40" t="s">
        <v>233</v>
      </c>
      <c r="CB113" s="40" t="s">
        <v>774</v>
      </c>
    </row>
    <row r="114" spans="79:80">
      <c r="CA114" s="40" t="s">
        <v>247</v>
      </c>
      <c r="CB114" s="40" t="s">
        <v>781</v>
      </c>
    </row>
    <row r="115" spans="79:80">
      <c r="CA115" s="40" t="s">
        <v>54</v>
      </c>
      <c r="CB115" s="40" t="s">
        <v>955</v>
      </c>
    </row>
    <row r="116" spans="79:80">
      <c r="CA116" s="40" t="s">
        <v>393</v>
      </c>
      <c r="CB116" s="40" t="s">
        <v>853</v>
      </c>
    </row>
    <row r="117" spans="79:80">
      <c r="CA117" s="40" t="s">
        <v>533</v>
      </c>
      <c r="CB117" s="40" t="s">
        <v>956</v>
      </c>
    </row>
    <row r="118" spans="79:80">
      <c r="CA118" s="40" t="s">
        <v>32</v>
      </c>
      <c r="CB118" s="40" t="s">
        <v>668</v>
      </c>
    </row>
    <row r="119" spans="79:80">
      <c r="CA119" s="40" t="s">
        <v>150</v>
      </c>
      <c r="CB119" s="40" t="s">
        <v>728</v>
      </c>
    </row>
    <row r="120" spans="79:80">
      <c r="CA120" s="40" t="s">
        <v>409</v>
      </c>
      <c r="CB120" s="40" t="s">
        <v>861</v>
      </c>
    </row>
    <row r="121" spans="79:80">
      <c r="CA121" s="40" t="s">
        <v>209</v>
      </c>
      <c r="CB121" s="40" t="s">
        <v>758</v>
      </c>
    </row>
    <row r="122" spans="79:80">
      <c r="CA122" s="40" t="s">
        <v>425</v>
      </c>
      <c r="CB122" s="40" t="s">
        <v>869</v>
      </c>
    </row>
    <row r="123" spans="79:80">
      <c r="CA123" s="40" t="s">
        <v>535</v>
      </c>
      <c r="CB123" s="40" t="s">
        <v>927</v>
      </c>
    </row>
    <row r="124" spans="79:80">
      <c r="CA124" s="40" t="s">
        <v>455</v>
      </c>
      <c r="CB124" s="40" t="s">
        <v>884</v>
      </c>
    </row>
    <row r="125" spans="79:80">
      <c r="CA125" s="40" t="s">
        <v>6</v>
      </c>
      <c r="CB125" s="40" t="s">
        <v>655</v>
      </c>
    </row>
    <row r="126" spans="79:80">
      <c r="CA126" s="40" t="s">
        <v>72</v>
      </c>
      <c r="CB126" s="40" t="s">
        <v>689</v>
      </c>
    </row>
    <row r="127" spans="79:80">
      <c r="CA127" s="40" t="s">
        <v>473</v>
      </c>
      <c r="CB127" s="40" t="s">
        <v>893</v>
      </c>
    </row>
    <row r="128" spans="79:80">
      <c r="CA128" s="40" t="s">
        <v>381</v>
      </c>
      <c r="CB128" s="40" t="s">
        <v>847</v>
      </c>
    </row>
    <row r="129" spans="79:80">
      <c r="CA129" s="40" t="s">
        <v>255</v>
      </c>
      <c r="CB129" s="40" t="s">
        <v>785</v>
      </c>
    </row>
    <row r="130" spans="79:80">
      <c r="CA130" s="40" t="s">
        <v>525</v>
      </c>
      <c r="CB130" s="40" t="s">
        <v>921</v>
      </c>
    </row>
    <row r="131" spans="79:80">
      <c r="CA131" s="40" t="s">
        <v>569</v>
      </c>
      <c r="CB131" s="40" t="s">
        <v>944</v>
      </c>
    </row>
    <row r="132" spans="79:80">
      <c r="CA132" s="40" t="s">
        <v>92</v>
      </c>
      <c r="CB132" s="40" t="s">
        <v>699</v>
      </c>
    </row>
    <row r="133" spans="79:80">
      <c r="CA133" s="40" t="s">
        <v>26</v>
      </c>
      <c r="CB133" s="40" t="s">
        <v>665</v>
      </c>
    </row>
    <row r="134" spans="79:80">
      <c r="CA134" s="40" t="s">
        <v>305</v>
      </c>
      <c r="CB134" s="40" t="s">
        <v>810</v>
      </c>
    </row>
    <row r="135" spans="79:80">
      <c r="CA135" s="40" t="s">
        <v>481</v>
      </c>
      <c r="CB135" s="40" t="s">
        <v>897</v>
      </c>
    </row>
    <row r="136" spans="79:80">
      <c r="CA136" s="40" t="s">
        <v>417</v>
      </c>
      <c r="CB136" s="40" t="s">
        <v>865</v>
      </c>
    </row>
    <row r="137" spans="79:80">
      <c r="CA137" s="40" t="s">
        <v>142</v>
      </c>
      <c r="CB137" s="40" t="s">
        <v>724</v>
      </c>
    </row>
    <row r="138" spans="79:80">
      <c r="CA138" s="40" t="s">
        <v>445</v>
      </c>
      <c r="CB138" s="40" t="s">
        <v>879</v>
      </c>
    </row>
    <row r="139" spans="79:80">
      <c r="CA139" s="40" t="s">
        <v>443</v>
      </c>
      <c r="CB139" s="40" t="s">
        <v>878</v>
      </c>
    </row>
    <row r="140" spans="79:80">
      <c r="CA140" s="40" t="s">
        <v>184</v>
      </c>
      <c r="CB140" s="40" t="s">
        <v>745</v>
      </c>
    </row>
    <row r="141" spans="79:80">
      <c r="CA141" s="40" t="s">
        <v>527</v>
      </c>
      <c r="CB141" s="40" t="s">
        <v>922</v>
      </c>
    </row>
    <row r="142" spans="79:80">
      <c r="CA142" s="40" t="s">
        <v>323</v>
      </c>
      <c r="CB142" s="40" t="s">
        <v>818</v>
      </c>
    </row>
    <row r="143" spans="79:80">
      <c r="CA143" s="40" t="s">
        <v>403</v>
      </c>
      <c r="CB143" s="40" t="s">
        <v>858</v>
      </c>
    </row>
    <row r="144" spans="79:80">
      <c r="CA144" s="40" t="s">
        <v>421</v>
      </c>
      <c r="CB144" s="40" t="s">
        <v>867</v>
      </c>
    </row>
    <row r="145" spans="79:80">
      <c r="CA145" s="40" t="s">
        <v>144</v>
      </c>
      <c r="CB145" s="40" t="s">
        <v>725</v>
      </c>
    </row>
    <row r="146" spans="79:80">
      <c r="CA146" s="40" t="s">
        <v>263</v>
      </c>
      <c r="CB146" s="40" t="s">
        <v>789</v>
      </c>
    </row>
    <row r="147" spans="79:80">
      <c r="CA147" s="40" t="s">
        <v>128</v>
      </c>
      <c r="CB147" s="40" t="s">
        <v>717</v>
      </c>
    </row>
    <row r="148" spans="79:80">
      <c r="CA148" s="40" t="s">
        <v>261</v>
      </c>
      <c r="CB148" s="40" t="s">
        <v>788</v>
      </c>
    </row>
    <row r="149" spans="79:80">
      <c r="CA149" s="40" t="s">
        <v>587</v>
      </c>
      <c r="CB149" s="40" t="s">
        <v>953</v>
      </c>
    </row>
    <row r="150" spans="79:80">
      <c r="CA150" s="40" t="s">
        <v>531</v>
      </c>
      <c r="CB150" s="40" t="s">
        <v>924</v>
      </c>
    </row>
    <row r="151" spans="79:80">
      <c r="CA151" s="40" t="s">
        <v>401</v>
      </c>
      <c r="CB151" s="40" t="s">
        <v>857</v>
      </c>
    </row>
    <row r="152" spans="79:80">
      <c r="CA152" s="40" t="s">
        <v>397</v>
      </c>
      <c r="CB152" s="40" t="s">
        <v>855</v>
      </c>
    </row>
    <row r="153" spans="79:80">
      <c r="CA153" s="40" t="s">
        <v>411</v>
      </c>
      <c r="CB153" s="40" t="s">
        <v>862</v>
      </c>
    </row>
    <row r="154" spans="79:80">
      <c r="CA154" s="40" t="s">
        <v>561</v>
      </c>
      <c r="CB154" s="40" t="s">
        <v>940</v>
      </c>
    </row>
    <row r="155" spans="79:80">
      <c r="CA155" s="40" t="s">
        <v>257</v>
      </c>
      <c r="CB155" s="40" t="s">
        <v>786</v>
      </c>
    </row>
    <row r="156" spans="79:80">
      <c r="CA156" s="40" t="s">
        <v>335</v>
      </c>
      <c r="CB156" s="40" t="s">
        <v>824</v>
      </c>
    </row>
    <row r="157" spans="79:80">
      <c r="CA157" s="40" t="s">
        <v>313</v>
      </c>
      <c r="CB157" s="40" t="s">
        <v>1041</v>
      </c>
    </row>
    <row r="158" spans="79:80">
      <c r="CA158" s="40" t="s">
        <v>341</v>
      </c>
      <c r="CB158" s="40" t="s">
        <v>827</v>
      </c>
    </row>
    <row r="159" spans="79:80">
      <c r="CA159" s="40" t="s">
        <v>441</v>
      </c>
      <c r="CB159" s="40" t="s">
        <v>877</v>
      </c>
    </row>
    <row r="160" spans="79:80">
      <c r="CA160" s="40" t="s">
        <v>529</v>
      </c>
      <c r="CB160" s="40" t="s">
        <v>923</v>
      </c>
    </row>
    <row r="161" spans="79:80">
      <c r="CA161" s="40" t="s">
        <v>140</v>
      </c>
      <c r="CB161" s="40" t="s">
        <v>723</v>
      </c>
    </row>
    <row r="162" spans="79:80">
      <c r="CA162" s="40" t="s">
        <v>108</v>
      </c>
      <c r="CB162" s="40" t="s">
        <v>707</v>
      </c>
    </row>
    <row r="163" spans="79:80">
      <c r="CA163" s="40" t="s">
        <v>219</v>
      </c>
      <c r="CB163" s="40" t="s">
        <v>765</v>
      </c>
    </row>
    <row r="164" spans="79:80">
      <c r="CA164" s="40" t="s">
        <v>309</v>
      </c>
      <c r="CB164" s="40" t="s">
        <v>812</v>
      </c>
    </row>
    <row r="165" spans="79:80">
      <c r="CA165" s="40" t="s">
        <v>339</v>
      </c>
      <c r="CB165" s="40" t="s">
        <v>826</v>
      </c>
    </row>
    <row r="166" spans="79:80">
      <c r="CA166" s="40" t="s">
        <v>489</v>
      </c>
      <c r="CB166" s="40" t="s">
        <v>901</v>
      </c>
    </row>
    <row r="167" spans="79:80">
      <c r="CA167" s="40" t="s">
        <v>483</v>
      </c>
      <c r="CB167" s="40" t="s">
        <v>898</v>
      </c>
    </row>
    <row r="168" spans="79:80">
      <c r="CA168" s="40" t="s">
        <v>213</v>
      </c>
      <c r="CB168" s="40" t="s">
        <v>760</v>
      </c>
    </row>
    <row r="169" spans="79:80">
      <c r="CA169" s="40" t="s">
        <v>162</v>
      </c>
      <c r="CB169" s="40" t="s">
        <v>734</v>
      </c>
    </row>
    <row r="170" spans="79:80">
      <c r="CA170" s="40" t="s">
        <v>557</v>
      </c>
      <c r="CB170" s="40" t="s">
        <v>938</v>
      </c>
    </row>
    <row r="171" spans="79:80">
      <c r="CA171" s="40" t="s">
        <v>160</v>
      </c>
      <c r="CB171" s="40" t="s">
        <v>733</v>
      </c>
    </row>
    <row r="172" spans="79:80">
      <c r="CA172" s="40" t="s">
        <v>329</v>
      </c>
      <c r="CB172" s="40" t="s">
        <v>821</v>
      </c>
    </row>
    <row r="173" spans="79:80">
      <c r="CA173" s="40" t="s">
        <v>158</v>
      </c>
      <c r="CB173" s="40" t="s">
        <v>732</v>
      </c>
    </row>
    <row r="174" spans="79:80">
      <c r="CA174" s="40" t="s">
        <v>291</v>
      </c>
      <c r="CB174" s="40" t="s">
        <v>803</v>
      </c>
    </row>
    <row r="175" spans="79:80">
      <c r="CA175" s="40" t="s">
        <v>317</v>
      </c>
      <c r="CB175" s="40" t="s">
        <v>815</v>
      </c>
    </row>
    <row r="176" spans="79:80">
      <c r="CA176" s="40" t="s">
        <v>493</v>
      </c>
      <c r="CB176" s="40" t="s">
        <v>903</v>
      </c>
    </row>
    <row r="177" spans="79:80">
      <c r="CA177" s="40" t="s">
        <v>315</v>
      </c>
      <c r="CB177" s="40" t="s">
        <v>814</v>
      </c>
    </row>
    <row r="178" spans="79:80">
      <c r="CA178" s="40" t="s">
        <v>273</v>
      </c>
      <c r="CB178" s="40" t="s">
        <v>794</v>
      </c>
    </row>
    <row r="179" spans="79:80">
      <c r="CA179" s="40" t="s">
        <v>463</v>
      </c>
      <c r="CB179" s="40" t="s">
        <v>888</v>
      </c>
    </row>
    <row r="180" spans="79:80">
      <c r="CA180" s="40" t="s">
        <v>379</v>
      </c>
      <c r="CB180" s="40" t="s">
        <v>846</v>
      </c>
    </row>
    <row r="181" spans="79:80">
      <c r="CA181" s="40" t="s">
        <v>437</v>
      </c>
      <c r="CB181" s="40" t="s">
        <v>875</v>
      </c>
    </row>
    <row r="182" spans="79:80">
      <c r="CA182" s="40" t="s">
        <v>100</v>
      </c>
      <c r="CB182" s="40" t="s">
        <v>703</v>
      </c>
    </row>
    <row r="183" spans="79:80">
      <c r="CA183" s="40" t="s">
        <v>84</v>
      </c>
      <c r="CB183" s="40" t="s">
        <v>695</v>
      </c>
    </row>
    <row r="184" spans="79:80">
      <c r="CA184" s="40" t="s">
        <v>327</v>
      </c>
      <c r="CB184" s="40" t="s">
        <v>820</v>
      </c>
    </row>
    <row r="185" spans="79:80">
      <c r="CA185" s="40" t="s">
        <v>361</v>
      </c>
      <c r="CB185" s="40" t="s">
        <v>837</v>
      </c>
    </row>
    <row r="186" spans="79:80">
      <c r="CA186" s="40" t="s">
        <v>4</v>
      </c>
      <c r="CB186" s="40" t="s">
        <v>654</v>
      </c>
    </row>
    <row r="187" spans="79:80">
      <c r="CA187" s="40" t="s">
        <v>88</v>
      </c>
      <c r="CB187" s="40" t="s">
        <v>697</v>
      </c>
    </row>
    <row r="188" spans="79:80">
      <c r="CA188" s="40" t="s">
        <v>543</v>
      </c>
      <c r="CB188" s="40" t="s">
        <v>931</v>
      </c>
    </row>
    <row r="189" spans="79:80">
      <c r="CA189" s="40" t="s">
        <v>106</v>
      </c>
      <c r="CB189" s="40" t="s">
        <v>706</v>
      </c>
    </row>
    <row r="190" spans="79:80">
      <c r="CA190" s="40" t="s">
        <v>321</v>
      </c>
      <c r="CB190" s="40" t="s">
        <v>817</v>
      </c>
    </row>
    <row r="191" spans="79:80">
      <c r="CA191" s="40" t="s">
        <v>16</v>
      </c>
      <c r="CB191" s="40" t="s">
        <v>660</v>
      </c>
    </row>
    <row r="192" spans="79:80">
      <c r="CA192" s="40" t="s">
        <v>275</v>
      </c>
      <c r="CB192" s="40" t="s">
        <v>795</v>
      </c>
    </row>
    <row r="193" spans="79:80">
      <c r="CA193" s="40" t="s">
        <v>365</v>
      </c>
      <c r="CB193" s="40" t="s">
        <v>839</v>
      </c>
    </row>
    <row r="194" spans="79:80">
      <c r="CA194" s="40" t="s">
        <v>307</v>
      </c>
      <c r="CB194" s="40" t="s">
        <v>811</v>
      </c>
    </row>
    <row r="195" spans="79:80">
      <c r="CA195" s="40" t="s">
        <v>114</v>
      </c>
      <c r="CB195" s="40" t="s">
        <v>710</v>
      </c>
    </row>
    <row r="196" spans="79:80">
      <c r="CA196" s="40" t="s">
        <v>40</v>
      </c>
      <c r="CB196" s="40" t="s">
        <v>672</v>
      </c>
    </row>
    <row r="197" spans="79:80">
      <c r="CA197" s="40" t="s">
        <v>176</v>
      </c>
      <c r="CB197" s="40" t="s">
        <v>741</v>
      </c>
    </row>
    <row r="198" spans="79:80">
      <c r="CA198" s="40" t="s">
        <v>517</v>
      </c>
      <c r="CB198" s="40" t="s">
        <v>917</v>
      </c>
    </row>
    <row r="199" spans="79:80">
      <c r="CA199" s="40" t="s">
        <v>22</v>
      </c>
      <c r="CB199" s="40" t="s">
        <v>663</v>
      </c>
    </row>
    <row r="200" spans="79:80">
      <c r="CA200" s="40" t="s">
        <v>539</v>
      </c>
      <c r="CB200" s="40" t="s">
        <v>929</v>
      </c>
    </row>
    <row r="201" spans="79:80">
      <c r="CA201" s="40" t="s">
        <v>349</v>
      </c>
      <c r="CB201" s="40" t="s">
        <v>831</v>
      </c>
    </row>
    <row r="202" spans="79:80">
      <c r="CA202" s="40" t="s">
        <v>168</v>
      </c>
      <c r="CB202" s="40" t="s">
        <v>737</v>
      </c>
    </row>
    <row r="203" spans="79:80">
      <c r="CA203" s="40" t="s">
        <v>172</v>
      </c>
      <c r="CB203" s="40" t="s">
        <v>739</v>
      </c>
    </row>
    <row r="204" spans="79:80">
      <c r="CA204" s="40" t="s">
        <v>48</v>
      </c>
      <c r="CB204" s="40" t="s">
        <v>676</v>
      </c>
    </row>
    <row r="205" spans="79:80">
      <c r="CA205" s="40" t="s">
        <v>118</v>
      </c>
      <c r="CB205" s="40" t="s">
        <v>712</v>
      </c>
    </row>
    <row r="206" spans="79:80">
      <c r="CA206" s="40" t="s">
        <v>495</v>
      </c>
      <c r="CB206" s="40" t="s">
        <v>904</v>
      </c>
    </row>
    <row r="207" spans="79:80">
      <c r="CA207" s="40" t="s">
        <v>331</v>
      </c>
      <c r="CB207" s="40" t="s">
        <v>822</v>
      </c>
    </row>
    <row r="208" spans="79:80">
      <c r="CA208" s="40" t="s">
        <v>285</v>
      </c>
      <c r="CB208" s="40" t="s">
        <v>800</v>
      </c>
    </row>
    <row r="209" spans="79:80">
      <c r="CA209" s="40" t="s">
        <v>190</v>
      </c>
      <c r="CB209" s="40" t="s">
        <v>748</v>
      </c>
    </row>
    <row r="210" spans="79:80">
      <c r="CA210" s="40" t="s">
        <v>104</v>
      </c>
      <c r="CB210" s="40" t="s">
        <v>705</v>
      </c>
    </row>
    <row r="211" spans="79:80">
      <c r="CA211" s="40" t="s">
        <v>24</v>
      </c>
      <c r="CB211" s="40" t="s">
        <v>664</v>
      </c>
    </row>
    <row r="212" spans="79:80">
      <c r="CA212" s="40" t="s">
        <v>66</v>
      </c>
      <c r="CB212" s="40" t="s">
        <v>686</v>
      </c>
    </row>
    <row r="213" spans="79:80">
      <c r="CA213" s="40" t="s">
        <v>8</v>
      </c>
      <c r="CB213" s="40" t="s">
        <v>656</v>
      </c>
    </row>
    <row r="214" spans="79:80">
      <c r="CA214" s="40" t="s">
        <v>461</v>
      </c>
      <c r="CB214" s="40" t="s">
        <v>887</v>
      </c>
    </row>
    <row r="215" spans="79:80">
      <c r="CA215" s="40" t="s">
        <v>197</v>
      </c>
      <c r="CB215" s="40" t="s">
        <v>752</v>
      </c>
    </row>
    <row r="216" spans="79:80">
      <c r="CA216" s="40" t="s">
        <v>499</v>
      </c>
      <c r="CB216" s="40" t="s">
        <v>906</v>
      </c>
    </row>
    <row r="217" spans="79:80">
      <c r="CA217" s="40" t="s">
        <v>249</v>
      </c>
      <c r="CB217" s="40" t="s">
        <v>782</v>
      </c>
    </row>
    <row r="218" spans="79:80">
      <c r="CA218" s="40" t="s">
        <v>553</v>
      </c>
      <c r="CB218" s="40" t="s">
        <v>936</v>
      </c>
    </row>
    <row r="219" spans="79:80">
      <c r="CA219" s="40" t="s">
        <v>126</v>
      </c>
      <c r="CB219" s="40" t="s">
        <v>716</v>
      </c>
    </row>
    <row r="220" spans="79:80">
      <c r="CA220" s="40" t="s">
        <v>383</v>
      </c>
      <c r="CB220" s="40" t="s">
        <v>848</v>
      </c>
    </row>
    <row r="221" spans="79:80">
      <c r="CA221" s="40" t="s">
        <v>154</v>
      </c>
      <c r="CB221" s="40" t="s">
        <v>730</v>
      </c>
    </row>
    <row r="222" spans="79:80">
      <c r="CA222" s="40" t="s">
        <v>178</v>
      </c>
      <c r="CB222" s="40" t="s">
        <v>742</v>
      </c>
    </row>
    <row r="223" spans="79:80">
      <c r="CA223" s="40" t="s">
        <v>389</v>
      </c>
      <c r="CB223" s="40" t="s">
        <v>851</v>
      </c>
    </row>
    <row r="224" spans="79:80">
      <c r="CA224" s="40" t="s">
        <v>567</v>
      </c>
      <c r="CB224" s="40" t="s">
        <v>943</v>
      </c>
    </row>
    <row r="225" spans="79:80">
      <c r="CA225" s="40" t="s">
        <v>345</v>
      </c>
      <c r="CB225" s="40" t="s">
        <v>829</v>
      </c>
    </row>
    <row r="226" spans="79:80">
      <c r="CA226" s="40" t="s">
        <v>44</v>
      </c>
      <c r="CB226" s="40" t="s">
        <v>674</v>
      </c>
    </row>
    <row r="227" spans="79:80">
      <c r="CA227" s="40" t="s">
        <v>377</v>
      </c>
      <c r="CB227" s="40" t="s">
        <v>845</v>
      </c>
    </row>
    <row r="228" spans="79:80">
      <c r="CA228" s="40" t="s">
        <v>303</v>
      </c>
      <c r="CB228" s="40" t="s">
        <v>809</v>
      </c>
    </row>
    <row r="229" spans="79:80">
      <c r="CA229" s="40" t="s">
        <v>207</v>
      </c>
      <c r="CB229" s="40" t="s">
        <v>757</v>
      </c>
    </row>
    <row r="230" spans="79:80">
      <c r="CA230" s="40" t="s">
        <v>399</v>
      </c>
      <c r="CB230" s="40" t="s">
        <v>856</v>
      </c>
    </row>
    <row r="231" spans="79:80">
      <c r="CA231" s="40" t="s">
        <v>192</v>
      </c>
      <c r="CB231" s="40" t="s">
        <v>749</v>
      </c>
    </row>
    <row r="232" spans="79:80">
      <c r="CA232" s="40" t="s">
        <v>423</v>
      </c>
      <c r="CB232" s="40" t="s">
        <v>868</v>
      </c>
    </row>
    <row r="233" spans="79:80">
      <c r="CA233" s="40" t="s">
        <v>203</v>
      </c>
      <c r="CB233" s="40" t="s">
        <v>755</v>
      </c>
    </row>
    <row r="234" spans="79:80">
      <c r="CA234" s="40" t="s">
        <v>124</v>
      </c>
      <c r="CB234" s="40" t="s">
        <v>715</v>
      </c>
    </row>
    <row r="235" spans="79:80">
      <c r="CA235" s="40" t="s">
        <v>333</v>
      </c>
      <c r="CB235" s="40" t="s">
        <v>823</v>
      </c>
    </row>
    <row r="236" spans="79:80">
      <c r="CA236" s="40" t="s">
        <v>223</v>
      </c>
      <c r="CB236" s="40" t="s">
        <v>767</v>
      </c>
    </row>
    <row r="237" spans="79:80">
      <c r="CA237" s="40" t="s">
        <v>166</v>
      </c>
      <c r="CB237" s="40" t="s">
        <v>736</v>
      </c>
    </row>
    <row r="238" spans="79:80">
      <c r="CA238" s="40" t="s">
        <v>299</v>
      </c>
      <c r="CB238" s="40" t="s">
        <v>807</v>
      </c>
    </row>
    <row r="239" spans="79:80">
      <c r="CA239" s="40" t="s">
        <v>435</v>
      </c>
      <c r="CB239" s="40" t="s">
        <v>874</v>
      </c>
    </row>
    <row r="240" spans="79:80">
      <c r="CA240" s="40" t="s">
        <v>283</v>
      </c>
      <c r="CB240" s="40" t="s">
        <v>799</v>
      </c>
    </row>
    <row r="241" spans="79:80">
      <c r="CA241" s="40" t="s">
        <v>555</v>
      </c>
      <c r="CB241" s="40" t="s">
        <v>937</v>
      </c>
    </row>
    <row r="242" spans="79:80">
      <c r="CA242" s="40" t="s">
        <v>433</v>
      </c>
      <c r="CB242" s="40" t="s">
        <v>873</v>
      </c>
    </row>
    <row r="243" spans="79:80">
      <c r="CA243" s="40" t="s">
        <v>110</v>
      </c>
      <c r="CB243" s="40" t="s">
        <v>708</v>
      </c>
    </row>
    <row r="244" spans="79:80">
      <c r="CA244" s="40" t="s">
        <v>70</v>
      </c>
      <c r="CB244" s="40" t="s">
        <v>688</v>
      </c>
    </row>
    <row r="245" spans="79:80">
      <c r="CA245" s="40" t="s">
        <v>28</v>
      </c>
      <c r="CB245" s="40" t="s">
        <v>666</v>
      </c>
    </row>
    <row r="246" spans="79:80">
      <c r="CA246" s="40" t="s">
        <v>347</v>
      </c>
      <c r="CB246" s="40" t="s">
        <v>830</v>
      </c>
    </row>
    <row r="247" spans="79:80">
      <c r="CA247" s="40" t="s">
        <v>547</v>
      </c>
      <c r="CB247" s="40" t="s">
        <v>933</v>
      </c>
    </row>
    <row r="248" spans="79:80">
      <c r="CA248" s="40" t="s">
        <v>405</v>
      </c>
      <c r="CB248" s="40" t="s">
        <v>859</v>
      </c>
    </row>
    <row r="249" spans="79:80">
      <c r="CA249" s="40" t="s">
        <v>427</v>
      </c>
      <c r="CB249" s="40" t="s">
        <v>870</v>
      </c>
    </row>
    <row r="250" spans="79:80">
      <c r="CA250" s="40" t="s">
        <v>475</v>
      </c>
      <c r="CB250" s="40" t="s">
        <v>894</v>
      </c>
    </row>
    <row r="251" spans="79:80">
      <c r="CA251" s="40" t="s">
        <v>357</v>
      </c>
      <c r="CB251" s="40" t="s">
        <v>835</v>
      </c>
    </row>
    <row r="252" spans="79:80">
      <c r="CA252" s="40" t="s">
        <v>573</v>
      </c>
      <c r="CB252" s="40" t="s">
        <v>946</v>
      </c>
    </row>
    <row r="253" spans="79:80">
      <c r="CA253" s="40" t="s">
        <v>351</v>
      </c>
      <c r="CB253" s="40" t="s">
        <v>832</v>
      </c>
    </row>
    <row r="254" spans="79:80">
      <c r="CA254" s="40" t="s">
        <v>148</v>
      </c>
      <c r="CB254" s="40" t="s">
        <v>727</v>
      </c>
    </row>
    <row r="255" spans="79:80">
      <c r="CA255" s="40" t="s">
        <v>201</v>
      </c>
      <c r="CB255" s="40" t="s">
        <v>754</v>
      </c>
    </row>
    <row r="256" spans="79:80">
      <c r="CA256" s="40" t="s">
        <v>537</v>
      </c>
      <c r="CB256" s="40" t="s">
        <v>928</v>
      </c>
    </row>
    <row r="257" spans="79:80">
      <c r="CA257" s="40" t="s">
        <v>501</v>
      </c>
      <c r="CB257" s="40" t="s">
        <v>907</v>
      </c>
    </row>
    <row r="258" spans="79:80">
      <c r="CA258" s="40" t="s">
        <v>229</v>
      </c>
      <c r="CB258" s="40" t="s">
        <v>772</v>
      </c>
    </row>
    <row r="259" spans="79:80">
      <c r="CA259" s="40" t="s">
        <v>271</v>
      </c>
      <c r="CB259" s="40" t="s">
        <v>793</v>
      </c>
    </row>
    <row r="260" spans="79:80">
      <c r="CA260" s="40" t="s">
        <v>325</v>
      </c>
      <c r="CB260" s="40" t="s">
        <v>819</v>
      </c>
    </row>
    <row r="261" spans="79:80">
      <c r="CA261" s="40" t="s">
        <v>575</v>
      </c>
      <c r="CB261" s="40" t="s">
        <v>947</v>
      </c>
    </row>
    <row r="262" spans="79:80">
      <c r="CA262" s="40" t="s">
        <v>511</v>
      </c>
      <c r="CB262" s="40" t="s">
        <v>914</v>
      </c>
    </row>
    <row r="263" spans="79:80">
      <c r="CA263" s="40" t="s">
        <v>74</v>
      </c>
      <c r="CB263" s="40" t="s">
        <v>690</v>
      </c>
    </row>
    <row r="264" spans="79:80">
      <c r="CA264" s="40" t="s">
        <v>243</v>
      </c>
      <c r="CB264" s="40" t="s">
        <v>779</v>
      </c>
    </row>
    <row r="265" spans="79:80">
      <c r="CA265" s="40" t="s">
        <v>196</v>
      </c>
      <c r="CB265" s="40" t="s">
        <v>751</v>
      </c>
    </row>
    <row r="266" spans="79:80">
      <c r="CA266" s="40" t="s">
        <v>491</v>
      </c>
      <c r="CB266" s="40" t="s">
        <v>902</v>
      </c>
    </row>
    <row r="267" spans="79:80">
      <c r="CA267" s="40" t="s">
        <v>559</v>
      </c>
      <c r="CB267" s="40" t="s">
        <v>939</v>
      </c>
    </row>
    <row r="268" spans="79:80">
      <c r="CA268" s="40" t="s">
        <v>355</v>
      </c>
      <c r="CB268" s="40" t="s">
        <v>834</v>
      </c>
    </row>
    <row r="269" spans="79:80">
      <c r="CA269" s="40" t="s">
        <v>469</v>
      </c>
      <c r="CB269" s="40" t="s">
        <v>891</v>
      </c>
    </row>
    <row r="270" spans="79:80">
      <c r="CA270" s="40" t="s">
        <v>50</v>
      </c>
      <c r="CB270" s="40" t="s">
        <v>679</v>
      </c>
    </row>
    <row r="271" spans="79:80">
      <c r="CA271" s="40" t="s">
        <v>188</v>
      </c>
      <c r="CB271" s="40" t="s">
        <v>747</v>
      </c>
    </row>
    <row r="272" spans="79:80">
      <c r="CA272" s="40" t="s">
        <v>503</v>
      </c>
      <c r="CB272" s="40" t="s">
        <v>910</v>
      </c>
    </row>
    <row r="273" spans="79:80">
      <c r="CA273" s="40" t="s">
        <v>116</v>
      </c>
      <c r="CB273" s="40" t="s">
        <v>711</v>
      </c>
    </row>
    <row r="274" spans="79:80">
      <c r="CA274" s="40" t="s">
        <v>515</v>
      </c>
      <c r="CB274" s="40" t="s">
        <v>916</v>
      </c>
    </row>
    <row r="275" spans="79:80">
      <c r="CA275" s="40" t="s">
        <v>507</v>
      </c>
      <c r="CB275" s="40" t="s">
        <v>912</v>
      </c>
    </row>
    <row r="276" spans="79:80">
      <c r="CA276" s="40" t="s">
        <v>583</v>
      </c>
      <c r="CB276" s="40" t="s">
        <v>951</v>
      </c>
    </row>
    <row r="277" spans="79:80">
      <c r="CA277" s="40" t="s">
        <v>120</v>
      </c>
      <c r="CB277" s="40" t="s">
        <v>713</v>
      </c>
    </row>
    <row r="278" spans="79:80">
      <c r="CA278" s="40" t="s">
        <v>58</v>
      </c>
      <c r="CB278" s="40" t="s">
        <v>682</v>
      </c>
    </row>
    <row r="279" spans="79:80">
      <c r="CA279" s="40" t="s">
        <v>0</v>
      </c>
      <c r="CB279" s="40" t="s">
        <v>650</v>
      </c>
    </row>
    <row r="280" spans="79:80">
      <c r="CA280" s="40" t="s">
        <v>94</v>
      </c>
      <c r="CB280" s="40" t="s">
        <v>700</v>
      </c>
    </row>
    <row r="281" spans="79:80">
      <c r="CA281" s="40" t="s">
        <v>467</v>
      </c>
      <c r="CB281" s="40" t="s">
        <v>890</v>
      </c>
    </row>
    <row r="282" spans="79:80">
      <c r="CA282" s="40" t="s">
        <v>38</v>
      </c>
      <c r="CB282" s="40" t="s">
        <v>671</v>
      </c>
    </row>
    <row r="283" spans="79:80">
      <c r="CA283" s="40" t="s">
        <v>457</v>
      </c>
      <c r="CB283" s="40" t="s">
        <v>885</v>
      </c>
    </row>
    <row r="284" spans="79:80">
      <c r="CA284" s="40" t="s">
        <v>585</v>
      </c>
      <c r="CB284" s="40" t="s">
        <v>952</v>
      </c>
    </row>
    <row r="285" spans="79:80">
      <c r="CA285" s="40" t="s">
        <v>279</v>
      </c>
      <c r="CB285" s="40" t="s">
        <v>797</v>
      </c>
    </row>
    <row r="286" spans="79:80">
      <c r="CA286" s="40" t="s">
        <v>373</v>
      </c>
      <c r="CB286" s="40" t="s">
        <v>843</v>
      </c>
    </row>
    <row r="287" spans="79:80">
      <c r="CA287" s="40" t="s">
        <v>253</v>
      </c>
      <c r="CB287" s="40" t="s">
        <v>784</v>
      </c>
    </row>
    <row r="288" spans="79:80">
      <c r="CA288" s="40" t="s">
        <v>293</v>
      </c>
      <c r="CB288" s="40" t="s">
        <v>804</v>
      </c>
    </row>
    <row r="289" spans="79:80">
      <c r="CA289" s="40" t="s">
        <v>337</v>
      </c>
      <c r="CB289" s="40" t="s">
        <v>825</v>
      </c>
    </row>
    <row r="290" spans="79:80">
      <c r="CA290" s="40" t="s">
        <v>132</v>
      </c>
      <c r="CB290" s="40" t="s">
        <v>719</v>
      </c>
    </row>
    <row r="291" spans="79:80">
      <c r="CA291" s="40" t="s">
        <v>267</v>
      </c>
      <c r="CB291" s="40" t="s">
        <v>791</v>
      </c>
    </row>
    <row r="292" spans="79:80">
      <c r="CA292" s="40" t="s">
        <v>156</v>
      </c>
      <c r="CB292" s="40" t="s">
        <v>731</v>
      </c>
    </row>
    <row r="293" spans="79:80">
      <c r="CA293" s="40" t="s">
        <v>237</v>
      </c>
      <c r="CB293" s="40" t="s">
        <v>776</v>
      </c>
    </row>
    <row r="294" spans="79:80">
      <c r="CA294" s="40" t="s">
        <v>80</v>
      </c>
      <c r="CB294" s="40" t="s">
        <v>693</v>
      </c>
    </row>
    <row r="295" spans="79:80">
      <c r="CA295" s="40" t="s">
        <v>563</v>
      </c>
      <c r="CB295" s="40" t="s">
        <v>941</v>
      </c>
    </row>
    <row r="296" spans="79:80">
      <c r="CA296" s="40" t="s">
        <v>487</v>
      </c>
      <c r="CB296" s="40" t="s">
        <v>900</v>
      </c>
    </row>
    <row r="297" spans="79:80">
      <c r="CA297" s="40" t="s">
        <v>581</v>
      </c>
      <c r="CB297" s="40" t="s">
        <v>950</v>
      </c>
    </row>
    <row r="300" spans="79:80">
      <c r="CA300"/>
      <c r="CB300"/>
    </row>
    <row r="302" spans="79:80">
      <c r="CA302"/>
      <c r="CB302"/>
    </row>
  </sheetData>
  <sortState xmlns:xlrd2="http://schemas.microsoft.com/office/spreadsheetml/2017/richdata2" ref="CA1:CB307">
    <sortCondition ref="CB1:CB307"/>
  </sortState>
  <mergeCells count="39">
    <mergeCell ref="B46:C46"/>
    <mergeCell ref="B47:C47"/>
    <mergeCell ref="B48:C48"/>
    <mergeCell ref="D45:G45"/>
    <mergeCell ref="C1:E1"/>
    <mergeCell ref="D2:E2"/>
    <mergeCell ref="C3:D3"/>
    <mergeCell ref="E3:F3"/>
    <mergeCell ref="C4:D4"/>
    <mergeCell ref="E4:F4"/>
    <mergeCell ref="B17:G21"/>
    <mergeCell ref="D35:G35"/>
    <mergeCell ref="C36:G36"/>
    <mergeCell ref="D42:G42"/>
    <mergeCell ref="B44:C44"/>
    <mergeCell ref="B49:C49"/>
    <mergeCell ref="B50:C50"/>
    <mergeCell ref="B60:C60"/>
    <mergeCell ref="B61:C61"/>
    <mergeCell ref="B62:C62"/>
    <mergeCell ref="B58:C58"/>
    <mergeCell ref="B59:C59"/>
    <mergeCell ref="B51:C51"/>
    <mergeCell ref="D56:G56"/>
    <mergeCell ref="B57:C57"/>
    <mergeCell ref="J4:K4"/>
    <mergeCell ref="E73:G73"/>
    <mergeCell ref="B77:C77"/>
    <mergeCell ref="B64:C64"/>
    <mergeCell ref="B65:C65"/>
    <mergeCell ref="B66:C66"/>
    <mergeCell ref="B68:C68"/>
    <mergeCell ref="B70:C70"/>
    <mergeCell ref="E72:G72"/>
    <mergeCell ref="B63:C63"/>
    <mergeCell ref="B52:C52"/>
    <mergeCell ref="B53:C53"/>
    <mergeCell ref="B54:C54"/>
    <mergeCell ref="B55:C55"/>
  </mergeCells>
  <conditionalFormatting sqref="D66:G66">
    <cfRule type="cellIs" dxfId="9" priority="1" operator="notEqual">
      <formula>0</formula>
    </cfRule>
  </conditionalFormatting>
  <conditionalFormatting sqref="D68:G68">
    <cfRule type="cellIs" dxfId="8" priority="2" operator="notEqual">
      <formula>0</formula>
    </cfRule>
  </conditionalFormatting>
  <dataValidations count="2">
    <dataValidation type="custom" allowBlank="1" showInputMessage="1" showErrorMessage="1" error="This is not a valid email address" sqref="E3:F3" xr:uid="{00000000-0002-0000-0300-000000000000}">
      <formula1>ISNUMBER(MATCH("*@*.?*",E3,0))</formula1>
    </dataValidation>
    <dataValidation type="list" allowBlank="1" showInputMessage="1" showErrorMessage="1" sqref="F12 F14" xr:uid="{00000000-0002-0000-0300-000001000000}">
      <formula1>"Yes, No"</formula1>
    </dataValidation>
  </dataValidations>
  <hyperlinks>
    <hyperlink ref="C7" r:id="rId1" xr:uid="{00000000-0004-0000-0300-000000000000}"/>
  </hyperlinks>
  <pageMargins left="0.9" right="0.9" top="1" bottom="0.81" header="0.5" footer="0.5"/>
  <pageSetup scale="47" orientation="portrait" r:id="rId2"/>
  <headerFooter>
    <oddHeader xml:space="preserve">&amp;C&amp;"Century Gothic,Bold"&amp;36&amp;K000000ENRICHMENT LEVY:&amp;KFF0000
&amp;28OSPI PRE-BALLOT APPROVAL
</oddHeader>
    <oddFooter>&amp;R&amp;"Century Gothic,Regular"&amp;D</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Sheet1!$E$3:$E$15</xm:f>
          </x14:formula1>
          <xm:sqref>C2</xm:sqref>
        </x14:dataValidation>
        <x14:dataValidation type="list" allowBlank="1" showInputMessage="1" showErrorMessage="1" xr:uid="{00000000-0002-0000-0300-000003000000}">
          <x14:formula1>
            <xm:f>Sheet1!$C$3:$C$8</xm:f>
          </x14:formula1>
          <xm:sqref>C29</xm:sqref>
        </x14:dataValidation>
        <x14:dataValidation type="list" allowBlank="1" showInputMessage="1" showErrorMessage="1" xr:uid="{980769F8-398D-4A25-9CE6-5D42555E64C6}">
          <x14:formula1>
            <xm:f>Sheet1!$B$3:$B$10</xm:f>
          </x14:formula1>
          <xm:sqref>C26</xm:sqref>
        </x14:dataValidation>
        <x14:dataValidation type="list" allowBlank="1" showInputMessage="1" showErrorMessage="1" xr:uid="{888FE620-2E45-4F5C-B129-E02A205F4596}">
          <x14:formula1>
            <xm:f>Sheet1!$C$3:$C$11</xm:f>
          </x14:formula1>
          <xm:sqref>F2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G306"/>
  <sheetViews>
    <sheetView workbookViewId="0">
      <pane xSplit="6" ySplit="3" topLeftCell="G4" activePane="bottomRight" state="frozen"/>
      <selection activeCell="B3" sqref="B3"/>
      <selection pane="topRight" activeCell="B3" sqref="B3"/>
      <selection pane="bottomLeft" activeCell="B3" sqref="B3"/>
      <selection pane="bottomRight" activeCell="B3" sqref="B3"/>
    </sheetView>
  </sheetViews>
  <sheetFormatPr defaultRowHeight="15"/>
  <cols>
    <col min="1" max="1" width="7.5703125" customWidth="1"/>
    <col min="2" max="2" width="20.42578125" bestFit="1" customWidth="1"/>
    <col min="3" max="6" width="15.28515625" hidden="1" customWidth="1"/>
    <col min="7" max="7" width="17.7109375" style="2" hidden="1" customWidth="1"/>
    <col min="8" max="8" width="16" hidden="1" customWidth="1"/>
    <col min="9" max="13" width="19" hidden="1" customWidth="1"/>
    <col min="14" max="21" width="19" customWidth="1"/>
    <col min="22" max="22" width="16.28515625" bestFit="1" customWidth="1"/>
    <col min="24" max="24" width="16.28515625" bestFit="1" customWidth="1"/>
  </cols>
  <sheetData>
    <row r="1" spans="1:33">
      <c r="A1" s="4">
        <v>1</v>
      </c>
      <c r="B1" s="4">
        <f>1+A1</f>
        <v>2</v>
      </c>
      <c r="C1" s="4">
        <f t="shared" ref="C1:H1" si="0">1+B1</f>
        <v>3</v>
      </c>
      <c r="D1" s="4">
        <f t="shared" si="0"/>
        <v>4</v>
      </c>
      <c r="E1" s="4">
        <f t="shared" si="0"/>
        <v>5</v>
      </c>
      <c r="F1" s="4">
        <f t="shared" si="0"/>
        <v>6</v>
      </c>
      <c r="G1" s="4">
        <f t="shared" si="0"/>
        <v>7</v>
      </c>
      <c r="H1" s="4">
        <f t="shared" si="0"/>
        <v>8</v>
      </c>
      <c r="I1" s="4">
        <v>2019</v>
      </c>
      <c r="J1" s="4">
        <v>2020</v>
      </c>
      <c r="K1" s="4">
        <v>2021</v>
      </c>
      <c r="L1" s="4">
        <v>2022</v>
      </c>
      <c r="M1" s="4">
        <v>2023</v>
      </c>
      <c r="N1" s="4">
        <v>2024</v>
      </c>
      <c r="O1" s="4">
        <v>2025</v>
      </c>
      <c r="P1" s="4">
        <v>2026</v>
      </c>
      <c r="Q1" s="4">
        <v>2027</v>
      </c>
      <c r="R1" s="4">
        <v>2028</v>
      </c>
      <c r="S1" s="4">
        <v>2029</v>
      </c>
      <c r="T1" s="4">
        <v>2030</v>
      </c>
      <c r="U1" s="4">
        <v>2031</v>
      </c>
      <c r="V1" s="4">
        <f>COLUMN(V1)</f>
        <v>22</v>
      </c>
      <c r="W1" s="4">
        <f t="shared" ref="W1:X1" si="1">COLUMN(W1)</f>
        <v>23</v>
      </c>
      <c r="X1" s="4">
        <f t="shared" si="1"/>
        <v>24</v>
      </c>
      <c r="Y1" s="4"/>
      <c r="Z1" s="4"/>
      <c r="AA1" s="4"/>
      <c r="AB1" s="4"/>
      <c r="AC1" s="4"/>
      <c r="AD1" s="4"/>
      <c r="AE1" s="4"/>
      <c r="AF1" s="4"/>
      <c r="AG1" s="4"/>
    </row>
    <row r="2" spans="1:33" s="3" customFormat="1" ht="30">
      <c r="A2" s="3" t="s">
        <v>595</v>
      </c>
      <c r="B2" s="3" t="s">
        <v>596</v>
      </c>
      <c r="G2" s="7" t="s">
        <v>590</v>
      </c>
      <c r="H2" s="3" t="s">
        <v>589</v>
      </c>
      <c r="I2" s="3" t="s">
        <v>958</v>
      </c>
      <c r="J2" s="3" t="s">
        <v>963</v>
      </c>
      <c r="K2" s="3" t="s">
        <v>966</v>
      </c>
      <c r="L2" s="3" t="s">
        <v>1100</v>
      </c>
      <c r="M2" s="3" t="s">
        <v>1134</v>
      </c>
      <c r="N2" s="3" t="s">
        <v>1145</v>
      </c>
      <c r="O2" s="3" t="s">
        <v>967</v>
      </c>
      <c r="P2" s="3" t="s">
        <v>1061</v>
      </c>
      <c r="Q2" s="3" t="s">
        <v>1101</v>
      </c>
      <c r="R2" s="3" t="s">
        <v>1102</v>
      </c>
      <c r="S2" s="3" t="s">
        <v>1113</v>
      </c>
      <c r="T2" s="3" t="s">
        <v>1141</v>
      </c>
      <c r="U2" s="3" t="s">
        <v>1142</v>
      </c>
      <c r="V2" s="3" t="s">
        <v>1157</v>
      </c>
      <c r="W2" s="3" t="s">
        <v>599</v>
      </c>
      <c r="X2" s="3" t="s">
        <v>1156</v>
      </c>
    </row>
    <row r="3" spans="1:33">
      <c r="A3" s="20" t="s">
        <v>633</v>
      </c>
      <c r="B3" s="20" t="s">
        <v>957</v>
      </c>
      <c r="G3" s="2">
        <f>VLOOKUP(A3,'Voter Approved'!$A$3:$F$298,3,FALSE)</f>
        <v>2243795589</v>
      </c>
      <c r="H3" s="2">
        <f>SUM(H4:H298)</f>
        <v>2166753078.0100002</v>
      </c>
      <c r="I3" s="6">
        <f t="shared" ref="I3:M3" si="2">SUM(I4:I298)</f>
        <v>1279129574623.282</v>
      </c>
      <c r="J3" s="6">
        <f t="shared" si="2"/>
        <v>1378166225565.6702</v>
      </c>
      <c r="K3" s="6">
        <f t="shared" si="2"/>
        <v>1448310511480</v>
      </c>
      <c r="L3" s="6">
        <f t="shared" si="2"/>
        <v>1606892332006</v>
      </c>
      <c r="M3" s="6">
        <f t="shared" si="2"/>
        <v>1963670985269</v>
      </c>
      <c r="N3" s="6">
        <f t="shared" ref="N3:Q3" si="3">SUM(N4:N298)</f>
        <v>1970983312589</v>
      </c>
      <c r="O3" s="6">
        <f t="shared" si="3"/>
        <v>2112054904241</v>
      </c>
      <c r="P3" s="6">
        <f t="shared" si="3"/>
        <v>2304343324358</v>
      </c>
      <c r="Q3" s="6">
        <f t="shared" si="3"/>
        <v>2496214328403</v>
      </c>
      <c r="R3" s="6">
        <f>SUM(R4:R298)</f>
        <v>2669349363904</v>
      </c>
      <c r="S3" s="6">
        <f>SUM(S4:S298)</f>
        <v>2858878861701</v>
      </c>
      <c r="T3" s="6">
        <f t="shared" ref="T3:U3" si="4">SUM(T4:T298)</f>
        <v>3062611846614</v>
      </c>
      <c r="U3" s="6">
        <f t="shared" si="4"/>
        <v>3280890625141</v>
      </c>
      <c r="V3" s="6">
        <f>SUM(V4:V306)</f>
        <v>57057950.11999999</v>
      </c>
      <c r="W3" t="str">
        <f>A3</f>
        <v>00000</v>
      </c>
      <c r="X3" s="6">
        <f>SUM(X4:X298)</f>
        <v>1247634933.47</v>
      </c>
    </row>
    <row r="4" spans="1:33">
      <c r="A4" t="s">
        <v>136</v>
      </c>
      <c r="B4" t="s">
        <v>137</v>
      </c>
      <c r="C4" s="1"/>
      <c r="D4" s="1"/>
      <c r="E4" s="1"/>
      <c r="F4" s="2"/>
      <c r="G4" s="2">
        <f>VLOOKUP(A4,'Voter Approved'!$A$3:$F$298,3,FALSE)</f>
        <v>5200000</v>
      </c>
      <c r="H4" s="2">
        <v>5200000</v>
      </c>
      <c r="I4" s="2">
        <v>1271394795</v>
      </c>
      <c r="J4" s="2">
        <v>1412053622</v>
      </c>
      <c r="K4" s="2">
        <v>1481581065</v>
      </c>
      <c r="L4" s="2">
        <v>1758564529</v>
      </c>
      <c r="M4" s="2">
        <v>2151128984</v>
      </c>
      <c r="N4" s="2">
        <v>2279621889</v>
      </c>
      <c r="O4" s="2">
        <v>2684028022</v>
      </c>
      <c r="P4" s="2">
        <v>2966980915</v>
      </c>
      <c r="Q4" s="2">
        <v>3270416200</v>
      </c>
      <c r="R4" s="2">
        <v>3569643419</v>
      </c>
      <c r="S4" s="2">
        <v>4010481218</v>
      </c>
      <c r="T4" s="2">
        <v>4413295185</v>
      </c>
      <c r="U4" s="2">
        <v>4746716474</v>
      </c>
      <c r="V4" s="2">
        <v>705521.53</v>
      </c>
      <c r="W4" t="str">
        <f t="shared" ref="W4:W67" si="5">A4</f>
        <v>14005</v>
      </c>
      <c r="X4" s="2">
        <v>2463760</v>
      </c>
    </row>
    <row r="5" spans="1:33">
      <c r="A5" t="s">
        <v>265</v>
      </c>
      <c r="B5" t="s">
        <v>266</v>
      </c>
      <c r="C5" s="1"/>
      <c r="D5" s="1"/>
      <c r="E5" s="1"/>
      <c r="F5" s="2"/>
      <c r="G5" s="2">
        <f>VLOOKUP(A5,'Voter Approved'!$A$3:$F$298,3,FALSE)</f>
        <v>683833</v>
      </c>
      <c r="H5" s="2">
        <v>683833</v>
      </c>
      <c r="I5" s="2">
        <v>436147055.30000001</v>
      </c>
      <c r="J5" s="2">
        <v>504154971.68000001</v>
      </c>
      <c r="K5" s="2">
        <v>548550815</v>
      </c>
      <c r="L5" s="2">
        <v>630642906</v>
      </c>
      <c r="M5" s="2">
        <v>814631042</v>
      </c>
      <c r="N5" s="2">
        <v>788748366</v>
      </c>
      <c r="O5" s="2">
        <v>1027710402</v>
      </c>
      <c r="P5" s="2">
        <v>1137385340</v>
      </c>
      <c r="Q5" s="2">
        <v>1284982668</v>
      </c>
      <c r="R5" s="2">
        <v>1415168733</v>
      </c>
      <c r="S5" s="2">
        <v>1554585508</v>
      </c>
      <c r="T5" s="2">
        <v>1706136944</v>
      </c>
      <c r="U5" s="2">
        <v>1845713612</v>
      </c>
      <c r="V5" s="2">
        <v>7745.35</v>
      </c>
      <c r="W5" t="str">
        <f t="shared" si="5"/>
        <v>21226</v>
      </c>
      <c r="X5" s="2">
        <v>537994.68999999994</v>
      </c>
    </row>
    <row r="6" spans="1:33">
      <c r="A6" t="s">
        <v>287</v>
      </c>
      <c r="B6" t="s">
        <v>288</v>
      </c>
      <c r="C6" s="1"/>
      <c r="D6" s="1"/>
      <c r="E6" s="1"/>
      <c r="F6" s="2"/>
      <c r="G6" s="2">
        <f>VLOOKUP(A6,'Voter Approved'!$A$3:$F$298,3,FALSE)</f>
        <v>210000</v>
      </c>
      <c r="H6" s="2">
        <v>210000</v>
      </c>
      <c r="I6" s="2">
        <v>79682287</v>
      </c>
      <c r="J6" s="2">
        <v>78303068</v>
      </c>
      <c r="K6" s="2">
        <v>80612413</v>
      </c>
      <c r="L6" s="2">
        <v>80406423</v>
      </c>
      <c r="M6" s="2">
        <v>82240679</v>
      </c>
      <c r="N6" s="2">
        <v>74816834</v>
      </c>
      <c r="O6" s="2">
        <v>87554724</v>
      </c>
      <c r="P6" s="2">
        <v>93436491</v>
      </c>
      <c r="Q6" s="2">
        <v>98105789</v>
      </c>
      <c r="R6" s="2">
        <v>101984841</v>
      </c>
      <c r="S6" s="2">
        <v>104164445</v>
      </c>
      <c r="T6" s="2">
        <v>110575348</v>
      </c>
      <c r="U6" s="2">
        <v>115770480</v>
      </c>
      <c r="V6" s="2">
        <v>0</v>
      </c>
      <c r="W6" t="str">
        <f t="shared" si="5"/>
        <v>22017</v>
      </c>
      <c r="X6" s="2">
        <v>0</v>
      </c>
    </row>
    <row r="7" spans="1:33">
      <c r="A7" t="s">
        <v>391</v>
      </c>
      <c r="B7" t="s">
        <v>392</v>
      </c>
      <c r="C7" s="1"/>
      <c r="D7" s="1"/>
      <c r="E7" s="1"/>
      <c r="F7" s="2"/>
      <c r="G7" s="2">
        <f>VLOOKUP(A7,'Voter Approved'!$A$3:$F$298,3,FALSE)</f>
        <v>7623438</v>
      </c>
      <c r="H7" s="2">
        <v>6794150</v>
      </c>
      <c r="I7" s="2">
        <v>6247578413</v>
      </c>
      <c r="J7" s="2">
        <v>6742753097</v>
      </c>
      <c r="K7" s="2">
        <v>6969972076</v>
      </c>
      <c r="L7" s="2">
        <v>7601298964</v>
      </c>
      <c r="M7" s="2">
        <v>8944181931</v>
      </c>
      <c r="N7" s="2">
        <v>9673246950</v>
      </c>
      <c r="O7" s="2">
        <v>10996926028</v>
      </c>
      <c r="P7" s="2">
        <v>12380780097</v>
      </c>
      <c r="Q7" s="2">
        <v>13639487938</v>
      </c>
      <c r="R7" s="2">
        <v>14912832279</v>
      </c>
      <c r="S7" s="2">
        <v>16524504972</v>
      </c>
      <c r="T7" s="2">
        <v>18924571941</v>
      </c>
      <c r="U7" s="2">
        <v>20696640672</v>
      </c>
      <c r="V7" s="2">
        <v>0</v>
      </c>
      <c r="W7" t="str">
        <f t="shared" si="5"/>
        <v>29103</v>
      </c>
      <c r="X7" s="2">
        <v>3614731.54</v>
      </c>
    </row>
    <row r="8" spans="1:33">
      <c r="A8" t="s">
        <v>415</v>
      </c>
      <c r="B8" t="s">
        <v>416</v>
      </c>
      <c r="C8" s="1"/>
      <c r="D8" s="1"/>
      <c r="E8" s="1"/>
      <c r="F8" s="2"/>
      <c r="G8" s="2">
        <f>VLOOKUP(A8,'Voter Approved'!$A$3:$F$298,3,FALSE)</f>
        <v>14541698</v>
      </c>
      <c r="H8" s="2">
        <v>14541698</v>
      </c>
      <c r="I8" s="2">
        <v>4726690928</v>
      </c>
      <c r="J8" s="2">
        <v>5088268664</v>
      </c>
      <c r="K8" s="2">
        <v>5545746081</v>
      </c>
      <c r="L8" s="2">
        <v>6159745639</v>
      </c>
      <c r="M8" s="2">
        <v>7885003520</v>
      </c>
      <c r="N8" s="2">
        <v>7872667382</v>
      </c>
      <c r="O8" s="2">
        <v>7705321775</v>
      </c>
      <c r="P8" s="2">
        <v>8573460441</v>
      </c>
      <c r="Q8" s="2">
        <v>9299278696</v>
      </c>
      <c r="R8" s="2">
        <v>9765715939</v>
      </c>
      <c r="S8" s="2">
        <v>10217686139</v>
      </c>
      <c r="T8" s="2">
        <v>10717170857</v>
      </c>
      <c r="U8" s="2">
        <v>11089587923</v>
      </c>
      <c r="V8" s="2">
        <v>0</v>
      </c>
      <c r="W8" t="str">
        <f t="shared" si="5"/>
        <v>31016</v>
      </c>
      <c r="X8" s="2">
        <v>4619550</v>
      </c>
    </row>
    <row r="9" spans="1:33">
      <c r="A9" t="s">
        <v>12</v>
      </c>
      <c r="B9" t="s">
        <v>13</v>
      </c>
      <c r="C9" s="1"/>
      <c r="D9" s="1"/>
      <c r="E9" s="1"/>
      <c r="F9" s="2"/>
      <c r="G9" s="2">
        <f>VLOOKUP(A9,'Voter Approved'!$A$3:$F$298,3,FALSE)</f>
        <v>652000</v>
      </c>
      <c r="H9" s="2">
        <v>652000</v>
      </c>
      <c r="I9" s="2">
        <v>379559065</v>
      </c>
      <c r="J9" s="2">
        <v>385237192</v>
      </c>
      <c r="K9" s="2">
        <v>420927606</v>
      </c>
      <c r="L9" s="2">
        <v>434743594</v>
      </c>
      <c r="M9" s="2">
        <v>453460009</v>
      </c>
      <c r="N9" s="2">
        <v>471871395</v>
      </c>
      <c r="O9" s="2">
        <v>500955567</v>
      </c>
      <c r="P9" s="2">
        <v>528201760</v>
      </c>
      <c r="Q9" s="2">
        <v>561763670</v>
      </c>
      <c r="R9" s="2">
        <v>582418470</v>
      </c>
      <c r="S9" s="2">
        <v>612675994</v>
      </c>
      <c r="T9" s="2">
        <v>619277055</v>
      </c>
      <c r="U9" s="2">
        <v>640444062</v>
      </c>
      <c r="V9" s="2">
        <v>133690.53</v>
      </c>
      <c r="W9" t="str">
        <f t="shared" si="5"/>
        <v>02420</v>
      </c>
      <c r="X9" s="2">
        <v>512118.1</v>
      </c>
    </row>
    <row r="10" spans="1:33">
      <c r="A10" t="s">
        <v>199</v>
      </c>
      <c r="B10" t="s">
        <v>200</v>
      </c>
      <c r="C10" s="1"/>
      <c r="D10" s="1"/>
      <c r="E10" s="1"/>
      <c r="F10" s="2"/>
      <c r="G10" s="2">
        <f>VLOOKUP(A10,'Voter Approved'!$A$3:$F$298,3,FALSE)</f>
        <v>45400000</v>
      </c>
      <c r="H10" s="2">
        <v>45400000</v>
      </c>
      <c r="I10" s="2">
        <v>13005891148</v>
      </c>
      <c r="J10" s="2">
        <v>13916579293</v>
      </c>
      <c r="K10" s="2">
        <v>14945911728</v>
      </c>
      <c r="L10" s="2">
        <v>16284857292</v>
      </c>
      <c r="M10" s="2">
        <v>19896728414</v>
      </c>
      <c r="N10" s="2">
        <v>19988432688</v>
      </c>
      <c r="O10" s="2">
        <v>20670689340</v>
      </c>
      <c r="P10" s="2">
        <v>22428715757</v>
      </c>
      <c r="Q10" s="2">
        <v>24375055913</v>
      </c>
      <c r="R10" s="2">
        <v>25596538913</v>
      </c>
      <c r="S10" s="2">
        <v>27049645051</v>
      </c>
      <c r="T10" s="2">
        <v>28484747014</v>
      </c>
      <c r="U10" s="2">
        <v>30540286969</v>
      </c>
      <c r="V10" s="2">
        <v>938146.56</v>
      </c>
      <c r="W10" t="str">
        <f t="shared" si="5"/>
        <v>17408</v>
      </c>
      <c r="X10" s="2">
        <v>23351646.149999999</v>
      </c>
    </row>
    <row r="11" spans="1:33">
      <c r="A11" t="s">
        <v>217</v>
      </c>
      <c r="B11" t="s">
        <v>218</v>
      </c>
      <c r="C11" s="1"/>
      <c r="D11" s="1"/>
      <c r="E11" s="1"/>
      <c r="F11" s="2"/>
      <c r="G11" s="2">
        <f>VLOOKUP(A11,'Voter Approved'!$A$3:$F$298,3,FALSE)</f>
        <v>10600000</v>
      </c>
      <c r="H11" s="2">
        <v>10600000</v>
      </c>
      <c r="I11" s="2">
        <v>8364266463</v>
      </c>
      <c r="J11" s="2">
        <v>9177489644</v>
      </c>
      <c r="K11" s="2">
        <v>9517030156</v>
      </c>
      <c r="L11" s="2">
        <v>10229216682</v>
      </c>
      <c r="M11" s="2">
        <v>12773274349</v>
      </c>
      <c r="N11" s="2">
        <v>13411348637</v>
      </c>
      <c r="O11" s="2">
        <v>15600200663</v>
      </c>
      <c r="P11" s="2">
        <v>17676950880</v>
      </c>
      <c r="Q11" s="2">
        <v>19322778560</v>
      </c>
      <c r="R11" s="2">
        <v>21764501794</v>
      </c>
      <c r="S11" s="2">
        <v>24833905736</v>
      </c>
      <c r="T11" s="2">
        <v>27244070642</v>
      </c>
      <c r="U11" s="2">
        <v>30516224715</v>
      </c>
      <c r="V11" s="2">
        <v>0</v>
      </c>
      <c r="W11" t="str">
        <f t="shared" si="5"/>
        <v>18303</v>
      </c>
      <c r="X11" s="2">
        <v>4974900</v>
      </c>
    </row>
    <row r="12" spans="1:33">
      <c r="A12" t="s">
        <v>64</v>
      </c>
      <c r="B12" t="s">
        <v>65</v>
      </c>
      <c r="C12" s="1"/>
      <c r="D12" s="1"/>
      <c r="E12" s="1"/>
      <c r="F12" s="2"/>
      <c r="G12" s="2">
        <f>VLOOKUP(A12,'Voter Approved'!$A$3:$F$298,3,FALSE)</f>
        <v>33260000</v>
      </c>
      <c r="H12" s="2">
        <v>33260000</v>
      </c>
      <c r="I12" s="2">
        <v>10599887243</v>
      </c>
      <c r="J12" s="2">
        <v>11323320162</v>
      </c>
      <c r="K12" s="2">
        <v>12212187022</v>
      </c>
      <c r="L12" s="2">
        <v>13661864172</v>
      </c>
      <c r="M12" s="2">
        <v>16591904085</v>
      </c>
      <c r="N12" s="2">
        <v>17934410194</v>
      </c>
      <c r="O12" s="2">
        <v>18312799227</v>
      </c>
      <c r="P12" s="2">
        <v>19873537229</v>
      </c>
      <c r="Q12" s="2">
        <v>21522659866</v>
      </c>
      <c r="R12" s="2">
        <v>22862238954</v>
      </c>
      <c r="S12" s="2">
        <v>23973637637</v>
      </c>
      <c r="T12" s="2">
        <v>25780944897</v>
      </c>
      <c r="U12" s="2">
        <v>26744256768</v>
      </c>
      <c r="V12" s="2">
        <v>0</v>
      </c>
      <c r="W12" t="str">
        <f t="shared" si="5"/>
        <v>06119</v>
      </c>
      <c r="X12" s="2">
        <v>14048170</v>
      </c>
    </row>
    <row r="13" spans="1:33">
      <c r="A13" t="s">
        <v>194</v>
      </c>
      <c r="B13" t="s">
        <v>195</v>
      </c>
      <c r="C13" s="1"/>
      <c r="D13" s="1"/>
      <c r="E13" s="1"/>
      <c r="F13" s="2"/>
      <c r="G13" s="2">
        <f>VLOOKUP(A13,'Voter Approved'!$A$3:$F$298,3,FALSE)</f>
        <v>68000000</v>
      </c>
      <c r="H13" s="2">
        <v>68000000</v>
      </c>
      <c r="I13" s="2">
        <v>72429545401</v>
      </c>
      <c r="J13" s="2">
        <v>76525448992</v>
      </c>
      <c r="K13" s="2">
        <v>79716099044</v>
      </c>
      <c r="L13" s="2">
        <v>87045225976</v>
      </c>
      <c r="M13" s="2">
        <v>111956419970</v>
      </c>
      <c r="N13" s="2">
        <v>105745972285</v>
      </c>
      <c r="O13" s="2">
        <v>115090998169</v>
      </c>
      <c r="P13" s="2">
        <v>122603063927</v>
      </c>
      <c r="Q13" s="2">
        <v>133157568219</v>
      </c>
      <c r="R13" s="2">
        <v>142187452393</v>
      </c>
      <c r="S13" s="2">
        <v>150979162359</v>
      </c>
      <c r="T13" s="2">
        <v>163029904629</v>
      </c>
      <c r="U13" s="2">
        <v>171075690012</v>
      </c>
      <c r="V13" s="2">
        <v>0</v>
      </c>
      <c r="W13" t="str">
        <f t="shared" si="5"/>
        <v>17405</v>
      </c>
      <c r="X13" s="2">
        <v>27832811.16</v>
      </c>
    </row>
    <row r="14" spans="1:33">
      <c r="A14" t="s">
        <v>519</v>
      </c>
      <c r="B14" t="s">
        <v>520</v>
      </c>
      <c r="C14" s="1"/>
      <c r="D14" s="1"/>
      <c r="E14" s="1"/>
      <c r="F14" s="2"/>
      <c r="G14" s="2">
        <f>VLOOKUP(A14,'Voter Approved'!$A$3:$F$298,3,FALSE)</f>
        <v>34900000</v>
      </c>
      <c r="H14" s="2">
        <v>34900000</v>
      </c>
      <c r="I14" s="2">
        <v>15796966783</v>
      </c>
      <c r="J14" s="2">
        <v>17611229666</v>
      </c>
      <c r="K14" s="2">
        <v>18924204130</v>
      </c>
      <c r="L14" s="2">
        <v>21179593477</v>
      </c>
      <c r="M14" s="2">
        <v>25672728515</v>
      </c>
      <c r="N14" s="2">
        <v>29555784908</v>
      </c>
      <c r="O14" s="2">
        <v>31806402434</v>
      </c>
      <c r="P14" s="2">
        <v>35911872867</v>
      </c>
      <c r="Q14" s="2">
        <v>39866114248</v>
      </c>
      <c r="R14" s="2">
        <v>44514245507</v>
      </c>
      <c r="S14" s="2">
        <v>48521895210</v>
      </c>
      <c r="T14" s="2">
        <v>53082080437</v>
      </c>
      <c r="U14" s="2">
        <v>55960893680</v>
      </c>
      <c r="V14" s="2">
        <v>0</v>
      </c>
      <c r="W14" t="str">
        <f t="shared" si="5"/>
        <v>37501</v>
      </c>
      <c r="X14" s="2">
        <v>16583000</v>
      </c>
    </row>
    <row r="15" spans="1:33">
      <c r="A15" t="s">
        <v>2</v>
      </c>
      <c r="B15" t="s">
        <v>3</v>
      </c>
      <c r="C15" s="1"/>
      <c r="D15" s="1"/>
      <c r="E15" s="1"/>
      <c r="F15" s="2"/>
      <c r="G15" s="2">
        <f>VLOOKUP(A15,'Voter Approved'!$A$3:$F$298,3,FALSE)</f>
        <v>40000</v>
      </c>
      <c r="H15" s="2">
        <v>40000</v>
      </c>
      <c r="I15" s="2">
        <v>21271879</v>
      </c>
      <c r="J15" s="2">
        <v>21304085</v>
      </c>
      <c r="K15" s="2">
        <v>21730781</v>
      </c>
      <c r="L15" s="2">
        <v>22121495</v>
      </c>
      <c r="M15" s="2">
        <v>23106763</v>
      </c>
      <c r="N15" s="2">
        <v>23688422</v>
      </c>
      <c r="O15" s="2">
        <v>26293896</v>
      </c>
      <c r="P15" s="2">
        <v>27118964</v>
      </c>
      <c r="Q15" s="2">
        <v>30174745</v>
      </c>
      <c r="R15" s="2">
        <v>31270008</v>
      </c>
      <c r="S15" s="2">
        <v>33419267</v>
      </c>
      <c r="T15" s="2">
        <v>33937385</v>
      </c>
      <c r="U15" s="2">
        <v>36051353</v>
      </c>
      <c r="V15" s="2">
        <v>0</v>
      </c>
      <c r="W15" t="str">
        <f t="shared" si="5"/>
        <v>01122</v>
      </c>
      <c r="X15" s="2">
        <v>13430.91</v>
      </c>
    </row>
    <row r="16" spans="1:33">
      <c r="A16" t="s">
        <v>369</v>
      </c>
      <c r="B16" t="s">
        <v>370</v>
      </c>
      <c r="C16" s="1"/>
      <c r="D16" s="1"/>
      <c r="E16" s="1"/>
      <c r="F16" s="2"/>
      <c r="G16" s="2">
        <f>VLOOKUP(A16,'Voter Approved'!$A$3:$F$298,3,FALSE)</f>
        <v>25500000</v>
      </c>
      <c r="H16" s="2">
        <v>25500000</v>
      </c>
      <c r="I16" s="2">
        <v>12620771580</v>
      </c>
      <c r="J16" s="2">
        <v>13875022261</v>
      </c>
      <c r="K16" s="2">
        <v>15339568229</v>
      </c>
      <c r="L16" s="2">
        <v>18009170258</v>
      </c>
      <c r="M16" s="2">
        <v>22321721769</v>
      </c>
      <c r="N16" s="2">
        <v>22324340635</v>
      </c>
      <c r="O16" s="2">
        <v>23264260310</v>
      </c>
      <c r="P16" s="2">
        <v>25422327871</v>
      </c>
      <c r="Q16" s="2">
        <v>27866505710</v>
      </c>
      <c r="R16" s="2">
        <v>29248170602</v>
      </c>
      <c r="S16" s="2">
        <v>31002794627</v>
      </c>
      <c r="T16" s="2">
        <v>32750737624</v>
      </c>
      <c r="U16" s="2">
        <v>35475893298</v>
      </c>
      <c r="V16" s="2">
        <v>1852163.04</v>
      </c>
      <c r="W16" t="str">
        <f t="shared" si="5"/>
        <v>27403</v>
      </c>
      <c r="X16" s="2">
        <v>20136500</v>
      </c>
    </row>
    <row r="17" spans="1:24">
      <c r="A17" t="s">
        <v>239</v>
      </c>
      <c r="B17" t="s">
        <v>240</v>
      </c>
      <c r="C17" s="1"/>
      <c r="D17" s="1"/>
      <c r="E17" s="1"/>
      <c r="F17" s="2"/>
      <c r="G17" s="2">
        <f>VLOOKUP(A17,'Voter Approved'!$A$3:$F$298,3,FALSE)</f>
        <v>300000</v>
      </c>
      <c r="H17" s="2">
        <v>300000</v>
      </c>
      <c r="I17" s="2">
        <v>413220679.87</v>
      </c>
      <c r="J17" s="2">
        <v>403534119</v>
      </c>
      <c r="K17" s="2">
        <v>416661633</v>
      </c>
      <c r="L17" s="2">
        <v>388144476</v>
      </c>
      <c r="M17" s="2">
        <v>497968621</v>
      </c>
      <c r="N17" s="2">
        <v>532107994</v>
      </c>
      <c r="O17" s="2">
        <v>554396026</v>
      </c>
      <c r="P17" s="2">
        <v>602434010</v>
      </c>
      <c r="Q17" s="2">
        <v>630573130</v>
      </c>
      <c r="R17" s="2">
        <v>659042645</v>
      </c>
      <c r="S17" s="2">
        <v>697586898</v>
      </c>
      <c r="T17" s="2">
        <v>758490862</v>
      </c>
      <c r="U17" s="2">
        <v>796692849</v>
      </c>
      <c r="V17" s="2">
        <v>0</v>
      </c>
      <c r="W17" t="str">
        <f t="shared" si="5"/>
        <v>20203</v>
      </c>
      <c r="X17" s="2">
        <v>142140</v>
      </c>
    </row>
    <row r="18" spans="1:24">
      <c r="A18" t="s">
        <v>523</v>
      </c>
      <c r="B18" t="s">
        <v>524</v>
      </c>
      <c r="C18" s="1"/>
      <c r="D18" s="1"/>
      <c r="E18" s="1"/>
      <c r="F18" s="2"/>
      <c r="G18" s="2">
        <f>VLOOKUP(A18,'Voter Approved'!$A$3:$F$298,3,FALSE)</f>
        <v>7340000</v>
      </c>
      <c r="H18" s="2">
        <v>5503375</v>
      </c>
      <c r="I18" s="2">
        <v>4290480814</v>
      </c>
      <c r="J18" s="2">
        <v>4763490860</v>
      </c>
      <c r="K18" s="2">
        <v>5028661717</v>
      </c>
      <c r="L18" s="2">
        <v>5388331328</v>
      </c>
      <c r="M18" s="2">
        <v>6634870266</v>
      </c>
      <c r="N18" s="2">
        <v>7546135448</v>
      </c>
      <c r="O18" s="2">
        <v>8308709634</v>
      </c>
      <c r="P18" s="2">
        <v>9410991421</v>
      </c>
      <c r="Q18" s="2">
        <v>10406209079</v>
      </c>
      <c r="R18" s="2">
        <v>11186127040</v>
      </c>
      <c r="S18" s="2">
        <v>12204077805</v>
      </c>
      <c r="T18" s="2">
        <v>13129590485</v>
      </c>
      <c r="U18" s="2">
        <v>14107294517</v>
      </c>
      <c r="V18" s="2">
        <v>0</v>
      </c>
      <c r="W18" t="str">
        <f t="shared" si="5"/>
        <v>37503</v>
      </c>
      <c r="X18" s="2">
        <v>3031475.34</v>
      </c>
    </row>
    <row r="19" spans="1:24">
      <c r="A19" t="s">
        <v>269</v>
      </c>
      <c r="B19" t="s">
        <v>270</v>
      </c>
      <c r="C19" s="1"/>
      <c r="D19" s="1"/>
      <c r="E19" s="1"/>
      <c r="F19" s="2"/>
      <c r="G19" s="2">
        <f>VLOOKUP(A19,'Voter Approved'!$A$3:$F$298,3,FALSE)</f>
        <v>250000</v>
      </c>
      <c r="H19" s="2">
        <v>250000</v>
      </c>
      <c r="I19" s="2">
        <v>133737639.8</v>
      </c>
      <c r="J19" s="2">
        <v>164586934.61000001</v>
      </c>
      <c r="K19" s="2">
        <v>181205724</v>
      </c>
      <c r="L19" s="2">
        <v>174739145</v>
      </c>
      <c r="M19" s="2">
        <v>248992600</v>
      </c>
      <c r="N19" s="2">
        <v>261330256</v>
      </c>
      <c r="O19" s="2">
        <v>299043348</v>
      </c>
      <c r="P19" s="2">
        <v>319159980</v>
      </c>
      <c r="Q19" s="2">
        <v>348777972</v>
      </c>
      <c r="R19" s="2">
        <v>380169000</v>
      </c>
      <c r="S19" s="2">
        <v>409565473</v>
      </c>
      <c r="T19" s="2">
        <v>447603728</v>
      </c>
      <c r="U19" s="2">
        <v>487724920</v>
      </c>
      <c r="V19" s="2">
        <v>0</v>
      </c>
      <c r="W19" t="str">
        <f t="shared" si="5"/>
        <v>21234</v>
      </c>
      <c r="X19" s="2">
        <v>118450</v>
      </c>
    </row>
    <row r="20" spans="1:24">
      <c r="A20" t="s">
        <v>215</v>
      </c>
      <c r="B20" t="s">
        <v>216</v>
      </c>
      <c r="C20" s="1"/>
      <c r="D20" s="1"/>
      <c r="E20" s="1"/>
      <c r="F20" s="2"/>
      <c r="G20" s="2">
        <f>VLOOKUP(A20,'Voter Approved'!$A$3:$F$298,3,FALSE)</f>
        <v>6652154</v>
      </c>
      <c r="H20" s="2">
        <v>6652154</v>
      </c>
      <c r="I20" s="2">
        <v>4442847999.5</v>
      </c>
      <c r="J20" s="2">
        <v>4933504730</v>
      </c>
      <c r="K20" s="2">
        <v>5392533124</v>
      </c>
      <c r="L20" s="2">
        <v>6158835935</v>
      </c>
      <c r="M20" s="2">
        <v>7324731921</v>
      </c>
      <c r="N20" s="2">
        <v>7592073202</v>
      </c>
      <c r="O20" s="2">
        <v>9006708151</v>
      </c>
      <c r="P20" s="2">
        <v>10082142079</v>
      </c>
      <c r="Q20" s="2">
        <v>11198087903</v>
      </c>
      <c r="R20" s="2">
        <v>12420801166</v>
      </c>
      <c r="S20" s="2">
        <v>14078522961</v>
      </c>
      <c r="T20" s="2">
        <v>15276368544</v>
      </c>
      <c r="U20" s="2">
        <v>17480737793</v>
      </c>
      <c r="V20" s="2">
        <v>0</v>
      </c>
      <c r="W20" t="str">
        <f t="shared" si="5"/>
        <v>18100</v>
      </c>
      <c r="X20" s="2">
        <v>6732735.1500000004</v>
      </c>
    </row>
    <row r="21" spans="1:24">
      <c r="A21" t="s">
        <v>319</v>
      </c>
      <c r="B21" t="s">
        <v>320</v>
      </c>
      <c r="C21" s="1"/>
      <c r="D21" s="1"/>
      <c r="E21" s="1"/>
      <c r="F21" s="2"/>
      <c r="G21" s="2">
        <f>VLOOKUP(A21,'Voter Approved'!$A$3:$F$298,3,FALSE)</f>
        <v>672176</v>
      </c>
      <c r="H21" s="2">
        <v>672176</v>
      </c>
      <c r="I21" s="2">
        <v>460821635</v>
      </c>
      <c r="J21" s="2">
        <v>474043636</v>
      </c>
      <c r="K21" s="2">
        <v>494960226</v>
      </c>
      <c r="L21" s="2">
        <v>510552002</v>
      </c>
      <c r="M21" s="2">
        <v>577381851</v>
      </c>
      <c r="N21" s="2">
        <v>691044759</v>
      </c>
      <c r="O21" s="2">
        <v>661434122</v>
      </c>
      <c r="P21" s="2">
        <v>711280077</v>
      </c>
      <c r="Q21" s="2">
        <v>785281650</v>
      </c>
      <c r="R21" s="2">
        <v>844739015</v>
      </c>
      <c r="S21" s="2">
        <v>896087654</v>
      </c>
      <c r="T21" s="2">
        <v>939490221</v>
      </c>
      <c r="U21" s="2">
        <v>995141760</v>
      </c>
      <c r="V21" s="2">
        <v>243903.88</v>
      </c>
      <c r="W21" t="str">
        <f t="shared" si="5"/>
        <v>24111</v>
      </c>
      <c r="X21" s="2">
        <v>705265.51</v>
      </c>
    </row>
    <row r="22" spans="1:24">
      <c r="A22" t="s">
        <v>86</v>
      </c>
      <c r="B22" t="s">
        <v>87</v>
      </c>
      <c r="C22" s="1"/>
      <c r="D22" s="1"/>
      <c r="E22" s="1"/>
      <c r="F22" s="2"/>
      <c r="G22" s="2">
        <f>VLOOKUP(A22,'Voter Approved'!$A$3:$F$298,3,FALSE)</f>
        <v>285134</v>
      </c>
      <c r="H22" s="2">
        <v>285134</v>
      </c>
      <c r="I22" s="2">
        <v>159130055</v>
      </c>
      <c r="J22" s="2">
        <v>166734063</v>
      </c>
      <c r="K22" s="2">
        <v>169143554</v>
      </c>
      <c r="L22" s="2">
        <v>176145723</v>
      </c>
      <c r="M22" s="2">
        <v>186433575</v>
      </c>
      <c r="N22" s="2">
        <v>207823043</v>
      </c>
      <c r="O22" s="2">
        <v>206482218</v>
      </c>
      <c r="P22" s="2">
        <v>222306743</v>
      </c>
      <c r="Q22" s="2">
        <v>241932997</v>
      </c>
      <c r="R22" s="2">
        <v>251036542</v>
      </c>
      <c r="S22" s="2">
        <v>254868975</v>
      </c>
      <c r="T22" s="2">
        <v>285588132</v>
      </c>
      <c r="U22" s="2">
        <v>305134364</v>
      </c>
      <c r="V22" s="2">
        <v>321967.39</v>
      </c>
      <c r="W22" t="str">
        <f t="shared" si="5"/>
        <v>09075</v>
      </c>
      <c r="X22" s="2">
        <v>158385.18</v>
      </c>
    </row>
    <row r="23" spans="1:24">
      <c r="A23" t="s">
        <v>170</v>
      </c>
      <c r="B23" t="s">
        <v>171</v>
      </c>
      <c r="C23" s="1"/>
      <c r="D23" s="1"/>
      <c r="E23" s="1"/>
      <c r="F23" s="2"/>
      <c r="G23" s="2">
        <f>VLOOKUP(A23,'Voter Approved'!$A$3:$F$298,3,FALSE)</f>
        <v>314681</v>
      </c>
      <c r="H23" s="2">
        <v>228088.67</v>
      </c>
      <c r="I23" s="2">
        <v>302793922</v>
      </c>
      <c r="J23" s="2">
        <v>303966979</v>
      </c>
      <c r="K23" s="2">
        <v>313043686</v>
      </c>
      <c r="L23" s="2">
        <v>337167369</v>
      </c>
      <c r="M23" s="2">
        <v>401807541</v>
      </c>
      <c r="N23" s="2">
        <v>455107819</v>
      </c>
      <c r="O23" s="2">
        <v>458959159</v>
      </c>
      <c r="P23" s="2">
        <v>493499716</v>
      </c>
      <c r="Q23" s="2">
        <v>533197742</v>
      </c>
      <c r="R23" s="2">
        <v>576566020</v>
      </c>
      <c r="S23" s="2">
        <v>637376355</v>
      </c>
      <c r="T23" s="2">
        <v>681953339</v>
      </c>
      <c r="U23" s="2">
        <v>748368180</v>
      </c>
      <c r="V23" s="2">
        <v>0</v>
      </c>
      <c r="W23" t="str">
        <f t="shared" si="5"/>
        <v>16046</v>
      </c>
      <c r="X23" s="2">
        <v>149157.70000000001</v>
      </c>
    </row>
    <row r="24" spans="1:24">
      <c r="A24" t="s">
        <v>387</v>
      </c>
      <c r="B24" t="s">
        <v>388</v>
      </c>
      <c r="C24" s="1"/>
      <c r="D24" s="1"/>
      <c r="E24" s="1"/>
      <c r="F24" s="2"/>
      <c r="G24" s="2">
        <f>VLOOKUP(A24,'Voter Approved'!$A$3:$F$298,3,FALSE)</f>
        <v>9100000</v>
      </c>
      <c r="H24" s="2">
        <v>9100000</v>
      </c>
      <c r="I24" s="2">
        <v>3723611061</v>
      </c>
      <c r="J24" s="2">
        <v>4024115440</v>
      </c>
      <c r="K24" s="2">
        <v>4327094193</v>
      </c>
      <c r="L24" s="2">
        <v>4934278356</v>
      </c>
      <c r="M24" s="2">
        <v>5869252196</v>
      </c>
      <c r="N24" s="2">
        <v>6346920225</v>
      </c>
      <c r="O24" s="2">
        <v>7413629053</v>
      </c>
      <c r="P24" s="2">
        <v>8617746400</v>
      </c>
      <c r="Q24" s="2">
        <v>9623973166</v>
      </c>
      <c r="R24" s="2">
        <v>10371614061</v>
      </c>
      <c r="S24" s="2">
        <v>11932737760</v>
      </c>
      <c r="T24" s="2">
        <v>13209933546</v>
      </c>
      <c r="U24" s="2">
        <v>14377656147</v>
      </c>
      <c r="V24" s="2">
        <v>0</v>
      </c>
      <c r="W24" t="str">
        <f t="shared" si="5"/>
        <v>29100</v>
      </c>
      <c r="X24" s="2">
        <v>4826784.83</v>
      </c>
    </row>
    <row r="25" spans="1:24">
      <c r="A25" t="s">
        <v>62</v>
      </c>
      <c r="B25" t="s">
        <v>63</v>
      </c>
      <c r="C25" s="1"/>
      <c r="D25" s="1"/>
      <c r="E25" s="1"/>
      <c r="F25" s="2"/>
      <c r="G25" s="2">
        <f>VLOOKUP(A25,'Voter Approved'!$A$3:$F$298,3,FALSE)</f>
        <v>16583000</v>
      </c>
      <c r="H25" s="2">
        <v>16583000</v>
      </c>
      <c r="I25" s="2">
        <v>6062219212</v>
      </c>
      <c r="J25" s="2">
        <v>6377588029</v>
      </c>
      <c r="K25" s="2">
        <v>6733876264</v>
      </c>
      <c r="L25" s="2">
        <v>7476577401</v>
      </c>
      <c r="M25" s="2">
        <v>9304742279</v>
      </c>
      <c r="N25" s="2">
        <v>10156598332</v>
      </c>
      <c r="O25" s="2">
        <v>10122903649</v>
      </c>
      <c r="P25" s="2">
        <v>11106673267</v>
      </c>
      <c r="Q25" s="2">
        <v>12402367350</v>
      </c>
      <c r="R25" s="2">
        <v>13174624989</v>
      </c>
      <c r="S25" s="2">
        <v>13901176705</v>
      </c>
      <c r="T25" s="2">
        <v>14752711520</v>
      </c>
      <c r="U25" s="2">
        <v>15536879883</v>
      </c>
      <c r="V25" s="2">
        <v>0</v>
      </c>
      <c r="W25" t="str">
        <f t="shared" si="5"/>
        <v>06117</v>
      </c>
      <c r="X25" s="2">
        <v>8632636</v>
      </c>
    </row>
    <row r="26" spans="1:24">
      <c r="A26" t="s">
        <v>46</v>
      </c>
      <c r="B26" t="s">
        <v>47</v>
      </c>
      <c r="C26" s="1"/>
      <c r="D26" s="1"/>
      <c r="E26" s="1"/>
      <c r="F26" s="2"/>
      <c r="G26" s="2">
        <f>VLOOKUP(A26,'Voter Approved'!$A$3:$F$298,3,FALSE)</f>
        <v>275000</v>
      </c>
      <c r="H26" s="2">
        <v>276341.59999999998</v>
      </c>
      <c r="I26" s="2">
        <v>139062654</v>
      </c>
      <c r="J26" s="2">
        <v>143559463</v>
      </c>
      <c r="K26" s="2">
        <v>156885013</v>
      </c>
      <c r="L26" s="2">
        <v>161771048</v>
      </c>
      <c r="M26" s="2">
        <v>191806984</v>
      </c>
      <c r="N26" s="2">
        <v>232468775</v>
      </c>
      <c r="O26" s="2">
        <v>228275815</v>
      </c>
      <c r="P26" s="2">
        <v>247135844</v>
      </c>
      <c r="Q26" s="2">
        <v>267145881</v>
      </c>
      <c r="R26" s="2">
        <v>300446346</v>
      </c>
      <c r="S26" s="2">
        <v>328074265</v>
      </c>
      <c r="T26" s="2">
        <v>358858725</v>
      </c>
      <c r="U26" s="2">
        <v>391787375</v>
      </c>
      <c r="V26" s="2">
        <v>164825.59</v>
      </c>
      <c r="W26" t="str">
        <f t="shared" si="5"/>
        <v>05401</v>
      </c>
      <c r="X26" s="2">
        <v>171592.36</v>
      </c>
    </row>
    <row r="27" spans="1:24">
      <c r="A27" t="s">
        <v>353</v>
      </c>
      <c r="B27" t="s">
        <v>354</v>
      </c>
      <c r="C27" s="1"/>
      <c r="D27" s="1"/>
      <c r="E27" s="1"/>
      <c r="F27" s="2"/>
      <c r="G27" s="2">
        <f>VLOOKUP(A27,'Voter Approved'!$A$3:$F$298,3,FALSE)</f>
        <v>607000</v>
      </c>
      <c r="H27" s="2">
        <v>607000</v>
      </c>
      <c r="I27" s="2">
        <v>123591715</v>
      </c>
      <c r="J27" s="2">
        <v>133177949</v>
      </c>
      <c r="K27" s="2">
        <v>146196402</v>
      </c>
      <c r="L27" s="2">
        <v>167501825</v>
      </c>
      <c r="M27" s="2">
        <v>197710747</v>
      </c>
      <c r="N27" s="2">
        <v>201629097</v>
      </c>
      <c r="O27" s="2">
        <v>198434688</v>
      </c>
      <c r="P27" s="2">
        <v>214714206</v>
      </c>
      <c r="Q27" s="2">
        <v>231908787</v>
      </c>
      <c r="R27" s="2">
        <v>247425044</v>
      </c>
      <c r="S27" s="2">
        <v>259086303</v>
      </c>
      <c r="T27" s="2">
        <v>272996331</v>
      </c>
      <c r="U27" s="2">
        <v>278735472</v>
      </c>
      <c r="V27" s="2">
        <v>35926.699999999997</v>
      </c>
      <c r="W27" t="str">
        <f t="shared" si="5"/>
        <v>27019</v>
      </c>
      <c r="X27" s="2">
        <v>227816.31</v>
      </c>
    </row>
    <row r="28" spans="1:24">
      <c r="A28" t="s">
        <v>36</v>
      </c>
      <c r="B28" t="s">
        <v>37</v>
      </c>
      <c r="C28" s="1"/>
      <c r="D28" s="1"/>
      <c r="E28" s="1"/>
      <c r="F28" s="2"/>
      <c r="G28" s="2">
        <f>VLOOKUP(A28,'Voter Approved'!$A$3:$F$298,3,FALSE)</f>
        <v>3195365</v>
      </c>
      <c r="H28" s="2">
        <v>3195365</v>
      </c>
      <c r="I28" s="2">
        <v>2707334479</v>
      </c>
      <c r="J28" s="2">
        <v>3089854467</v>
      </c>
      <c r="K28" s="2">
        <v>3382824774</v>
      </c>
      <c r="L28" s="2">
        <v>3726474004</v>
      </c>
      <c r="M28" s="2">
        <v>4665616599</v>
      </c>
      <c r="N28" s="2">
        <v>5177826656</v>
      </c>
      <c r="O28" s="2">
        <v>5837771311</v>
      </c>
      <c r="P28" s="2">
        <v>6510326560</v>
      </c>
      <c r="Q28" s="2">
        <v>7279169795</v>
      </c>
      <c r="R28" s="2">
        <v>8121180456</v>
      </c>
      <c r="S28" s="2">
        <v>8963987098</v>
      </c>
      <c r="T28" s="2">
        <v>9821472719</v>
      </c>
      <c r="U28" s="2">
        <v>11025650351</v>
      </c>
      <c r="V28" s="2">
        <v>0</v>
      </c>
      <c r="W28" t="str">
        <f t="shared" si="5"/>
        <v>04228</v>
      </c>
      <c r="X28" s="2">
        <v>1830722.31</v>
      </c>
    </row>
    <row r="29" spans="1:24">
      <c r="A29" t="s">
        <v>34</v>
      </c>
      <c r="B29" t="s">
        <v>35</v>
      </c>
      <c r="C29" s="1"/>
      <c r="D29" s="1"/>
      <c r="E29" s="1"/>
      <c r="F29" s="2"/>
      <c r="G29" s="2">
        <f>VLOOKUP(A29,'Voter Approved'!$A$3:$F$298,3,FALSE)</f>
        <v>1462859</v>
      </c>
      <c r="H29" s="2">
        <v>1462859</v>
      </c>
      <c r="I29" s="2">
        <v>818511282</v>
      </c>
      <c r="J29" s="2">
        <v>886510513</v>
      </c>
      <c r="K29" s="2">
        <v>970640272</v>
      </c>
      <c r="L29" s="2">
        <v>1096938693</v>
      </c>
      <c r="M29" s="2">
        <v>1260503994</v>
      </c>
      <c r="N29" s="2">
        <v>1333464730</v>
      </c>
      <c r="O29" s="2">
        <v>1549511381</v>
      </c>
      <c r="P29" s="2">
        <v>1711446776</v>
      </c>
      <c r="Q29" s="2">
        <v>1905054453</v>
      </c>
      <c r="R29" s="2">
        <v>2130406759</v>
      </c>
      <c r="S29" s="2">
        <v>2455551884</v>
      </c>
      <c r="T29" s="2">
        <v>2724240374</v>
      </c>
      <c r="U29" s="2">
        <v>3042038942</v>
      </c>
      <c r="V29" s="2">
        <v>309522.31</v>
      </c>
      <c r="W29" t="str">
        <f t="shared" si="5"/>
        <v>04222</v>
      </c>
      <c r="X29" s="2">
        <v>1283691.93</v>
      </c>
    </row>
    <row r="30" spans="1:24">
      <c r="A30" t="s">
        <v>76</v>
      </c>
      <c r="B30" t="s">
        <v>77</v>
      </c>
      <c r="C30" s="1"/>
      <c r="D30" s="1"/>
      <c r="E30" s="1"/>
      <c r="F30" s="2"/>
      <c r="G30" s="2">
        <f>VLOOKUP(A30,'Voter Approved'!$A$3:$F$298,3,FALSE)</f>
        <v>1455000</v>
      </c>
      <c r="H30" s="2">
        <v>1455000</v>
      </c>
      <c r="I30" s="2">
        <v>973409302</v>
      </c>
      <c r="J30" s="2">
        <v>1109342056.4300001</v>
      </c>
      <c r="K30" s="2">
        <v>1190291405</v>
      </c>
      <c r="L30" s="2">
        <v>1364401750</v>
      </c>
      <c r="M30" s="2">
        <v>1711205579</v>
      </c>
      <c r="N30" s="2">
        <v>1790834460</v>
      </c>
      <c r="O30" s="2">
        <v>2102518779</v>
      </c>
      <c r="P30" s="2">
        <v>2306386467</v>
      </c>
      <c r="Q30" s="2">
        <v>2570297337</v>
      </c>
      <c r="R30" s="2">
        <v>2837762494</v>
      </c>
      <c r="S30" s="2">
        <v>3171449765</v>
      </c>
      <c r="T30" s="2">
        <v>3588645515</v>
      </c>
      <c r="U30" s="2">
        <v>4084902490</v>
      </c>
      <c r="V30" s="2">
        <v>31334.83</v>
      </c>
      <c r="W30" t="str">
        <f t="shared" si="5"/>
        <v>08401</v>
      </c>
      <c r="X30" s="2">
        <v>1409555</v>
      </c>
    </row>
    <row r="31" spans="1:24">
      <c r="A31" t="s">
        <v>241</v>
      </c>
      <c r="B31" t="s">
        <v>242</v>
      </c>
      <c r="C31" s="1"/>
      <c r="D31" s="1"/>
      <c r="E31" s="1"/>
      <c r="F31" s="2"/>
      <c r="G31" s="2">
        <f>VLOOKUP(A31,'Voter Approved'!$A$3:$F$298,3,FALSE)</f>
        <v>225000</v>
      </c>
      <c r="H31" s="2">
        <v>225000</v>
      </c>
      <c r="I31" s="2">
        <v>147755611.16999999</v>
      </c>
      <c r="J31" s="2">
        <v>143927583</v>
      </c>
      <c r="K31" s="2">
        <v>147736312</v>
      </c>
      <c r="L31" s="2">
        <v>146114051</v>
      </c>
      <c r="M31" s="2">
        <v>164229886</v>
      </c>
      <c r="N31" s="2">
        <v>168611436</v>
      </c>
      <c r="O31" s="2">
        <v>178652647</v>
      </c>
      <c r="P31" s="2">
        <v>186256655</v>
      </c>
      <c r="Q31" s="2">
        <v>188314543</v>
      </c>
      <c r="R31" s="2">
        <v>194488029</v>
      </c>
      <c r="S31" s="2">
        <v>203125120</v>
      </c>
      <c r="T31" s="2">
        <v>213861770</v>
      </c>
      <c r="U31" s="2">
        <v>225296842</v>
      </c>
      <c r="V31" s="2">
        <v>0</v>
      </c>
      <c r="W31" t="str">
        <f t="shared" si="5"/>
        <v>20215</v>
      </c>
      <c r="X31" s="2">
        <v>139771</v>
      </c>
    </row>
    <row r="32" spans="1:24">
      <c r="A32" t="s">
        <v>221</v>
      </c>
      <c r="B32" t="s">
        <v>222</v>
      </c>
      <c r="C32" s="1"/>
      <c r="D32" s="1"/>
      <c r="E32" s="1"/>
      <c r="F32" s="2"/>
      <c r="G32" s="2">
        <f>VLOOKUP(A32,'Voter Approved'!$A$3:$F$298,3,FALSE)</f>
        <v>22900000</v>
      </c>
      <c r="H32" s="2">
        <v>22900000</v>
      </c>
      <c r="I32" s="2">
        <v>8441276517</v>
      </c>
      <c r="J32" s="2">
        <v>9386593416</v>
      </c>
      <c r="K32" s="2">
        <v>9995766161</v>
      </c>
      <c r="L32" s="2">
        <v>11034694802</v>
      </c>
      <c r="M32" s="2">
        <v>13118108614</v>
      </c>
      <c r="N32" s="2">
        <v>13826243433</v>
      </c>
      <c r="O32" s="2">
        <v>16091923697</v>
      </c>
      <c r="P32" s="2">
        <v>18394508843</v>
      </c>
      <c r="Q32" s="2">
        <v>20737877824</v>
      </c>
      <c r="R32" s="2">
        <v>22888492965</v>
      </c>
      <c r="S32" s="2">
        <v>25894010586</v>
      </c>
      <c r="T32" s="2">
        <v>28166603089</v>
      </c>
      <c r="U32" s="2">
        <v>31647735059</v>
      </c>
      <c r="V32" s="2">
        <v>158342.5</v>
      </c>
      <c r="W32" t="str">
        <f t="shared" si="5"/>
        <v>18401</v>
      </c>
      <c r="X32" s="2">
        <v>9476000</v>
      </c>
    </row>
    <row r="33" spans="1:24">
      <c r="A33" t="s">
        <v>447</v>
      </c>
      <c r="B33" t="s">
        <v>448</v>
      </c>
      <c r="C33" s="1"/>
      <c r="D33" s="1"/>
      <c r="E33" s="1"/>
      <c r="F33" s="2"/>
      <c r="G33" s="2">
        <f>VLOOKUP(A33,'Voter Approved'!$A$3:$F$298,3,FALSE)</f>
        <v>13646750</v>
      </c>
      <c r="H33" s="2">
        <v>13646750</v>
      </c>
      <c r="I33" s="2">
        <v>8964462238</v>
      </c>
      <c r="J33" s="2">
        <v>9888686136</v>
      </c>
      <c r="K33" s="2">
        <v>11183601079</v>
      </c>
      <c r="L33" s="2">
        <v>12602270522</v>
      </c>
      <c r="M33" s="2">
        <v>16404282642</v>
      </c>
      <c r="N33" s="2">
        <v>17566956911</v>
      </c>
      <c r="O33" s="2">
        <v>17823289530</v>
      </c>
      <c r="P33" s="2">
        <v>19647591183</v>
      </c>
      <c r="Q33" s="2">
        <v>21407586544</v>
      </c>
      <c r="R33" s="2">
        <v>22590532784</v>
      </c>
      <c r="S33" s="2">
        <v>23887117789</v>
      </c>
      <c r="T33" s="2">
        <v>24927229827</v>
      </c>
      <c r="U33" s="2">
        <v>26276074762</v>
      </c>
      <c r="V33" s="2">
        <v>327535.57</v>
      </c>
      <c r="W33" t="str">
        <f t="shared" si="5"/>
        <v>32356</v>
      </c>
      <c r="X33" s="2">
        <v>15697941.6</v>
      </c>
    </row>
    <row r="34" spans="1:24">
      <c r="A34" t="s">
        <v>281</v>
      </c>
      <c r="B34" t="s">
        <v>282</v>
      </c>
      <c r="C34" s="1"/>
      <c r="D34" s="1"/>
      <c r="E34" s="1"/>
      <c r="F34" s="2"/>
      <c r="G34" s="2">
        <f>VLOOKUP(A34,'Voter Approved'!$A$3:$F$298,3,FALSE)</f>
        <v>3300000</v>
      </c>
      <c r="H34" s="2">
        <v>3300000</v>
      </c>
      <c r="I34" s="2">
        <v>2153425530.04</v>
      </c>
      <c r="J34" s="2">
        <v>2618050594.9299998</v>
      </c>
      <c r="K34" s="2">
        <v>2980087683</v>
      </c>
      <c r="L34" s="2">
        <v>3179689130</v>
      </c>
      <c r="M34" s="2">
        <v>4131948094</v>
      </c>
      <c r="N34" s="2">
        <v>4377016748</v>
      </c>
      <c r="O34" s="2">
        <v>5176437083</v>
      </c>
      <c r="P34" s="2">
        <v>5780411789</v>
      </c>
      <c r="Q34" s="2">
        <v>6444212656</v>
      </c>
      <c r="R34" s="2">
        <v>7039628171</v>
      </c>
      <c r="S34" s="2">
        <v>7705781611</v>
      </c>
      <c r="T34" s="2">
        <v>8516628711</v>
      </c>
      <c r="U34" s="2">
        <v>9467073748</v>
      </c>
      <c r="V34" s="2">
        <v>0</v>
      </c>
      <c r="W34" t="str">
        <f t="shared" si="5"/>
        <v>21401</v>
      </c>
      <c r="X34" s="2">
        <v>0</v>
      </c>
    </row>
    <row r="35" spans="1:24">
      <c r="A35" t="s">
        <v>277</v>
      </c>
      <c r="B35" t="s">
        <v>278</v>
      </c>
      <c r="C35" s="1"/>
      <c r="D35" s="1"/>
      <c r="E35" s="1"/>
      <c r="F35" s="2"/>
      <c r="G35" s="2">
        <f>VLOOKUP(A35,'Voter Approved'!$A$3:$F$298,3,FALSE)</f>
        <v>5000000</v>
      </c>
      <c r="H35" s="2">
        <v>5000000</v>
      </c>
      <c r="I35" s="2">
        <v>1929730765.4200001</v>
      </c>
      <c r="J35" s="2">
        <v>2094437182.6700001</v>
      </c>
      <c r="K35" s="2">
        <v>2305335307</v>
      </c>
      <c r="L35" s="2">
        <v>2592795778</v>
      </c>
      <c r="M35" s="2">
        <v>3027198100</v>
      </c>
      <c r="N35" s="2">
        <v>3591734782</v>
      </c>
      <c r="O35" s="2">
        <v>3873335582</v>
      </c>
      <c r="P35" s="2">
        <v>4328446934</v>
      </c>
      <c r="Q35" s="2">
        <v>4987974099</v>
      </c>
      <c r="R35" s="2">
        <v>5423758246</v>
      </c>
      <c r="S35" s="2">
        <v>6065174102</v>
      </c>
      <c r="T35" s="2">
        <v>6724161921</v>
      </c>
      <c r="U35" s="2">
        <v>7424791162</v>
      </c>
      <c r="V35" s="2">
        <v>46015.26</v>
      </c>
      <c r="W35" t="str">
        <f t="shared" si="5"/>
        <v>21302</v>
      </c>
      <c r="X35" s="2">
        <v>2771730</v>
      </c>
    </row>
    <row r="36" spans="1:24">
      <c r="A36" t="s">
        <v>451</v>
      </c>
      <c r="B36" t="s">
        <v>452</v>
      </c>
      <c r="C36" s="1"/>
      <c r="D36" s="1"/>
      <c r="E36" s="1"/>
      <c r="F36" s="2"/>
      <c r="G36" s="2">
        <f>VLOOKUP(A36,'Voter Approved'!$A$3:$F$298,3,FALSE)</f>
        <v>5800000</v>
      </c>
      <c r="H36" s="2">
        <v>5800000</v>
      </c>
      <c r="I36" s="2">
        <v>3860781609</v>
      </c>
      <c r="J36" s="2">
        <v>4400617859</v>
      </c>
      <c r="K36" s="2">
        <v>4919859903</v>
      </c>
      <c r="L36" s="2">
        <v>5521050049</v>
      </c>
      <c r="M36" s="2">
        <v>7126428321</v>
      </c>
      <c r="N36" s="2">
        <v>7640784238</v>
      </c>
      <c r="O36" s="2">
        <v>7729498813</v>
      </c>
      <c r="P36" s="2">
        <v>8328071393</v>
      </c>
      <c r="Q36" s="2">
        <v>9023267376</v>
      </c>
      <c r="R36" s="2">
        <v>9466278373</v>
      </c>
      <c r="S36" s="2">
        <v>10026957692</v>
      </c>
      <c r="T36" s="2">
        <v>10808380129</v>
      </c>
      <c r="U36" s="2">
        <v>11655070774</v>
      </c>
      <c r="V36" s="2">
        <v>0</v>
      </c>
      <c r="W36" t="str">
        <f t="shared" si="5"/>
        <v>32360</v>
      </c>
      <c r="X36" s="2">
        <v>4690620</v>
      </c>
    </row>
    <row r="37" spans="1:24">
      <c r="A37" t="s">
        <v>465</v>
      </c>
      <c r="B37" t="s">
        <v>466</v>
      </c>
      <c r="C37" s="1"/>
      <c r="D37" s="1"/>
      <c r="E37" s="1"/>
      <c r="F37" s="2"/>
      <c r="G37" s="2">
        <f>VLOOKUP(A37,'Voter Approved'!$A$3:$F$298,3,FALSE)</f>
        <v>1000000</v>
      </c>
      <c r="H37" s="2">
        <v>1000000</v>
      </c>
      <c r="I37" s="2">
        <v>530050324.14999998</v>
      </c>
      <c r="J37" s="2">
        <v>576604544</v>
      </c>
      <c r="K37" s="2">
        <v>591883090</v>
      </c>
      <c r="L37" s="2">
        <v>634453817</v>
      </c>
      <c r="M37" s="2">
        <v>712364954</v>
      </c>
      <c r="N37" s="2">
        <v>806459110</v>
      </c>
      <c r="O37" s="2">
        <v>868201221</v>
      </c>
      <c r="P37" s="2">
        <v>947909475</v>
      </c>
      <c r="Q37" s="2">
        <v>1023073600</v>
      </c>
      <c r="R37" s="2">
        <v>1110536953</v>
      </c>
      <c r="S37" s="2">
        <v>1211005715</v>
      </c>
      <c r="T37" s="2">
        <v>1326395036</v>
      </c>
      <c r="U37" s="2">
        <v>1490875417</v>
      </c>
      <c r="V37" s="2">
        <v>51478.28</v>
      </c>
      <c r="W37" t="str">
        <f t="shared" si="5"/>
        <v>33036</v>
      </c>
      <c r="X37" s="2">
        <v>473800</v>
      </c>
    </row>
    <row r="38" spans="1:24">
      <c r="A38" t="s">
        <v>174</v>
      </c>
      <c r="B38" t="s">
        <v>175</v>
      </c>
      <c r="C38" s="1"/>
      <c r="D38" s="1"/>
      <c r="E38" s="1"/>
      <c r="F38" s="2"/>
      <c r="G38" s="2">
        <f>VLOOKUP(A38,'Voter Approved'!$A$3:$F$298,3,FALSE)</f>
        <v>3595000</v>
      </c>
      <c r="H38" s="2">
        <v>2359364.2000000002</v>
      </c>
      <c r="I38" s="2">
        <v>2023726880</v>
      </c>
      <c r="J38" s="2">
        <v>2168828584</v>
      </c>
      <c r="K38" s="2">
        <v>2359328946</v>
      </c>
      <c r="L38" s="2">
        <v>2587759535</v>
      </c>
      <c r="M38" s="2">
        <v>3159221403</v>
      </c>
      <c r="N38" s="2">
        <v>3383058057</v>
      </c>
      <c r="O38" s="2">
        <v>3790713038</v>
      </c>
      <c r="P38" s="2">
        <v>4187319600</v>
      </c>
      <c r="Q38" s="2">
        <v>4572982481</v>
      </c>
      <c r="R38" s="2">
        <v>5122710561</v>
      </c>
      <c r="S38" s="2">
        <v>5700284729</v>
      </c>
      <c r="T38" s="2">
        <v>6258337159</v>
      </c>
      <c r="U38" s="2">
        <v>6894962174</v>
      </c>
      <c r="V38" s="2">
        <v>0</v>
      </c>
      <c r="W38" t="str">
        <f t="shared" si="5"/>
        <v>16049</v>
      </c>
      <c r="X38" s="2">
        <v>1026449.69</v>
      </c>
    </row>
    <row r="39" spans="1:24">
      <c r="A39" t="s">
        <v>10</v>
      </c>
      <c r="B39" t="s">
        <v>11</v>
      </c>
      <c r="C39" s="1"/>
      <c r="D39" s="1"/>
      <c r="E39" s="1"/>
      <c r="F39" s="2"/>
      <c r="G39" s="2">
        <f>VLOOKUP(A39,'Voter Approved'!$A$3:$F$298,3,FALSE)</f>
        <v>2337122</v>
      </c>
      <c r="H39" s="2">
        <v>2337112</v>
      </c>
      <c r="I39" s="2">
        <v>1309443970</v>
      </c>
      <c r="J39" s="2">
        <v>1448070953</v>
      </c>
      <c r="K39" s="2">
        <v>1500840770</v>
      </c>
      <c r="L39" s="2">
        <v>1605107732</v>
      </c>
      <c r="M39" s="2">
        <v>1621650392</v>
      </c>
      <c r="N39" s="2">
        <v>1833887372</v>
      </c>
      <c r="O39" s="2">
        <v>1837803678</v>
      </c>
      <c r="P39" s="2">
        <v>1947527254</v>
      </c>
      <c r="Q39" s="2">
        <v>2097229182</v>
      </c>
      <c r="R39" s="2">
        <v>2225488272</v>
      </c>
      <c r="S39" s="2">
        <v>2349630960</v>
      </c>
      <c r="T39" s="2">
        <v>2513745738</v>
      </c>
      <c r="U39" s="2">
        <v>2645544749</v>
      </c>
      <c r="V39" s="2">
        <v>571981.36</v>
      </c>
      <c r="W39" t="str">
        <f t="shared" si="5"/>
        <v>02250</v>
      </c>
      <c r="X39" s="2">
        <v>2119781.2000000002</v>
      </c>
    </row>
    <row r="40" spans="1:24">
      <c r="A40" t="s">
        <v>235</v>
      </c>
      <c r="B40" t="s">
        <v>236</v>
      </c>
      <c r="C40" s="1"/>
      <c r="D40" s="1"/>
      <c r="E40" s="1"/>
      <c r="F40" s="2"/>
      <c r="G40" s="2">
        <f>VLOOKUP(A40,'Voter Approved'!$A$3:$F$298,3,FALSE)</f>
        <v>2200000</v>
      </c>
      <c r="H40" s="2">
        <v>2200000</v>
      </c>
      <c r="I40" s="2">
        <v>3009986073.8000002</v>
      </c>
      <c r="J40" s="2">
        <v>3524938264.8000002</v>
      </c>
      <c r="K40" s="2">
        <v>4005527596</v>
      </c>
      <c r="L40" s="2">
        <v>4475531924</v>
      </c>
      <c r="M40" s="2">
        <v>6054358133</v>
      </c>
      <c r="N40" s="2">
        <v>7296661236</v>
      </c>
      <c r="O40" s="2">
        <v>7812465642</v>
      </c>
      <c r="P40" s="2">
        <v>8841628989</v>
      </c>
      <c r="Q40" s="2">
        <v>10209861580</v>
      </c>
      <c r="R40" s="2">
        <v>10935638819</v>
      </c>
      <c r="S40" s="2">
        <v>12393927620</v>
      </c>
      <c r="T40" s="2">
        <v>13779458314</v>
      </c>
      <c r="U40" s="2">
        <v>15333826403</v>
      </c>
      <c r="V40" s="2">
        <v>0</v>
      </c>
      <c r="W40" t="str">
        <f t="shared" si="5"/>
        <v>19404</v>
      </c>
      <c r="X40" s="2">
        <v>1279260</v>
      </c>
    </row>
    <row r="41" spans="1:24">
      <c r="A41" t="s">
        <v>363</v>
      </c>
      <c r="B41" t="s">
        <v>364</v>
      </c>
      <c r="C41" s="1"/>
      <c r="D41" s="1"/>
      <c r="E41" s="1"/>
      <c r="F41" s="2"/>
      <c r="G41" s="2">
        <f>VLOOKUP(A41,'Voter Approved'!$A$3:$F$298,3,FALSE)</f>
        <v>23500000</v>
      </c>
      <c r="H41" s="2">
        <v>23500000</v>
      </c>
      <c r="I41" s="2">
        <v>6895908379</v>
      </c>
      <c r="J41" s="2">
        <v>7445006727</v>
      </c>
      <c r="K41" s="2">
        <v>8106931001</v>
      </c>
      <c r="L41" s="2">
        <v>9362171786</v>
      </c>
      <c r="M41" s="2">
        <v>10952342777</v>
      </c>
      <c r="N41" s="2">
        <v>11206246570</v>
      </c>
      <c r="O41" s="2">
        <v>10989753475</v>
      </c>
      <c r="P41" s="2">
        <v>12041903284</v>
      </c>
      <c r="Q41" s="2">
        <v>12617574792</v>
      </c>
      <c r="R41" s="2">
        <v>13207833679</v>
      </c>
      <c r="S41" s="2">
        <v>13707916488</v>
      </c>
      <c r="T41" s="2">
        <v>14197234599</v>
      </c>
      <c r="U41" s="2">
        <v>14760964610</v>
      </c>
      <c r="V41" s="2">
        <v>1711045.65</v>
      </c>
      <c r="W41" t="str">
        <f t="shared" si="5"/>
        <v>27400</v>
      </c>
      <c r="X41" s="2">
        <v>12216177.289999999</v>
      </c>
    </row>
    <row r="42" spans="1:24">
      <c r="A42" t="s">
        <v>541</v>
      </c>
      <c r="B42" t="s">
        <v>542</v>
      </c>
      <c r="C42" s="1"/>
      <c r="D42" s="1"/>
      <c r="E42" s="1"/>
      <c r="F42" s="2"/>
      <c r="G42" s="2">
        <f>VLOOKUP(A42,'Voter Approved'!$A$3:$F$298,3,FALSE)</f>
        <v>750000</v>
      </c>
      <c r="H42" s="2">
        <v>750000</v>
      </c>
      <c r="I42" s="2">
        <v>437627523</v>
      </c>
      <c r="J42" s="2">
        <v>442429728</v>
      </c>
      <c r="K42" s="2">
        <v>462732374</v>
      </c>
      <c r="L42" s="2">
        <v>468940708</v>
      </c>
      <c r="M42" s="2">
        <v>477197813</v>
      </c>
      <c r="N42" s="2">
        <v>489550384</v>
      </c>
      <c r="O42" s="2">
        <v>509471551</v>
      </c>
      <c r="P42" s="2">
        <v>547327287</v>
      </c>
      <c r="Q42" s="2">
        <v>565521584</v>
      </c>
      <c r="R42" s="2">
        <v>608082665</v>
      </c>
      <c r="S42" s="2">
        <v>626764054</v>
      </c>
      <c r="T42" s="2">
        <v>637823244</v>
      </c>
      <c r="U42" s="2">
        <v>668878044</v>
      </c>
      <c r="V42" s="2">
        <v>96740.24</v>
      </c>
      <c r="W42" t="str">
        <f t="shared" si="5"/>
        <v>38300</v>
      </c>
      <c r="X42" s="2">
        <v>469062</v>
      </c>
    </row>
    <row r="43" spans="1:24">
      <c r="A43" t="s">
        <v>509</v>
      </c>
      <c r="B43" t="s">
        <v>510</v>
      </c>
      <c r="C43" s="1"/>
      <c r="D43" s="1"/>
      <c r="E43" s="1"/>
      <c r="F43" s="2"/>
      <c r="G43" s="2">
        <f>VLOOKUP(A43,'Voter Approved'!$A$3:$F$298,3,FALSE)</f>
        <v>2300000</v>
      </c>
      <c r="H43" s="2">
        <v>2300000</v>
      </c>
      <c r="I43" s="2">
        <v>1095637799</v>
      </c>
      <c r="J43" s="2">
        <v>1197682837</v>
      </c>
      <c r="K43" s="2">
        <v>1236509607</v>
      </c>
      <c r="L43" s="2">
        <v>1481514030</v>
      </c>
      <c r="M43" s="2">
        <v>1741781038</v>
      </c>
      <c r="N43" s="2">
        <v>1884364973</v>
      </c>
      <c r="O43" s="2">
        <v>2150084168</v>
      </c>
      <c r="P43" s="2">
        <v>2424673482</v>
      </c>
      <c r="Q43" s="2">
        <v>2763844682</v>
      </c>
      <c r="R43" s="2">
        <v>3152713141</v>
      </c>
      <c r="S43" s="2">
        <v>3413055277</v>
      </c>
      <c r="T43" s="2">
        <v>3634577922</v>
      </c>
      <c r="U43" s="2">
        <v>4158933209</v>
      </c>
      <c r="V43" s="2">
        <v>39701.519999999997</v>
      </c>
      <c r="W43" t="str">
        <f t="shared" si="5"/>
        <v>36250</v>
      </c>
      <c r="X43" s="2">
        <v>2132100</v>
      </c>
    </row>
    <row r="44" spans="1:24">
      <c r="A44" t="s">
        <v>549</v>
      </c>
      <c r="B44" t="s">
        <v>550</v>
      </c>
      <c r="C44" s="1"/>
      <c r="D44" s="1"/>
      <c r="E44" s="1"/>
      <c r="F44" s="2"/>
      <c r="G44" s="2">
        <f>VLOOKUP(A44,'Voter Approved'!$A$3:$F$298,3,FALSE)</f>
        <v>496935</v>
      </c>
      <c r="H44" s="2">
        <v>496935</v>
      </c>
      <c r="I44" s="2">
        <v>153179924</v>
      </c>
      <c r="J44" s="2">
        <v>166718969</v>
      </c>
      <c r="K44" s="2">
        <v>168615724</v>
      </c>
      <c r="L44" s="2">
        <v>174319183</v>
      </c>
      <c r="M44" s="2">
        <v>175917633</v>
      </c>
      <c r="N44" s="2">
        <v>172721178</v>
      </c>
      <c r="O44" s="2">
        <v>192453483</v>
      </c>
      <c r="P44" s="2">
        <v>204359442</v>
      </c>
      <c r="Q44" s="2">
        <v>214792300</v>
      </c>
      <c r="R44" s="2">
        <v>235000927</v>
      </c>
      <c r="S44" s="2">
        <v>245126987</v>
      </c>
      <c r="T44" s="2">
        <v>258203096</v>
      </c>
      <c r="U44" s="2">
        <v>275549191</v>
      </c>
      <c r="V44" s="2">
        <v>4386.1400000000003</v>
      </c>
      <c r="W44" t="str">
        <f t="shared" si="5"/>
        <v>38306</v>
      </c>
      <c r="X44" s="2">
        <v>189021.09</v>
      </c>
    </row>
    <row r="45" spans="1:24">
      <c r="A45" t="s">
        <v>479</v>
      </c>
      <c r="B45" t="s">
        <v>480</v>
      </c>
      <c r="C45" s="1"/>
      <c r="D45" s="1"/>
      <c r="E45" s="1"/>
      <c r="F45" s="2"/>
      <c r="G45" s="2">
        <f>VLOOKUP(A45,'Voter Approved'!$A$3:$F$298,3,FALSE)</f>
        <v>125000</v>
      </c>
      <c r="H45" s="2">
        <v>125000</v>
      </c>
      <c r="I45" s="2">
        <v>105712276.34</v>
      </c>
      <c r="J45" s="2">
        <v>117490343</v>
      </c>
      <c r="K45" s="2">
        <v>119194497</v>
      </c>
      <c r="L45" s="2">
        <v>125028253</v>
      </c>
      <c r="M45" s="2">
        <v>135541674</v>
      </c>
      <c r="N45" s="2">
        <v>144170243</v>
      </c>
      <c r="O45" s="2">
        <v>161501443</v>
      </c>
      <c r="P45" s="2">
        <v>175808104</v>
      </c>
      <c r="Q45" s="2">
        <v>191487646</v>
      </c>
      <c r="R45" s="2">
        <v>201294015</v>
      </c>
      <c r="S45" s="2">
        <v>217121237</v>
      </c>
      <c r="T45" s="2">
        <v>233583938</v>
      </c>
      <c r="U45" s="2">
        <v>249952781</v>
      </c>
      <c r="V45" s="2">
        <v>8130.85</v>
      </c>
      <c r="W45" t="str">
        <f t="shared" si="5"/>
        <v>33206</v>
      </c>
      <c r="X45" s="2">
        <v>82915</v>
      </c>
    </row>
    <row r="46" spans="1:24">
      <c r="A46" t="s">
        <v>513</v>
      </c>
      <c r="B46" t="s">
        <v>514</v>
      </c>
      <c r="C46" s="1"/>
      <c r="D46" s="1"/>
      <c r="E46" s="1"/>
      <c r="F46" s="2"/>
      <c r="G46" s="2">
        <f>VLOOKUP(A46,'Voter Approved'!$A$3:$F$298,3,FALSE)</f>
        <v>2300000</v>
      </c>
      <c r="H46" s="2">
        <v>2300000</v>
      </c>
      <c r="I46" s="2">
        <v>689707058</v>
      </c>
      <c r="J46" s="2">
        <v>834117209</v>
      </c>
      <c r="K46" s="2">
        <v>883715283</v>
      </c>
      <c r="L46" s="2">
        <v>1025644337</v>
      </c>
      <c r="M46" s="2">
        <v>1171898676</v>
      </c>
      <c r="N46" s="2">
        <v>1234129581</v>
      </c>
      <c r="O46" s="2">
        <v>1427503225</v>
      </c>
      <c r="P46" s="2">
        <v>1597333410</v>
      </c>
      <c r="Q46" s="2">
        <v>1791934485</v>
      </c>
      <c r="R46" s="2">
        <v>2026693530</v>
      </c>
      <c r="S46" s="2">
        <v>2221527361</v>
      </c>
      <c r="T46" s="2">
        <v>2436560903</v>
      </c>
      <c r="U46" s="2">
        <v>2820909611</v>
      </c>
      <c r="V46" s="2">
        <v>0</v>
      </c>
      <c r="W46" t="str">
        <f t="shared" si="5"/>
        <v>36400</v>
      </c>
      <c r="X46" s="2">
        <v>1127271.04</v>
      </c>
    </row>
    <row r="47" spans="1:24">
      <c r="A47" t="s">
        <v>471</v>
      </c>
      <c r="B47" t="s">
        <v>472</v>
      </c>
      <c r="C47" s="1"/>
      <c r="D47" s="1"/>
      <c r="E47" s="1"/>
      <c r="F47" s="2"/>
      <c r="G47" s="2">
        <f>VLOOKUP(A47,'Voter Approved'!$A$3:$F$298,3,FALSE)</f>
        <v>1590688</v>
      </c>
      <c r="H47" s="2">
        <v>1590688</v>
      </c>
      <c r="I47" s="2">
        <v>1066986456.41</v>
      </c>
      <c r="J47" s="2">
        <v>1133622260</v>
      </c>
      <c r="K47" s="2">
        <v>1241065665</v>
      </c>
      <c r="L47" s="2">
        <v>1291390063</v>
      </c>
      <c r="M47" s="2">
        <v>1430268637</v>
      </c>
      <c r="N47" s="2">
        <v>1592161487</v>
      </c>
      <c r="O47" s="2">
        <v>1723487094</v>
      </c>
      <c r="P47" s="2">
        <v>1879147442</v>
      </c>
      <c r="Q47" s="2">
        <v>2072587357</v>
      </c>
      <c r="R47" s="2">
        <v>2285172114</v>
      </c>
      <c r="S47" s="2">
        <v>2494505798</v>
      </c>
      <c r="T47" s="2">
        <v>2659680776</v>
      </c>
      <c r="U47" s="2">
        <v>2868517356</v>
      </c>
      <c r="V47" s="2">
        <v>229863.08</v>
      </c>
      <c r="W47" t="str">
        <f t="shared" si="5"/>
        <v>33115</v>
      </c>
      <c r="X47" s="2">
        <v>1063681</v>
      </c>
    </row>
    <row r="48" spans="1:24">
      <c r="A48" t="s">
        <v>385</v>
      </c>
      <c r="B48" t="s">
        <v>386</v>
      </c>
      <c r="C48" s="1"/>
      <c r="D48" s="1"/>
      <c r="E48" s="1"/>
      <c r="F48" s="2"/>
      <c r="G48" s="2">
        <f>VLOOKUP(A48,'Voter Approved'!$A$3:$F$298,3,FALSE)</f>
        <v>1806509</v>
      </c>
      <c r="H48" s="2">
        <v>1806509</v>
      </c>
      <c r="I48" s="2">
        <v>715043391</v>
      </c>
      <c r="J48" s="2">
        <v>751917605</v>
      </c>
      <c r="K48" s="2">
        <v>783316242</v>
      </c>
      <c r="L48" s="2">
        <v>882324601</v>
      </c>
      <c r="M48" s="2">
        <v>1071754287</v>
      </c>
      <c r="N48" s="2">
        <v>1067470350</v>
      </c>
      <c r="O48" s="2">
        <v>1565572456</v>
      </c>
      <c r="P48" s="2">
        <v>1982832745</v>
      </c>
      <c r="Q48" s="2">
        <v>2556622656</v>
      </c>
      <c r="R48" s="2">
        <v>3544413059</v>
      </c>
      <c r="S48" s="2">
        <v>5289980414</v>
      </c>
      <c r="T48" s="2">
        <v>8479469949</v>
      </c>
      <c r="U48" s="2">
        <v>13858890995</v>
      </c>
      <c r="V48" s="2">
        <v>0</v>
      </c>
      <c r="W48" t="str">
        <f t="shared" si="5"/>
        <v>29011</v>
      </c>
      <c r="X48" s="2">
        <v>710700</v>
      </c>
    </row>
    <row r="49" spans="1:24">
      <c r="A49" t="s">
        <v>395</v>
      </c>
      <c r="B49" t="s">
        <v>396</v>
      </c>
      <c r="C49" s="1"/>
      <c r="D49" s="1"/>
      <c r="E49" s="1"/>
      <c r="F49" s="2"/>
      <c r="G49" s="2">
        <f>VLOOKUP(A49,'Voter Approved'!$A$3:$F$298,3,FALSE)</f>
        <v>877000</v>
      </c>
      <c r="H49" s="2">
        <v>877000</v>
      </c>
      <c r="I49" s="2">
        <v>563711590</v>
      </c>
      <c r="J49" s="2">
        <v>612857358</v>
      </c>
      <c r="K49" s="2">
        <v>649170967</v>
      </c>
      <c r="L49" s="2">
        <v>705717830</v>
      </c>
      <c r="M49" s="2">
        <v>882748324</v>
      </c>
      <c r="N49" s="2">
        <v>889602266</v>
      </c>
      <c r="O49" s="2">
        <v>1111851331</v>
      </c>
      <c r="P49" s="2">
        <v>1284008328</v>
      </c>
      <c r="Q49" s="2">
        <v>1422645007</v>
      </c>
      <c r="R49" s="2">
        <v>1555274071</v>
      </c>
      <c r="S49" s="2">
        <v>1773240952</v>
      </c>
      <c r="T49" s="2">
        <v>1964447974</v>
      </c>
      <c r="U49" s="2">
        <v>2075072375</v>
      </c>
      <c r="V49" s="2">
        <v>0</v>
      </c>
      <c r="W49" t="str">
        <f t="shared" si="5"/>
        <v>29317</v>
      </c>
      <c r="X49" s="2">
        <v>585089.93000000005</v>
      </c>
    </row>
    <row r="50" spans="1:24">
      <c r="A50" t="s">
        <v>152</v>
      </c>
      <c r="B50" t="s">
        <v>153</v>
      </c>
      <c r="C50" s="1"/>
      <c r="D50" s="1"/>
      <c r="E50" s="1"/>
      <c r="F50" s="2"/>
      <c r="G50" s="2">
        <f>VLOOKUP(A50,'Voter Approved'!$A$3:$F$298,3,FALSE)</f>
        <v>820000</v>
      </c>
      <c r="H50" s="2">
        <v>820000</v>
      </c>
      <c r="I50" s="2">
        <v>185151719</v>
      </c>
      <c r="J50" s="2">
        <v>208681636</v>
      </c>
      <c r="K50" s="2">
        <v>222804265</v>
      </c>
      <c r="L50" s="2">
        <v>249660177</v>
      </c>
      <c r="M50" s="2">
        <v>315629027</v>
      </c>
      <c r="N50" s="2">
        <v>291876831</v>
      </c>
      <c r="O50" s="2">
        <v>394179345</v>
      </c>
      <c r="P50" s="2">
        <v>425607779</v>
      </c>
      <c r="Q50" s="2">
        <v>477719483</v>
      </c>
      <c r="R50" s="2">
        <v>517520825</v>
      </c>
      <c r="S50" s="2">
        <v>577244887</v>
      </c>
      <c r="T50" s="2">
        <v>629509967</v>
      </c>
      <c r="U50" s="2">
        <v>676150377</v>
      </c>
      <c r="V50" s="2">
        <v>39608.870000000003</v>
      </c>
      <c r="W50" t="str">
        <f t="shared" si="5"/>
        <v>14099</v>
      </c>
      <c r="X50" s="2">
        <v>312219.99</v>
      </c>
    </row>
    <row r="51" spans="1:24">
      <c r="A51" t="s">
        <v>122</v>
      </c>
      <c r="B51" t="s">
        <v>123</v>
      </c>
      <c r="C51" s="1"/>
      <c r="D51" s="1"/>
      <c r="E51" s="1"/>
      <c r="F51" s="2"/>
      <c r="G51" s="2">
        <f>VLOOKUP(A51,'Voter Approved'!$A$3:$F$298,3,FALSE)</f>
        <v>505924</v>
      </c>
      <c r="H51" s="2">
        <v>505924</v>
      </c>
      <c r="I51" s="2">
        <v>218611713</v>
      </c>
      <c r="J51" s="2">
        <v>220973013</v>
      </c>
      <c r="K51" s="2">
        <v>227277014</v>
      </c>
      <c r="L51" s="2">
        <v>240174372</v>
      </c>
      <c r="M51" s="2">
        <v>269404237</v>
      </c>
      <c r="N51" s="2">
        <v>314926774</v>
      </c>
      <c r="O51" s="2">
        <v>311119020</v>
      </c>
      <c r="P51" s="2">
        <v>329177392</v>
      </c>
      <c r="Q51" s="2">
        <v>365108682</v>
      </c>
      <c r="R51" s="2">
        <v>389838203</v>
      </c>
      <c r="S51" s="2">
        <v>398505821</v>
      </c>
      <c r="T51" s="2">
        <v>429416837</v>
      </c>
      <c r="U51" s="2">
        <v>466346745</v>
      </c>
      <c r="V51" s="2">
        <v>0</v>
      </c>
      <c r="W51" t="str">
        <f t="shared" si="5"/>
        <v>13151</v>
      </c>
      <c r="X51" s="2">
        <v>166125.65</v>
      </c>
    </row>
    <row r="52" spans="1:24">
      <c r="A52" t="s">
        <v>164</v>
      </c>
      <c r="B52" t="s">
        <v>165</v>
      </c>
      <c r="C52" s="1"/>
      <c r="D52" s="1"/>
      <c r="E52" s="1"/>
      <c r="F52" s="2"/>
      <c r="G52" s="2">
        <f>VLOOKUP(A52,'Voter Approved'!$A$3:$F$298,3,FALSE)</f>
        <v>2440000</v>
      </c>
      <c r="H52" s="2">
        <v>2440000</v>
      </c>
      <c r="I52" s="2">
        <v>2324275081.4699998</v>
      </c>
      <c r="J52" s="2">
        <v>2617230487</v>
      </c>
      <c r="K52" s="2">
        <v>2743804573</v>
      </c>
      <c r="L52" s="2">
        <v>2955731501</v>
      </c>
      <c r="M52" s="2">
        <v>3600756366</v>
      </c>
      <c r="N52" s="2">
        <v>3979768308</v>
      </c>
      <c r="O52" s="2">
        <v>4550864643</v>
      </c>
      <c r="P52" s="2">
        <v>5011077388</v>
      </c>
      <c r="Q52" s="2">
        <v>5547085930</v>
      </c>
      <c r="R52" s="2">
        <v>6001482571</v>
      </c>
      <c r="S52" s="2">
        <v>6660987062</v>
      </c>
      <c r="T52" s="2">
        <v>7278562144</v>
      </c>
      <c r="U52" s="2">
        <v>8018138603</v>
      </c>
      <c r="V52" s="2">
        <v>0</v>
      </c>
      <c r="W52" t="str">
        <f t="shared" si="5"/>
        <v>15204</v>
      </c>
      <c r="X52" s="2">
        <v>1279260</v>
      </c>
    </row>
    <row r="53" spans="1:24">
      <c r="A53" t="s">
        <v>42</v>
      </c>
      <c r="B53" t="s">
        <v>43</v>
      </c>
      <c r="C53" s="1"/>
      <c r="D53" s="1"/>
      <c r="E53" s="1"/>
      <c r="F53" s="2"/>
      <c r="G53" s="2">
        <f>VLOOKUP(A53,'Voter Approved'!$A$3:$F$298,3,FALSE)</f>
        <v>520000</v>
      </c>
      <c r="H53" s="2">
        <v>522445.83</v>
      </c>
      <c r="I53" s="2">
        <v>348826932.5</v>
      </c>
      <c r="J53" s="2">
        <v>373153419</v>
      </c>
      <c r="K53" s="2">
        <v>405191517</v>
      </c>
      <c r="L53" s="2">
        <v>442408242</v>
      </c>
      <c r="M53" s="2">
        <v>577365754</v>
      </c>
      <c r="N53" s="2">
        <v>641133487</v>
      </c>
      <c r="O53" s="2">
        <v>708842690</v>
      </c>
      <c r="P53" s="2">
        <v>797286940</v>
      </c>
      <c r="Q53" s="2">
        <v>877068977</v>
      </c>
      <c r="R53" s="2">
        <v>996969232</v>
      </c>
      <c r="S53" s="2">
        <v>1108230565</v>
      </c>
      <c r="T53" s="2">
        <v>1236374590</v>
      </c>
      <c r="U53" s="2">
        <v>1393660292</v>
      </c>
      <c r="V53" s="2">
        <v>0</v>
      </c>
      <c r="W53" t="str">
        <f t="shared" si="5"/>
        <v>05313</v>
      </c>
      <c r="X53" s="2">
        <v>246376</v>
      </c>
    </row>
    <row r="54" spans="1:24">
      <c r="A54" t="s">
        <v>289</v>
      </c>
      <c r="B54" t="s">
        <v>290</v>
      </c>
      <c r="C54" s="1"/>
      <c r="D54" s="1"/>
      <c r="E54" s="1"/>
      <c r="F54" s="2"/>
      <c r="G54" s="2">
        <f>VLOOKUP(A54,'Voter Approved'!$A$3:$F$298,3,FALSE)</f>
        <v>275000</v>
      </c>
      <c r="H54" s="2">
        <v>275000</v>
      </c>
      <c r="I54" s="2">
        <v>248936319</v>
      </c>
      <c r="J54" s="2">
        <v>265652478</v>
      </c>
      <c r="K54" s="2">
        <v>278259849</v>
      </c>
      <c r="L54" s="2">
        <v>296047914</v>
      </c>
      <c r="M54" s="2">
        <v>319716978</v>
      </c>
      <c r="N54" s="2">
        <v>345471529</v>
      </c>
      <c r="O54" s="2">
        <v>381236346</v>
      </c>
      <c r="P54" s="2">
        <v>424893416</v>
      </c>
      <c r="Q54" s="2">
        <v>476524678</v>
      </c>
      <c r="R54" s="2">
        <v>522253578</v>
      </c>
      <c r="S54" s="2">
        <v>562313259</v>
      </c>
      <c r="T54" s="2">
        <v>613163746</v>
      </c>
      <c r="U54" s="2">
        <v>663659382</v>
      </c>
      <c r="V54" s="2">
        <v>0</v>
      </c>
      <c r="W54" t="str">
        <f t="shared" si="5"/>
        <v>22073</v>
      </c>
      <c r="X54" s="2">
        <v>118450</v>
      </c>
    </row>
    <row r="55" spans="1:24">
      <c r="A55" t="s">
        <v>98</v>
      </c>
      <c r="B55" t="s">
        <v>99</v>
      </c>
      <c r="C55" s="1"/>
      <c r="D55" s="1"/>
      <c r="E55" s="1"/>
      <c r="F55" s="2"/>
      <c r="G55" s="2">
        <f>VLOOKUP(A55,'Voter Approved'!$A$3:$F$298,3,FALSE)</f>
        <v>185000</v>
      </c>
      <c r="H55" s="2">
        <v>185000</v>
      </c>
      <c r="I55" s="2">
        <v>121071472.49127273</v>
      </c>
      <c r="J55" s="2">
        <v>140228753</v>
      </c>
      <c r="K55" s="2">
        <v>127292316</v>
      </c>
      <c r="L55" s="2">
        <v>137260916</v>
      </c>
      <c r="M55" s="2">
        <v>169440241</v>
      </c>
      <c r="N55" s="2">
        <v>176436164</v>
      </c>
      <c r="O55" s="2">
        <v>201675788</v>
      </c>
      <c r="P55" s="2">
        <v>225444069</v>
      </c>
      <c r="Q55" s="2">
        <v>245503350</v>
      </c>
      <c r="R55" s="2">
        <v>268117301</v>
      </c>
      <c r="S55" s="2">
        <v>286436036</v>
      </c>
      <c r="T55" s="2">
        <v>306397226</v>
      </c>
      <c r="U55" s="2">
        <v>340484284</v>
      </c>
      <c r="V55" s="2">
        <v>47057.760000000002</v>
      </c>
      <c r="W55" t="str">
        <f t="shared" si="5"/>
        <v>10050</v>
      </c>
      <c r="X55" s="2">
        <v>99498</v>
      </c>
    </row>
    <row r="56" spans="1:24">
      <c r="A56" t="s">
        <v>343</v>
      </c>
      <c r="B56" t="s">
        <v>344</v>
      </c>
      <c r="C56" s="1"/>
      <c r="D56" s="1"/>
      <c r="E56" s="1"/>
      <c r="F56" s="2"/>
      <c r="G56" s="2">
        <f>VLOOKUP(A56,'Voter Approved'!$A$3:$F$298,3,FALSE)</f>
        <v>425000</v>
      </c>
      <c r="H56" s="2">
        <v>425000</v>
      </c>
      <c r="I56" s="2">
        <v>323256414</v>
      </c>
      <c r="J56" s="2">
        <v>333301217</v>
      </c>
      <c r="K56" s="2">
        <v>315038243</v>
      </c>
      <c r="L56" s="2">
        <v>324448791</v>
      </c>
      <c r="M56" s="2">
        <v>379419638</v>
      </c>
      <c r="N56" s="2">
        <v>489809746</v>
      </c>
      <c r="O56" s="2">
        <v>436280319</v>
      </c>
      <c r="P56" s="2">
        <v>451273519</v>
      </c>
      <c r="Q56" s="2">
        <v>467059382</v>
      </c>
      <c r="R56" s="2">
        <v>503372300</v>
      </c>
      <c r="S56" s="2">
        <v>543254274</v>
      </c>
      <c r="T56" s="2">
        <v>576146990</v>
      </c>
      <c r="U56" s="2">
        <v>609992037</v>
      </c>
      <c r="V56" s="2">
        <v>0</v>
      </c>
      <c r="W56" t="str">
        <f t="shared" si="5"/>
        <v>26059</v>
      </c>
      <c r="X56" s="2">
        <v>234531</v>
      </c>
    </row>
    <row r="57" spans="1:24">
      <c r="A57" t="s">
        <v>225</v>
      </c>
      <c r="B57" t="s">
        <v>226</v>
      </c>
      <c r="C57" s="1"/>
      <c r="D57" s="1"/>
      <c r="E57" s="1"/>
      <c r="F57" s="2"/>
      <c r="G57" s="2">
        <f>VLOOKUP(A57,'Voter Approved'!$A$3:$F$298,3,FALSE)</f>
        <v>125000</v>
      </c>
      <c r="H57" s="2">
        <v>125000</v>
      </c>
      <c r="I57" s="2">
        <v>120427137.5</v>
      </c>
      <c r="J57" s="2">
        <v>151598795.5</v>
      </c>
      <c r="K57" s="2">
        <v>166091524</v>
      </c>
      <c r="L57" s="2">
        <v>180630820</v>
      </c>
      <c r="M57" s="2">
        <v>208456261</v>
      </c>
      <c r="N57" s="2">
        <v>234925373</v>
      </c>
      <c r="O57" s="2">
        <v>275673886</v>
      </c>
      <c r="P57" s="2">
        <v>306942758</v>
      </c>
      <c r="Q57" s="2">
        <v>348091710</v>
      </c>
      <c r="R57" s="2">
        <v>399857065</v>
      </c>
      <c r="S57" s="2">
        <v>445907086</v>
      </c>
      <c r="T57" s="2">
        <v>490260568</v>
      </c>
      <c r="U57" s="2">
        <v>542088975</v>
      </c>
      <c r="V57" s="2">
        <v>0</v>
      </c>
      <c r="W57" t="str">
        <f t="shared" si="5"/>
        <v>19007</v>
      </c>
      <c r="X57" s="2">
        <v>63963</v>
      </c>
    </row>
    <row r="58" spans="1:24">
      <c r="A58" t="s">
        <v>429</v>
      </c>
      <c r="B58" t="s">
        <v>430</v>
      </c>
      <c r="C58" s="1"/>
      <c r="D58" s="1"/>
      <c r="E58" s="1"/>
      <c r="F58" s="2"/>
      <c r="G58" s="2">
        <f>VLOOKUP(A58,'Voter Approved'!$A$3:$F$298,3,FALSE)</f>
        <v>520596</v>
      </c>
      <c r="H58" s="2">
        <v>520596</v>
      </c>
      <c r="I58" s="2">
        <v>415056583</v>
      </c>
      <c r="J58" s="2">
        <v>467935645</v>
      </c>
      <c r="K58" s="2">
        <v>489662998</v>
      </c>
      <c r="L58" s="2">
        <v>558542564</v>
      </c>
      <c r="M58" s="2">
        <v>731001649</v>
      </c>
      <c r="N58" s="2">
        <v>696448726</v>
      </c>
      <c r="O58" s="2">
        <v>770495456</v>
      </c>
      <c r="P58" s="2">
        <v>868425619</v>
      </c>
      <c r="Q58" s="2">
        <v>970965041</v>
      </c>
      <c r="R58" s="2">
        <v>1059297150</v>
      </c>
      <c r="S58" s="2">
        <v>1133180971</v>
      </c>
      <c r="T58" s="2">
        <v>1243666903</v>
      </c>
      <c r="U58" s="2">
        <v>1349335202</v>
      </c>
      <c r="V58" s="2">
        <v>0</v>
      </c>
      <c r="W58" t="str">
        <f t="shared" si="5"/>
        <v>31330</v>
      </c>
      <c r="X58" s="2">
        <v>450110</v>
      </c>
    </row>
    <row r="59" spans="1:24">
      <c r="A59" t="s">
        <v>297</v>
      </c>
      <c r="B59" t="s">
        <v>298</v>
      </c>
      <c r="C59" s="1"/>
      <c r="D59" s="1"/>
      <c r="E59" s="1"/>
      <c r="F59" s="2"/>
      <c r="G59" s="2">
        <f>VLOOKUP(A59,'Voter Approved'!$A$3:$F$298,3,FALSE)</f>
        <v>1109000</v>
      </c>
      <c r="H59" s="2">
        <v>1109000</v>
      </c>
      <c r="I59" s="2">
        <v>279329975</v>
      </c>
      <c r="J59" s="2">
        <v>290434639</v>
      </c>
      <c r="K59" s="2">
        <v>320264781</v>
      </c>
      <c r="L59" s="2">
        <v>343828868</v>
      </c>
      <c r="M59" s="2">
        <v>465448133</v>
      </c>
      <c r="N59" s="2">
        <v>479475224</v>
      </c>
      <c r="O59" s="2">
        <v>594124084</v>
      </c>
      <c r="P59" s="2">
        <v>695132754</v>
      </c>
      <c r="Q59" s="2">
        <v>789997692</v>
      </c>
      <c r="R59" s="2">
        <v>873200322</v>
      </c>
      <c r="S59" s="2">
        <v>980389681</v>
      </c>
      <c r="T59" s="2">
        <v>1113799785</v>
      </c>
      <c r="U59" s="2">
        <v>1256568838</v>
      </c>
      <c r="V59" s="2">
        <v>130802.55</v>
      </c>
      <c r="W59" t="str">
        <f t="shared" si="5"/>
        <v>22207</v>
      </c>
      <c r="X59" s="2">
        <v>381409</v>
      </c>
    </row>
    <row r="60" spans="1:24">
      <c r="A60" t="s">
        <v>68</v>
      </c>
      <c r="B60" t="s">
        <v>69</v>
      </c>
      <c r="C60" s="1"/>
      <c r="D60" s="1"/>
      <c r="E60" s="1"/>
      <c r="F60" s="2"/>
      <c r="G60" s="2">
        <f>VLOOKUP(A60,'Voter Approved'!$A$3:$F$298,3,FALSE)</f>
        <v>1460000</v>
      </c>
      <c r="H60" s="2">
        <v>1460000</v>
      </c>
      <c r="I60" s="2">
        <v>762193891</v>
      </c>
      <c r="J60" s="2">
        <v>756225942</v>
      </c>
      <c r="K60" s="2">
        <v>810223991</v>
      </c>
      <c r="L60" s="2">
        <v>769419553</v>
      </c>
      <c r="M60" s="2">
        <v>797288862</v>
      </c>
      <c r="N60" s="2">
        <v>819199094</v>
      </c>
      <c r="O60" s="2">
        <v>934516445</v>
      </c>
      <c r="P60" s="2">
        <v>1017401704</v>
      </c>
      <c r="Q60" s="2">
        <v>1112260052</v>
      </c>
      <c r="R60" s="2">
        <v>1151138820</v>
      </c>
      <c r="S60" s="2">
        <v>1220588466</v>
      </c>
      <c r="T60" s="2">
        <v>1323517529</v>
      </c>
      <c r="U60" s="2">
        <v>1403748599</v>
      </c>
      <c r="V60" s="2">
        <v>0</v>
      </c>
      <c r="W60" t="str">
        <f t="shared" si="5"/>
        <v>07002</v>
      </c>
      <c r="X60" s="2">
        <v>530656</v>
      </c>
    </row>
    <row r="61" spans="1:24">
      <c r="A61" t="s">
        <v>459</v>
      </c>
      <c r="B61" t="s">
        <v>460</v>
      </c>
      <c r="C61" s="1"/>
      <c r="D61" s="1"/>
      <c r="E61" s="1"/>
      <c r="F61" s="2"/>
      <c r="G61" s="2">
        <f>VLOOKUP(A61,'Voter Approved'!$A$3:$F$298,3,FALSE)</f>
        <v>2000000</v>
      </c>
      <c r="H61" s="2">
        <v>2000000</v>
      </c>
      <c r="I61" s="2">
        <v>1068689825.4100001</v>
      </c>
      <c r="J61" s="2">
        <v>1162423559</v>
      </c>
      <c r="K61" s="2">
        <v>1290619498</v>
      </c>
      <c r="L61" s="2">
        <v>1468234355</v>
      </c>
      <c r="M61" s="2">
        <v>1905531904</v>
      </c>
      <c r="N61" s="2">
        <v>2174507922</v>
      </c>
      <c r="O61" s="2">
        <v>2162452221</v>
      </c>
      <c r="P61" s="2">
        <v>2412033045</v>
      </c>
      <c r="Q61" s="2">
        <v>2609569815</v>
      </c>
      <c r="R61" s="2">
        <v>2800771955</v>
      </c>
      <c r="S61" s="2">
        <v>3107892741</v>
      </c>
      <c r="T61" s="2">
        <v>3421254508</v>
      </c>
      <c r="U61" s="2">
        <v>3732611104</v>
      </c>
      <c r="V61" s="2">
        <v>379361.58</v>
      </c>
      <c r="W61" t="str">
        <f t="shared" si="5"/>
        <v>32414</v>
      </c>
      <c r="X61" s="2">
        <v>1208190</v>
      </c>
    </row>
    <row r="62" spans="1:24">
      <c r="A62" t="s">
        <v>359</v>
      </c>
      <c r="B62" t="s">
        <v>360</v>
      </c>
      <c r="C62" s="1"/>
      <c r="D62" s="1"/>
      <c r="E62" s="1"/>
      <c r="F62" s="2"/>
      <c r="G62" s="2">
        <f>VLOOKUP(A62,'Voter Approved'!$A$3:$F$298,3,FALSE)</f>
        <v>6650000</v>
      </c>
      <c r="H62" s="2">
        <v>6650000</v>
      </c>
      <c r="I62" s="2">
        <v>2152221441</v>
      </c>
      <c r="J62" s="2">
        <v>2311300760</v>
      </c>
      <c r="K62" s="2">
        <v>2510588894</v>
      </c>
      <c r="L62" s="2">
        <v>2970803528</v>
      </c>
      <c r="M62" s="2">
        <v>3709098551</v>
      </c>
      <c r="N62" s="2">
        <v>3888053934</v>
      </c>
      <c r="O62" s="2">
        <v>3818711937</v>
      </c>
      <c r="P62" s="2">
        <v>4222952148</v>
      </c>
      <c r="Q62" s="2">
        <v>4434770129</v>
      </c>
      <c r="R62" s="2">
        <v>4796946246</v>
      </c>
      <c r="S62" s="2">
        <v>4949451836</v>
      </c>
      <c r="T62" s="2">
        <v>5237654799</v>
      </c>
      <c r="U62" s="2">
        <v>5495496309</v>
      </c>
      <c r="V62" s="2">
        <v>0</v>
      </c>
      <c r="W62" t="str">
        <f t="shared" si="5"/>
        <v>27343</v>
      </c>
      <c r="X62" s="2">
        <v>2842800</v>
      </c>
    </row>
    <row r="63" spans="1:24">
      <c r="A63" t="s">
        <v>505</v>
      </c>
      <c r="B63" t="s">
        <v>506</v>
      </c>
      <c r="C63" s="1"/>
      <c r="D63" s="1"/>
      <c r="E63" s="1"/>
      <c r="F63" s="2"/>
      <c r="G63" s="2">
        <f>VLOOKUP(A63,'Voter Approved'!$A$3:$F$298,3,FALSE)</f>
        <v>230730</v>
      </c>
      <c r="H63" s="2">
        <v>230730</v>
      </c>
      <c r="I63" s="2">
        <v>99447974</v>
      </c>
      <c r="J63" s="2">
        <v>98645811</v>
      </c>
      <c r="K63" s="2">
        <v>99352309</v>
      </c>
      <c r="L63" s="2">
        <v>103334958</v>
      </c>
      <c r="M63" s="2">
        <v>111567557</v>
      </c>
      <c r="N63" s="2">
        <v>127126092</v>
      </c>
      <c r="O63" s="2">
        <v>123446307</v>
      </c>
      <c r="P63" s="2">
        <v>129657437</v>
      </c>
      <c r="Q63" s="2">
        <v>134788766</v>
      </c>
      <c r="R63" s="2">
        <v>139890711</v>
      </c>
      <c r="S63" s="2">
        <v>140691162</v>
      </c>
      <c r="T63" s="2">
        <v>143498162</v>
      </c>
      <c r="U63" s="2">
        <v>155366068</v>
      </c>
      <c r="V63" s="2">
        <v>0</v>
      </c>
      <c r="W63" t="str">
        <f t="shared" si="5"/>
        <v>36101</v>
      </c>
      <c r="X63" s="2">
        <v>44904</v>
      </c>
    </row>
    <row r="64" spans="1:24">
      <c r="A64" t="s">
        <v>453</v>
      </c>
      <c r="B64" t="s">
        <v>454</v>
      </c>
      <c r="C64" s="1"/>
      <c r="D64" s="1"/>
      <c r="E64" s="1"/>
      <c r="F64" s="2"/>
      <c r="G64" s="2">
        <f>VLOOKUP(A64,'Voter Approved'!$A$3:$F$298,3,FALSE)</f>
        <v>13000000</v>
      </c>
      <c r="H64" s="2">
        <v>5300000</v>
      </c>
      <c r="I64" s="2">
        <v>3348576806</v>
      </c>
      <c r="J64" s="2">
        <v>3635266665</v>
      </c>
      <c r="K64" s="2">
        <v>4116290634</v>
      </c>
      <c r="L64" s="2">
        <v>4725921056</v>
      </c>
      <c r="M64" s="2">
        <v>5936854733</v>
      </c>
      <c r="N64" s="2">
        <v>6382920086</v>
      </c>
      <c r="O64" s="2">
        <v>6272073549</v>
      </c>
      <c r="P64" s="2">
        <v>6699826248</v>
      </c>
      <c r="Q64" s="2">
        <v>7085146883</v>
      </c>
      <c r="R64" s="2">
        <v>7448686130</v>
      </c>
      <c r="S64" s="2">
        <v>8037880118</v>
      </c>
      <c r="T64" s="2">
        <v>8610324659</v>
      </c>
      <c r="U64" s="2">
        <v>8946815854</v>
      </c>
      <c r="V64" s="2">
        <v>0</v>
      </c>
      <c r="W64" t="str">
        <f t="shared" si="5"/>
        <v>32361</v>
      </c>
      <c r="X64" s="2">
        <v>5150678.6399999997</v>
      </c>
    </row>
    <row r="65" spans="1:24">
      <c r="A65" t="s">
        <v>565</v>
      </c>
      <c r="B65" t="s">
        <v>566</v>
      </c>
      <c r="C65" s="1"/>
      <c r="D65" s="1"/>
      <c r="E65" s="1"/>
      <c r="F65" s="2"/>
      <c r="G65" s="2">
        <f>VLOOKUP(A65,'Voter Approved'!$A$3:$F$298,3,FALSE)</f>
        <v>3462000</v>
      </c>
      <c r="H65" s="2">
        <v>2636505</v>
      </c>
      <c r="I65" s="2">
        <v>1685886499</v>
      </c>
      <c r="J65" s="2">
        <v>1840586220</v>
      </c>
      <c r="K65" s="2">
        <v>1957273146</v>
      </c>
      <c r="L65" s="2">
        <v>2246021875</v>
      </c>
      <c r="M65" s="2">
        <v>2510709201</v>
      </c>
      <c r="N65" s="2">
        <v>2956868782</v>
      </c>
      <c r="O65" s="2">
        <v>3024190899</v>
      </c>
      <c r="P65" s="2">
        <v>3336642614</v>
      </c>
      <c r="Q65" s="2">
        <v>3867923999</v>
      </c>
      <c r="R65" s="2">
        <v>4360492406</v>
      </c>
      <c r="S65" s="2">
        <v>4920209294</v>
      </c>
      <c r="T65" s="2">
        <v>5608115530</v>
      </c>
      <c r="U65" s="2">
        <v>6271639338</v>
      </c>
      <c r="V65" s="2">
        <v>590451.59</v>
      </c>
      <c r="W65" t="str">
        <f t="shared" si="5"/>
        <v>39090</v>
      </c>
      <c r="X65" s="2">
        <v>2252053.84</v>
      </c>
    </row>
    <row r="66" spans="1:24">
      <c r="A66" t="s">
        <v>90</v>
      </c>
      <c r="B66" t="s">
        <v>91</v>
      </c>
      <c r="C66" s="1"/>
      <c r="D66" s="1"/>
      <c r="E66" s="1"/>
      <c r="F66" s="2"/>
      <c r="G66" s="2">
        <f>VLOOKUP(A66,'Voter Approved'!$A$3:$F$298,3,FALSE)</f>
        <v>9919034</v>
      </c>
      <c r="H66" s="2">
        <v>9919034</v>
      </c>
      <c r="I66" s="2">
        <v>4522061616</v>
      </c>
      <c r="J66" s="2">
        <v>4861221222</v>
      </c>
      <c r="K66" s="2">
        <v>5034780462</v>
      </c>
      <c r="L66" s="2">
        <v>5693007880</v>
      </c>
      <c r="M66" s="2">
        <v>6620208281</v>
      </c>
      <c r="N66" s="2">
        <v>7183340454</v>
      </c>
      <c r="O66" s="2">
        <v>8575658819</v>
      </c>
      <c r="P66" s="2">
        <v>9920712158</v>
      </c>
      <c r="Q66" s="2">
        <v>11268684979</v>
      </c>
      <c r="R66" s="2">
        <v>12448500802</v>
      </c>
      <c r="S66" s="2">
        <v>13595117542</v>
      </c>
      <c r="T66" s="2">
        <v>15337954311</v>
      </c>
      <c r="U66" s="2">
        <v>17292353630</v>
      </c>
      <c r="V66" s="2">
        <v>171606.09</v>
      </c>
      <c r="W66" t="str">
        <f t="shared" si="5"/>
        <v>09206</v>
      </c>
      <c r="X66" s="2">
        <v>5771831.5999999996</v>
      </c>
    </row>
    <row r="67" spans="1:24">
      <c r="A67" t="s">
        <v>227</v>
      </c>
      <c r="B67" t="s">
        <v>228</v>
      </c>
      <c r="C67" s="1"/>
      <c r="D67" s="1"/>
      <c r="E67" s="1"/>
      <c r="F67" s="2"/>
      <c r="G67" s="2">
        <f>VLOOKUP(A67,'Voter Approved'!$A$3:$F$298,3,FALSE)</f>
        <v>495000</v>
      </c>
      <c r="H67" s="2">
        <v>269850</v>
      </c>
      <c r="I67" s="2">
        <v>583393285</v>
      </c>
      <c r="J67" s="2">
        <v>658522589</v>
      </c>
      <c r="K67" s="2">
        <v>730085107</v>
      </c>
      <c r="L67" s="2">
        <v>803132216</v>
      </c>
      <c r="M67" s="2">
        <v>1090745799</v>
      </c>
      <c r="N67" s="2">
        <v>1337872765</v>
      </c>
      <c r="O67" s="2">
        <v>1416044051</v>
      </c>
      <c r="P67" s="2">
        <v>1620837395</v>
      </c>
      <c r="Q67" s="2">
        <v>1882616287</v>
      </c>
      <c r="R67" s="2">
        <v>2068505339</v>
      </c>
      <c r="S67" s="2">
        <v>2369825142</v>
      </c>
      <c r="T67" s="2">
        <v>2657171479</v>
      </c>
      <c r="U67" s="2">
        <v>3073854125</v>
      </c>
      <c r="V67" s="2">
        <v>0</v>
      </c>
      <c r="W67" t="str">
        <f t="shared" si="5"/>
        <v>19028</v>
      </c>
      <c r="X67" s="2">
        <v>125787.92</v>
      </c>
    </row>
    <row r="68" spans="1:24">
      <c r="A68" t="s">
        <v>371</v>
      </c>
      <c r="B68" t="s">
        <v>372</v>
      </c>
      <c r="C68" s="1"/>
      <c r="D68" s="1"/>
      <c r="E68" s="1"/>
      <c r="F68" s="2"/>
      <c r="G68" s="2">
        <f>VLOOKUP(A68,'Voter Approved'!$A$3:$F$298,3,FALSE)</f>
        <v>3695438</v>
      </c>
      <c r="H68" s="2">
        <v>3695438</v>
      </c>
      <c r="I68" s="2">
        <v>1660188264</v>
      </c>
      <c r="J68" s="2">
        <v>1763841711.77</v>
      </c>
      <c r="K68" s="2">
        <v>1973790576</v>
      </c>
      <c r="L68" s="2">
        <v>2317081086</v>
      </c>
      <c r="M68" s="2">
        <v>2921793440</v>
      </c>
      <c r="N68" s="2">
        <v>2905239954</v>
      </c>
      <c r="O68" s="2">
        <v>3111889054</v>
      </c>
      <c r="P68" s="2">
        <v>3427693492</v>
      </c>
      <c r="Q68" s="2">
        <v>3685987893</v>
      </c>
      <c r="R68" s="2">
        <v>3943856777</v>
      </c>
      <c r="S68" s="2">
        <v>4227905031</v>
      </c>
      <c r="T68" s="2">
        <v>4503876710</v>
      </c>
      <c r="U68" s="2">
        <v>4782836974</v>
      </c>
      <c r="V68" s="2">
        <v>0</v>
      </c>
      <c r="W68" t="str">
        <f t="shared" ref="W68:W131" si="6">A68</f>
        <v>27404</v>
      </c>
      <c r="X68" s="2">
        <v>2918327.4</v>
      </c>
    </row>
    <row r="69" spans="1:24">
      <c r="A69" t="s">
        <v>413</v>
      </c>
      <c r="B69" t="s">
        <v>414</v>
      </c>
      <c r="C69" s="1"/>
      <c r="D69" s="1"/>
      <c r="E69" s="1"/>
      <c r="F69" s="2"/>
      <c r="G69" s="2">
        <f>VLOOKUP(A69,'Voter Approved'!$A$3:$F$298,3,FALSE)</f>
        <v>49000000</v>
      </c>
      <c r="H69" s="2">
        <v>49000000</v>
      </c>
      <c r="I69" s="2">
        <v>32006141575</v>
      </c>
      <c r="J69" s="2">
        <v>34842909268</v>
      </c>
      <c r="K69" s="2">
        <v>36803392447</v>
      </c>
      <c r="L69" s="2">
        <v>39964464657</v>
      </c>
      <c r="M69" s="2">
        <v>50901713110</v>
      </c>
      <c r="N69" s="2">
        <v>49536544672</v>
      </c>
      <c r="O69" s="2">
        <v>49315423918</v>
      </c>
      <c r="P69" s="2">
        <v>52349936005</v>
      </c>
      <c r="Q69" s="2">
        <v>55065673541</v>
      </c>
      <c r="R69" s="2">
        <v>56260684851</v>
      </c>
      <c r="S69" s="2">
        <v>59752771236</v>
      </c>
      <c r="T69" s="2">
        <v>62443618232</v>
      </c>
      <c r="U69" s="2">
        <v>65149769674</v>
      </c>
      <c r="V69" s="2">
        <v>0</v>
      </c>
      <c r="W69" t="str">
        <f t="shared" si="6"/>
        <v>31015</v>
      </c>
      <c r="X69" s="2">
        <v>29608780.140000001</v>
      </c>
    </row>
    <row r="70" spans="1:24">
      <c r="A70" t="s">
        <v>231</v>
      </c>
      <c r="B70" t="s">
        <v>232</v>
      </c>
      <c r="C70" s="1"/>
      <c r="D70" s="1"/>
      <c r="E70" s="1"/>
      <c r="F70" s="2"/>
      <c r="G70" s="2">
        <f>VLOOKUP(A70,'Voter Approved'!$A$3:$F$298,3,FALSE)</f>
        <v>4512578</v>
      </c>
      <c r="H70" s="2">
        <v>4512578</v>
      </c>
      <c r="I70" s="2">
        <v>2710065332.8000002</v>
      </c>
      <c r="J70" s="2">
        <v>3150645820.8000002</v>
      </c>
      <c r="K70" s="2">
        <v>3376018732</v>
      </c>
      <c r="L70" s="2">
        <v>3701959097</v>
      </c>
      <c r="M70" s="2">
        <v>4388640562</v>
      </c>
      <c r="N70" s="2">
        <v>4913889433</v>
      </c>
      <c r="O70" s="2">
        <v>5708307003</v>
      </c>
      <c r="P70" s="2">
        <v>6540333858</v>
      </c>
      <c r="Q70" s="2">
        <v>7509220111</v>
      </c>
      <c r="R70" s="2">
        <v>8158057648</v>
      </c>
      <c r="S70" s="2">
        <v>8953798171</v>
      </c>
      <c r="T70" s="2">
        <v>10016543078</v>
      </c>
      <c r="U70" s="2">
        <v>11377056735</v>
      </c>
      <c r="V70" s="2">
        <v>0</v>
      </c>
      <c r="W70" t="str">
        <f t="shared" si="6"/>
        <v>19401</v>
      </c>
      <c r="X70" s="2">
        <v>4701474.46</v>
      </c>
    </row>
    <row r="71" spans="1:24">
      <c r="A71" t="s">
        <v>146</v>
      </c>
      <c r="B71" t="s">
        <v>147</v>
      </c>
      <c r="C71" s="1"/>
      <c r="D71" s="1"/>
      <c r="E71" s="1"/>
      <c r="F71" s="2"/>
      <c r="G71" s="2">
        <f>VLOOKUP(A71,'Voter Approved'!$A$3:$F$298,3,FALSE)</f>
        <v>2514435</v>
      </c>
      <c r="H71" s="2">
        <v>2514435</v>
      </c>
      <c r="I71" s="2">
        <v>883846079</v>
      </c>
      <c r="J71" s="2">
        <v>1012344651</v>
      </c>
      <c r="K71" s="2">
        <v>1046118671</v>
      </c>
      <c r="L71" s="2">
        <v>1210146247</v>
      </c>
      <c r="M71" s="2">
        <v>1468242192</v>
      </c>
      <c r="N71" s="2">
        <v>1480873783</v>
      </c>
      <c r="O71" s="2">
        <v>1819567506</v>
      </c>
      <c r="P71" s="2">
        <v>2025328698</v>
      </c>
      <c r="Q71" s="2">
        <v>2223457471</v>
      </c>
      <c r="R71" s="2">
        <v>2452094764</v>
      </c>
      <c r="S71" s="2">
        <v>2778025195</v>
      </c>
      <c r="T71" s="2">
        <v>3109359567</v>
      </c>
      <c r="U71" s="2">
        <v>3409569597</v>
      </c>
      <c r="V71" s="2">
        <v>240362.93</v>
      </c>
      <c r="W71" t="str">
        <f t="shared" si="6"/>
        <v>14068</v>
      </c>
      <c r="X71" s="2">
        <v>1621638.78</v>
      </c>
    </row>
    <row r="72" spans="1:24">
      <c r="A72" t="s">
        <v>551</v>
      </c>
      <c r="B72" t="s">
        <v>552</v>
      </c>
      <c r="C72" s="1"/>
      <c r="D72" s="1"/>
      <c r="E72" s="1"/>
      <c r="F72" s="2"/>
      <c r="G72" s="2">
        <f>VLOOKUP(A72,'Voter Approved'!$A$3:$F$298,3,FALSE)</f>
        <v>370000</v>
      </c>
      <c r="H72" s="2">
        <v>370000</v>
      </c>
      <c r="I72" s="2">
        <v>118587191</v>
      </c>
      <c r="J72" s="2">
        <v>130866073</v>
      </c>
      <c r="K72" s="2">
        <v>136365041</v>
      </c>
      <c r="L72" s="2">
        <v>140361770</v>
      </c>
      <c r="M72" s="2">
        <v>145633123</v>
      </c>
      <c r="N72" s="2">
        <v>144642489</v>
      </c>
      <c r="O72" s="2">
        <v>161712066</v>
      </c>
      <c r="P72" s="2">
        <v>176627388</v>
      </c>
      <c r="Q72" s="2">
        <v>190037714</v>
      </c>
      <c r="R72" s="2">
        <v>209986850</v>
      </c>
      <c r="S72" s="2">
        <v>219791032</v>
      </c>
      <c r="T72" s="2">
        <v>234382601</v>
      </c>
      <c r="U72" s="2">
        <v>260081899</v>
      </c>
      <c r="V72" s="2">
        <v>0</v>
      </c>
      <c r="W72" t="str">
        <f t="shared" si="6"/>
        <v>38308</v>
      </c>
      <c r="X72" s="2">
        <v>103925.38</v>
      </c>
    </row>
    <row r="73" spans="1:24">
      <c r="A73" t="s">
        <v>30</v>
      </c>
      <c r="B73" t="s">
        <v>31</v>
      </c>
      <c r="C73" s="1"/>
      <c r="D73" s="1"/>
      <c r="E73" s="1"/>
      <c r="F73" s="2"/>
      <c r="G73" s="2">
        <f>VLOOKUP(A73,'Voter Approved'!$A$3:$F$298,3,FALSE)</f>
        <v>650000</v>
      </c>
      <c r="H73" s="2">
        <v>650000</v>
      </c>
      <c r="I73" s="2">
        <v>308664895</v>
      </c>
      <c r="J73" s="2">
        <v>336243911</v>
      </c>
      <c r="K73" s="2">
        <v>368806547</v>
      </c>
      <c r="L73" s="2">
        <v>405111484</v>
      </c>
      <c r="M73" s="2">
        <v>503407762</v>
      </c>
      <c r="N73" s="2">
        <v>553004400</v>
      </c>
      <c r="O73" s="2">
        <v>620152185</v>
      </c>
      <c r="P73" s="2">
        <v>697826324</v>
      </c>
      <c r="Q73" s="2">
        <v>773582196</v>
      </c>
      <c r="R73" s="2">
        <v>873507688</v>
      </c>
      <c r="S73" s="2">
        <v>967786298</v>
      </c>
      <c r="T73" s="2">
        <v>1048274321</v>
      </c>
      <c r="U73" s="2">
        <v>1169078076</v>
      </c>
      <c r="V73" s="2">
        <v>0</v>
      </c>
      <c r="W73" t="str">
        <f t="shared" si="6"/>
        <v>04127</v>
      </c>
      <c r="X73" s="2">
        <v>244007</v>
      </c>
    </row>
    <row r="74" spans="1:24">
      <c r="A74" t="s">
        <v>182</v>
      </c>
      <c r="B74" t="s">
        <v>183</v>
      </c>
      <c r="C74" s="1"/>
      <c r="D74" s="1"/>
      <c r="E74" s="1"/>
      <c r="F74" s="2"/>
      <c r="G74" s="2">
        <f>VLOOKUP(A74,'Voter Approved'!$A$3:$F$298,3,FALSE)</f>
        <v>6320160</v>
      </c>
      <c r="H74" s="2">
        <v>6320160</v>
      </c>
      <c r="I74" s="2">
        <v>4229018295</v>
      </c>
      <c r="J74" s="2">
        <v>4521849874</v>
      </c>
      <c r="K74" s="2">
        <v>4813649645</v>
      </c>
      <c r="L74" s="2">
        <v>5854585199</v>
      </c>
      <c r="M74" s="2">
        <v>7437921278</v>
      </c>
      <c r="N74" s="2">
        <v>6945525443</v>
      </c>
      <c r="O74" s="2">
        <v>8312715561</v>
      </c>
      <c r="P74" s="2">
        <v>9568184811</v>
      </c>
      <c r="Q74" s="2">
        <v>10891500212</v>
      </c>
      <c r="R74" s="2">
        <v>12148595853</v>
      </c>
      <c r="S74" s="2">
        <v>13390687502</v>
      </c>
      <c r="T74" s="2">
        <v>15203502786</v>
      </c>
      <c r="U74" s="2">
        <v>16509825494</v>
      </c>
      <c r="V74" s="2">
        <v>0</v>
      </c>
      <c r="W74" t="str">
        <f t="shared" si="6"/>
        <v>17216</v>
      </c>
      <c r="X74" s="2">
        <v>5966552.9800000004</v>
      </c>
    </row>
    <row r="75" spans="1:24">
      <c r="A75" t="s">
        <v>130</v>
      </c>
      <c r="B75" t="s">
        <v>131</v>
      </c>
      <c r="C75" s="1"/>
      <c r="D75" s="1"/>
      <c r="E75" s="1"/>
      <c r="F75" s="2"/>
      <c r="G75" s="2">
        <f>VLOOKUP(A75,'Voter Approved'!$A$3:$F$298,3,FALSE)</f>
        <v>4006060</v>
      </c>
      <c r="H75" s="2">
        <v>4006060</v>
      </c>
      <c r="I75" s="2">
        <v>919520093</v>
      </c>
      <c r="J75" s="2">
        <v>944715521</v>
      </c>
      <c r="K75" s="2">
        <v>996730435</v>
      </c>
      <c r="L75" s="2">
        <v>1106364875</v>
      </c>
      <c r="M75" s="2">
        <v>1234595907</v>
      </c>
      <c r="N75" s="2">
        <v>1382563181</v>
      </c>
      <c r="O75" s="2">
        <v>1507463810</v>
      </c>
      <c r="P75" s="2">
        <v>1639563755</v>
      </c>
      <c r="Q75" s="2">
        <v>1799603227</v>
      </c>
      <c r="R75" s="2">
        <v>1975992817</v>
      </c>
      <c r="S75" s="2">
        <v>2087469153</v>
      </c>
      <c r="T75" s="2">
        <v>2287549438</v>
      </c>
      <c r="U75" s="2">
        <v>2512531088</v>
      </c>
      <c r="V75" s="2">
        <v>874786.27</v>
      </c>
      <c r="W75" t="str">
        <f t="shared" si="6"/>
        <v>13165</v>
      </c>
      <c r="X75" s="2">
        <v>1001376.3</v>
      </c>
    </row>
    <row r="76" spans="1:24">
      <c r="A76" t="s">
        <v>259</v>
      </c>
      <c r="B76" t="s">
        <v>260</v>
      </c>
      <c r="C76" s="1"/>
      <c r="D76" s="1"/>
      <c r="E76" s="1"/>
      <c r="F76" s="2"/>
      <c r="G76" s="2">
        <f>VLOOKUP(A76,'Voter Approved'!$A$3:$F$298,3,FALSE)</f>
        <v>190000</v>
      </c>
      <c r="H76" s="2">
        <v>190000</v>
      </c>
      <c r="I76" s="2">
        <v>161992396</v>
      </c>
      <c r="J76" s="2">
        <v>178164104.83000001</v>
      </c>
      <c r="K76" s="2">
        <v>182393235</v>
      </c>
      <c r="L76" s="2">
        <v>203129536</v>
      </c>
      <c r="M76" s="2">
        <v>237133682</v>
      </c>
      <c r="N76" s="2">
        <v>249545204</v>
      </c>
      <c r="O76" s="2">
        <v>295757623</v>
      </c>
      <c r="P76" s="2">
        <v>325970792</v>
      </c>
      <c r="Q76" s="2">
        <v>368686728</v>
      </c>
      <c r="R76" s="2">
        <v>410780652</v>
      </c>
      <c r="S76" s="2">
        <v>443462728</v>
      </c>
      <c r="T76" s="2">
        <v>487408557</v>
      </c>
      <c r="U76" s="2">
        <v>541435884</v>
      </c>
      <c r="V76" s="2">
        <v>0</v>
      </c>
      <c r="W76" t="str">
        <f t="shared" si="6"/>
        <v>21036</v>
      </c>
      <c r="X76" s="2">
        <v>90022</v>
      </c>
    </row>
    <row r="77" spans="1:24">
      <c r="A77" t="s">
        <v>407</v>
      </c>
      <c r="B77" t="s">
        <v>408</v>
      </c>
      <c r="C77" s="1"/>
      <c r="D77" s="1"/>
      <c r="E77" s="1"/>
      <c r="F77" s="2"/>
      <c r="G77" s="2">
        <f>VLOOKUP(A77,'Voter Approved'!$A$3:$F$298,3,FALSE)</f>
        <v>44220000</v>
      </c>
      <c r="H77" s="2">
        <v>34500000</v>
      </c>
      <c r="I77" s="2">
        <v>21843987570</v>
      </c>
      <c r="J77" s="2">
        <v>23717351274</v>
      </c>
      <c r="K77" s="2">
        <v>25009139029</v>
      </c>
      <c r="L77" s="2">
        <v>27539366092</v>
      </c>
      <c r="M77" s="2">
        <v>35879418810</v>
      </c>
      <c r="N77" s="2">
        <v>34045098309</v>
      </c>
      <c r="O77" s="2">
        <v>34976923254</v>
      </c>
      <c r="P77" s="2">
        <v>37710764040</v>
      </c>
      <c r="Q77" s="2">
        <v>39935646668</v>
      </c>
      <c r="R77" s="2">
        <v>42206565675</v>
      </c>
      <c r="S77" s="2">
        <v>42774110209</v>
      </c>
      <c r="T77" s="2">
        <v>44326891818</v>
      </c>
      <c r="U77" s="2">
        <v>46716944933</v>
      </c>
      <c r="V77" s="2">
        <v>0</v>
      </c>
      <c r="W77" t="str">
        <f t="shared" si="6"/>
        <v>31002</v>
      </c>
      <c r="X77" s="2">
        <v>29489259.98</v>
      </c>
    </row>
    <row r="78" spans="1:24">
      <c r="A78" t="s">
        <v>60</v>
      </c>
      <c r="B78" t="s">
        <v>61</v>
      </c>
      <c r="C78" s="1"/>
      <c r="D78" s="1"/>
      <c r="E78" s="1"/>
      <c r="F78" s="2"/>
      <c r="G78" s="2">
        <f>VLOOKUP(A78,'Voter Approved'!$A$3:$F$298,3,FALSE)</f>
        <v>54097000</v>
      </c>
      <c r="H78" s="2">
        <v>28500000</v>
      </c>
      <c r="I78" s="2">
        <v>18119240260</v>
      </c>
      <c r="J78" s="2">
        <v>19439182220</v>
      </c>
      <c r="K78" s="2">
        <v>20527079747</v>
      </c>
      <c r="L78" s="2">
        <v>22759844084</v>
      </c>
      <c r="M78" s="2">
        <v>26750375450</v>
      </c>
      <c r="N78" s="2">
        <v>28540527841</v>
      </c>
      <c r="O78" s="2">
        <v>29220345005</v>
      </c>
      <c r="P78" s="2">
        <v>31040826261</v>
      </c>
      <c r="Q78" s="2">
        <v>32921388826</v>
      </c>
      <c r="R78" s="2">
        <v>34789091515</v>
      </c>
      <c r="S78" s="2">
        <v>36817684951</v>
      </c>
      <c r="T78" s="2">
        <v>38749018300</v>
      </c>
      <c r="U78" s="2">
        <v>40262228356</v>
      </c>
      <c r="V78" s="2">
        <v>490909.99</v>
      </c>
      <c r="W78" t="str">
        <f t="shared" si="6"/>
        <v>06114</v>
      </c>
      <c r="X78" s="2">
        <v>21557900</v>
      </c>
    </row>
    <row r="79" spans="1:24">
      <c r="A79" t="s">
        <v>477</v>
      </c>
      <c r="B79" t="s">
        <v>478</v>
      </c>
      <c r="C79" s="1"/>
      <c r="D79" s="1"/>
      <c r="E79" s="1"/>
      <c r="F79" s="2"/>
      <c r="G79" s="2">
        <f>VLOOKUP(A79,'Voter Approved'!$A$3:$F$298,3,FALSE)</f>
        <v>30000</v>
      </c>
      <c r="H79" s="2">
        <v>30000</v>
      </c>
      <c r="I79" s="2">
        <v>54164965.619999997</v>
      </c>
      <c r="J79" s="2">
        <v>61643624</v>
      </c>
      <c r="K79" s="2">
        <v>62293327</v>
      </c>
      <c r="L79" s="2">
        <v>64721772</v>
      </c>
      <c r="M79" s="2">
        <v>67754976</v>
      </c>
      <c r="N79" s="2">
        <v>72875263</v>
      </c>
      <c r="O79" s="2">
        <v>79472830</v>
      </c>
      <c r="P79" s="2">
        <v>87825093</v>
      </c>
      <c r="Q79" s="2">
        <v>94673650</v>
      </c>
      <c r="R79" s="2">
        <v>102266435</v>
      </c>
      <c r="S79" s="2">
        <v>110490819</v>
      </c>
      <c r="T79" s="2">
        <v>118868991</v>
      </c>
      <c r="U79" s="2">
        <v>128369560</v>
      </c>
      <c r="V79" s="2">
        <v>0</v>
      </c>
      <c r="W79" t="str">
        <f t="shared" si="6"/>
        <v>33205</v>
      </c>
      <c r="X79" s="2">
        <v>18952</v>
      </c>
    </row>
    <row r="80" spans="1:24">
      <c r="A80" t="s">
        <v>180</v>
      </c>
      <c r="B80" t="s">
        <v>181</v>
      </c>
      <c r="C80" s="1"/>
      <c r="D80" s="1"/>
      <c r="E80" s="1"/>
      <c r="F80" s="2"/>
      <c r="G80" s="2">
        <f>VLOOKUP(A80,'Voter Approved'!$A$3:$F$298,3,FALSE)</f>
        <v>33000000</v>
      </c>
      <c r="H80" s="2">
        <v>33000000</v>
      </c>
      <c r="I80" s="2">
        <v>16429576294</v>
      </c>
      <c r="J80" s="2">
        <v>17431395626</v>
      </c>
      <c r="K80" s="2">
        <v>18348545217</v>
      </c>
      <c r="L80" s="2">
        <v>20866206834</v>
      </c>
      <c r="M80" s="2">
        <v>25404771161</v>
      </c>
      <c r="N80" s="2">
        <v>24682777000</v>
      </c>
      <c r="O80" s="2">
        <v>27108410090</v>
      </c>
      <c r="P80" s="2">
        <v>29841468481</v>
      </c>
      <c r="Q80" s="2">
        <v>32058383241</v>
      </c>
      <c r="R80" s="2">
        <v>33988219899</v>
      </c>
      <c r="S80" s="2">
        <v>35856174413</v>
      </c>
      <c r="T80" s="2">
        <v>38108085126</v>
      </c>
      <c r="U80" s="2">
        <v>41507503758</v>
      </c>
      <c r="V80" s="2">
        <v>937550.08</v>
      </c>
      <c r="W80" t="str">
        <f t="shared" si="6"/>
        <v>17210</v>
      </c>
      <c r="X80" s="2">
        <v>19899600</v>
      </c>
    </row>
    <row r="81" spans="1:24">
      <c r="A81" t="s">
        <v>521</v>
      </c>
      <c r="B81" t="s">
        <v>522</v>
      </c>
      <c r="C81" s="1"/>
      <c r="D81" s="1"/>
      <c r="E81" s="1"/>
      <c r="F81" s="2"/>
      <c r="G81" s="2">
        <f>VLOOKUP(A81,'Voter Approved'!$A$3:$F$298,3,FALSE)</f>
        <v>15060000</v>
      </c>
      <c r="H81" s="2">
        <v>15060000</v>
      </c>
      <c r="I81" s="2">
        <v>4784705100</v>
      </c>
      <c r="J81" s="2">
        <v>5252610369</v>
      </c>
      <c r="K81" s="2">
        <v>5736870960</v>
      </c>
      <c r="L81" s="2">
        <v>6518187979</v>
      </c>
      <c r="M81" s="2">
        <v>7857958204</v>
      </c>
      <c r="N81" s="2">
        <v>9376313712</v>
      </c>
      <c r="O81" s="2">
        <v>9886095764</v>
      </c>
      <c r="P81" s="2">
        <v>11048543725</v>
      </c>
      <c r="Q81" s="2">
        <v>12181342741</v>
      </c>
      <c r="R81" s="2">
        <v>13450003793</v>
      </c>
      <c r="S81" s="2">
        <v>14091749258</v>
      </c>
      <c r="T81" s="2">
        <v>15254311568</v>
      </c>
      <c r="U81" s="2">
        <v>16298188732</v>
      </c>
      <c r="V81" s="2">
        <v>0</v>
      </c>
      <c r="W81" t="str">
        <f t="shared" si="6"/>
        <v>37502</v>
      </c>
      <c r="X81" s="2">
        <v>5685600</v>
      </c>
    </row>
    <row r="82" spans="1:24">
      <c r="A82" t="s">
        <v>375</v>
      </c>
      <c r="B82" t="s">
        <v>376</v>
      </c>
      <c r="C82" s="1"/>
      <c r="D82" s="1"/>
      <c r="E82" s="1"/>
      <c r="F82" s="2"/>
      <c r="G82" s="2">
        <f>VLOOKUP(A82,'Voter Approved'!$A$3:$F$298,3,FALSE)</f>
        <v>9600000</v>
      </c>
      <c r="H82" s="2">
        <v>9600000</v>
      </c>
      <c r="I82" s="2">
        <v>3924007961</v>
      </c>
      <c r="J82" s="2">
        <v>4534629306</v>
      </c>
      <c r="K82" s="2">
        <v>4812788675</v>
      </c>
      <c r="L82" s="2">
        <v>5402395700</v>
      </c>
      <c r="M82" s="2">
        <v>6371068850</v>
      </c>
      <c r="N82" s="2">
        <v>6749067960</v>
      </c>
      <c r="O82" s="2">
        <v>6514846318</v>
      </c>
      <c r="P82" s="2">
        <v>7120596683</v>
      </c>
      <c r="Q82" s="2">
        <v>7472709210</v>
      </c>
      <c r="R82" s="2">
        <v>7960515176</v>
      </c>
      <c r="S82" s="2">
        <v>8275032339</v>
      </c>
      <c r="T82" s="2">
        <v>8699320022</v>
      </c>
      <c r="U82" s="2">
        <v>8965116714</v>
      </c>
      <c r="V82" s="2">
        <v>0</v>
      </c>
      <c r="W82" t="str">
        <f t="shared" si="6"/>
        <v>27417</v>
      </c>
      <c r="X82" s="2">
        <v>5219854.5999999996</v>
      </c>
    </row>
    <row r="83" spans="1:24">
      <c r="A83" t="s">
        <v>20</v>
      </c>
      <c r="B83" t="s">
        <v>21</v>
      </c>
      <c r="C83" s="1"/>
      <c r="D83" s="1"/>
      <c r="E83" s="1"/>
      <c r="F83" s="2"/>
      <c r="G83" s="2">
        <f>VLOOKUP(A83,'Voter Approved'!$A$3:$F$298,3,FALSE)</f>
        <v>1000000</v>
      </c>
      <c r="H83" s="2">
        <v>1000000</v>
      </c>
      <c r="I83" s="2">
        <v>526363002</v>
      </c>
      <c r="J83" s="2">
        <v>574141145</v>
      </c>
      <c r="K83" s="2">
        <v>589877305</v>
      </c>
      <c r="L83" s="2">
        <v>624461673</v>
      </c>
      <c r="M83" s="2">
        <v>731885012</v>
      </c>
      <c r="N83" s="2">
        <v>840053992</v>
      </c>
      <c r="O83" s="2">
        <v>888177624</v>
      </c>
      <c r="P83" s="2">
        <v>962439014</v>
      </c>
      <c r="Q83" s="2">
        <v>1065370952</v>
      </c>
      <c r="R83" s="2">
        <v>1132915387</v>
      </c>
      <c r="S83" s="2">
        <v>1236900413</v>
      </c>
      <c r="T83" s="2">
        <v>1356784868</v>
      </c>
      <c r="U83" s="2">
        <v>1445506052</v>
      </c>
      <c r="V83" s="2">
        <v>123372.18</v>
      </c>
      <c r="W83" t="str">
        <f t="shared" si="6"/>
        <v>03053</v>
      </c>
      <c r="X83" s="2">
        <v>677534</v>
      </c>
    </row>
    <row r="84" spans="1:24">
      <c r="A84" t="s">
        <v>367</v>
      </c>
      <c r="B84" t="s">
        <v>368</v>
      </c>
      <c r="C84" s="1"/>
      <c r="D84" s="1"/>
      <c r="E84" s="1"/>
      <c r="F84" s="2"/>
      <c r="G84" s="2">
        <f>VLOOKUP(A84,'Voter Approved'!$A$3:$F$298,3,FALSE)</f>
        <v>19000000</v>
      </c>
      <c r="H84" s="2">
        <v>19000000</v>
      </c>
      <c r="I84" s="2">
        <v>4651414006</v>
      </c>
      <c r="J84" s="2">
        <v>5153858941</v>
      </c>
      <c r="K84" s="2">
        <v>5695037901</v>
      </c>
      <c r="L84" s="2">
        <v>6690518093</v>
      </c>
      <c r="M84" s="2">
        <v>7947298841</v>
      </c>
      <c r="N84" s="2">
        <v>7791952354</v>
      </c>
      <c r="O84" s="2">
        <v>8117711693</v>
      </c>
      <c r="P84" s="2">
        <v>8847940971</v>
      </c>
      <c r="Q84" s="2">
        <v>9457052876</v>
      </c>
      <c r="R84" s="2">
        <v>10261069391</v>
      </c>
      <c r="S84" s="2">
        <v>10735496056</v>
      </c>
      <c r="T84" s="2">
        <v>11360166992</v>
      </c>
      <c r="U84" s="2">
        <v>12067182892</v>
      </c>
      <c r="V84" s="2">
        <v>665495.94999999995</v>
      </c>
      <c r="W84" t="str">
        <f t="shared" si="6"/>
        <v>27402</v>
      </c>
      <c r="X84" s="2">
        <v>9229567.5600000005</v>
      </c>
    </row>
    <row r="85" spans="1:24">
      <c r="A85" t="s">
        <v>449</v>
      </c>
      <c r="B85" t="s">
        <v>450</v>
      </c>
      <c r="C85" s="1"/>
      <c r="D85" s="1"/>
      <c r="E85" s="1"/>
      <c r="F85" s="2"/>
      <c r="G85" s="2">
        <f>VLOOKUP(A85,'Voter Approved'!$A$3:$F$298,3,FALSE)</f>
        <v>997304</v>
      </c>
      <c r="H85" s="2">
        <v>997304</v>
      </c>
      <c r="I85" s="2">
        <v>665560714</v>
      </c>
      <c r="J85" s="2">
        <v>721722793</v>
      </c>
      <c r="K85" s="2">
        <v>802778991</v>
      </c>
      <c r="L85" s="2">
        <v>905099058</v>
      </c>
      <c r="M85" s="2">
        <v>1168566076</v>
      </c>
      <c r="N85" s="2">
        <v>1222373875</v>
      </c>
      <c r="O85" s="2">
        <v>1241466569</v>
      </c>
      <c r="P85" s="2">
        <v>1347254948</v>
      </c>
      <c r="Q85" s="2">
        <v>1432576625</v>
      </c>
      <c r="R85" s="2">
        <v>1492200364</v>
      </c>
      <c r="S85" s="2">
        <v>1610013360</v>
      </c>
      <c r="T85" s="2">
        <v>1687743545</v>
      </c>
      <c r="U85" s="2">
        <v>1772490694</v>
      </c>
      <c r="V85" s="2">
        <v>0</v>
      </c>
      <c r="W85" t="str">
        <f t="shared" si="6"/>
        <v>32358</v>
      </c>
      <c r="X85" s="2">
        <v>755620.03</v>
      </c>
    </row>
    <row r="86" spans="1:24">
      <c r="A86" t="s">
        <v>545</v>
      </c>
      <c r="B86" t="s">
        <v>546</v>
      </c>
      <c r="C86" s="1"/>
      <c r="D86" s="1"/>
      <c r="E86" s="1"/>
      <c r="F86" s="2"/>
      <c r="G86" s="2">
        <f>VLOOKUP(A86,'Voter Approved'!$A$3:$F$298,3,FALSE)</f>
        <v>165000</v>
      </c>
      <c r="H86" s="2">
        <v>165000</v>
      </c>
      <c r="I86" s="2">
        <v>87617824</v>
      </c>
      <c r="J86" s="2">
        <v>87661475</v>
      </c>
      <c r="K86" s="2">
        <v>88684653</v>
      </c>
      <c r="L86" s="2">
        <v>91295468</v>
      </c>
      <c r="M86" s="2">
        <v>94902831</v>
      </c>
      <c r="N86" s="2">
        <v>94530481</v>
      </c>
      <c r="O86" s="2">
        <v>101369964</v>
      </c>
      <c r="P86" s="2">
        <v>107032879</v>
      </c>
      <c r="Q86" s="2">
        <v>111329878</v>
      </c>
      <c r="R86" s="2">
        <v>117478746</v>
      </c>
      <c r="S86" s="2">
        <v>120256797</v>
      </c>
      <c r="T86" s="2">
        <v>126092982</v>
      </c>
      <c r="U86" s="2">
        <v>134524675</v>
      </c>
      <c r="V86" s="2">
        <v>23718.9</v>
      </c>
      <c r="W86" t="str">
        <f t="shared" si="6"/>
        <v>38302</v>
      </c>
      <c r="X86" s="2">
        <v>83407.75</v>
      </c>
    </row>
    <row r="87" spans="1:24">
      <c r="A87" t="s">
        <v>245</v>
      </c>
      <c r="B87" t="s">
        <v>246</v>
      </c>
      <c r="C87" s="1"/>
      <c r="D87" s="1"/>
      <c r="E87" s="1"/>
      <c r="F87" s="2"/>
      <c r="G87" s="2">
        <f>VLOOKUP(A87,'Voter Approved'!$A$3:$F$298,3,FALSE)</f>
        <v>110000</v>
      </c>
      <c r="H87" s="2">
        <v>110000</v>
      </c>
      <c r="I87" s="2">
        <v>54363054.269999996</v>
      </c>
      <c r="J87" s="2">
        <v>51626698</v>
      </c>
      <c r="K87" s="2">
        <v>58099181</v>
      </c>
      <c r="L87" s="2">
        <v>68184091</v>
      </c>
      <c r="M87" s="2">
        <v>70296922</v>
      </c>
      <c r="N87" s="2">
        <v>59373206</v>
      </c>
      <c r="O87" s="2">
        <v>79692620</v>
      </c>
      <c r="P87" s="2">
        <v>85006194</v>
      </c>
      <c r="Q87" s="2">
        <v>90273628</v>
      </c>
      <c r="R87" s="2">
        <v>95298080</v>
      </c>
      <c r="S87" s="2">
        <v>102368392</v>
      </c>
      <c r="T87" s="2">
        <v>109869010</v>
      </c>
      <c r="U87" s="2">
        <v>118261260</v>
      </c>
      <c r="V87" s="2">
        <v>6978.76</v>
      </c>
      <c r="W87" t="str">
        <f t="shared" si="6"/>
        <v>20401</v>
      </c>
      <c r="X87" s="2">
        <v>52118</v>
      </c>
    </row>
    <row r="88" spans="1:24">
      <c r="A88" t="s">
        <v>251</v>
      </c>
      <c r="B88" t="s">
        <v>252</v>
      </c>
      <c r="C88" s="1"/>
      <c r="D88" s="1"/>
      <c r="E88" s="1"/>
      <c r="F88" s="2"/>
      <c r="G88" s="2">
        <f>VLOOKUP(A88,'Voter Approved'!$A$3:$F$298,3,FALSE)</f>
        <v>1943620</v>
      </c>
      <c r="H88" s="2">
        <v>1943620</v>
      </c>
      <c r="I88" s="2">
        <v>1119740084.5599999</v>
      </c>
      <c r="J88" s="2">
        <v>1097522911</v>
      </c>
      <c r="K88" s="2">
        <v>1131786742</v>
      </c>
      <c r="L88" s="2">
        <v>1187624559</v>
      </c>
      <c r="M88" s="2">
        <v>1337281814</v>
      </c>
      <c r="N88" s="2">
        <v>1373659356</v>
      </c>
      <c r="O88" s="2">
        <v>1487516607</v>
      </c>
      <c r="P88" s="2">
        <v>1600735422</v>
      </c>
      <c r="Q88" s="2">
        <v>1662857159</v>
      </c>
      <c r="R88" s="2">
        <v>1702078266</v>
      </c>
      <c r="S88" s="2">
        <v>1786944970</v>
      </c>
      <c r="T88" s="2">
        <v>1881074010</v>
      </c>
      <c r="U88" s="2">
        <v>2051301768</v>
      </c>
      <c r="V88" s="2">
        <v>995747.69</v>
      </c>
      <c r="W88" t="str">
        <f t="shared" si="6"/>
        <v>20404</v>
      </c>
      <c r="X88" s="2">
        <v>1243308.53</v>
      </c>
    </row>
    <row r="89" spans="1:24">
      <c r="A89" t="s">
        <v>134</v>
      </c>
      <c r="B89" t="s">
        <v>135</v>
      </c>
      <c r="C89" s="1"/>
      <c r="D89" s="1"/>
      <c r="E89" s="1"/>
      <c r="F89" s="2"/>
      <c r="G89" s="2">
        <f>VLOOKUP(A89,'Voter Approved'!$A$3:$F$298,3,FALSE)</f>
        <v>1130000</v>
      </c>
      <c r="H89" s="2">
        <v>1130000</v>
      </c>
      <c r="I89" s="2">
        <v>287501410</v>
      </c>
      <c r="J89" s="2">
        <v>293710516</v>
      </c>
      <c r="K89" s="2">
        <v>307781323</v>
      </c>
      <c r="L89" s="2">
        <v>335543725</v>
      </c>
      <c r="M89" s="2">
        <v>364523646</v>
      </c>
      <c r="N89" s="2">
        <v>411979130</v>
      </c>
      <c r="O89" s="2">
        <v>425814276</v>
      </c>
      <c r="P89" s="2">
        <v>460537922</v>
      </c>
      <c r="Q89" s="2">
        <v>503723074</v>
      </c>
      <c r="R89" s="2">
        <v>547507365</v>
      </c>
      <c r="S89" s="2">
        <v>579718422</v>
      </c>
      <c r="T89" s="2">
        <v>631175903</v>
      </c>
      <c r="U89" s="2">
        <v>681893637</v>
      </c>
      <c r="V89" s="2">
        <v>198232.12</v>
      </c>
      <c r="W89" t="str">
        <f t="shared" si="6"/>
        <v>13301</v>
      </c>
      <c r="X89" s="2">
        <v>367443.75</v>
      </c>
    </row>
    <row r="90" spans="1:24">
      <c r="A90" t="s">
        <v>571</v>
      </c>
      <c r="B90" t="s">
        <v>572</v>
      </c>
      <c r="C90" s="1"/>
      <c r="D90" s="1"/>
      <c r="E90" s="1"/>
      <c r="F90" s="2"/>
      <c r="G90" s="2">
        <f>VLOOKUP(A90,'Voter Approved'!$A$3:$F$298,3,FALSE)</f>
        <v>1660000</v>
      </c>
      <c r="H90" s="2">
        <v>1500000</v>
      </c>
      <c r="I90" s="2">
        <v>903199848</v>
      </c>
      <c r="J90" s="2">
        <v>970856846</v>
      </c>
      <c r="K90" s="2">
        <v>1009533808</v>
      </c>
      <c r="L90" s="2">
        <v>1118946521</v>
      </c>
      <c r="M90" s="2">
        <v>1305088527</v>
      </c>
      <c r="N90" s="2">
        <v>1624139480</v>
      </c>
      <c r="O90" s="2">
        <v>1641343833</v>
      </c>
      <c r="P90" s="2">
        <v>1838603439</v>
      </c>
      <c r="Q90" s="2">
        <v>2127724022</v>
      </c>
      <c r="R90" s="2">
        <v>2417487453</v>
      </c>
      <c r="S90" s="2">
        <v>2742612212</v>
      </c>
      <c r="T90" s="2">
        <v>2989243718</v>
      </c>
      <c r="U90" s="2">
        <v>3268167865</v>
      </c>
      <c r="V90" s="2">
        <v>1070002.3400000001</v>
      </c>
      <c r="W90" t="str">
        <f t="shared" si="6"/>
        <v>39200</v>
      </c>
      <c r="X90" s="2">
        <v>1018670</v>
      </c>
    </row>
    <row r="91" spans="1:24">
      <c r="A91" t="s">
        <v>579</v>
      </c>
      <c r="B91" t="s">
        <v>580</v>
      </c>
      <c r="C91" s="1"/>
      <c r="D91" s="1"/>
      <c r="E91" s="1"/>
      <c r="F91" s="2"/>
      <c r="G91" s="2">
        <f>VLOOKUP(A91,'Voter Approved'!$A$3:$F$298,3,FALSE)</f>
        <v>626000</v>
      </c>
      <c r="H91" s="2">
        <v>626000</v>
      </c>
      <c r="I91" s="2">
        <v>353044154</v>
      </c>
      <c r="J91" s="2">
        <v>382508348</v>
      </c>
      <c r="K91" s="2">
        <v>407852202</v>
      </c>
      <c r="L91" s="2">
        <v>443898719</v>
      </c>
      <c r="M91" s="2">
        <v>502914468</v>
      </c>
      <c r="N91" s="2">
        <v>580383784</v>
      </c>
      <c r="O91" s="2">
        <v>611218138</v>
      </c>
      <c r="P91" s="2">
        <v>665231333</v>
      </c>
      <c r="Q91" s="2">
        <v>764296156</v>
      </c>
      <c r="R91" s="2">
        <v>860887747</v>
      </c>
      <c r="S91" s="2">
        <v>980857543</v>
      </c>
      <c r="T91" s="2">
        <v>1076067661</v>
      </c>
      <c r="U91" s="2">
        <v>1162729360</v>
      </c>
      <c r="V91" s="2">
        <v>483612.31</v>
      </c>
      <c r="W91" t="str">
        <f t="shared" si="6"/>
        <v>39204</v>
      </c>
      <c r="X91" s="2">
        <v>383778</v>
      </c>
    </row>
    <row r="92" spans="1:24">
      <c r="A92" t="s">
        <v>431</v>
      </c>
      <c r="B92" t="s">
        <v>432</v>
      </c>
      <c r="C92" s="1"/>
      <c r="D92" s="1"/>
      <c r="E92" s="1"/>
      <c r="F92" s="2"/>
      <c r="G92" s="2">
        <f>VLOOKUP(A92,'Voter Approved'!$A$3:$F$298,3,FALSE)</f>
        <v>4449366</v>
      </c>
      <c r="H92" s="2">
        <v>4449366</v>
      </c>
      <c r="I92" s="2">
        <v>1919742014</v>
      </c>
      <c r="J92" s="2">
        <v>2126200941</v>
      </c>
      <c r="K92" s="2">
        <v>2340957598</v>
      </c>
      <c r="L92" s="2">
        <v>2712575861</v>
      </c>
      <c r="M92" s="2">
        <v>3639829503</v>
      </c>
      <c r="N92" s="2">
        <v>3463852491</v>
      </c>
      <c r="O92" s="2">
        <v>3881132352</v>
      </c>
      <c r="P92" s="2">
        <v>4447797714</v>
      </c>
      <c r="Q92" s="2">
        <v>4975219796</v>
      </c>
      <c r="R92" s="2">
        <v>5408328120</v>
      </c>
      <c r="S92" s="2">
        <v>5774984733</v>
      </c>
      <c r="T92" s="2">
        <v>6372261702</v>
      </c>
      <c r="U92" s="2">
        <v>6925725371</v>
      </c>
      <c r="V92" s="2">
        <v>0</v>
      </c>
      <c r="W92" t="str">
        <f t="shared" si="6"/>
        <v>31332</v>
      </c>
      <c r="X92" s="2">
        <v>2369000</v>
      </c>
    </row>
    <row r="93" spans="1:24">
      <c r="A93" t="s">
        <v>301</v>
      </c>
      <c r="B93" t="s">
        <v>302</v>
      </c>
      <c r="C93" s="1"/>
      <c r="D93" s="1"/>
      <c r="E93" s="1"/>
      <c r="F93" s="2"/>
      <c r="G93" s="2">
        <f>VLOOKUP(A93,'Voter Approved'!$A$3:$F$298,3,FALSE)</f>
        <v>736752</v>
      </c>
      <c r="H93" s="2">
        <v>736752</v>
      </c>
      <c r="I93" s="2">
        <v>817307507.5</v>
      </c>
      <c r="J93" s="2">
        <v>845227829</v>
      </c>
      <c r="K93" s="2">
        <v>949266609</v>
      </c>
      <c r="L93" s="2">
        <v>1107864440</v>
      </c>
      <c r="M93" s="2">
        <v>1236195907</v>
      </c>
      <c r="N93" s="2">
        <v>1434850886</v>
      </c>
      <c r="O93" s="2">
        <v>1500814210</v>
      </c>
      <c r="P93" s="2">
        <v>1712560756</v>
      </c>
      <c r="Q93" s="2">
        <v>1880118866</v>
      </c>
      <c r="R93" s="2">
        <v>2017290086</v>
      </c>
      <c r="S93" s="2">
        <v>2281012385</v>
      </c>
      <c r="T93" s="2">
        <v>2618965201</v>
      </c>
      <c r="U93" s="2">
        <v>2865049522</v>
      </c>
      <c r="V93" s="2">
        <v>0</v>
      </c>
      <c r="W93" t="str">
        <f t="shared" si="6"/>
        <v>23054</v>
      </c>
      <c r="X93" s="2">
        <v>382519.11</v>
      </c>
    </row>
    <row r="94" spans="1:24">
      <c r="A94" t="s">
        <v>439</v>
      </c>
      <c r="B94" t="s">
        <v>440</v>
      </c>
      <c r="C94" s="1"/>
      <c r="D94" s="1"/>
      <c r="E94" s="1"/>
      <c r="F94" s="2"/>
      <c r="G94" s="2">
        <f>VLOOKUP(A94,'Voter Approved'!$A$3:$F$298,3,FALSE)</f>
        <v>185000</v>
      </c>
      <c r="H94" s="2">
        <v>185000</v>
      </c>
      <c r="I94" s="2">
        <v>128572769</v>
      </c>
      <c r="J94" s="2">
        <v>140493395</v>
      </c>
      <c r="K94" s="2">
        <v>153493439</v>
      </c>
      <c r="L94" s="2">
        <v>180832300</v>
      </c>
      <c r="M94" s="2">
        <v>231179899</v>
      </c>
      <c r="N94" s="2">
        <v>253474151</v>
      </c>
      <c r="O94" s="2">
        <v>251666990</v>
      </c>
      <c r="P94" s="2">
        <v>272682618</v>
      </c>
      <c r="Q94" s="2">
        <v>290892245</v>
      </c>
      <c r="R94" s="2">
        <v>307793894</v>
      </c>
      <c r="S94" s="2">
        <v>327304106</v>
      </c>
      <c r="T94" s="2">
        <v>342353196</v>
      </c>
      <c r="U94" s="2">
        <v>362123145</v>
      </c>
      <c r="V94" s="2">
        <v>0</v>
      </c>
      <c r="W94" t="str">
        <f t="shared" si="6"/>
        <v>32312</v>
      </c>
      <c r="X94" s="2">
        <v>110685.61</v>
      </c>
    </row>
    <row r="95" spans="1:24">
      <c r="A95" t="s">
        <v>56</v>
      </c>
      <c r="B95" t="s">
        <v>57</v>
      </c>
      <c r="C95" s="1"/>
      <c r="D95" s="1"/>
      <c r="E95" s="1"/>
      <c r="F95" s="2"/>
      <c r="G95" s="2">
        <f>VLOOKUP(A95,'Voter Approved'!$A$3:$F$298,3,FALSE)</f>
        <v>550000</v>
      </c>
      <c r="H95" s="2">
        <v>550000</v>
      </c>
      <c r="I95" s="2">
        <v>191775233</v>
      </c>
      <c r="J95" s="2">
        <v>197059300</v>
      </c>
      <c r="K95" s="2">
        <v>204800164</v>
      </c>
      <c r="L95" s="2">
        <v>204979905</v>
      </c>
      <c r="M95" s="2">
        <v>234484048</v>
      </c>
      <c r="N95" s="2">
        <v>241130707</v>
      </c>
      <c r="O95" s="2">
        <v>233922052</v>
      </c>
      <c r="P95" s="2">
        <v>237487932</v>
      </c>
      <c r="Q95" s="2">
        <v>246621659</v>
      </c>
      <c r="R95" s="2">
        <v>247750121</v>
      </c>
      <c r="S95" s="2">
        <v>252230852</v>
      </c>
      <c r="T95" s="2">
        <v>251769224</v>
      </c>
      <c r="U95" s="2">
        <v>252457924</v>
      </c>
      <c r="V95" s="2">
        <v>13141.76</v>
      </c>
      <c r="W95" t="str">
        <f t="shared" si="6"/>
        <v>06103</v>
      </c>
      <c r="X95" s="2">
        <v>204822.79</v>
      </c>
    </row>
    <row r="96" spans="1:24">
      <c r="A96" t="s">
        <v>497</v>
      </c>
      <c r="B96" t="s">
        <v>498</v>
      </c>
      <c r="C96" s="1"/>
      <c r="D96" s="1"/>
      <c r="E96" s="1"/>
      <c r="F96" s="2"/>
      <c r="G96" s="2">
        <f>VLOOKUP(A96,'Voter Approved'!$A$3:$F$298,3,FALSE)</f>
        <v>2267000</v>
      </c>
      <c r="H96" s="2">
        <v>2267000</v>
      </c>
      <c r="I96" s="2">
        <v>1150276891</v>
      </c>
      <c r="J96" s="2">
        <v>1264755558</v>
      </c>
      <c r="K96" s="2">
        <v>1355063424</v>
      </c>
      <c r="L96" s="2">
        <v>1612124648</v>
      </c>
      <c r="M96" s="2">
        <v>1917868855</v>
      </c>
      <c r="N96" s="2">
        <v>2077206093</v>
      </c>
      <c r="O96" s="2">
        <v>2386167660</v>
      </c>
      <c r="P96" s="2">
        <v>2650337161</v>
      </c>
      <c r="Q96" s="2">
        <v>2958011245</v>
      </c>
      <c r="R96" s="2">
        <v>3320441650</v>
      </c>
      <c r="S96" s="2">
        <v>3830068442</v>
      </c>
      <c r="T96" s="2">
        <v>4441458841</v>
      </c>
      <c r="U96" s="2">
        <v>4903891542</v>
      </c>
      <c r="V96" s="2">
        <v>0</v>
      </c>
      <c r="W96" t="str">
        <f t="shared" si="6"/>
        <v>34324</v>
      </c>
      <c r="X96" s="2">
        <v>1198932.3999999999</v>
      </c>
    </row>
    <row r="97" spans="1:24">
      <c r="A97" t="s">
        <v>295</v>
      </c>
      <c r="B97" t="s">
        <v>296</v>
      </c>
      <c r="C97" s="1"/>
      <c r="D97" s="1"/>
      <c r="E97" s="1"/>
      <c r="F97" s="2"/>
      <c r="G97" s="2">
        <f>VLOOKUP(A97,'Voter Approved'!$A$3:$F$298,3,FALSE)</f>
        <v>270000</v>
      </c>
      <c r="H97" s="2">
        <v>270000</v>
      </c>
      <c r="I97" s="2">
        <v>149363730</v>
      </c>
      <c r="J97" s="2">
        <v>157076074</v>
      </c>
      <c r="K97" s="2">
        <v>158157017</v>
      </c>
      <c r="L97" s="2">
        <v>166592877</v>
      </c>
      <c r="M97" s="2">
        <v>169050265</v>
      </c>
      <c r="N97" s="2">
        <v>203162270</v>
      </c>
      <c r="O97" s="2">
        <v>187386256</v>
      </c>
      <c r="P97" s="2">
        <v>197443033</v>
      </c>
      <c r="Q97" s="2">
        <v>213038912</v>
      </c>
      <c r="R97" s="2">
        <v>227290305</v>
      </c>
      <c r="S97" s="2">
        <v>238043607</v>
      </c>
      <c r="T97" s="2">
        <v>252941317</v>
      </c>
      <c r="U97" s="2">
        <v>272242833</v>
      </c>
      <c r="V97" s="2">
        <v>0</v>
      </c>
      <c r="W97" t="str">
        <f t="shared" si="6"/>
        <v>22204</v>
      </c>
      <c r="X97" s="2">
        <v>177675</v>
      </c>
    </row>
    <row r="98" spans="1:24">
      <c r="A98" t="s">
        <v>577</v>
      </c>
      <c r="B98" t="s">
        <v>578</v>
      </c>
      <c r="C98" s="1"/>
      <c r="D98" s="1"/>
      <c r="E98" s="1"/>
      <c r="F98" s="2"/>
      <c r="G98" s="2">
        <f>VLOOKUP(A98,'Voter Approved'!$A$3:$F$298,3,FALSE)</f>
        <v>1400000</v>
      </c>
      <c r="H98" s="2">
        <v>1400000</v>
      </c>
      <c r="I98" s="2">
        <v>544691156</v>
      </c>
      <c r="J98" s="2">
        <v>588609646</v>
      </c>
      <c r="K98" s="2">
        <v>654992114</v>
      </c>
      <c r="L98" s="2">
        <v>706414944</v>
      </c>
      <c r="M98" s="2">
        <v>791313533</v>
      </c>
      <c r="N98" s="2">
        <v>891409644</v>
      </c>
      <c r="O98" s="2">
        <v>966040481</v>
      </c>
      <c r="P98" s="2">
        <v>1039217180</v>
      </c>
      <c r="Q98" s="2">
        <v>1173776611</v>
      </c>
      <c r="R98" s="2">
        <v>1308580507</v>
      </c>
      <c r="S98" s="2">
        <v>1464002485</v>
      </c>
      <c r="T98" s="2">
        <v>1589230424</v>
      </c>
      <c r="U98" s="2">
        <v>1732243718</v>
      </c>
      <c r="V98" s="2">
        <v>205926.6</v>
      </c>
      <c r="W98" t="str">
        <f t="shared" si="6"/>
        <v>39203</v>
      </c>
      <c r="X98" s="2">
        <v>696239.62</v>
      </c>
    </row>
    <row r="99" spans="1:24">
      <c r="A99" t="s">
        <v>186</v>
      </c>
      <c r="B99" t="s">
        <v>187</v>
      </c>
      <c r="C99" s="1"/>
      <c r="D99" s="1"/>
      <c r="E99" s="1"/>
      <c r="F99" s="2"/>
      <c r="G99" s="2">
        <f>VLOOKUP(A99,'Voter Approved'!$A$3:$F$298,3,FALSE)</f>
        <v>47329540</v>
      </c>
      <c r="H99" s="2">
        <v>47329540</v>
      </c>
      <c r="I99" s="2">
        <v>21291686331</v>
      </c>
      <c r="J99" s="2">
        <v>22734865136</v>
      </c>
      <c r="K99" s="2">
        <v>23597657991</v>
      </c>
      <c r="L99" s="2">
        <v>25088048600</v>
      </c>
      <c r="M99" s="2">
        <v>28712258383</v>
      </c>
      <c r="N99" s="2">
        <v>29415719505</v>
      </c>
      <c r="O99" s="2">
        <v>27437966108</v>
      </c>
      <c r="P99" s="2">
        <v>29389675343</v>
      </c>
      <c r="Q99" s="2">
        <v>31189664070</v>
      </c>
      <c r="R99" s="2">
        <v>31903320544</v>
      </c>
      <c r="S99" s="2">
        <v>32657553778</v>
      </c>
      <c r="T99" s="2">
        <v>33919054245</v>
      </c>
      <c r="U99" s="2">
        <v>34380306632</v>
      </c>
      <c r="V99" s="2">
        <v>0</v>
      </c>
      <c r="W99" t="str">
        <f t="shared" si="6"/>
        <v>17401</v>
      </c>
      <c r="X99" s="2">
        <v>26232891.539999999</v>
      </c>
    </row>
    <row r="100" spans="1:24">
      <c r="A100" t="s">
        <v>52</v>
      </c>
      <c r="B100" t="s">
        <v>53</v>
      </c>
      <c r="C100" s="1"/>
      <c r="D100" s="1"/>
      <c r="E100" s="1"/>
      <c r="F100" s="2"/>
      <c r="G100" s="2">
        <f>VLOOKUP(A100,'Voter Approved'!$A$3:$F$298,3,FALSE)</f>
        <v>4997000</v>
      </c>
      <c r="H100" s="2">
        <v>2400000</v>
      </c>
      <c r="I100" s="2">
        <v>1585031393</v>
      </c>
      <c r="J100" s="2">
        <v>1695817163</v>
      </c>
      <c r="K100" s="2">
        <v>1872039228</v>
      </c>
      <c r="L100" s="2">
        <v>2040278249</v>
      </c>
      <c r="M100" s="2">
        <v>2476864997</v>
      </c>
      <c r="N100" s="2">
        <v>2676210806</v>
      </c>
      <c r="O100" s="2">
        <v>2678601363</v>
      </c>
      <c r="P100" s="2">
        <v>2964762931</v>
      </c>
      <c r="Q100" s="2">
        <v>3120525878</v>
      </c>
      <c r="R100" s="2">
        <v>3283451708</v>
      </c>
      <c r="S100" s="2">
        <v>3517629527</v>
      </c>
      <c r="T100" s="2">
        <v>3741067895</v>
      </c>
      <c r="U100" s="2">
        <v>3974838041</v>
      </c>
      <c r="V100" s="2">
        <v>0</v>
      </c>
      <c r="W100" t="str">
        <f t="shared" si="6"/>
        <v>06098</v>
      </c>
      <c r="X100" s="2">
        <v>2037340</v>
      </c>
    </row>
    <row r="101" spans="1:24">
      <c r="A101" t="s">
        <v>311</v>
      </c>
      <c r="B101" t="s">
        <v>312</v>
      </c>
      <c r="C101" s="1"/>
      <c r="D101" s="1"/>
      <c r="E101" s="1"/>
      <c r="F101" s="2"/>
      <c r="G101" s="2">
        <f>VLOOKUP(A101,'Voter Approved'!$A$3:$F$298,3,FALSE)</f>
        <v>1914895</v>
      </c>
      <c r="H101" s="2">
        <v>1914895</v>
      </c>
      <c r="I101" s="2">
        <v>1181704576.5</v>
      </c>
      <c r="J101" s="2">
        <v>1277244922</v>
      </c>
      <c r="K101" s="2">
        <v>1252174935</v>
      </c>
      <c r="L101" s="2">
        <v>1458200255</v>
      </c>
      <c r="M101" s="2">
        <v>1853007402</v>
      </c>
      <c r="N101" s="2">
        <v>2193699111</v>
      </c>
      <c r="O101" s="2">
        <v>2220087052</v>
      </c>
      <c r="P101" s="2">
        <v>2477457862</v>
      </c>
      <c r="Q101" s="2">
        <v>2800517120</v>
      </c>
      <c r="R101" s="2">
        <v>3047525510</v>
      </c>
      <c r="S101" s="2">
        <v>3405377245</v>
      </c>
      <c r="T101" s="2">
        <v>3838555410</v>
      </c>
      <c r="U101" s="2">
        <v>4195147638</v>
      </c>
      <c r="V101" s="2">
        <v>0</v>
      </c>
      <c r="W101" t="str">
        <f t="shared" si="6"/>
        <v>23404</v>
      </c>
      <c r="X101" s="2">
        <v>708435.63</v>
      </c>
    </row>
    <row r="102" spans="1:24">
      <c r="A102" t="s">
        <v>138</v>
      </c>
      <c r="B102" t="s">
        <v>139</v>
      </c>
      <c r="C102" s="1"/>
      <c r="D102" s="1"/>
      <c r="E102" s="1"/>
      <c r="F102" s="2"/>
      <c r="G102" s="2">
        <f>VLOOKUP(A102,'Voter Approved'!$A$3:$F$298,3,FALSE)</f>
        <v>2975750</v>
      </c>
      <c r="H102" s="2">
        <v>2975750</v>
      </c>
      <c r="I102" s="2">
        <v>640200967</v>
      </c>
      <c r="J102" s="2">
        <v>698569633</v>
      </c>
      <c r="K102" s="2">
        <v>756133696</v>
      </c>
      <c r="L102" s="2">
        <v>844362668</v>
      </c>
      <c r="M102" s="2">
        <v>1029274727</v>
      </c>
      <c r="N102" s="2">
        <v>1102229268</v>
      </c>
      <c r="O102" s="2">
        <v>1306138064</v>
      </c>
      <c r="P102" s="2">
        <v>1432440736</v>
      </c>
      <c r="Q102" s="2">
        <v>1574816398</v>
      </c>
      <c r="R102" s="2">
        <v>1716617890</v>
      </c>
      <c r="S102" s="2">
        <v>1924320381</v>
      </c>
      <c r="T102" s="2">
        <v>2135145010</v>
      </c>
      <c r="U102" s="2">
        <v>2250920021</v>
      </c>
      <c r="V102" s="2">
        <v>420688.83</v>
      </c>
      <c r="W102" t="str">
        <f t="shared" si="6"/>
        <v>14028</v>
      </c>
      <c r="X102" s="2">
        <v>1305590.57</v>
      </c>
    </row>
    <row r="103" spans="1:24">
      <c r="A103" t="s">
        <v>102</v>
      </c>
      <c r="B103" t="s">
        <v>103</v>
      </c>
      <c r="C103" s="1"/>
      <c r="D103" s="1"/>
      <c r="E103" s="1"/>
      <c r="F103" s="2"/>
      <c r="G103" s="2">
        <f>VLOOKUP(A103,'Voter Approved'!$A$3:$F$298,3,FALSE)</f>
        <v>100000</v>
      </c>
      <c r="H103" s="2">
        <v>99448</v>
      </c>
      <c r="I103" s="2">
        <v>67566606.528967902</v>
      </c>
      <c r="J103" s="2">
        <v>72447197</v>
      </c>
      <c r="K103" s="2">
        <v>71066935</v>
      </c>
      <c r="L103" s="2">
        <v>78558804</v>
      </c>
      <c r="M103" s="2">
        <v>90298267</v>
      </c>
      <c r="N103" s="2">
        <v>92725553</v>
      </c>
      <c r="O103" s="2">
        <v>103249762</v>
      </c>
      <c r="P103" s="2">
        <v>113150354</v>
      </c>
      <c r="Q103" s="2">
        <v>124900539</v>
      </c>
      <c r="R103" s="2">
        <v>137055266</v>
      </c>
      <c r="S103" s="2">
        <v>148120840</v>
      </c>
      <c r="T103" s="2">
        <v>165136103</v>
      </c>
      <c r="U103" s="2">
        <v>180600486</v>
      </c>
      <c r="V103" s="2">
        <v>67722.41</v>
      </c>
      <c r="W103" t="str">
        <f t="shared" si="6"/>
        <v>10070</v>
      </c>
      <c r="X103" s="2">
        <v>63963</v>
      </c>
    </row>
    <row r="104" spans="1:24">
      <c r="A104" t="s">
        <v>419</v>
      </c>
      <c r="B104" t="s">
        <v>420</v>
      </c>
      <c r="C104" s="1"/>
      <c r="D104" s="1"/>
      <c r="E104" s="1"/>
      <c r="F104" s="2"/>
      <c r="G104" s="2">
        <f>VLOOKUP(A104,'Voter Approved'!$A$3:$F$298,3,FALSE)</f>
        <v>196000</v>
      </c>
      <c r="H104" s="2">
        <v>102350</v>
      </c>
      <c r="I104" s="2">
        <v>112315630</v>
      </c>
      <c r="J104" s="2">
        <v>133748755</v>
      </c>
      <c r="K104" s="2">
        <v>141796183</v>
      </c>
      <c r="L104" s="2">
        <v>157916105</v>
      </c>
      <c r="M104" s="2">
        <v>216132685</v>
      </c>
      <c r="N104" s="2">
        <v>223718865</v>
      </c>
      <c r="O104" s="2">
        <v>232049830</v>
      </c>
      <c r="P104" s="2">
        <v>257019781</v>
      </c>
      <c r="Q104" s="2">
        <v>290495157</v>
      </c>
      <c r="R104" s="2">
        <v>316306169</v>
      </c>
      <c r="S104" s="2">
        <v>349985754</v>
      </c>
      <c r="T104" s="2">
        <v>384679034</v>
      </c>
      <c r="U104" s="2">
        <v>422704003</v>
      </c>
      <c r="V104" s="2">
        <v>0</v>
      </c>
      <c r="W104" t="str">
        <f t="shared" si="6"/>
        <v>31063</v>
      </c>
      <c r="X104" s="2">
        <v>41456.74</v>
      </c>
    </row>
    <row r="105" spans="1:24">
      <c r="A105" t="s">
        <v>205</v>
      </c>
      <c r="B105" t="s">
        <v>206</v>
      </c>
      <c r="C105" s="1"/>
      <c r="D105" s="1"/>
      <c r="E105" s="1"/>
      <c r="F105" s="2"/>
      <c r="G105" s="2">
        <f>VLOOKUP(A105,'Voter Approved'!$A$3:$F$298,3,FALSE)</f>
        <v>36300000</v>
      </c>
      <c r="H105" s="2">
        <v>36300000</v>
      </c>
      <c r="I105" s="2">
        <v>33606039983</v>
      </c>
      <c r="J105" s="2">
        <v>35029695387</v>
      </c>
      <c r="K105" s="2">
        <v>35141688419</v>
      </c>
      <c r="L105" s="2">
        <v>40843742218</v>
      </c>
      <c r="M105" s="2">
        <v>56108578737</v>
      </c>
      <c r="N105" s="2">
        <v>48704025983</v>
      </c>
      <c r="O105" s="2">
        <v>59518214224</v>
      </c>
      <c r="P105" s="2">
        <v>66907013276</v>
      </c>
      <c r="Q105" s="2">
        <v>73148737382</v>
      </c>
      <c r="R105" s="2">
        <v>79114365810</v>
      </c>
      <c r="S105" s="2">
        <v>85197127102</v>
      </c>
      <c r="T105" s="2">
        <v>91973345884</v>
      </c>
      <c r="U105" s="2">
        <v>98688305564</v>
      </c>
      <c r="V105" s="2">
        <v>0</v>
      </c>
      <c r="W105" t="str">
        <f t="shared" si="6"/>
        <v>17411</v>
      </c>
      <c r="X105" s="2">
        <v>28689180.780000001</v>
      </c>
    </row>
    <row r="106" spans="1:24">
      <c r="A106" t="s">
        <v>112</v>
      </c>
      <c r="B106" t="s">
        <v>113</v>
      </c>
      <c r="C106" s="1"/>
      <c r="D106" s="1"/>
      <c r="E106" s="1"/>
      <c r="F106" s="2"/>
      <c r="G106" s="2">
        <f>VLOOKUP(A106,'Voter Approved'!$A$3:$F$298,3,FALSE)</f>
        <v>75000</v>
      </c>
      <c r="H106" s="2">
        <v>75000</v>
      </c>
      <c r="I106" s="2">
        <v>72564410</v>
      </c>
      <c r="J106" s="2">
        <v>70688704</v>
      </c>
      <c r="K106" s="2">
        <v>73195145</v>
      </c>
      <c r="L106" s="2">
        <v>73207183</v>
      </c>
      <c r="M106" s="2">
        <v>77844587</v>
      </c>
      <c r="N106" s="2">
        <v>90384782</v>
      </c>
      <c r="O106" s="2">
        <v>83224461</v>
      </c>
      <c r="P106" s="2">
        <v>86360348</v>
      </c>
      <c r="Q106" s="2">
        <v>88324702</v>
      </c>
      <c r="R106" s="2">
        <v>92492053</v>
      </c>
      <c r="S106" s="2">
        <v>98841881</v>
      </c>
      <c r="T106" s="2">
        <v>106536452</v>
      </c>
      <c r="U106" s="2">
        <v>114030370</v>
      </c>
      <c r="V106" s="2">
        <v>0</v>
      </c>
      <c r="W106" t="str">
        <f t="shared" si="6"/>
        <v>11056</v>
      </c>
      <c r="X106" s="2">
        <v>45011</v>
      </c>
    </row>
    <row r="107" spans="1:24">
      <c r="A107" t="s">
        <v>78</v>
      </c>
      <c r="B107" t="s">
        <v>79</v>
      </c>
      <c r="C107" s="1"/>
      <c r="D107" s="1"/>
      <c r="E107" s="1"/>
      <c r="F107" s="2"/>
      <c r="G107" s="2">
        <f>VLOOKUP(A107,'Voter Approved'!$A$3:$F$298,3,FALSE)</f>
        <v>2592947</v>
      </c>
      <c r="H107" s="2">
        <v>2592947</v>
      </c>
      <c r="I107" s="2">
        <v>1365725944</v>
      </c>
      <c r="J107" s="2">
        <v>1514024701</v>
      </c>
      <c r="K107" s="2">
        <v>1627286199</v>
      </c>
      <c r="L107" s="2">
        <v>1750215880</v>
      </c>
      <c r="M107" s="2">
        <v>2101446665</v>
      </c>
      <c r="N107" s="2">
        <v>2222688177</v>
      </c>
      <c r="O107" s="2">
        <v>2621133120</v>
      </c>
      <c r="P107" s="2">
        <v>2800167752</v>
      </c>
      <c r="Q107" s="2">
        <v>3148336501</v>
      </c>
      <c r="R107" s="2">
        <v>3481688675</v>
      </c>
      <c r="S107" s="2">
        <v>3880146153</v>
      </c>
      <c r="T107" s="2">
        <v>4475822014</v>
      </c>
      <c r="U107" s="2">
        <v>5086846735</v>
      </c>
      <c r="V107" s="2">
        <v>0</v>
      </c>
      <c r="W107" t="str">
        <f t="shared" si="6"/>
        <v>08402</v>
      </c>
      <c r="X107" s="2">
        <v>1658037.99</v>
      </c>
    </row>
    <row r="108" spans="1:24">
      <c r="A108" t="s">
        <v>96</v>
      </c>
      <c r="B108" t="s">
        <v>97</v>
      </c>
      <c r="C108" s="1"/>
      <c r="D108" s="1"/>
      <c r="E108" s="1"/>
      <c r="F108" s="2"/>
      <c r="G108" s="2">
        <f>VLOOKUP(A108,'Voter Approved'!$A$3:$F$298,3,FALSE)</f>
        <v>18325</v>
      </c>
      <c r="H108" s="2">
        <v>18325</v>
      </c>
      <c r="I108" s="2">
        <v>16879170</v>
      </c>
      <c r="J108" s="2">
        <v>18243080</v>
      </c>
      <c r="K108" s="2">
        <v>18679346</v>
      </c>
      <c r="L108" s="2">
        <v>21252737</v>
      </c>
      <c r="M108" s="2">
        <v>23922001</v>
      </c>
      <c r="N108" s="2">
        <v>23621937</v>
      </c>
      <c r="O108" s="2">
        <v>29209183</v>
      </c>
      <c r="P108" s="2">
        <v>33696611</v>
      </c>
      <c r="Q108" s="2">
        <v>37511241</v>
      </c>
      <c r="R108" s="2">
        <v>41740312</v>
      </c>
      <c r="S108" s="2">
        <v>46358010</v>
      </c>
      <c r="T108" s="2">
        <v>52608306</v>
      </c>
      <c r="U108" s="2">
        <v>57935670</v>
      </c>
      <c r="V108" s="2">
        <v>12958.15</v>
      </c>
      <c r="W108" t="str">
        <f t="shared" si="6"/>
        <v>10003</v>
      </c>
      <c r="X108" s="2">
        <v>8682.39</v>
      </c>
    </row>
    <row r="109" spans="1:24">
      <c r="A109" t="s">
        <v>82</v>
      </c>
      <c r="B109" t="s">
        <v>83</v>
      </c>
      <c r="C109" s="1"/>
      <c r="D109" s="1"/>
      <c r="E109" s="1"/>
      <c r="F109" s="2"/>
      <c r="G109" s="2">
        <f>VLOOKUP(A109,'Voter Approved'!$A$3:$F$298,3,FALSE)</f>
        <v>3500000</v>
      </c>
      <c r="H109" s="2">
        <v>3500000</v>
      </c>
      <c r="I109" s="2">
        <v>2356625234</v>
      </c>
      <c r="J109" s="2">
        <v>2656299217</v>
      </c>
      <c r="K109" s="2">
        <v>2913636619</v>
      </c>
      <c r="L109" s="2">
        <v>3331686327</v>
      </c>
      <c r="M109" s="2">
        <v>3861783334</v>
      </c>
      <c r="N109" s="2">
        <v>4057969382</v>
      </c>
      <c r="O109" s="2">
        <v>4880502263</v>
      </c>
      <c r="P109" s="2">
        <v>5372113039</v>
      </c>
      <c r="Q109" s="2">
        <v>5852621808</v>
      </c>
      <c r="R109" s="2">
        <v>6357123802</v>
      </c>
      <c r="S109" s="2">
        <v>7109470239</v>
      </c>
      <c r="T109" s="2">
        <v>7984385399</v>
      </c>
      <c r="U109" s="2">
        <v>9274148294</v>
      </c>
      <c r="V109" s="2">
        <v>1013950.27</v>
      </c>
      <c r="W109" t="str">
        <f t="shared" si="6"/>
        <v>08458</v>
      </c>
      <c r="X109" s="2">
        <v>3553500</v>
      </c>
    </row>
    <row r="110" spans="1:24">
      <c r="A110" t="s">
        <v>14</v>
      </c>
      <c r="B110" t="s">
        <v>15</v>
      </c>
      <c r="C110" s="1"/>
      <c r="D110" s="1"/>
      <c r="E110" s="1"/>
      <c r="F110" s="2"/>
      <c r="G110" s="2">
        <f>VLOOKUP(A110,'Voter Approved'!$A$3:$F$298,3,FALSE)</f>
        <v>13200000</v>
      </c>
      <c r="H110" s="2">
        <v>13200000</v>
      </c>
      <c r="I110" s="2">
        <v>8473733838</v>
      </c>
      <c r="J110" s="2">
        <v>9385430286</v>
      </c>
      <c r="K110" s="2">
        <v>9948260395</v>
      </c>
      <c r="L110" s="2">
        <v>10906102574</v>
      </c>
      <c r="M110" s="2">
        <v>12435486722</v>
      </c>
      <c r="N110" s="2">
        <v>15190755983</v>
      </c>
      <c r="O110" s="2">
        <v>15625428894</v>
      </c>
      <c r="P110" s="2">
        <v>17177707565</v>
      </c>
      <c r="Q110" s="2">
        <v>19019503816</v>
      </c>
      <c r="R110" s="2">
        <v>21191657777</v>
      </c>
      <c r="S110" s="2">
        <v>24167390602</v>
      </c>
      <c r="T110" s="2">
        <v>27077188609</v>
      </c>
      <c r="U110" s="2">
        <v>28905565886</v>
      </c>
      <c r="V110" s="2">
        <v>3760112.45</v>
      </c>
      <c r="W110" t="str">
        <f t="shared" si="6"/>
        <v>03017</v>
      </c>
      <c r="X110" s="2">
        <v>10897400</v>
      </c>
    </row>
    <row r="111" spans="1:24">
      <c r="A111" t="s">
        <v>211</v>
      </c>
      <c r="B111" t="s">
        <v>212</v>
      </c>
      <c r="C111" s="1"/>
      <c r="D111" s="1"/>
      <c r="E111" s="1"/>
      <c r="F111" s="2"/>
      <c r="G111" s="2">
        <f>VLOOKUP(A111,'Voter Approved'!$A$3:$F$298,3,FALSE)</f>
        <v>44000000</v>
      </c>
      <c r="H111" s="2">
        <v>44000000</v>
      </c>
      <c r="I111" s="2">
        <v>27119392759</v>
      </c>
      <c r="J111" s="2">
        <v>29510545300</v>
      </c>
      <c r="K111" s="2">
        <v>31302753981</v>
      </c>
      <c r="L111" s="2">
        <v>35223559630</v>
      </c>
      <c r="M111" s="2">
        <v>42595170357</v>
      </c>
      <c r="N111" s="2">
        <v>42449984410</v>
      </c>
      <c r="O111" s="2">
        <v>44890930157</v>
      </c>
      <c r="P111" s="2">
        <v>48216833020</v>
      </c>
      <c r="Q111" s="2">
        <v>52352213397</v>
      </c>
      <c r="R111" s="2">
        <v>54319462428</v>
      </c>
      <c r="S111" s="2">
        <v>58926476367</v>
      </c>
      <c r="T111" s="2">
        <v>62489994407</v>
      </c>
      <c r="U111" s="2">
        <v>66289712421</v>
      </c>
      <c r="V111" s="2">
        <v>0</v>
      </c>
      <c r="W111" t="str">
        <f t="shared" si="6"/>
        <v>17415</v>
      </c>
      <c r="X111" s="2">
        <v>36127250</v>
      </c>
    </row>
    <row r="112" spans="1:24">
      <c r="A112" t="s">
        <v>485</v>
      </c>
      <c r="B112" t="s">
        <v>486</v>
      </c>
      <c r="C112" s="1"/>
      <c r="D112" s="1"/>
      <c r="E112" s="1"/>
      <c r="F112" s="2"/>
      <c r="G112" s="2">
        <f>VLOOKUP(A112,'Voter Approved'!$A$3:$F$298,3,FALSE)</f>
        <v>1459925</v>
      </c>
      <c r="H112" s="2">
        <v>1459925</v>
      </c>
      <c r="I112" s="2">
        <v>541857419.15845013</v>
      </c>
      <c r="J112" s="2">
        <v>614595086</v>
      </c>
      <c r="K112" s="2">
        <v>636136739</v>
      </c>
      <c r="L112" s="2">
        <v>686945600</v>
      </c>
      <c r="M112" s="2">
        <v>759121730</v>
      </c>
      <c r="N112" s="2">
        <v>803448908</v>
      </c>
      <c r="O112" s="2">
        <v>932307405</v>
      </c>
      <c r="P112" s="2">
        <v>1053822342</v>
      </c>
      <c r="Q112" s="2">
        <v>1133886130</v>
      </c>
      <c r="R112" s="2">
        <v>1251361616</v>
      </c>
      <c r="S112" s="2">
        <v>1391178004</v>
      </c>
      <c r="T112" s="2">
        <v>1541160936</v>
      </c>
      <c r="U112" s="2">
        <v>1710982690</v>
      </c>
      <c r="V112" s="2">
        <v>237472.64000000001</v>
      </c>
      <c r="W112" t="str">
        <f t="shared" si="6"/>
        <v>33212</v>
      </c>
      <c r="X112" s="2">
        <v>732676.74</v>
      </c>
    </row>
    <row r="113" spans="1:24">
      <c r="A113" t="s">
        <v>18</v>
      </c>
      <c r="B113" t="s">
        <v>19</v>
      </c>
      <c r="C113" s="1"/>
      <c r="D113" s="1"/>
      <c r="E113" s="1"/>
      <c r="F113" s="2"/>
      <c r="G113" s="2">
        <f>VLOOKUP(A113,'Voter Approved'!$A$3:$F$298,3,FALSE)</f>
        <v>1400000</v>
      </c>
      <c r="H113" s="2">
        <v>1400000</v>
      </c>
      <c r="I113" s="2">
        <v>758579083</v>
      </c>
      <c r="J113" s="2">
        <v>872236807</v>
      </c>
      <c r="K113" s="2">
        <v>908861448</v>
      </c>
      <c r="L113" s="2">
        <v>969639198</v>
      </c>
      <c r="M113" s="2">
        <v>1083659898</v>
      </c>
      <c r="N113" s="2">
        <v>1230402872</v>
      </c>
      <c r="O113" s="2">
        <v>1330424500</v>
      </c>
      <c r="P113" s="2">
        <v>1497953136</v>
      </c>
      <c r="Q113" s="2">
        <v>1641394269</v>
      </c>
      <c r="R113" s="2">
        <v>1821344326</v>
      </c>
      <c r="S113" s="2">
        <v>2022780022</v>
      </c>
      <c r="T113" s="2">
        <v>2244965715</v>
      </c>
      <c r="U113" s="2">
        <v>2408053767</v>
      </c>
      <c r="V113" s="2">
        <v>226023.57</v>
      </c>
      <c r="W113" t="str">
        <f t="shared" si="6"/>
        <v>03052</v>
      </c>
      <c r="X113" s="2">
        <v>827957.45</v>
      </c>
    </row>
    <row r="114" spans="1:24">
      <c r="A114" t="s">
        <v>233</v>
      </c>
      <c r="B114" t="s">
        <v>234</v>
      </c>
      <c r="C114" s="1"/>
      <c r="D114" s="1"/>
      <c r="E114" s="1"/>
      <c r="F114" s="2"/>
      <c r="G114" s="2">
        <f>VLOOKUP(A114,'Voter Approved'!$A$3:$F$298,3,FALSE)</f>
        <v>1650108</v>
      </c>
      <c r="H114" s="2">
        <v>1650108</v>
      </c>
      <c r="I114" s="2">
        <v>716591248</v>
      </c>
      <c r="J114" s="2">
        <v>773555069</v>
      </c>
      <c r="K114" s="2">
        <v>797537763</v>
      </c>
      <c r="L114" s="2">
        <v>888282623</v>
      </c>
      <c r="M114" s="2">
        <v>974107671</v>
      </c>
      <c r="N114" s="2">
        <v>1036279807</v>
      </c>
      <c r="O114" s="2">
        <v>1189350652</v>
      </c>
      <c r="P114" s="2">
        <v>1285912226</v>
      </c>
      <c r="Q114" s="2">
        <v>1448584486</v>
      </c>
      <c r="R114" s="2">
        <v>1556045602</v>
      </c>
      <c r="S114" s="2">
        <v>1679463044</v>
      </c>
      <c r="T114" s="2">
        <v>1857187151</v>
      </c>
      <c r="U114" s="2">
        <v>2018441835</v>
      </c>
      <c r="V114" s="2">
        <v>0</v>
      </c>
      <c r="W114" t="str">
        <f t="shared" si="6"/>
        <v>19403</v>
      </c>
      <c r="X114" s="2">
        <v>854947.94</v>
      </c>
    </row>
    <row r="115" spans="1:24">
      <c r="A115" t="s">
        <v>247</v>
      </c>
      <c r="B115" t="s">
        <v>248</v>
      </c>
      <c r="C115" s="1"/>
      <c r="D115" s="1"/>
      <c r="E115" s="1"/>
      <c r="F115" s="2"/>
      <c r="G115" s="2">
        <f>VLOOKUP(A115,'Voter Approved'!$A$3:$F$298,3,FALSE)</f>
        <v>90000</v>
      </c>
      <c r="H115" s="2">
        <v>90000</v>
      </c>
      <c r="I115" s="2">
        <v>42285209.759999998</v>
      </c>
      <c r="J115" s="2">
        <v>46215374</v>
      </c>
      <c r="K115" s="2">
        <v>49009455</v>
      </c>
      <c r="L115" s="2">
        <v>53278642</v>
      </c>
      <c r="M115" s="2">
        <v>64585298</v>
      </c>
      <c r="N115" s="2">
        <v>63754954</v>
      </c>
      <c r="O115" s="2">
        <v>82293345</v>
      </c>
      <c r="P115" s="2">
        <v>93115496</v>
      </c>
      <c r="Q115" s="2">
        <v>105382372</v>
      </c>
      <c r="R115" s="2">
        <v>113182083</v>
      </c>
      <c r="S115" s="2">
        <v>124553156</v>
      </c>
      <c r="T115" s="2">
        <v>141220736</v>
      </c>
      <c r="U115" s="2">
        <v>158631084</v>
      </c>
      <c r="V115" s="2">
        <v>23579.35</v>
      </c>
      <c r="W115" t="str">
        <f t="shared" si="6"/>
        <v>20402</v>
      </c>
      <c r="X115" s="2">
        <v>54960.800000000003</v>
      </c>
    </row>
    <row r="116" spans="1:24">
      <c r="A116" t="s">
        <v>393</v>
      </c>
      <c r="B116" t="s">
        <v>394</v>
      </c>
      <c r="C116" s="1"/>
      <c r="D116" s="1"/>
      <c r="E116" s="1"/>
      <c r="F116" s="2"/>
      <c r="G116" s="2">
        <f>VLOOKUP(A116,'Voter Approved'!$A$3:$F$298,3,FALSE)</f>
        <v>1250000</v>
      </c>
      <c r="H116" s="2">
        <v>1250000</v>
      </c>
      <c r="I116" s="2">
        <v>587696875</v>
      </c>
      <c r="J116" s="2">
        <v>619821107</v>
      </c>
      <c r="K116" s="2">
        <v>652685714</v>
      </c>
      <c r="L116" s="2">
        <v>730185984</v>
      </c>
      <c r="M116" s="2">
        <v>889821568</v>
      </c>
      <c r="N116" s="2">
        <v>928740191</v>
      </c>
      <c r="O116" s="2">
        <v>1125071249</v>
      </c>
      <c r="P116" s="2">
        <v>1283107299</v>
      </c>
      <c r="Q116" s="2">
        <v>1416119253</v>
      </c>
      <c r="R116" s="2">
        <v>1514467354</v>
      </c>
      <c r="S116" s="2">
        <v>1711595708</v>
      </c>
      <c r="T116" s="2">
        <v>1919002399</v>
      </c>
      <c r="U116" s="2">
        <v>2123362025</v>
      </c>
      <c r="V116" s="2">
        <v>0</v>
      </c>
      <c r="W116" t="str">
        <f t="shared" si="6"/>
        <v>29311</v>
      </c>
      <c r="X116" s="2">
        <v>484943.3</v>
      </c>
    </row>
    <row r="117" spans="1:24">
      <c r="A117" t="s">
        <v>54</v>
      </c>
      <c r="B117" t="s">
        <v>55</v>
      </c>
      <c r="C117" s="1"/>
      <c r="D117" s="1"/>
      <c r="E117" s="1"/>
      <c r="F117" s="2"/>
      <c r="G117" s="2">
        <f>VLOOKUP(A117,'Voter Approved'!$A$3:$F$298,3,FALSE)</f>
        <v>2954259</v>
      </c>
      <c r="H117" s="2">
        <v>2954259</v>
      </c>
      <c r="I117" s="2">
        <v>1279578804</v>
      </c>
      <c r="J117" s="2">
        <v>1333657237</v>
      </c>
      <c r="K117" s="2">
        <v>1468683201</v>
      </c>
      <c r="L117" s="2">
        <v>1642686840</v>
      </c>
      <c r="M117" s="2">
        <v>2004287733</v>
      </c>
      <c r="N117" s="2">
        <v>2150305732</v>
      </c>
      <c r="O117" s="2">
        <v>2249987293</v>
      </c>
      <c r="P117" s="2">
        <v>2454504837</v>
      </c>
      <c r="Q117" s="2">
        <v>2657477487</v>
      </c>
      <c r="R117" s="2">
        <v>2860904098</v>
      </c>
      <c r="S117" s="2">
        <v>3036395410</v>
      </c>
      <c r="T117" s="2">
        <v>3192351887</v>
      </c>
      <c r="U117" s="2">
        <v>3418553525</v>
      </c>
      <c r="V117" s="2">
        <v>16955.07</v>
      </c>
      <c r="W117" t="str">
        <f t="shared" si="6"/>
        <v>06101</v>
      </c>
      <c r="X117" s="2">
        <v>1335879.57</v>
      </c>
    </row>
    <row r="118" spans="1:24">
      <c r="A118" t="s">
        <v>533</v>
      </c>
      <c r="B118" t="s">
        <v>534</v>
      </c>
      <c r="C118" s="1"/>
      <c r="D118" s="1"/>
      <c r="E118" s="1"/>
      <c r="F118" s="2"/>
      <c r="G118" s="2">
        <f>VLOOKUP(A118,'Voter Approved'!$A$3:$F$298,3,FALSE)</f>
        <v>614000</v>
      </c>
      <c r="H118" s="2">
        <v>614000</v>
      </c>
      <c r="I118" s="2">
        <v>202660568</v>
      </c>
      <c r="J118" s="2">
        <v>224860872</v>
      </c>
      <c r="K118" s="2">
        <v>236516250</v>
      </c>
      <c r="L118" s="2">
        <v>243056904</v>
      </c>
      <c r="M118" s="2">
        <v>252042377</v>
      </c>
      <c r="N118" s="2">
        <v>253532862</v>
      </c>
      <c r="O118" s="2">
        <v>286558509</v>
      </c>
      <c r="P118" s="2">
        <v>314048618</v>
      </c>
      <c r="Q118" s="2">
        <v>344322979</v>
      </c>
      <c r="R118" s="2">
        <v>375172838</v>
      </c>
      <c r="S118" s="2">
        <v>395801699</v>
      </c>
      <c r="T118" s="2">
        <v>423825936</v>
      </c>
      <c r="U118" s="2">
        <v>469132233</v>
      </c>
      <c r="V118" s="2">
        <v>0</v>
      </c>
      <c r="W118" t="str">
        <f t="shared" si="6"/>
        <v>38126</v>
      </c>
      <c r="X118" s="2">
        <v>132503.37</v>
      </c>
    </row>
    <row r="119" spans="1:24">
      <c r="A119" t="s">
        <v>32</v>
      </c>
      <c r="B119" t="s">
        <v>33</v>
      </c>
      <c r="C119" s="1"/>
      <c r="D119" s="1"/>
      <c r="E119" s="1"/>
      <c r="F119" s="2"/>
      <c r="G119" s="2">
        <f>VLOOKUP(A119,'Voter Approved'!$A$3:$F$298,3,FALSE)</f>
        <v>3354086</v>
      </c>
      <c r="H119" s="2">
        <v>3354086</v>
      </c>
      <c r="I119" s="2">
        <v>2531099195</v>
      </c>
      <c r="J119" s="2">
        <v>2714207412</v>
      </c>
      <c r="K119" s="2">
        <v>2963803606</v>
      </c>
      <c r="L119" s="2">
        <v>3373238162</v>
      </c>
      <c r="M119" s="2">
        <v>4435291536</v>
      </c>
      <c r="N119" s="2">
        <v>4881453478</v>
      </c>
      <c r="O119" s="2">
        <v>5368513939</v>
      </c>
      <c r="P119" s="2">
        <v>6012556413</v>
      </c>
      <c r="Q119" s="2">
        <v>6664384638</v>
      </c>
      <c r="R119" s="2">
        <v>7442864857</v>
      </c>
      <c r="S119" s="2">
        <v>8257436478</v>
      </c>
      <c r="T119" s="2">
        <v>9006653124</v>
      </c>
      <c r="U119" s="2">
        <v>10159992312</v>
      </c>
      <c r="V119" s="2">
        <v>0</v>
      </c>
      <c r="W119" t="str">
        <f t="shared" si="6"/>
        <v>04129</v>
      </c>
      <c r="X119" s="2">
        <v>1852241.61</v>
      </c>
    </row>
    <row r="120" spans="1:24">
      <c r="A120" t="s">
        <v>409</v>
      </c>
      <c r="B120" t="s">
        <v>410</v>
      </c>
      <c r="C120" s="1"/>
      <c r="D120" s="1"/>
      <c r="E120" s="1"/>
      <c r="F120" s="2"/>
      <c r="G120" s="2">
        <f>VLOOKUP(A120,'Voter Approved'!$A$3:$F$298,3,FALSE)</f>
        <v>9548300</v>
      </c>
      <c r="H120" s="2">
        <v>9548300</v>
      </c>
      <c r="I120" s="2">
        <v>6275737667</v>
      </c>
      <c r="J120" s="2">
        <v>7051648665</v>
      </c>
      <c r="K120" s="2">
        <v>7631060709</v>
      </c>
      <c r="L120" s="2">
        <v>8738606213</v>
      </c>
      <c r="M120" s="2">
        <v>11388600677</v>
      </c>
      <c r="N120" s="2">
        <v>11224852822</v>
      </c>
      <c r="O120" s="2">
        <v>11989753791</v>
      </c>
      <c r="P120" s="2">
        <v>13098032644</v>
      </c>
      <c r="Q120" s="2">
        <v>14395048548</v>
      </c>
      <c r="R120" s="2">
        <v>15460751932</v>
      </c>
      <c r="S120" s="2">
        <v>16769594224</v>
      </c>
      <c r="T120" s="2">
        <v>17826457972</v>
      </c>
      <c r="U120" s="2">
        <v>19190922678</v>
      </c>
      <c r="V120" s="2">
        <v>390165.52</v>
      </c>
      <c r="W120" t="str">
        <f t="shared" si="6"/>
        <v>31004</v>
      </c>
      <c r="X120" s="2">
        <v>9381240</v>
      </c>
    </row>
    <row r="121" spans="1:24">
      <c r="A121" t="s">
        <v>209</v>
      </c>
      <c r="B121" t="s">
        <v>210</v>
      </c>
      <c r="C121" s="1"/>
      <c r="D121" s="1"/>
      <c r="E121" s="1"/>
      <c r="F121" s="2"/>
      <c r="G121" s="2">
        <f>VLOOKUP(A121,'Voter Approved'!$A$3:$F$298,3,FALSE)</f>
        <v>59200000</v>
      </c>
      <c r="H121" s="2">
        <v>59200000</v>
      </c>
      <c r="I121" s="2">
        <v>66041085316</v>
      </c>
      <c r="J121" s="2">
        <v>70697455367</v>
      </c>
      <c r="K121" s="2">
        <v>72103566840</v>
      </c>
      <c r="L121" s="2">
        <v>82423033193</v>
      </c>
      <c r="M121" s="2">
        <v>110130524588</v>
      </c>
      <c r="N121" s="2">
        <v>98494997165</v>
      </c>
      <c r="O121" s="2">
        <v>120551777054</v>
      </c>
      <c r="P121" s="2">
        <v>131625881547</v>
      </c>
      <c r="Q121" s="2">
        <v>143240986854</v>
      </c>
      <c r="R121" s="2">
        <v>155154024936</v>
      </c>
      <c r="S121" s="2">
        <v>167253798846</v>
      </c>
      <c r="T121" s="2">
        <v>179963995170</v>
      </c>
      <c r="U121" s="2">
        <v>195574523504</v>
      </c>
      <c r="V121" s="2">
        <v>0</v>
      </c>
      <c r="W121" t="str">
        <f t="shared" si="6"/>
        <v>17414</v>
      </c>
      <c r="X121" s="2">
        <v>42594620</v>
      </c>
    </row>
    <row r="122" spans="1:24">
      <c r="A122" t="s">
        <v>425</v>
      </c>
      <c r="B122" t="s">
        <v>426</v>
      </c>
      <c r="C122" s="1"/>
      <c r="D122" s="1"/>
      <c r="E122" s="1"/>
      <c r="F122" s="2"/>
      <c r="G122" s="2">
        <f>VLOOKUP(A122,'Voter Approved'!$A$3:$F$298,3,FALSE)</f>
        <v>6725902</v>
      </c>
      <c r="H122" s="2">
        <v>6725902</v>
      </c>
      <c r="I122" s="2">
        <v>2586790483</v>
      </c>
      <c r="J122" s="2">
        <v>2844444173</v>
      </c>
      <c r="K122" s="2">
        <v>3184224261</v>
      </c>
      <c r="L122" s="2">
        <v>3475158584</v>
      </c>
      <c r="M122" s="2">
        <v>4242205967</v>
      </c>
      <c r="N122" s="2">
        <v>4270469057</v>
      </c>
      <c r="O122" s="2">
        <v>4170700333</v>
      </c>
      <c r="P122" s="2">
        <v>4488236629</v>
      </c>
      <c r="Q122" s="2">
        <v>4797188671</v>
      </c>
      <c r="R122" s="2">
        <v>5102947121</v>
      </c>
      <c r="S122" s="2">
        <v>5390225234</v>
      </c>
      <c r="T122" s="2">
        <v>5713729052</v>
      </c>
      <c r="U122" s="2">
        <v>5980630230</v>
      </c>
      <c r="V122" s="2">
        <v>0</v>
      </c>
      <c r="W122" t="str">
        <f t="shared" si="6"/>
        <v>31306</v>
      </c>
      <c r="X122" s="2">
        <v>3237754.94</v>
      </c>
    </row>
    <row r="123" spans="1:24">
      <c r="A123" t="s">
        <v>535</v>
      </c>
      <c r="B123" t="s">
        <v>536</v>
      </c>
      <c r="C123" s="1"/>
      <c r="D123" s="1"/>
      <c r="E123" s="1"/>
      <c r="F123" s="2"/>
      <c r="G123" s="2">
        <f>VLOOKUP(A123,'Voter Approved'!$A$3:$F$298,3,FALSE)</f>
        <v>170000</v>
      </c>
      <c r="H123" s="2">
        <v>170000</v>
      </c>
      <c r="I123" s="2">
        <v>47466788</v>
      </c>
      <c r="J123" s="2">
        <v>48860415</v>
      </c>
      <c r="K123" s="2">
        <v>48846777</v>
      </c>
      <c r="L123" s="2">
        <v>50598221</v>
      </c>
      <c r="M123" s="2">
        <v>51374392</v>
      </c>
      <c r="N123" s="2">
        <v>51189479</v>
      </c>
      <c r="O123" s="2">
        <v>54621359</v>
      </c>
      <c r="P123" s="2">
        <v>57566131</v>
      </c>
      <c r="Q123" s="2">
        <v>60510995</v>
      </c>
      <c r="R123" s="2">
        <v>65450139</v>
      </c>
      <c r="S123" s="2">
        <v>66061481</v>
      </c>
      <c r="T123" s="2">
        <v>68659795</v>
      </c>
      <c r="U123" s="2">
        <v>72718551</v>
      </c>
      <c r="V123" s="2">
        <v>0</v>
      </c>
      <c r="W123" t="str">
        <f t="shared" si="6"/>
        <v>38264</v>
      </c>
      <c r="X123" s="2">
        <v>41501.51</v>
      </c>
    </row>
    <row r="124" spans="1:24">
      <c r="A124" t="s">
        <v>455</v>
      </c>
      <c r="B124" t="s">
        <v>456</v>
      </c>
      <c r="C124" s="1"/>
      <c r="D124" s="1"/>
      <c r="E124" s="1"/>
      <c r="F124" s="2"/>
      <c r="G124" s="2">
        <f>VLOOKUP(A124,'Voter Approved'!$A$3:$F$298,3,FALSE)</f>
        <v>1068175</v>
      </c>
      <c r="H124" s="2">
        <v>1068175</v>
      </c>
      <c r="I124" s="2">
        <v>642154492</v>
      </c>
      <c r="J124" s="2">
        <v>691657240</v>
      </c>
      <c r="K124" s="2">
        <v>766014691</v>
      </c>
      <c r="L124" s="2">
        <v>828555938</v>
      </c>
      <c r="M124" s="2">
        <v>1053356799</v>
      </c>
      <c r="N124" s="2">
        <v>1092578411</v>
      </c>
      <c r="O124" s="2">
        <v>1077826263</v>
      </c>
      <c r="P124" s="2">
        <v>1144469004</v>
      </c>
      <c r="Q124" s="2">
        <v>1236192300</v>
      </c>
      <c r="R124" s="2">
        <v>1269225725</v>
      </c>
      <c r="S124" s="2">
        <v>1351035380</v>
      </c>
      <c r="T124" s="2">
        <v>1417268408</v>
      </c>
      <c r="U124" s="2">
        <v>1466817662</v>
      </c>
      <c r="V124" s="2">
        <v>0</v>
      </c>
      <c r="W124" t="str">
        <f t="shared" si="6"/>
        <v>32362</v>
      </c>
      <c r="X124" s="2">
        <v>780814.82</v>
      </c>
    </row>
    <row r="125" spans="1:24">
      <c r="A125" t="s">
        <v>6</v>
      </c>
      <c r="B125" t="s">
        <v>7</v>
      </c>
      <c r="C125" s="1"/>
      <c r="D125" s="1"/>
      <c r="E125" s="1"/>
      <c r="F125" s="2"/>
      <c r="G125" s="2">
        <f>VLOOKUP(A125,'Voter Approved'!$A$3:$F$298,3,FALSE)</f>
        <v>465000</v>
      </c>
      <c r="H125" s="2">
        <v>465000</v>
      </c>
      <c r="I125" s="2">
        <v>297570560</v>
      </c>
      <c r="J125" s="2">
        <v>349494988</v>
      </c>
      <c r="K125" s="2">
        <v>359600012</v>
      </c>
      <c r="L125" s="2">
        <v>419565768</v>
      </c>
      <c r="M125" s="2">
        <v>444084759</v>
      </c>
      <c r="N125" s="2">
        <v>471582866</v>
      </c>
      <c r="O125" s="2">
        <v>591004969</v>
      </c>
      <c r="P125" s="2">
        <v>659691105</v>
      </c>
      <c r="Q125" s="2">
        <v>769237693</v>
      </c>
      <c r="R125" s="2">
        <v>860701723</v>
      </c>
      <c r="S125" s="2">
        <v>974078458</v>
      </c>
      <c r="T125" s="2">
        <v>1086500617</v>
      </c>
      <c r="U125" s="2">
        <v>1194591475</v>
      </c>
      <c r="V125" s="2">
        <v>0</v>
      </c>
      <c r="W125" t="str">
        <f t="shared" si="6"/>
        <v>01158</v>
      </c>
      <c r="X125" s="2">
        <v>262959</v>
      </c>
    </row>
    <row r="126" spans="1:24">
      <c r="A126" t="s">
        <v>72</v>
      </c>
      <c r="B126" t="s">
        <v>73</v>
      </c>
      <c r="C126" s="1"/>
      <c r="D126" s="1"/>
      <c r="E126" s="1"/>
      <c r="F126" s="2"/>
      <c r="G126" s="2">
        <f>VLOOKUP(A126,'Voter Approved'!$A$3:$F$298,3,FALSE)</f>
        <v>8102901</v>
      </c>
      <c r="H126" s="2">
        <v>8102901</v>
      </c>
      <c r="I126" s="2">
        <v>5291996955</v>
      </c>
      <c r="J126" s="2">
        <v>5926777390</v>
      </c>
      <c r="K126" s="2">
        <v>6156781914</v>
      </c>
      <c r="L126" s="2">
        <v>6781482031</v>
      </c>
      <c r="M126" s="2">
        <v>7696893093</v>
      </c>
      <c r="N126" s="2">
        <v>7968720968</v>
      </c>
      <c r="O126" s="2">
        <v>9526937742</v>
      </c>
      <c r="P126" s="2">
        <v>10460696947</v>
      </c>
      <c r="Q126" s="2">
        <v>11626423802</v>
      </c>
      <c r="R126" s="2">
        <v>12793840394</v>
      </c>
      <c r="S126" s="2">
        <v>14182039889</v>
      </c>
      <c r="T126" s="2">
        <v>15648012947</v>
      </c>
      <c r="U126" s="2">
        <v>17652641577</v>
      </c>
      <c r="V126" s="2">
        <v>23437.63</v>
      </c>
      <c r="W126" t="str">
        <f t="shared" si="6"/>
        <v>08122</v>
      </c>
      <c r="X126" s="2">
        <v>7584407.04</v>
      </c>
    </row>
    <row r="127" spans="1:24">
      <c r="A127" t="s">
        <v>473</v>
      </c>
      <c r="B127" t="s">
        <v>474</v>
      </c>
      <c r="C127" s="1"/>
      <c r="D127" s="1"/>
      <c r="E127" s="1"/>
      <c r="F127" s="2"/>
      <c r="G127" s="2">
        <f>VLOOKUP(A127,'Voter Approved'!$A$3:$F$298,3,FALSE)</f>
        <v>250000</v>
      </c>
      <c r="H127" s="2">
        <v>250000</v>
      </c>
      <c r="I127" s="2">
        <v>389962692.61000001</v>
      </c>
      <c r="J127" s="2">
        <v>429366490</v>
      </c>
      <c r="K127" s="2">
        <v>440618308</v>
      </c>
      <c r="L127" s="2">
        <v>465916473</v>
      </c>
      <c r="M127" s="2">
        <v>514778950</v>
      </c>
      <c r="N127" s="2">
        <v>586519700</v>
      </c>
      <c r="O127" s="2">
        <v>612094382</v>
      </c>
      <c r="P127" s="2">
        <v>667447763</v>
      </c>
      <c r="Q127" s="2">
        <v>733286641</v>
      </c>
      <c r="R127" s="2">
        <v>801959243</v>
      </c>
      <c r="S127" s="2">
        <v>894494899</v>
      </c>
      <c r="T127" s="2">
        <v>955237269</v>
      </c>
      <c r="U127" s="2">
        <v>1021761813</v>
      </c>
      <c r="V127" s="2">
        <v>0</v>
      </c>
      <c r="W127" t="str">
        <f t="shared" si="6"/>
        <v>33183</v>
      </c>
      <c r="X127" s="2">
        <v>118450</v>
      </c>
    </row>
    <row r="128" spans="1:24">
      <c r="A128" t="s">
        <v>381</v>
      </c>
      <c r="B128" t="s">
        <v>382</v>
      </c>
      <c r="C128" s="1"/>
      <c r="D128" s="1"/>
      <c r="E128" s="1"/>
      <c r="F128" s="2"/>
      <c r="G128" s="2">
        <f>VLOOKUP(A128,'Voter Approved'!$A$3:$F$298,3,FALSE)</f>
        <v>953708</v>
      </c>
      <c r="H128" s="2">
        <v>607500</v>
      </c>
      <c r="I128" s="2">
        <v>1284956696</v>
      </c>
      <c r="J128" s="2">
        <v>1446834405</v>
      </c>
      <c r="K128" s="2">
        <v>1481793847</v>
      </c>
      <c r="L128" s="2">
        <v>1658471565</v>
      </c>
      <c r="M128" s="2">
        <v>2183997868</v>
      </c>
      <c r="N128" s="2">
        <v>2512285392</v>
      </c>
      <c r="O128" s="2">
        <v>2681637625</v>
      </c>
      <c r="P128" s="2">
        <v>2927891613</v>
      </c>
      <c r="Q128" s="2">
        <v>3193061085</v>
      </c>
      <c r="R128" s="2">
        <v>3631271683</v>
      </c>
      <c r="S128" s="2">
        <v>3977503864</v>
      </c>
      <c r="T128" s="2">
        <v>4491669295</v>
      </c>
      <c r="U128" s="2">
        <v>5165739109</v>
      </c>
      <c r="V128" s="2">
        <v>0</v>
      </c>
      <c r="W128" t="str">
        <f t="shared" si="6"/>
        <v>28144</v>
      </c>
      <c r="X128" s="2">
        <v>337130.72</v>
      </c>
    </row>
    <row r="129" spans="1:24">
      <c r="A129" t="s">
        <v>255</v>
      </c>
      <c r="B129" t="s">
        <v>256</v>
      </c>
      <c r="C129" s="1"/>
      <c r="D129" s="1"/>
      <c r="E129" s="1"/>
      <c r="F129" s="2"/>
      <c r="G129" s="2">
        <f>VLOOKUP(A129,'Voter Approved'!$A$3:$F$298,3,FALSE)</f>
        <v>1026823</v>
      </c>
      <c r="H129" s="2">
        <v>1026823</v>
      </c>
      <c r="I129" s="2">
        <v>359930703.23000002</v>
      </c>
      <c r="J129" s="2">
        <v>402059368</v>
      </c>
      <c r="K129" s="2">
        <v>415949396</v>
      </c>
      <c r="L129" s="2">
        <v>442294422</v>
      </c>
      <c r="M129" s="2">
        <v>537401045</v>
      </c>
      <c r="N129" s="2">
        <v>568792925</v>
      </c>
      <c r="O129" s="2">
        <v>680502729</v>
      </c>
      <c r="P129" s="2">
        <v>758387512</v>
      </c>
      <c r="Q129" s="2">
        <v>830258055</v>
      </c>
      <c r="R129" s="2">
        <v>907683705</v>
      </c>
      <c r="S129" s="2">
        <v>1000215929</v>
      </c>
      <c r="T129" s="2">
        <v>1118135492</v>
      </c>
      <c r="U129" s="2">
        <v>1273517790</v>
      </c>
      <c r="V129" s="2">
        <v>0</v>
      </c>
      <c r="W129" t="str">
        <f t="shared" si="6"/>
        <v>20406</v>
      </c>
      <c r="X129" s="2">
        <v>304001.14</v>
      </c>
    </row>
    <row r="130" spans="1:24">
      <c r="A130" t="s">
        <v>525</v>
      </c>
      <c r="B130" t="s">
        <v>526</v>
      </c>
      <c r="C130" s="1"/>
      <c r="D130" s="1"/>
      <c r="E130" s="1"/>
      <c r="F130" s="2"/>
      <c r="G130" s="2">
        <f>VLOOKUP(A130,'Voter Approved'!$A$3:$F$298,3,FALSE)</f>
        <v>6250000</v>
      </c>
      <c r="H130" s="2">
        <v>6250000</v>
      </c>
      <c r="I130" s="2">
        <v>2614571084</v>
      </c>
      <c r="J130" s="2">
        <v>2859395391</v>
      </c>
      <c r="K130" s="2">
        <v>3162538980</v>
      </c>
      <c r="L130" s="2">
        <v>3647255984</v>
      </c>
      <c r="M130" s="2">
        <v>4468599398</v>
      </c>
      <c r="N130" s="2">
        <v>5260173513</v>
      </c>
      <c r="O130" s="2">
        <v>5555792176</v>
      </c>
      <c r="P130" s="2">
        <v>6218016393</v>
      </c>
      <c r="Q130" s="2">
        <v>6956088392</v>
      </c>
      <c r="R130" s="2">
        <v>7565103248</v>
      </c>
      <c r="S130" s="2">
        <v>8125369395</v>
      </c>
      <c r="T130" s="2">
        <v>8837913632</v>
      </c>
      <c r="U130" s="2">
        <v>9359823648</v>
      </c>
      <c r="V130" s="2">
        <v>0</v>
      </c>
      <c r="W130" t="str">
        <f t="shared" si="6"/>
        <v>37504</v>
      </c>
      <c r="X130" s="2">
        <v>3790400</v>
      </c>
    </row>
    <row r="131" spans="1:24">
      <c r="A131" t="s">
        <v>569</v>
      </c>
      <c r="B131" t="s">
        <v>570</v>
      </c>
      <c r="C131" s="1"/>
      <c r="D131" s="1"/>
      <c r="E131" s="1"/>
      <c r="F131" s="2"/>
      <c r="G131" s="2">
        <f>VLOOKUP(A131,'Voter Approved'!$A$3:$F$298,3,FALSE)</f>
        <v>320000</v>
      </c>
      <c r="H131" s="2">
        <v>320000</v>
      </c>
      <c r="I131" s="2">
        <v>212095834</v>
      </c>
      <c r="J131" s="2">
        <v>222828572</v>
      </c>
      <c r="K131" s="2">
        <v>234182993</v>
      </c>
      <c r="L131" s="2">
        <v>248258178</v>
      </c>
      <c r="M131" s="2">
        <v>286483176</v>
      </c>
      <c r="N131" s="2">
        <v>319348562</v>
      </c>
      <c r="O131" s="2">
        <v>337669219</v>
      </c>
      <c r="P131" s="2">
        <v>368381766</v>
      </c>
      <c r="Q131" s="2">
        <v>420348308</v>
      </c>
      <c r="R131" s="2">
        <v>467309111</v>
      </c>
      <c r="S131" s="2">
        <v>512589753</v>
      </c>
      <c r="T131" s="2">
        <v>553440128</v>
      </c>
      <c r="U131" s="2">
        <v>577531994</v>
      </c>
      <c r="V131" s="2">
        <v>257157.55</v>
      </c>
      <c r="W131" t="str">
        <f t="shared" si="6"/>
        <v>39120</v>
      </c>
      <c r="X131" s="2">
        <v>203734</v>
      </c>
    </row>
    <row r="132" spans="1:24">
      <c r="A132" t="s">
        <v>92</v>
      </c>
      <c r="B132" t="s">
        <v>93</v>
      </c>
      <c r="C132" s="1"/>
      <c r="D132" s="1"/>
      <c r="E132" s="1"/>
      <c r="F132" s="2"/>
      <c r="G132" s="2">
        <f>VLOOKUP(A132,'Voter Approved'!$A$3:$F$298,3,FALSE)</f>
        <v>150000</v>
      </c>
      <c r="H132" s="2">
        <v>150000</v>
      </c>
      <c r="I132" s="2">
        <v>77948972</v>
      </c>
      <c r="J132" s="2">
        <v>76403176</v>
      </c>
      <c r="K132" s="2">
        <v>77772496</v>
      </c>
      <c r="L132" s="2">
        <v>76742563</v>
      </c>
      <c r="M132" s="2">
        <v>87012267</v>
      </c>
      <c r="N132" s="2">
        <v>97122322</v>
      </c>
      <c r="O132" s="2">
        <v>95688744</v>
      </c>
      <c r="P132" s="2">
        <v>102340116</v>
      </c>
      <c r="Q132" s="2">
        <v>110712772</v>
      </c>
      <c r="R132" s="2">
        <v>115235441</v>
      </c>
      <c r="S132" s="2">
        <v>118038888</v>
      </c>
      <c r="T132" s="2">
        <v>127899516</v>
      </c>
      <c r="U132" s="2">
        <v>134595626</v>
      </c>
      <c r="V132" s="2">
        <v>12708.58</v>
      </c>
      <c r="W132" t="str">
        <f t="shared" ref="W132:W195" si="7">A132</f>
        <v>09207</v>
      </c>
      <c r="X132" s="2">
        <v>82915</v>
      </c>
    </row>
    <row r="133" spans="1:24">
      <c r="A133" t="s">
        <v>26</v>
      </c>
      <c r="B133" t="s">
        <v>27</v>
      </c>
      <c r="C133" s="1"/>
      <c r="D133" s="1"/>
      <c r="E133" s="1"/>
      <c r="F133" s="2"/>
      <c r="G133" s="2">
        <f>VLOOKUP(A133,'Voter Approved'!$A$3:$F$298,3,FALSE)</f>
        <v>1426962</v>
      </c>
      <c r="H133" s="2">
        <v>1426962</v>
      </c>
      <c r="I133" s="2">
        <v>912086797</v>
      </c>
      <c r="J133" s="2">
        <v>1021457775</v>
      </c>
      <c r="K133" s="2">
        <v>1108333482</v>
      </c>
      <c r="L133" s="2">
        <v>1310096836</v>
      </c>
      <c r="M133" s="2">
        <v>1582785305</v>
      </c>
      <c r="N133" s="2">
        <v>1988823322</v>
      </c>
      <c r="O133" s="2">
        <v>1934647842</v>
      </c>
      <c r="P133" s="2">
        <v>2170443798</v>
      </c>
      <c r="Q133" s="2">
        <v>2410825859</v>
      </c>
      <c r="R133" s="2">
        <v>2773894488</v>
      </c>
      <c r="S133" s="2">
        <v>3123697699</v>
      </c>
      <c r="T133" s="2">
        <v>3429081510</v>
      </c>
      <c r="U133" s="2">
        <v>3847030338</v>
      </c>
      <c r="V133" s="2">
        <v>0</v>
      </c>
      <c r="W133" t="str">
        <f t="shared" si="7"/>
        <v>04019</v>
      </c>
      <c r="X133" s="2">
        <v>892876.1</v>
      </c>
    </row>
    <row r="134" spans="1:24">
      <c r="A134" t="s">
        <v>305</v>
      </c>
      <c r="B134" t="s">
        <v>306</v>
      </c>
      <c r="C134" s="1"/>
      <c r="D134" s="1"/>
      <c r="E134" s="1"/>
      <c r="F134" s="2"/>
      <c r="G134" s="2">
        <f>VLOOKUP(A134,'Voter Approved'!$A$3:$F$298,3,FALSE)</f>
        <v>505862</v>
      </c>
      <c r="H134" s="2">
        <v>505862</v>
      </c>
      <c r="I134" s="2">
        <v>191588756.06624219</v>
      </c>
      <c r="J134" s="2">
        <v>211979458</v>
      </c>
      <c r="K134" s="2">
        <v>205038025</v>
      </c>
      <c r="L134" s="2">
        <v>250571466</v>
      </c>
      <c r="M134" s="2">
        <v>292668114</v>
      </c>
      <c r="N134" s="2">
        <v>325892033</v>
      </c>
      <c r="O134" s="2">
        <v>352350454</v>
      </c>
      <c r="P134" s="2">
        <v>396505735</v>
      </c>
      <c r="Q134" s="2">
        <v>436394389</v>
      </c>
      <c r="R134" s="2">
        <v>468459673</v>
      </c>
      <c r="S134" s="2">
        <v>521647985</v>
      </c>
      <c r="T134" s="2">
        <v>586848515</v>
      </c>
      <c r="U134" s="2">
        <v>640478176</v>
      </c>
      <c r="V134" s="2">
        <v>411795.91</v>
      </c>
      <c r="W134" t="str">
        <f t="shared" si="7"/>
        <v>23311</v>
      </c>
      <c r="X134" s="2">
        <v>303057.17</v>
      </c>
    </row>
    <row r="135" spans="1:24">
      <c r="A135" t="s">
        <v>481</v>
      </c>
      <c r="B135" t="s">
        <v>482</v>
      </c>
      <c r="C135" s="1"/>
      <c r="D135" s="1"/>
      <c r="E135" s="1"/>
      <c r="F135" s="2"/>
      <c r="G135" s="2">
        <f>VLOOKUP(A135,'Voter Approved'!$A$3:$F$298,3,FALSE)</f>
        <v>287000</v>
      </c>
      <c r="H135" s="2">
        <v>287000</v>
      </c>
      <c r="I135" s="2">
        <v>198025371.40000001</v>
      </c>
      <c r="J135" s="2">
        <v>217186978</v>
      </c>
      <c r="K135" s="2">
        <v>224999678</v>
      </c>
      <c r="L135" s="2">
        <v>241364690</v>
      </c>
      <c r="M135" s="2">
        <v>293330546</v>
      </c>
      <c r="N135" s="2">
        <v>361849453</v>
      </c>
      <c r="O135" s="2">
        <v>364230612</v>
      </c>
      <c r="P135" s="2">
        <v>409976750</v>
      </c>
      <c r="Q135" s="2">
        <v>459403238</v>
      </c>
      <c r="R135" s="2">
        <v>521071830</v>
      </c>
      <c r="S135" s="2">
        <v>568316077</v>
      </c>
      <c r="T135" s="2">
        <v>646951471</v>
      </c>
      <c r="U135" s="2">
        <v>717932048</v>
      </c>
      <c r="V135" s="2">
        <v>71699.5</v>
      </c>
      <c r="W135" t="str">
        <f t="shared" si="7"/>
        <v>33207</v>
      </c>
      <c r="X135" s="2">
        <v>170378.95</v>
      </c>
    </row>
    <row r="136" spans="1:24">
      <c r="A136" t="s">
        <v>417</v>
      </c>
      <c r="B136" t="s">
        <v>418</v>
      </c>
      <c r="C136" s="1"/>
      <c r="D136" s="1"/>
      <c r="E136" s="1"/>
      <c r="F136" s="2"/>
      <c r="G136" s="2">
        <f>VLOOKUP(A136,'Voter Approved'!$A$3:$F$298,3,FALSE)</f>
        <v>26500000</v>
      </c>
      <c r="H136" s="2">
        <v>26500000</v>
      </c>
      <c r="I136" s="2">
        <v>8650512793</v>
      </c>
      <c r="J136" s="2">
        <v>9463850820</v>
      </c>
      <c r="K136" s="2">
        <v>10114025906</v>
      </c>
      <c r="L136" s="2">
        <v>11288766658</v>
      </c>
      <c r="M136" s="2">
        <v>14372336124</v>
      </c>
      <c r="N136" s="2">
        <v>14222866018</v>
      </c>
      <c r="O136" s="2">
        <v>14247427229</v>
      </c>
      <c r="P136" s="2">
        <v>15613890191</v>
      </c>
      <c r="Q136" s="2">
        <v>16742277723</v>
      </c>
      <c r="R136" s="2">
        <v>17703963429</v>
      </c>
      <c r="S136" s="2">
        <v>18726533382</v>
      </c>
      <c r="T136" s="2">
        <v>19803879107</v>
      </c>
      <c r="U136" s="2">
        <v>20638157190</v>
      </c>
      <c r="V136" s="2">
        <v>0</v>
      </c>
      <c r="W136" t="str">
        <f t="shared" si="7"/>
        <v>31025</v>
      </c>
      <c r="X136" s="2">
        <v>11845000</v>
      </c>
    </row>
    <row r="137" spans="1:24">
      <c r="A137" t="s">
        <v>142</v>
      </c>
      <c r="B137" t="s">
        <v>143</v>
      </c>
      <c r="C137" s="1"/>
      <c r="D137" s="1"/>
      <c r="E137" s="1"/>
      <c r="F137" s="2"/>
      <c r="G137" s="2">
        <f>VLOOKUP(A137,'Voter Approved'!$A$3:$F$298,3,FALSE)</f>
        <v>800000</v>
      </c>
      <c r="H137" s="2">
        <v>800000</v>
      </c>
      <c r="I137" s="2">
        <v>238510823</v>
      </c>
      <c r="J137" s="2">
        <v>282559479</v>
      </c>
      <c r="K137" s="2">
        <v>316935953</v>
      </c>
      <c r="L137" s="2">
        <v>380315481</v>
      </c>
      <c r="M137" s="2">
        <v>488271929</v>
      </c>
      <c r="N137" s="2">
        <v>500478031</v>
      </c>
      <c r="O137" s="2">
        <v>619883990</v>
      </c>
      <c r="P137" s="2">
        <v>690688493</v>
      </c>
      <c r="Q137" s="2">
        <v>779973590</v>
      </c>
      <c r="R137" s="2">
        <v>847426016</v>
      </c>
      <c r="S137" s="2">
        <v>952592581</v>
      </c>
      <c r="T137" s="2">
        <v>1039286104</v>
      </c>
      <c r="U137" s="2">
        <v>1130269021</v>
      </c>
      <c r="V137" s="2">
        <v>17082.599999999999</v>
      </c>
      <c r="W137" t="str">
        <f t="shared" si="7"/>
        <v>14065</v>
      </c>
      <c r="X137" s="2">
        <v>414575</v>
      </c>
    </row>
    <row r="138" spans="1:24">
      <c r="A138" t="s">
        <v>445</v>
      </c>
      <c r="B138" t="s">
        <v>446</v>
      </c>
      <c r="C138" s="1"/>
      <c r="D138" s="1"/>
      <c r="E138" s="1"/>
      <c r="F138" s="2"/>
      <c r="G138" s="2">
        <f>VLOOKUP(A138,'Voter Approved'!$A$3:$F$298,3,FALSE)</f>
        <v>9500000</v>
      </c>
      <c r="H138" s="2">
        <v>9500000</v>
      </c>
      <c r="I138" s="2">
        <v>6217933047</v>
      </c>
      <c r="J138" s="2">
        <v>6791227892</v>
      </c>
      <c r="K138" s="2">
        <v>7514174753</v>
      </c>
      <c r="L138" s="2">
        <v>8427273637</v>
      </c>
      <c r="M138" s="2">
        <v>10897389169</v>
      </c>
      <c r="N138" s="2">
        <v>11292902655</v>
      </c>
      <c r="O138" s="2">
        <v>11548748121</v>
      </c>
      <c r="P138" s="2">
        <v>12582596118</v>
      </c>
      <c r="Q138" s="2">
        <v>13666152675</v>
      </c>
      <c r="R138" s="2">
        <v>14341904079</v>
      </c>
      <c r="S138" s="2">
        <v>15011944057</v>
      </c>
      <c r="T138" s="2">
        <v>15668165424</v>
      </c>
      <c r="U138" s="2">
        <v>16895198055</v>
      </c>
      <c r="V138" s="2">
        <v>816746.21</v>
      </c>
      <c r="W138" t="str">
        <f t="shared" si="7"/>
        <v>32354</v>
      </c>
      <c r="X138" s="2">
        <v>9002200</v>
      </c>
    </row>
    <row r="139" spans="1:24">
      <c r="A139" t="s">
        <v>443</v>
      </c>
      <c r="B139" t="s">
        <v>444</v>
      </c>
      <c r="C139" s="1"/>
      <c r="D139" s="1"/>
      <c r="E139" s="1"/>
      <c r="F139" s="2"/>
      <c r="G139" s="2">
        <f>VLOOKUP(A139,'Voter Approved'!$A$3:$F$298,3,FALSE)</f>
        <v>976836</v>
      </c>
      <c r="H139" s="2">
        <v>976836</v>
      </c>
      <c r="I139" s="2">
        <v>686847124</v>
      </c>
      <c r="J139" s="2">
        <v>756120807</v>
      </c>
      <c r="K139" s="2">
        <v>839213229</v>
      </c>
      <c r="L139" s="2">
        <v>923916106</v>
      </c>
      <c r="M139" s="2">
        <v>1232769799</v>
      </c>
      <c r="N139" s="2">
        <v>1187744478</v>
      </c>
      <c r="O139" s="2">
        <v>1347158160</v>
      </c>
      <c r="P139" s="2">
        <v>1438867186</v>
      </c>
      <c r="Q139" s="2">
        <v>1564956220</v>
      </c>
      <c r="R139" s="2">
        <v>1609498194</v>
      </c>
      <c r="S139" s="2">
        <v>1761320886</v>
      </c>
      <c r="T139" s="2">
        <v>1863965704</v>
      </c>
      <c r="U139" s="2">
        <v>1998566871</v>
      </c>
      <c r="V139" s="2">
        <v>432993.89</v>
      </c>
      <c r="W139" t="str">
        <f t="shared" si="7"/>
        <v>32326</v>
      </c>
      <c r="X139" s="2">
        <v>794085.01</v>
      </c>
    </row>
    <row r="140" spans="1:24">
      <c r="A140" t="s">
        <v>184</v>
      </c>
      <c r="B140" t="s">
        <v>185</v>
      </c>
      <c r="C140" s="1"/>
      <c r="D140" s="1"/>
      <c r="E140" s="1"/>
      <c r="F140" s="2"/>
      <c r="G140" s="2">
        <f>VLOOKUP(A140,'Voter Approved'!$A$3:$F$298,3,FALSE)</f>
        <v>11750000</v>
      </c>
      <c r="H140" s="2">
        <v>11750000</v>
      </c>
      <c r="I140" s="2">
        <v>14624681531</v>
      </c>
      <c r="J140" s="2">
        <v>15134685370</v>
      </c>
      <c r="K140" s="2">
        <v>15259035035</v>
      </c>
      <c r="L140" s="2">
        <v>16983739605</v>
      </c>
      <c r="M140" s="2">
        <v>22408435338</v>
      </c>
      <c r="N140" s="2">
        <v>20168799815</v>
      </c>
      <c r="O140" s="2">
        <v>23714824288</v>
      </c>
      <c r="P140" s="2">
        <v>26011676923</v>
      </c>
      <c r="Q140" s="2">
        <v>27859438312</v>
      </c>
      <c r="R140" s="2">
        <v>29237269816</v>
      </c>
      <c r="S140" s="2">
        <v>30371865815</v>
      </c>
      <c r="T140" s="2">
        <v>31524676816</v>
      </c>
      <c r="U140" s="2">
        <v>32928136739</v>
      </c>
      <c r="V140" s="2">
        <v>0</v>
      </c>
      <c r="W140" t="str">
        <f t="shared" si="7"/>
        <v>17400</v>
      </c>
      <c r="X140" s="2">
        <v>5685600</v>
      </c>
    </row>
    <row r="141" spans="1:24">
      <c r="A141" t="s">
        <v>527</v>
      </c>
      <c r="B141" t="s">
        <v>528</v>
      </c>
      <c r="C141" s="1"/>
      <c r="D141" s="1"/>
      <c r="E141" s="1"/>
      <c r="F141" s="2"/>
      <c r="G141" s="2">
        <f>VLOOKUP(A141,'Voter Approved'!$A$3:$F$298,3,FALSE)</f>
        <v>4225000</v>
      </c>
      <c r="H141" s="2">
        <v>4225000</v>
      </c>
      <c r="I141" s="2">
        <v>1329964223</v>
      </c>
      <c r="J141" s="2">
        <v>1453109979</v>
      </c>
      <c r="K141" s="2">
        <v>1596076762</v>
      </c>
      <c r="L141" s="2">
        <v>1839493982</v>
      </c>
      <c r="M141" s="2">
        <v>2281093536</v>
      </c>
      <c r="N141" s="2">
        <v>2648583072</v>
      </c>
      <c r="O141" s="2">
        <v>2833027576</v>
      </c>
      <c r="P141" s="2">
        <v>3185755362</v>
      </c>
      <c r="Q141" s="2">
        <v>3515109407</v>
      </c>
      <c r="R141" s="2">
        <v>3860207625</v>
      </c>
      <c r="S141" s="2">
        <v>4147314741</v>
      </c>
      <c r="T141" s="2">
        <v>4611097924</v>
      </c>
      <c r="U141" s="2">
        <v>4969703505</v>
      </c>
      <c r="V141" s="2">
        <v>0</v>
      </c>
      <c r="W141" t="str">
        <f t="shared" si="7"/>
        <v>37505</v>
      </c>
      <c r="X141" s="2">
        <v>2272740.9</v>
      </c>
    </row>
    <row r="142" spans="1:24">
      <c r="A142" t="s">
        <v>323</v>
      </c>
      <c r="B142" t="s">
        <v>324</v>
      </c>
      <c r="C142" s="1"/>
      <c r="D142" s="1"/>
      <c r="E142" s="1"/>
      <c r="F142" s="2"/>
      <c r="G142" s="2">
        <f>VLOOKUP(A142,'Voter Approved'!$A$3:$F$298,3,FALSE)</f>
        <v>1900000</v>
      </c>
      <c r="H142" s="2">
        <v>1900000</v>
      </c>
      <c r="I142" s="2">
        <v>1345097716</v>
      </c>
      <c r="J142" s="2">
        <v>1369861972</v>
      </c>
      <c r="K142" s="2">
        <v>1590058955</v>
      </c>
      <c r="L142" s="2">
        <v>1624322858</v>
      </c>
      <c r="M142" s="2">
        <v>2319414551</v>
      </c>
      <c r="N142" s="2">
        <v>2712063065</v>
      </c>
      <c r="O142" s="2">
        <v>2960055522</v>
      </c>
      <c r="P142" s="2">
        <v>3376643994</v>
      </c>
      <c r="Q142" s="2">
        <v>3746293772</v>
      </c>
      <c r="R142" s="2">
        <v>4266621518</v>
      </c>
      <c r="S142" s="2">
        <v>4674278668</v>
      </c>
      <c r="T142" s="2">
        <v>5191369548</v>
      </c>
      <c r="U142" s="2">
        <v>5709536860</v>
      </c>
      <c r="V142" s="2">
        <v>0</v>
      </c>
      <c r="W142" t="str">
        <f t="shared" si="7"/>
        <v>24350</v>
      </c>
      <c r="X142" s="2">
        <v>1018670</v>
      </c>
    </row>
    <row r="143" spans="1:24">
      <c r="A143" t="s">
        <v>403</v>
      </c>
      <c r="B143" t="s">
        <v>404</v>
      </c>
      <c r="C143" s="1"/>
      <c r="D143" s="1"/>
      <c r="E143" s="1"/>
      <c r="F143" s="2"/>
      <c r="G143" s="2">
        <f>VLOOKUP(A143,'Voter Approved'!$A$3:$F$298,3,FALSE)</f>
        <v>0</v>
      </c>
      <c r="H143" s="2">
        <v>0</v>
      </c>
      <c r="I143" s="2">
        <v>63017048</v>
      </c>
      <c r="J143" s="2">
        <v>66882216</v>
      </c>
      <c r="K143" s="2">
        <v>71464279</v>
      </c>
      <c r="L143" s="2">
        <v>75203358</v>
      </c>
      <c r="M143" s="2">
        <v>88092113</v>
      </c>
      <c r="N143" s="2">
        <v>96547777</v>
      </c>
      <c r="O143" s="2">
        <v>111817721</v>
      </c>
      <c r="P143" s="2">
        <v>121285956</v>
      </c>
      <c r="Q143" s="2">
        <v>128860160</v>
      </c>
      <c r="R143" s="2">
        <v>139173389</v>
      </c>
      <c r="S143" s="2">
        <v>153741244</v>
      </c>
      <c r="T143" s="2">
        <v>170521690</v>
      </c>
      <c r="U143" s="2">
        <v>182056880</v>
      </c>
      <c r="V143" s="2">
        <v>0</v>
      </c>
      <c r="W143" t="str">
        <f t="shared" si="7"/>
        <v>30031</v>
      </c>
      <c r="X143" s="2">
        <v>0</v>
      </c>
    </row>
    <row r="144" spans="1:24">
      <c r="A144" t="s">
        <v>421</v>
      </c>
      <c r="B144" t="s">
        <v>422</v>
      </c>
      <c r="C144" s="1"/>
      <c r="D144" s="1"/>
      <c r="E144" s="1"/>
      <c r="F144" s="2"/>
      <c r="G144" s="2">
        <f>VLOOKUP(A144,'Voter Approved'!$A$3:$F$298,3,FALSE)</f>
        <v>10350062</v>
      </c>
      <c r="H144" s="2">
        <v>10350062</v>
      </c>
      <c r="I144" s="2">
        <v>6763399011</v>
      </c>
      <c r="J144" s="2">
        <v>7462092100</v>
      </c>
      <c r="K144" s="2">
        <v>7964124862</v>
      </c>
      <c r="L144" s="2">
        <v>8831271338</v>
      </c>
      <c r="M144" s="2">
        <v>11639961882</v>
      </c>
      <c r="N144" s="2">
        <v>11228623813</v>
      </c>
      <c r="O144" s="2">
        <v>11893736099</v>
      </c>
      <c r="P144" s="2">
        <v>13240105240</v>
      </c>
      <c r="Q144" s="2">
        <v>14287054324</v>
      </c>
      <c r="R144" s="2">
        <v>14962761241</v>
      </c>
      <c r="S144" s="2">
        <v>15849555724</v>
      </c>
      <c r="T144" s="2">
        <v>17166027476</v>
      </c>
      <c r="U144" s="2">
        <v>18171648624</v>
      </c>
      <c r="V144" s="2">
        <v>0</v>
      </c>
      <c r="W144" t="str">
        <f t="shared" si="7"/>
        <v>31103</v>
      </c>
      <c r="X144" s="2">
        <v>7944245.3499999996</v>
      </c>
    </row>
    <row r="145" spans="1:24">
      <c r="A145" t="s">
        <v>144</v>
      </c>
      <c r="B145" t="s">
        <v>145</v>
      </c>
      <c r="C145" s="1"/>
      <c r="D145" s="1"/>
      <c r="E145" s="1"/>
      <c r="F145" s="2"/>
      <c r="G145" s="2">
        <f>VLOOKUP(A145,'Voter Approved'!$A$3:$F$298,3,FALSE)</f>
        <v>2317041</v>
      </c>
      <c r="H145" s="2">
        <v>2317041</v>
      </c>
      <c r="I145" s="2">
        <v>735993855</v>
      </c>
      <c r="J145" s="2">
        <v>777850997</v>
      </c>
      <c r="K145" s="2">
        <v>874680555</v>
      </c>
      <c r="L145" s="2">
        <v>1019634088</v>
      </c>
      <c r="M145" s="2">
        <v>1258735805</v>
      </c>
      <c r="N145" s="2">
        <v>1310054410</v>
      </c>
      <c r="O145" s="2">
        <v>1579062402</v>
      </c>
      <c r="P145" s="2">
        <v>1734024624</v>
      </c>
      <c r="Q145" s="2">
        <v>1908782289</v>
      </c>
      <c r="R145" s="2">
        <v>2062534678</v>
      </c>
      <c r="S145" s="2">
        <v>2356208362</v>
      </c>
      <c r="T145" s="2">
        <v>2632884159</v>
      </c>
      <c r="U145" s="2">
        <v>2868984192</v>
      </c>
      <c r="V145" s="2">
        <v>219569.57</v>
      </c>
      <c r="W145" t="str">
        <f t="shared" si="7"/>
        <v>14066</v>
      </c>
      <c r="X145" s="2">
        <v>1279280.8500000001</v>
      </c>
    </row>
    <row r="146" spans="1:24">
      <c r="A146" t="s">
        <v>263</v>
      </c>
      <c r="B146" t="s">
        <v>264</v>
      </c>
      <c r="C146" s="1"/>
      <c r="D146" s="1"/>
      <c r="E146" s="1"/>
      <c r="F146" s="2"/>
      <c r="G146" s="2">
        <f>VLOOKUP(A146,'Voter Approved'!$A$3:$F$298,3,FALSE)</f>
        <v>805000</v>
      </c>
      <c r="H146" s="2">
        <v>805000</v>
      </c>
      <c r="I146" s="2">
        <v>349727365</v>
      </c>
      <c r="J146" s="2">
        <v>397719468.10000002</v>
      </c>
      <c r="K146" s="2">
        <v>428874280</v>
      </c>
      <c r="L146" s="2">
        <v>555189365</v>
      </c>
      <c r="M146" s="2">
        <v>718642569</v>
      </c>
      <c r="N146" s="2">
        <v>779126280</v>
      </c>
      <c r="O146" s="2">
        <v>882077442</v>
      </c>
      <c r="P146" s="2">
        <v>960884366</v>
      </c>
      <c r="Q146" s="2">
        <v>1051075122</v>
      </c>
      <c r="R146" s="2">
        <v>1162670463</v>
      </c>
      <c r="S146" s="2">
        <v>1261025886</v>
      </c>
      <c r="T146" s="2">
        <v>1418159048</v>
      </c>
      <c r="U146" s="2">
        <v>1560796644</v>
      </c>
      <c r="V146" s="2">
        <v>0</v>
      </c>
      <c r="W146" t="str">
        <f t="shared" si="7"/>
        <v>21214</v>
      </c>
      <c r="X146" s="2">
        <v>528287</v>
      </c>
    </row>
    <row r="147" spans="1:24">
      <c r="A147" t="s">
        <v>128</v>
      </c>
      <c r="B147" t="s">
        <v>129</v>
      </c>
      <c r="C147" s="1"/>
      <c r="D147" s="1"/>
      <c r="E147" s="1"/>
      <c r="F147" s="2"/>
      <c r="G147" s="2">
        <f>VLOOKUP(A147,'Voter Approved'!$A$3:$F$298,3,FALSE)</f>
        <v>6718758</v>
      </c>
      <c r="H147" s="2">
        <v>6718758</v>
      </c>
      <c r="I147" s="2">
        <v>4102886003</v>
      </c>
      <c r="J147" s="2">
        <v>4317371819</v>
      </c>
      <c r="K147" s="2">
        <v>4504072377</v>
      </c>
      <c r="L147" s="2">
        <v>5025638112</v>
      </c>
      <c r="M147" s="2">
        <v>5536697863</v>
      </c>
      <c r="N147" s="2">
        <v>6620829985</v>
      </c>
      <c r="O147" s="2">
        <v>6758574236</v>
      </c>
      <c r="P147" s="2">
        <v>7476384858</v>
      </c>
      <c r="Q147" s="2">
        <v>8374934259</v>
      </c>
      <c r="R147" s="2">
        <v>8911791004</v>
      </c>
      <c r="S147" s="2">
        <v>9492403305</v>
      </c>
      <c r="T147" s="2">
        <v>10359584932</v>
      </c>
      <c r="U147" s="2">
        <v>11255332287</v>
      </c>
      <c r="V147" s="2">
        <v>1531791.64</v>
      </c>
      <c r="W147" t="str">
        <f t="shared" si="7"/>
        <v>13161</v>
      </c>
      <c r="X147" s="2">
        <v>3847783.34</v>
      </c>
    </row>
    <row r="148" spans="1:24">
      <c r="A148" t="s">
        <v>261</v>
      </c>
      <c r="B148" t="s">
        <v>262</v>
      </c>
      <c r="C148" s="1"/>
      <c r="D148" s="1"/>
      <c r="E148" s="1"/>
      <c r="F148" s="2"/>
      <c r="G148" s="2">
        <f>VLOOKUP(A148,'Voter Approved'!$A$3:$F$298,3,FALSE)</f>
        <v>946000</v>
      </c>
      <c r="H148" s="2">
        <v>946000</v>
      </c>
      <c r="I148" s="2">
        <v>526176001</v>
      </c>
      <c r="J148" s="2">
        <v>577977804</v>
      </c>
      <c r="K148" s="2">
        <v>637703262</v>
      </c>
      <c r="L148" s="2">
        <v>742346959</v>
      </c>
      <c r="M148" s="2">
        <v>944002479</v>
      </c>
      <c r="N148" s="2">
        <v>1041425027</v>
      </c>
      <c r="O148" s="2">
        <v>1169481281</v>
      </c>
      <c r="P148" s="2">
        <v>1271284778</v>
      </c>
      <c r="Q148" s="2">
        <v>1423785656</v>
      </c>
      <c r="R148" s="2">
        <v>1533272655</v>
      </c>
      <c r="S148" s="2">
        <v>1686290547</v>
      </c>
      <c r="T148" s="2">
        <v>1867725242</v>
      </c>
      <c r="U148" s="2">
        <v>2052708427</v>
      </c>
      <c r="V148" s="2">
        <v>0</v>
      </c>
      <c r="W148" t="str">
        <f t="shared" si="7"/>
        <v>21206</v>
      </c>
      <c r="X148" s="2">
        <v>466693</v>
      </c>
    </row>
    <row r="149" spans="1:24">
      <c r="A149" t="s">
        <v>587</v>
      </c>
      <c r="B149" t="s">
        <v>588</v>
      </c>
      <c r="C149" s="1"/>
      <c r="D149" s="1"/>
      <c r="E149" s="1"/>
      <c r="F149" s="2"/>
      <c r="G149" s="2">
        <f>VLOOKUP(A149,'Voter Approved'!$A$3:$F$298,3,FALSE)</f>
        <v>247000</v>
      </c>
      <c r="H149" s="2">
        <v>247000</v>
      </c>
      <c r="I149" s="2">
        <v>185772926</v>
      </c>
      <c r="J149" s="2">
        <v>192282638</v>
      </c>
      <c r="K149" s="2">
        <v>198185382</v>
      </c>
      <c r="L149" s="2">
        <v>211717859</v>
      </c>
      <c r="M149" s="2">
        <v>216014594</v>
      </c>
      <c r="N149" s="2">
        <v>255024723</v>
      </c>
      <c r="O149" s="2">
        <v>238360458</v>
      </c>
      <c r="P149" s="2">
        <v>248483053</v>
      </c>
      <c r="Q149" s="2">
        <v>280850519</v>
      </c>
      <c r="R149" s="2">
        <v>297427325</v>
      </c>
      <c r="S149" s="2">
        <v>314825446</v>
      </c>
      <c r="T149" s="2">
        <v>328550946</v>
      </c>
      <c r="U149" s="2">
        <v>339854507</v>
      </c>
      <c r="V149" s="2">
        <v>333187.51</v>
      </c>
      <c r="W149" t="str">
        <f t="shared" si="7"/>
        <v>39209</v>
      </c>
      <c r="X149" s="2">
        <v>160515.39000000001</v>
      </c>
    </row>
    <row r="150" spans="1:24">
      <c r="A150" t="s">
        <v>531</v>
      </c>
      <c r="B150" t="s">
        <v>532</v>
      </c>
      <c r="C150" s="1"/>
      <c r="D150" s="1"/>
      <c r="E150" s="1"/>
      <c r="F150" s="2"/>
      <c r="G150" s="2">
        <f>VLOOKUP(A150,'Voter Approved'!$A$3:$F$298,3,FALSE)</f>
        <v>5970000</v>
      </c>
      <c r="H150" s="2">
        <v>5970000</v>
      </c>
      <c r="I150" s="2">
        <v>1854936974</v>
      </c>
      <c r="J150" s="2">
        <v>2013587928</v>
      </c>
      <c r="K150" s="2">
        <v>2149215951</v>
      </c>
      <c r="L150" s="2">
        <v>2551358515</v>
      </c>
      <c r="M150" s="2">
        <v>3218555486</v>
      </c>
      <c r="N150" s="2">
        <v>3896086114</v>
      </c>
      <c r="O150" s="2">
        <v>4021223587</v>
      </c>
      <c r="P150" s="2">
        <v>4515713934</v>
      </c>
      <c r="Q150" s="2">
        <v>4917201477</v>
      </c>
      <c r="R150" s="2">
        <v>5338511086</v>
      </c>
      <c r="S150" s="2">
        <v>5608149779</v>
      </c>
      <c r="T150" s="2">
        <v>5975289239</v>
      </c>
      <c r="U150" s="2">
        <v>6415930275</v>
      </c>
      <c r="V150" s="2">
        <v>0</v>
      </c>
      <c r="W150" t="str">
        <f t="shared" si="7"/>
        <v>37507</v>
      </c>
      <c r="X150" s="2">
        <v>2415504.0499999998</v>
      </c>
    </row>
    <row r="151" spans="1:24">
      <c r="A151" t="s">
        <v>401</v>
      </c>
      <c r="B151" t="s">
        <v>402</v>
      </c>
      <c r="C151" s="1"/>
      <c r="D151" s="1"/>
      <c r="E151" s="1"/>
      <c r="F151" s="2"/>
      <c r="G151" s="2">
        <f>VLOOKUP(A151,'Voter Approved'!$A$3:$F$298,3,FALSE)</f>
        <v>155000</v>
      </c>
      <c r="H151" s="2">
        <v>155000</v>
      </c>
      <c r="I151" s="2">
        <v>55019080</v>
      </c>
      <c r="J151" s="2">
        <v>58433092</v>
      </c>
      <c r="K151" s="2">
        <v>60727491</v>
      </c>
      <c r="L151" s="2">
        <v>66129071</v>
      </c>
      <c r="M151" s="2">
        <v>74574006</v>
      </c>
      <c r="N151" s="2">
        <v>81524570</v>
      </c>
      <c r="O151" s="2">
        <v>91478401</v>
      </c>
      <c r="P151" s="2">
        <v>100272371</v>
      </c>
      <c r="Q151" s="2">
        <v>109022143</v>
      </c>
      <c r="R151" s="2">
        <v>115894966</v>
      </c>
      <c r="S151" s="2">
        <v>124209981</v>
      </c>
      <c r="T151" s="2">
        <v>136298861</v>
      </c>
      <c r="U151" s="2">
        <v>144245208</v>
      </c>
      <c r="V151" s="2">
        <v>6418.12</v>
      </c>
      <c r="W151" t="str">
        <f t="shared" si="7"/>
        <v>30029</v>
      </c>
      <c r="X151" s="2">
        <v>73439</v>
      </c>
    </row>
    <row r="152" spans="1:24">
      <c r="A152" t="s">
        <v>397</v>
      </c>
      <c r="B152" t="s">
        <v>398</v>
      </c>
      <c r="C152" s="1"/>
      <c r="D152" s="1"/>
      <c r="E152" s="1"/>
      <c r="F152" s="2"/>
      <c r="G152" s="2">
        <f>VLOOKUP(A152,'Voter Approved'!$A$3:$F$298,3,FALSE)</f>
        <v>15417716</v>
      </c>
      <c r="H152" s="2">
        <v>15417716</v>
      </c>
      <c r="I152" s="2">
        <v>4310673045</v>
      </c>
      <c r="J152" s="2">
        <v>4635298130</v>
      </c>
      <c r="K152" s="2">
        <v>4945300465</v>
      </c>
      <c r="L152" s="2">
        <v>5621344193</v>
      </c>
      <c r="M152" s="2">
        <v>6667596561</v>
      </c>
      <c r="N152" s="2">
        <v>6991232822</v>
      </c>
      <c r="O152" s="2">
        <v>8474975350</v>
      </c>
      <c r="P152" s="2">
        <v>9548455418</v>
      </c>
      <c r="Q152" s="2">
        <v>10588184732</v>
      </c>
      <c r="R152" s="2">
        <v>11503008412</v>
      </c>
      <c r="S152" s="2">
        <v>13060179634</v>
      </c>
      <c r="T152" s="2">
        <v>14340159794</v>
      </c>
      <c r="U152" s="2">
        <v>15657256711</v>
      </c>
      <c r="V152" s="2">
        <v>664616.93999999994</v>
      </c>
      <c r="W152" t="str">
        <f t="shared" si="7"/>
        <v>29320</v>
      </c>
      <c r="X152" s="2">
        <v>7793219.2300000004</v>
      </c>
    </row>
    <row r="153" spans="1:24">
      <c r="A153" t="s">
        <v>411</v>
      </c>
      <c r="B153" t="s">
        <v>412</v>
      </c>
      <c r="C153" s="1"/>
      <c r="D153" s="1"/>
      <c r="E153" s="1"/>
      <c r="F153" s="2"/>
      <c r="G153" s="2">
        <f>VLOOKUP(A153,'Voter Approved'!$A$3:$F$298,3,FALSE)</f>
        <v>31636355</v>
      </c>
      <c r="H153" s="2">
        <v>31636355</v>
      </c>
      <c r="I153" s="2">
        <v>20096139676</v>
      </c>
      <c r="J153" s="2">
        <v>21876489770</v>
      </c>
      <c r="K153" s="2">
        <v>22932157154</v>
      </c>
      <c r="L153" s="2">
        <v>24216464913</v>
      </c>
      <c r="M153" s="2">
        <v>29604785013</v>
      </c>
      <c r="N153" s="2">
        <v>29707225486</v>
      </c>
      <c r="O153" s="2">
        <v>28019616943</v>
      </c>
      <c r="P153" s="2">
        <v>29829969438</v>
      </c>
      <c r="Q153" s="2">
        <v>30794155549</v>
      </c>
      <c r="R153" s="2">
        <v>31666057366</v>
      </c>
      <c r="S153" s="2">
        <v>32143859529</v>
      </c>
      <c r="T153" s="2">
        <v>32910158645</v>
      </c>
      <c r="U153" s="2">
        <v>33365424424</v>
      </c>
      <c r="V153" s="2">
        <v>0</v>
      </c>
      <c r="W153" t="str">
        <f t="shared" si="7"/>
        <v>31006</v>
      </c>
      <c r="X153" s="2">
        <v>21405840.52</v>
      </c>
    </row>
    <row r="154" spans="1:24">
      <c r="A154" t="s">
        <v>561</v>
      </c>
      <c r="B154" t="s">
        <v>562</v>
      </c>
      <c r="C154" s="1"/>
      <c r="D154" s="1"/>
      <c r="E154" s="1"/>
      <c r="F154" s="2"/>
      <c r="G154" s="2">
        <f>VLOOKUP(A154,'Voter Approved'!$A$3:$F$298,3,FALSE)</f>
        <v>3099000</v>
      </c>
      <c r="H154" s="2">
        <v>3099000</v>
      </c>
      <c r="I154" s="2">
        <v>938034623.5</v>
      </c>
      <c r="J154" s="2">
        <v>1015935865.5</v>
      </c>
      <c r="K154" s="2">
        <v>1090937386</v>
      </c>
      <c r="L154" s="2">
        <v>1203273600</v>
      </c>
      <c r="M154" s="2">
        <v>1341307023</v>
      </c>
      <c r="N154" s="2">
        <v>1551545114</v>
      </c>
      <c r="O154" s="2">
        <v>1663050346</v>
      </c>
      <c r="P154" s="2">
        <v>1835696189</v>
      </c>
      <c r="Q154" s="2">
        <v>2164847823</v>
      </c>
      <c r="R154" s="2">
        <v>2399150075</v>
      </c>
      <c r="S154" s="2">
        <v>2670817643</v>
      </c>
      <c r="T154" s="2">
        <v>2869352595</v>
      </c>
      <c r="U154" s="2">
        <v>3044022953</v>
      </c>
      <c r="V154" s="2">
        <v>50906.97</v>
      </c>
      <c r="W154" t="str">
        <f t="shared" si="7"/>
        <v>39003</v>
      </c>
      <c r="X154" s="2">
        <v>1610920</v>
      </c>
    </row>
    <row r="155" spans="1:24">
      <c r="A155" t="s">
        <v>257</v>
      </c>
      <c r="B155" t="s">
        <v>258</v>
      </c>
      <c r="C155" s="1"/>
      <c r="D155" s="1"/>
      <c r="E155" s="1"/>
      <c r="F155" s="2"/>
      <c r="G155" s="2">
        <f>VLOOKUP(A155,'Voter Approved'!$A$3:$F$298,3,FALSE)</f>
        <v>925000</v>
      </c>
      <c r="H155" s="2">
        <v>925000</v>
      </c>
      <c r="I155" s="2">
        <v>460367473</v>
      </c>
      <c r="J155" s="2">
        <v>510976542.29000002</v>
      </c>
      <c r="K155" s="2">
        <v>563526136</v>
      </c>
      <c r="L155" s="2">
        <v>651632432</v>
      </c>
      <c r="M155" s="2">
        <v>802167363</v>
      </c>
      <c r="N155" s="2">
        <v>835365794</v>
      </c>
      <c r="O155" s="2">
        <v>1037856017</v>
      </c>
      <c r="P155" s="2">
        <v>1129681456</v>
      </c>
      <c r="Q155" s="2">
        <v>1283790956</v>
      </c>
      <c r="R155" s="2">
        <v>1424974538</v>
      </c>
      <c r="S155" s="2">
        <v>1560181508</v>
      </c>
      <c r="T155" s="2">
        <v>1745283914</v>
      </c>
      <c r="U155" s="2">
        <v>1941142505</v>
      </c>
      <c r="V155" s="2">
        <v>65019.5</v>
      </c>
      <c r="W155" t="str">
        <f t="shared" si="7"/>
        <v>21014</v>
      </c>
      <c r="X155" s="2">
        <v>547239</v>
      </c>
    </row>
    <row r="156" spans="1:24">
      <c r="A156" t="s">
        <v>335</v>
      </c>
      <c r="B156" t="s">
        <v>336</v>
      </c>
      <c r="C156" s="1"/>
      <c r="D156" s="1"/>
      <c r="E156" s="1"/>
      <c r="F156" s="2"/>
      <c r="G156" s="2">
        <f>VLOOKUP(A156,'Voter Approved'!$A$3:$F$298,3,FALSE)</f>
        <v>450000</v>
      </c>
      <c r="H156" s="2">
        <v>450000</v>
      </c>
      <c r="I156" s="2">
        <v>274859777</v>
      </c>
      <c r="J156" s="2">
        <v>331616148</v>
      </c>
      <c r="K156" s="2">
        <v>331694600</v>
      </c>
      <c r="L156" s="2">
        <v>351979504</v>
      </c>
      <c r="M156" s="2">
        <v>441599494</v>
      </c>
      <c r="N156" s="2">
        <v>563547198</v>
      </c>
      <c r="O156" s="2">
        <v>527351821</v>
      </c>
      <c r="P156" s="2">
        <v>574343687</v>
      </c>
      <c r="Q156" s="2">
        <v>629752957</v>
      </c>
      <c r="R156" s="2">
        <v>681571744</v>
      </c>
      <c r="S156" s="2">
        <v>743839157</v>
      </c>
      <c r="T156" s="2">
        <v>821179556</v>
      </c>
      <c r="U156" s="2">
        <v>917311605</v>
      </c>
      <c r="V156" s="2">
        <v>0</v>
      </c>
      <c r="W156" t="str">
        <f t="shared" si="7"/>
        <v>25155</v>
      </c>
      <c r="X156" s="2">
        <v>274330.2</v>
      </c>
    </row>
    <row r="157" spans="1:24">
      <c r="A157" t="s">
        <v>313</v>
      </c>
      <c r="B157" t="s">
        <v>314</v>
      </c>
      <c r="C157" s="1"/>
      <c r="D157" s="1"/>
      <c r="E157" s="1"/>
      <c r="F157" s="2"/>
      <c r="G157" s="2">
        <f>VLOOKUP(A157,'Voter Approved'!$A$3:$F$298,3,FALSE)</f>
        <v>36000</v>
      </c>
      <c r="H157" s="2">
        <v>36000</v>
      </c>
      <c r="I157" s="2">
        <v>15067676</v>
      </c>
      <c r="J157" s="2">
        <v>15336803</v>
      </c>
      <c r="K157" s="2">
        <v>15567689</v>
      </c>
      <c r="L157" s="2">
        <v>15291797</v>
      </c>
      <c r="M157" s="2">
        <v>17879590</v>
      </c>
      <c r="N157" s="2">
        <v>21035065</v>
      </c>
      <c r="O157" s="2">
        <v>19889013</v>
      </c>
      <c r="P157" s="2">
        <v>21640212</v>
      </c>
      <c r="Q157" s="2">
        <v>23400629</v>
      </c>
      <c r="R157" s="2">
        <v>24370624</v>
      </c>
      <c r="S157" s="2">
        <v>25244753</v>
      </c>
      <c r="T157" s="2">
        <v>26201042</v>
      </c>
      <c r="U157" s="2">
        <v>27661634</v>
      </c>
      <c r="V157" s="2">
        <v>83615.460000000006</v>
      </c>
      <c r="W157" t="str">
        <f t="shared" si="7"/>
        <v>24014</v>
      </c>
      <c r="X157" s="2">
        <v>17056.8</v>
      </c>
    </row>
    <row r="158" spans="1:24">
      <c r="A158" t="s">
        <v>341</v>
      </c>
      <c r="B158" t="s">
        <v>342</v>
      </c>
      <c r="C158" s="1"/>
      <c r="D158" s="1"/>
      <c r="E158" s="1"/>
      <c r="F158" s="2"/>
      <c r="G158" s="2">
        <f>VLOOKUP(A158,'Voter Approved'!$A$3:$F$298,3,FALSE)</f>
        <v>1760445</v>
      </c>
      <c r="H158" s="2">
        <v>1760445</v>
      </c>
      <c r="I158" s="2">
        <v>865545407</v>
      </c>
      <c r="J158" s="2">
        <v>936150196</v>
      </c>
      <c r="K158" s="2">
        <v>1042968351</v>
      </c>
      <c r="L158" s="2">
        <v>1172206623</v>
      </c>
      <c r="M158" s="2">
        <v>1329800697</v>
      </c>
      <c r="N158" s="2">
        <v>1434582324</v>
      </c>
      <c r="O158" s="2">
        <v>1693896237</v>
      </c>
      <c r="P158" s="2">
        <v>1879154716</v>
      </c>
      <c r="Q158" s="2">
        <v>2092510315</v>
      </c>
      <c r="R158" s="2">
        <v>2350630377</v>
      </c>
      <c r="S158" s="2">
        <v>2682859568</v>
      </c>
      <c r="T158" s="2">
        <v>3007333267</v>
      </c>
      <c r="U158" s="2">
        <v>3339482730</v>
      </c>
      <c r="V158" s="2">
        <v>0</v>
      </c>
      <c r="W158" t="str">
        <f t="shared" si="7"/>
        <v>26056</v>
      </c>
      <c r="X158" s="2">
        <v>1020059.66</v>
      </c>
    </row>
    <row r="159" spans="1:24">
      <c r="A159" t="s">
        <v>441</v>
      </c>
      <c r="B159" t="s">
        <v>442</v>
      </c>
      <c r="C159" s="1"/>
      <c r="D159" s="1"/>
      <c r="E159" s="1"/>
      <c r="F159" s="2"/>
      <c r="G159" s="2">
        <f>VLOOKUP(A159,'Voter Approved'!$A$3:$F$298,3,FALSE)</f>
        <v>1785000</v>
      </c>
      <c r="H159" s="2">
        <v>1785000</v>
      </c>
      <c r="I159" s="2">
        <v>1025848345.3</v>
      </c>
      <c r="J159" s="2">
        <v>1173083252</v>
      </c>
      <c r="K159" s="2">
        <v>1262478049</v>
      </c>
      <c r="L159" s="2">
        <v>1384092038</v>
      </c>
      <c r="M159" s="2">
        <v>1735882831</v>
      </c>
      <c r="N159" s="2">
        <v>1897872031</v>
      </c>
      <c r="O159" s="2">
        <v>1996070893</v>
      </c>
      <c r="P159" s="2">
        <v>2201651060</v>
      </c>
      <c r="Q159" s="2">
        <v>2426496716</v>
      </c>
      <c r="R159" s="2">
        <v>2665618695</v>
      </c>
      <c r="S159" s="2">
        <v>2979098749</v>
      </c>
      <c r="T159" s="2">
        <v>3222287228</v>
      </c>
      <c r="U159" s="2">
        <v>3535601089</v>
      </c>
      <c r="V159" s="2">
        <v>0</v>
      </c>
      <c r="W159" t="str">
        <f t="shared" si="7"/>
        <v>32325</v>
      </c>
      <c r="X159" s="2">
        <v>1830820.06</v>
      </c>
    </row>
    <row r="160" spans="1:24">
      <c r="A160" t="s">
        <v>529</v>
      </c>
      <c r="B160" t="s">
        <v>530</v>
      </c>
      <c r="C160" s="1"/>
      <c r="D160" s="1"/>
      <c r="E160" s="1"/>
      <c r="F160" s="2"/>
      <c r="G160" s="2">
        <f>VLOOKUP(A160,'Voter Approved'!$A$3:$F$298,3,FALSE)</f>
        <v>3900000</v>
      </c>
      <c r="H160" s="2">
        <v>3900000</v>
      </c>
      <c r="I160" s="2">
        <v>1114861697</v>
      </c>
      <c r="J160" s="2">
        <v>1172551436</v>
      </c>
      <c r="K160" s="2">
        <v>1249291659</v>
      </c>
      <c r="L160" s="2">
        <v>1473095716</v>
      </c>
      <c r="M160" s="2">
        <v>1787219233</v>
      </c>
      <c r="N160" s="2">
        <v>2026461887</v>
      </c>
      <c r="O160" s="2">
        <v>2219413223</v>
      </c>
      <c r="P160" s="2">
        <v>2497147771</v>
      </c>
      <c r="Q160" s="2">
        <v>2768270034</v>
      </c>
      <c r="R160" s="2">
        <v>3089835706</v>
      </c>
      <c r="S160" s="2">
        <v>3402379732</v>
      </c>
      <c r="T160" s="2">
        <v>3747971611</v>
      </c>
      <c r="U160" s="2">
        <v>3976180950</v>
      </c>
      <c r="V160" s="2">
        <v>168081.09</v>
      </c>
      <c r="W160" t="str">
        <f t="shared" si="7"/>
        <v>37506</v>
      </c>
      <c r="X160" s="2">
        <v>1468780</v>
      </c>
    </row>
    <row r="161" spans="1:24">
      <c r="A161" t="s">
        <v>140</v>
      </c>
      <c r="B161" t="s">
        <v>141</v>
      </c>
      <c r="C161" s="1"/>
      <c r="D161" s="1"/>
      <c r="E161" s="1"/>
      <c r="F161" s="2"/>
      <c r="G161" s="2">
        <f>VLOOKUP(A161,'Voter Approved'!$A$3:$F$298,3,FALSE)</f>
        <v>1900742</v>
      </c>
      <c r="H161" s="2">
        <v>1900742</v>
      </c>
      <c r="I161" s="2">
        <v>1750484413</v>
      </c>
      <c r="J161" s="2">
        <v>1968394044</v>
      </c>
      <c r="K161" s="2">
        <v>2180710112</v>
      </c>
      <c r="L161" s="2">
        <v>2600233944</v>
      </c>
      <c r="M161" s="2">
        <v>3603558564</v>
      </c>
      <c r="N161" s="2">
        <v>3894057491</v>
      </c>
      <c r="O161" s="2">
        <v>4470434020</v>
      </c>
      <c r="P161" s="2">
        <v>5000869473</v>
      </c>
      <c r="Q161" s="2">
        <v>5501453301</v>
      </c>
      <c r="R161" s="2">
        <v>5932361303</v>
      </c>
      <c r="S161" s="2">
        <v>6697446946</v>
      </c>
      <c r="T161" s="2">
        <v>7470874330</v>
      </c>
      <c r="U161" s="2">
        <v>8217280624</v>
      </c>
      <c r="V161" s="2">
        <v>0</v>
      </c>
      <c r="W161" t="str">
        <f t="shared" si="7"/>
        <v>14064</v>
      </c>
      <c r="X161" s="2">
        <v>968517.71</v>
      </c>
    </row>
    <row r="162" spans="1:24">
      <c r="A162" t="s">
        <v>108</v>
      </c>
      <c r="B162" t="s">
        <v>109</v>
      </c>
      <c r="C162" s="1"/>
      <c r="D162" s="1"/>
      <c r="E162" s="1"/>
      <c r="F162" s="2"/>
      <c r="G162" s="2">
        <f>VLOOKUP(A162,'Voter Approved'!$A$3:$F$298,3,FALSE)</f>
        <v>1850000</v>
      </c>
      <c r="H162" s="2">
        <v>1850000</v>
      </c>
      <c r="I162" s="2">
        <v>1167115472</v>
      </c>
      <c r="J162" s="2">
        <v>1223371020</v>
      </c>
      <c r="K162" s="2">
        <v>1212439555</v>
      </c>
      <c r="L162" s="2">
        <v>1281247392</v>
      </c>
      <c r="M162" s="2">
        <v>1458413306</v>
      </c>
      <c r="N162" s="2">
        <v>1703426069</v>
      </c>
      <c r="O162" s="2">
        <v>1688916260</v>
      </c>
      <c r="P162" s="2">
        <v>1799872394</v>
      </c>
      <c r="Q162" s="2">
        <v>1924755421</v>
      </c>
      <c r="R162" s="2">
        <v>2104962196</v>
      </c>
      <c r="S162" s="2">
        <v>2353207070</v>
      </c>
      <c r="T162" s="2">
        <v>2577048821</v>
      </c>
      <c r="U162" s="2">
        <v>2789087470</v>
      </c>
      <c r="V162" s="2">
        <v>299983.21999999997</v>
      </c>
      <c r="W162" t="str">
        <f t="shared" si="7"/>
        <v>11051</v>
      </c>
      <c r="X162" s="2">
        <v>952338</v>
      </c>
    </row>
    <row r="163" spans="1:24">
      <c r="A163" t="s">
        <v>219</v>
      </c>
      <c r="B163" t="s">
        <v>220</v>
      </c>
      <c r="C163" s="1"/>
      <c r="D163" s="1"/>
      <c r="E163" s="1"/>
      <c r="F163" s="2"/>
      <c r="G163" s="2">
        <f>VLOOKUP(A163,'Voter Approved'!$A$3:$F$298,3,FALSE)</f>
        <v>11405613</v>
      </c>
      <c r="H163" s="2">
        <v>11405613</v>
      </c>
      <c r="I163" s="2">
        <v>8149679356.5</v>
      </c>
      <c r="J163" s="2">
        <v>8924286558</v>
      </c>
      <c r="K163" s="2">
        <v>9409816891</v>
      </c>
      <c r="L163" s="2">
        <v>10664684738</v>
      </c>
      <c r="M163" s="2">
        <v>12834595933</v>
      </c>
      <c r="N163" s="2">
        <v>13203778632</v>
      </c>
      <c r="O163" s="2">
        <v>15453927479</v>
      </c>
      <c r="P163" s="2">
        <v>17347153965</v>
      </c>
      <c r="Q163" s="2">
        <v>19422899851</v>
      </c>
      <c r="R163" s="2">
        <v>21800242627</v>
      </c>
      <c r="S163" s="2">
        <v>24272743378</v>
      </c>
      <c r="T163" s="2">
        <v>26326420594</v>
      </c>
      <c r="U163" s="2">
        <v>29278709425</v>
      </c>
      <c r="V163" s="2">
        <v>0</v>
      </c>
      <c r="W163" t="str">
        <f t="shared" si="7"/>
        <v>18400</v>
      </c>
      <c r="X163" s="2">
        <v>7901343.54</v>
      </c>
    </row>
    <row r="164" spans="1:24">
      <c r="A164" t="s">
        <v>309</v>
      </c>
      <c r="B164" t="s">
        <v>310</v>
      </c>
      <c r="C164" s="1"/>
      <c r="D164" s="1"/>
      <c r="E164" s="1"/>
      <c r="F164" s="2"/>
      <c r="G164" s="2">
        <f>VLOOKUP(A164,'Voter Approved'!$A$3:$F$298,3,FALSE)</f>
        <v>4654330</v>
      </c>
      <c r="H164" s="2">
        <v>4654330</v>
      </c>
      <c r="I164" s="2">
        <v>2337403830.0747404</v>
      </c>
      <c r="J164" s="2">
        <v>2491452770</v>
      </c>
      <c r="K164" s="2">
        <v>2699999486</v>
      </c>
      <c r="L164" s="2">
        <v>3079727404</v>
      </c>
      <c r="M164" s="2">
        <v>3463001762</v>
      </c>
      <c r="N164" s="2">
        <v>4172238069</v>
      </c>
      <c r="O164" s="2">
        <v>4254667638</v>
      </c>
      <c r="P164" s="2">
        <v>4752415680</v>
      </c>
      <c r="Q164" s="2">
        <v>5417936811</v>
      </c>
      <c r="R164" s="2">
        <v>5939886283</v>
      </c>
      <c r="S164" s="2">
        <v>6553009688</v>
      </c>
      <c r="T164" s="2">
        <v>7346727457</v>
      </c>
      <c r="U164" s="2">
        <v>7930626491</v>
      </c>
      <c r="V164" s="2">
        <v>0</v>
      </c>
      <c r="W164" t="str">
        <f t="shared" si="7"/>
        <v>23403</v>
      </c>
      <c r="X164" s="2">
        <v>1815187.03</v>
      </c>
    </row>
    <row r="165" spans="1:24">
      <c r="A165" t="s">
        <v>339</v>
      </c>
      <c r="B165" t="s">
        <v>340</v>
      </c>
      <c r="C165" s="1"/>
      <c r="D165" s="1"/>
      <c r="E165" s="1"/>
      <c r="F165" s="2"/>
      <c r="G165" s="2">
        <f>VLOOKUP(A165,'Voter Approved'!$A$3:$F$298,3,FALSE)</f>
        <v>0</v>
      </c>
      <c r="H165" s="2">
        <v>0</v>
      </c>
      <c r="I165" s="2">
        <v>57809451</v>
      </c>
      <c r="J165" s="2">
        <v>69145167</v>
      </c>
      <c r="K165" s="2">
        <v>64990112</v>
      </c>
      <c r="L165" s="2">
        <v>66886272</v>
      </c>
      <c r="M165" s="2">
        <v>88627219</v>
      </c>
      <c r="N165" s="2">
        <v>90908239</v>
      </c>
      <c r="O165" s="2">
        <v>100102915</v>
      </c>
      <c r="P165" s="2">
        <v>105900344</v>
      </c>
      <c r="Q165" s="2">
        <v>111582045</v>
      </c>
      <c r="R165" s="2">
        <v>117493780</v>
      </c>
      <c r="S165" s="2">
        <v>126269520</v>
      </c>
      <c r="T165" s="2">
        <v>136161749</v>
      </c>
      <c r="U165" s="2">
        <v>144206177</v>
      </c>
      <c r="V165" s="2">
        <v>0</v>
      </c>
      <c r="W165" t="str">
        <f t="shared" si="7"/>
        <v>25200</v>
      </c>
      <c r="X165" s="2">
        <v>0</v>
      </c>
    </row>
    <row r="166" spans="1:24">
      <c r="A166" t="s">
        <v>489</v>
      </c>
      <c r="B166" t="s">
        <v>490</v>
      </c>
      <c r="C166" s="1"/>
      <c r="D166" s="1"/>
      <c r="E166" s="1"/>
      <c r="F166" s="2"/>
      <c r="G166" s="2">
        <f>VLOOKUP(A166,'Voter Approved'!$A$3:$F$298,3,FALSE)</f>
        <v>42000000</v>
      </c>
      <c r="H166" s="2">
        <v>42000000</v>
      </c>
      <c r="I166" s="2">
        <v>12845670366</v>
      </c>
      <c r="J166" s="2">
        <v>14212466731</v>
      </c>
      <c r="K166" s="2">
        <v>15223522896</v>
      </c>
      <c r="L166" s="2">
        <v>17608133967</v>
      </c>
      <c r="M166" s="2">
        <v>22936937172</v>
      </c>
      <c r="N166" s="2">
        <v>22751611227</v>
      </c>
      <c r="O166" s="2">
        <v>28151338909</v>
      </c>
      <c r="P166" s="2">
        <v>31000717473</v>
      </c>
      <c r="Q166" s="2">
        <v>35030048330</v>
      </c>
      <c r="R166" s="2">
        <v>38912759379</v>
      </c>
      <c r="S166" s="2">
        <v>42736227401</v>
      </c>
      <c r="T166" s="2">
        <v>48286637498</v>
      </c>
      <c r="U166" s="2">
        <v>54554681188</v>
      </c>
      <c r="V166" s="2">
        <v>0</v>
      </c>
      <c r="W166" t="str">
        <f t="shared" si="7"/>
        <v>34003</v>
      </c>
      <c r="X166" s="2">
        <v>22096201.690000001</v>
      </c>
    </row>
    <row r="167" spans="1:24">
      <c r="A167" t="s">
        <v>483</v>
      </c>
      <c r="B167" t="s">
        <v>484</v>
      </c>
      <c r="C167" s="1"/>
      <c r="D167" s="1"/>
      <c r="E167" s="1"/>
      <c r="F167" s="2"/>
      <c r="G167" s="2">
        <f>VLOOKUP(A167,'Voter Approved'!$A$3:$F$298,3,FALSE)</f>
        <v>300000</v>
      </c>
      <c r="H167" s="2">
        <v>300000</v>
      </c>
      <c r="I167" s="2">
        <v>200567924.90000001</v>
      </c>
      <c r="J167" s="2">
        <v>207249501</v>
      </c>
      <c r="K167" s="2">
        <v>219430313</v>
      </c>
      <c r="L167" s="2">
        <v>248182252</v>
      </c>
      <c r="M167" s="2">
        <v>267276064</v>
      </c>
      <c r="N167" s="2">
        <v>291260895</v>
      </c>
      <c r="O167" s="2">
        <v>326540763</v>
      </c>
      <c r="P167" s="2">
        <v>366288453</v>
      </c>
      <c r="Q167" s="2">
        <v>403408407</v>
      </c>
      <c r="R167" s="2">
        <v>428510660</v>
      </c>
      <c r="S167" s="2">
        <v>477247352</v>
      </c>
      <c r="T167" s="2">
        <v>522051784</v>
      </c>
      <c r="U167" s="2">
        <v>569549217</v>
      </c>
      <c r="V167" s="2">
        <v>19046.45</v>
      </c>
      <c r="W167" t="str">
        <f t="shared" si="7"/>
        <v>33211</v>
      </c>
      <c r="X167" s="2">
        <v>177675</v>
      </c>
    </row>
    <row r="168" spans="1:24">
      <c r="A168" t="s">
        <v>213</v>
      </c>
      <c r="B168" t="s">
        <v>214</v>
      </c>
      <c r="C168" s="1"/>
      <c r="D168" s="1"/>
      <c r="E168" s="1"/>
      <c r="F168" s="2"/>
      <c r="G168" s="2">
        <f>VLOOKUP(A168,'Voter Approved'!$A$3:$F$298,3,FALSE)</f>
        <v>57000000</v>
      </c>
      <c r="H168" s="2">
        <v>57000000</v>
      </c>
      <c r="I168" s="2">
        <v>33766436291</v>
      </c>
      <c r="J168" s="2">
        <v>37043463030</v>
      </c>
      <c r="K168" s="2">
        <v>37498000512</v>
      </c>
      <c r="L168" s="2">
        <v>42660340354</v>
      </c>
      <c r="M168" s="2">
        <v>56911997514</v>
      </c>
      <c r="N168" s="2">
        <v>51635657217</v>
      </c>
      <c r="O168" s="2">
        <v>60230143553</v>
      </c>
      <c r="P168" s="2">
        <v>67033759176</v>
      </c>
      <c r="Q168" s="2">
        <v>74692258229</v>
      </c>
      <c r="R168" s="2">
        <v>80616117015</v>
      </c>
      <c r="S168" s="2">
        <v>85420744623</v>
      </c>
      <c r="T168" s="2">
        <v>91521197675</v>
      </c>
      <c r="U168" s="2">
        <v>97448024158</v>
      </c>
      <c r="V168" s="2">
        <v>0</v>
      </c>
      <c r="W168" t="str">
        <f t="shared" si="7"/>
        <v>17417</v>
      </c>
      <c r="X168" s="2">
        <v>30749620</v>
      </c>
    </row>
    <row r="169" spans="1:24">
      <c r="A169" t="s">
        <v>162</v>
      </c>
      <c r="B169" t="s">
        <v>163</v>
      </c>
      <c r="C169" s="1"/>
      <c r="D169" s="1"/>
      <c r="E169" s="1"/>
      <c r="F169" s="2"/>
      <c r="G169" s="2">
        <f>VLOOKUP(A169,'Voter Approved'!$A$3:$F$298,3,FALSE)</f>
        <v>10000000</v>
      </c>
      <c r="H169" s="2">
        <v>5771738</v>
      </c>
      <c r="I169" s="2">
        <v>4222038105.9200001</v>
      </c>
      <c r="J169" s="2">
        <v>4589403623</v>
      </c>
      <c r="K169" s="2">
        <v>4739082200</v>
      </c>
      <c r="L169" s="2">
        <v>5135022145</v>
      </c>
      <c r="M169" s="2">
        <v>6184991445</v>
      </c>
      <c r="N169" s="2">
        <v>6838709118</v>
      </c>
      <c r="O169" s="2">
        <v>7562168097</v>
      </c>
      <c r="P169" s="2">
        <v>8276009294</v>
      </c>
      <c r="Q169" s="2">
        <v>8896593180</v>
      </c>
      <c r="R169" s="2">
        <v>9857007641</v>
      </c>
      <c r="S169" s="2">
        <v>11011241911</v>
      </c>
      <c r="T169" s="2">
        <v>12214038279</v>
      </c>
      <c r="U169" s="2">
        <v>13453658687</v>
      </c>
      <c r="V169" s="2">
        <v>136291.69</v>
      </c>
      <c r="W169" t="str">
        <f t="shared" si="7"/>
        <v>15201</v>
      </c>
      <c r="X169" s="2">
        <v>5851430</v>
      </c>
    </row>
    <row r="170" spans="1:24">
      <c r="A170" t="s">
        <v>557</v>
      </c>
      <c r="B170" t="s">
        <v>558</v>
      </c>
      <c r="C170" s="1"/>
      <c r="D170" s="1"/>
      <c r="E170" s="1"/>
      <c r="F170" s="2"/>
      <c r="G170" s="2">
        <f>VLOOKUP(A170,'Voter Approved'!$A$3:$F$298,3,FALSE)</f>
        <v>676000</v>
      </c>
      <c r="H170" s="2">
        <v>676000</v>
      </c>
      <c r="I170" s="2">
        <v>173194279</v>
      </c>
      <c r="J170" s="2">
        <v>170590874</v>
      </c>
      <c r="K170" s="2">
        <v>177880250</v>
      </c>
      <c r="L170" s="2">
        <v>177919765</v>
      </c>
      <c r="M170" s="2">
        <v>178728717</v>
      </c>
      <c r="N170" s="2">
        <v>176637253</v>
      </c>
      <c r="O170" s="2">
        <v>186182761</v>
      </c>
      <c r="P170" s="2">
        <v>192767911</v>
      </c>
      <c r="Q170" s="2">
        <v>200125406</v>
      </c>
      <c r="R170" s="2">
        <v>209978736</v>
      </c>
      <c r="S170" s="2">
        <v>215119206</v>
      </c>
      <c r="T170" s="2">
        <v>220266616</v>
      </c>
      <c r="U170" s="2">
        <v>234293337</v>
      </c>
      <c r="V170" s="2">
        <v>4411.38</v>
      </c>
      <c r="W170" t="str">
        <f t="shared" si="7"/>
        <v>38324</v>
      </c>
      <c r="X170" s="2">
        <v>209226.83</v>
      </c>
    </row>
    <row r="171" spans="1:24">
      <c r="A171" t="s">
        <v>160</v>
      </c>
      <c r="B171" t="s">
        <v>161</v>
      </c>
      <c r="C171" s="1"/>
      <c r="D171" s="1"/>
      <c r="E171" s="1"/>
      <c r="F171" s="2"/>
      <c r="G171" s="2">
        <f>VLOOKUP(A171,'Voter Approved'!$A$3:$F$298,3,FALSE)</f>
        <v>384200</v>
      </c>
      <c r="H171" s="2">
        <v>384200</v>
      </c>
      <c r="I171" s="2">
        <v>179997117</v>
      </c>
      <c r="J171" s="2">
        <v>202136205</v>
      </c>
      <c r="K171" s="2">
        <v>221739646</v>
      </c>
      <c r="L171" s="2">
        <v>244074117</v>
      </c>
      <c r="M171" s="2">
        <v>308938715</v>
      </c>
      <c r="N171" s="2">
        <v>310234801</v>
      </c>
      <c r="O171" s="2">
        <v>376467917</v>
      </c>
      <c r="P171" s="2">
        <v>410501204</v>
      </c>
      <c r="Q171" s="2">
        <v>453151294</v>
      </c>
      <c r="R171" s="2">
        <v>498410741</v>
      </c>
      <c r="S171" s="2">
        <v>556331630</v>
      </c>
      <c r="T171" s="2">
        <v>608163585</v>
      </c>
      <c r="U171" s="2">
        <v>651723554</v>
      </c>
      <c r="V171" s="2">
        <v>44706.93</v>
      </c>
      <c r="W171" t="str">
        <f t="shared" si="7"/>
        <v>14400</v>
      </c>
      <c r="X171" s="2">
        <v>194258</v>
      </c>
    </row>
    <row r="172" spans="1:24">
      <c r="A172" t="s">
        <v>329</v>
      </c>
      <c r="B172" t="s">
        <v>330</v>
      </c>
      <c r="C172" s="1"/>
      <c r="D172" s="1"/>
      <c r="E172" s="1"/>
      <c r="F172" s="2"/>
      <c r="G172" s="2">
        <f>VLOOKUP(A172,'Voter Approved'!$A$3:$F$298,3,FALSE)</f>
        <v>3370370</v>
      </c>
      <c r="H172" s="2">
        <v>3370370</v>
      </c>
      <c r="I172" s="2">
        <v>1832541714</v>
      </c>
      <c r="J172" s="2">
        <v>2014837251</v>
      </c>
      <c r="K172" s="2">
        <v>2194637400</v>
      </c>
      <c r="L172" s="2">
        <v>2459643625</v>
      </c>
      <c r="M172" s="2">
        <v>3322204434</v>
      </c>
      <c r="N172" s="2">
        <v>3867298815</v>
      </c>
      <c r="O172" s="2">
        <v>4167831614</v>
      </c>
      <c r="P172" s="2">
        <v>4655755744</v>
      </c>
      <c r="Q172" s="2">
        <v>5151648767</v>
      </c>
      <c r="R172" s="2">
        <v>5625994356</v>
      </c>
      <c r="S172" s="2">
        <v>6180382541</v>
      </c>
      <c r="T172" s="2">
        <v>6896717013</v>
      </c>
      <c r="U172" s="2">
        <v>7702499353</v>
      </c>
      <c r="V172" s="2">
        <v>0</v>
      </c>
      <c r="W172" t="str">
        <f t="shared" si="7"/>
        <v>25101</v>
      </c>
      <c r="X172" s="2">
        <v>1430951.81</v>
      </c>
    </row>
    <row r="173" spans="1:24">
      <c r="A173" t="s">
        <v>158</v>
      </c>
      <c r="B173" t="s">
        <v>159</v>
      </c>
      <c r="C173" s="1"/>
      <c r="D173" s="1"/>
      <c r="E173" s="1"/>
      <c r="F173" s="2"/>
      <c r="G173" s="2">
        <f>VLOOKUP(A173,'Voter Approved'!$A$3:$F$298,3,FALSE)</f>
        <v>2000000</v>
      </c>
      <c r="H173" s="2">
        <v>2000000</v>
      </c>
      <c r="I173" s="2">
        <v>762412505</v>
      </c>
      <c r="J173" s="2">
        <v>823319432</v>
      </c>
      <c r="K173" s="2">
        <v>896385145</v>
      </c>
      <c r="L173" s="2">
        <v>983867082</v>
      </c>
      <c r="M173" s="2">
        <v>1283176525</v>
      </c>
      <c r="N173" s="2">
        <v>1349977424</v>
      </c>
      <c r="O173" s="2">
        <v>1638967056</v>
      </c>
      <c r="P173" s="2">
        <v>1829727931</v>
      </c>
      <c r="Q173" s="2">
        <v>2033857277</v>
      </c>
      <c r="R173" s="2">
        <v>2203800877</v>
      </c>
      <c r="S173" s="2">
        <v>2507752043</v>
      </c>
      <c r="T173" s="2">
        <v>2736620480</v>
      </c>
      <c r="U173" s="2">
        <v>2987950991</v>
      </c>
      <c r="V173" s="2">
        <v>0</v>
      </c>
      <c r="W173" t="str">
        <f t="shared" si="7"/>
        <v>14172</v>
      </c>
      <c r="X173" s="2">
        <v>843281.95</v>
      </c>
    </row>
    <row r="174" spans="1:24">
      <c r="A174" t="s">
        <v>291</v>
      </c>
      <c r="B174" t="s">
        <v>292</v>
      </c>
      <c r="C174" s="1"/>
      <c r="D174" s="1"/>
      <c r="E174" s="1"/>
      <c r="F174" s="2"/>
      <c r="G174" s="2">
        <f>VLOOKUP(A174,'Voter Approved'!$A$3:$F$298,3,FALSE)</f>
        <v>386000</v>
      </c>
      <c r="H174" s="2">
        <v>386000</v>
      </c>
      <c r="I174" s="2">
        <v>245025611</v>
      </c>
      <c r="J174" s="2">
        <v>259888760</v>
      </c>
      <c r="K174" s="2">
        <v>276851925</v>
      </c>
      <c r="L174" s="2">
        <v>293770622</v>
      </c>
      <c r="M174" s="2">
        <v>317382822</v>
      </c>
      <c r="N174" s="2">
        <v>333947401</v>
      </c>
      <c r="O174" s="2">
        <v>378226071</v>
      </c>
      <c r="P174" s="2">
        <v>420855349</v>
      </c>
      <c r="Q174" s="2">
        <v>468004970</v>
      </c>
      <c r="R174" s="2">
        <v>507061576</v>
      </c>
      <c r="S174" s="2">
        <v>544988646</v>
      </c>
      <c r="T174" s="2">
        <v>587392759</v>
      </c>
      <c r="U174" s="2">
        <v>638828384</v>
      </c>
      <c r="V174" s="2">
        <v>0</v>
      </c>
      <c r="W174" t="str">
        <f t="shared" si="7"/>
        <v>22105</v>
      </c>
      <c r="X174" s="2">
        <v>284280</v>
      </c>
    </row>
    <row r="175" spans="1:24">
      <c r="A175" t="s">
        <v>317</v>
      </c>
      <c r="B175" t="s">
        <v>318</v>
      </c>
      <c r="C175" s="1"/>
      <c r="D175" s="1"/>
      <c r="E175" s="1"/>
      <c r="F175" s="2"/>
      <c r="G175" s="2">
        <f>VLOOKUP(A175,'Voter Approved'!$A$3:$F$298,3,FALSE)</f>
        <v>919590</v>
      </c>
      <c r="H175" s="2">
        <v>919590</v>
      </c>
      <c r="I175" s="2">
        <v>333510052</v>
      </c>
      <c r="J175" s="2">
        <v>339914571</v>
      </c>
      <c r="K175" s="2">
        <v>362392824</v>
      </c>
      <c r="L175" s="2">
        <v>384101800</v>
      </c>
      <c r="M175" s="2">
        <v>439025199</v>
      </c>
      <c r="N175" s="2">
        <v>498838079</v>
      </c>
      <c r="O175" s="2">
        <v>501970859</v>
      </c>
      <c r="P175" s="2">
        <v>558958710</v>
      </c>
      <c r="Q175" s="2">
        <v>617759227</v>
      </c>
      <c r="R175" s="2">
        <v>667178174</v>
      </c>
      <c r="S175" s="2">
        <v>711567962</v>
      </c>
      <c r="T175" s="2">
        <v>759600146</v>
      </c>
      <c r="U175" s="2">
        <v>815042633</v>
      </c>
      <c r="V175" s="2">
        <v>368645.49</v>
      </c>
      <c r="W175" t="str">
        <f t="shared" si="7"/>
        <v>24105</v>
      </c>
      <c r="X175" s="2">
        <v>371315.64</v>
      </c>
    </row>
    <row r="176" spans="1:24">
      <c r="A176" t="s">
        <v>493</v>
      </c>
      <c r="B176" t="s">
        <v>494</v>
      </c>
      <c r="C176" s="1"/>
      <c r="D176" s="1"/>
      <c r="E176" s="1"/>
      <c r="F176" s="2"/>
      <c r="G176" s="2">
        <f>VLOOKUP(A176,'Voter Approved'!$A$3:$F$298,3,FALSE)</f>
        <v>27100000</v>
      </c>
      <c r="H176" s="2">
        <v>27100000</v>
      </c>
      <c r="I176" s="2">
        <v>9489168970</v>
      </c>
      <c r="J176" s="2">
        <v>10270403604</v>
      </c>
      <c r="K176" s="2">
        <v>10627428582</v>
      </c>
      <c r="L176" s="2">
        <v>12204783572</v>
      </c>
      <c r="M176" s="2">
        <v>15296333549</v>
      </c>
      <c r="N176" s="2">
        <v>14942639793</v>
      </c>
      <c r="O176" s="2">
        <v>18887675694</v>
      </c>
      <c r="P176" s="2">
        <v>21229583670</v>
      </c>
      <c r="Q176" s="2">
        <v>23467829505</v>
      </c>
      <c r="R176" s="2">
        <v>26543949705</v>
      </c>
      <c r="S176" s="2">
        <v>29941086597</v>
      </c>
      <c r="T176" s="2">
        <v>34614900138</v>
      </c>
      <c r="U176" s="2">
        <v>38422426206</v>
      </c>
      <c r="V176" s="2">
        <v>0</v>
      </c>
      <c r="W176" t="str">
        <f t="shared" si="7"/>
        <v>34111</v>
      </c>
      <c r="X176" s="2">
        <v>13779440.16</v>
      </c>
    </row>
    <row r="177" spans="1:24">
      <c r="A177" t="s">
        <v>315</v>
      </c>
      <c r="B177" t="s">
        <v>316</v>
      </c>
      <c r="C177" s="1"/>
      <c r="D177" s="1"/>
      <c r="E177" s="1"/>
      <c r="F177" s="2"/>
      <c r="G177" s="2">
        <f>VLOOKUP(A177,'Voter Approved'!$A$3:$F$298,3,FALSE)</f>
        <v>995380</v>
      </c>
      <c r="H177" s="2">
        <v>995380</v>
      </c>
      <c r="I177" s="2">
        <v>671839430</v>
      </c>
      <c r="J177" s="2">
        <v>679410698</v>
      </c>
      <c r="K177" s="2">
        <v>684038169</v>
      </c>
      <c r="L177" s="2">
        <v>796045117</v>
      </c>
      <c r="M177" s="2">
        <v>878441947</v>
      </c>
      <c r="N177" s="2">
        <v>1006057071</v>
      </c>
      <c r="O177" s="2">
        <v>1012845116</v>
      </c>
      <c r="P177" s="2">
        <v>1107744726</v>
      </c>
      <c r="Q177" s="2">
        <v>1224433328</v>
      </c>
      <c r="R177" s="2">
        <v>1320494785</v>
      </c>
      <c r="S177" s="2">
        <v>1388576293</v>
      </c>
      <c r="T177" s="2">
        <v>1475797511</v>
      </c>
      <c r="U177" s="2">
        <v>1564218192</v>
      </c>
      <c r="V177" s="2">
        <v>2161411.7999999998</v>
      </c>
      <c r="W177" t="str">
        <f t="shared" si="7"/>
        <v>24019</v>
      </c>
      <c r="X177" s="2">
        <v>573934.79</v>
      </c>
    </row>
    <row r="178" spans="1:24">
      <c r="A178" t="s">
        <v>273</v>
      </c>
      <c r="B178" t="s">
        <v>274</v>
      </c>
      <c r="C178" s="1"/>
      <c r="D178" s="1"/>
      <c r="E178" s="1"/>
      <c r="F178" s="2"/>
      <c r="G178" s="2">
        <f>VLOOKUP(A178,'Voter Approved'!$A$3:$F$298,3,FALSE)</f>
        <v>1100000</v>
      </c>
      <c r="H178" s="2">
        <v>1100000</v>
      </c>
      <c r="I178" s="2">
        <v>563770261</v>
      </c>
      <c r="J178" s="2">
        <v>645198108</v>
      </c>
      <c r="K178" s="2">
        <v>690499069</v>
      </c>
      <c r="L178" s="2">
        <v>1047883716</v>
      </c>
      <c r="M178" s="2">
        <v>1317694934</v>
      </c>
      <c r="N178" s="2">
        <v>1412576837</v>
      </c>
      <c r="O178" s="2">
        <v>1665213812</v>
      </c>
      <c r="P178" s="2">
        <v>1842157184</v>
      </c>
      <c r="Q178" s="2">
        <v>2069463963</v>
      </c>
      <c r="R178" s="2">
        <v>2272255598</v>
      </c>
      <c r="S178" s="2">
        <v>2484806305</v>
      </c>
      <c r="T178" s="2">
        <v>2725446010</v>
      </c>
      <c r="U178" s="2">
        <v>3007030944</v>
      </c>
      <c r="V178" s="2">
        <v>0</v>
      </c>
      <c r="W178" t="str">
        <f t="shared" si="7"/>
        <v>21300</v>
      </c>
      <c r="X178" s="2">
        <v>568560</v>
      </c>
    </row>
    <row r="179" spans="1:24">
      <c r="A179" t="s">
        <v>463</v>
      </c>
      <c r="B179" t="s">
        <v>464</v>
      </c>
      <c r="C179" s="1"/>
      <c r="D179" s="1"/>
      <c r="E179" s="1"/>
      <c r="F179" s="2"/>
      <c r="G179" s="2">
        <f>VLOOKUP(A179,'Voter Approved'!$A$3:$F$298,3,FALSE)</f>
        <v>45000</v>
      </c>
      <c r="H179" s="2">
        <v>45000</v>
      </c>
      <c r="I179" s="2">
        <v>28309187.539999999</v>
      </c>
      <c r="J179" s="2">
        <v>29396286</v>
      </c>
      <c r="K179" s="2">
        <v>29569919</v>
      </c>
      <c r="L179" s="2">
        <v>34704308</v>
      </c>
      <c r="M179" s="2">
        <v>36851684</v>
      </c>
      <c r="N179" s="2">
        <v>40226150</v>
      </c>
      <c r="O179" s="2">
        <v>44337616</v>
      </c>
      <c r="P179" s="2">
        <v>48133474</v>
      </c>
      <c r="Q179" s="2">
        <v>52190443</v>
      </c>
      <c r="R179" s="2">
        <v>55863765</v>
      </c>
      <c r="S179" s="2">
        <v>59461262</v>
      </c>
      <c r="T179" s="2">
        <v>64906760</v>
      </c>
      <c r="U179" s="2">
        <v>69911841</v>
      </c>
      <c r="V179" s="2">
        <v>13175.89</v>
      </c>
      <c r="W179" t="str">
        <f t="shared" si="7"/>
        <v>33030</v>
      </c>
      <c r="X179" s="2">
        <v>37810.19</v>
      </c>
    </row>
    <row r="180" spans="1:24">
      <c r="A180" t="s">
        <v>379</v>
      </c>
      <c r="B180" t="s">
        <v>380</v>
      </c>
      <c r="C180" s="1"/>
      <c r="D180" s="1"/>
      <c r="E180" s="1"/>
      <c r="F180" s="2"/>
      <c r="G180" s="2">
        <f>VLOOKUP(A180,'Voter Approved'!$A$3:$F$298,3,FALSE)</f>
        <v>2225000</v>
      </c>
      <c r="H180" s="2">
        <v>2225000</v>
      </c>
      <c r="I180" s="2">
        <v>2557622562</v>
      </c>
      <c r="J180" s="2">
        <v>2901668343</v>
      </c>
      <c r="K180" s="2">
        <v>2988381885</v>
      </c>
      <c r="L180" s="2">
        <v>3371420700</v>
      </c>
      <c r="M180" s="2">
        <v>4360983523</v>
      </c>
      <c r="N180" s="2">
        <v>4904508156</v>
      </c>
      <c r="O180" s="2">
        <v>5190416366</v>
      </c>
      <c r="P180" s="2">
        <v>5672576009</v>
      </c>
      <c r="Q180" s="2">
        <v>6256682614</v>
      </c>
      <c r="R180" s="2">
        <v>6992652915</v>
      </c>
      <c r="S180" s="2">
        <v>7725573888</v>
      </c>
      <c r="T180" s="2">
        <v>8506787555</v>
      </c>
      <c r="U180" s="2">
        <v>9527961142</v>
      </c>
      <c r="V180" s="2">
        <v>0</v>
      </c>
      <c r="W180" t="str">
        <f t="shared" si="7"/>
        <v>28137</v>
      </c>
      <c r="X180" s="2">
        <v>1033941.15</v>
      </c>
    </row>
    <row r="181" spans="1:24">
      <c r="A181" t="s">
        <v>437</v>
      </c>
      <c r="B181" t="s">
        <v>438</v>
      </c>
      <c r="C181" s="1"/>
      <c r="D181" s="1"/>
      <c r="E181" s="1"/>
      <c r="F181" s="2"/>
      <c r="G181" s="2">
        <f>VLOOKUP(A181,'Voter Approved'!$A$3:$F$298,3,FALSE)</f>
        <v>115000</v>
      </c>
      <c r="H181" s="2">
        <v>115000</v>
      </c>
      <c r="I181" s="2">
        <v>105533406</v>
      </c>
      <c r="J181" s="2">
        <v>112377564</v>
      </c>
      <c r="K181" s="2">
        <v>123911643</v>
      </c>
      <c r="L181" s="2">
        <v>141787654</v>
      </c>
      <c r="M181" s="2">
        <v>179652253</v>
      </c>
      <c r="N181" s="2">
        <v>184738766</v>
      </c>
      <c r="O181" s="2">
        <v>188261280</v>
      </c>
      <c r="P181" s="2">
        <v>198339229</v>
      </c>
      <c r="Q181" s="2">
        <v>206993862</v>
      </c>
      <c r="R181" s="2">
        <v>214099797</v>
      </c>
      <c r="S181" s="2">
        <v>226861460</v>
      </c>
      <c r="T181" s="2">
        <v>236979034</v>
      </c>
      <c r="U181" s="2">
        <v>251609477</v>
      </c>
      <c r="V181" s="2">
        <v>0</v>
      </c>
      <c r="W181" t="str">
        <f t="shared" si="7"/>
        <v>32123</v>
      </c>
      <c r="X181" s="2">
        <v>106605</v>
      </c>
    </row>
    <row r="182" spans="1:24">
      <c r="A182" t="s">
        <v>100</v>
      </c>
      <c r="B182" t="s">
        <v>101</v>
      </c>
      <c r="C182" s="1"/>
      <c r="D182" s="1"/>
      <c r="E182" s="1"/>
      <c r="F182" s="2"/>
      <c r="G182" s="2">
        <f>VLOOKUP(A182,'Voter Approved'!$A$3:$F$298,3,FALSE)</f>
        <v>60000</v>
      </c>
      <c r="H182" s="2">
        <v>60000</v>
      </c>
      <c r="I182" s="2">
        <v>123884844.77713674</v>
      </c>
      <c r="J182" s="2">
        <v>138608368</v>
      </c>
      <c r="K182" s="2">
        <v>133945663</v>
      </c>
      <c r="L182" s="2">
        <v>143806831</v>
      </c>
      <c r="M182" s="2">
        <v>166661939</v>
      </c>
      <c r="N182" s="2">
        <v>170596360</v>
      </c>
      <c r="O182" s="2">
        <v>192743099</v>
      </c>
      <c r="P182" s="2">
        <v>210587613</v>
      </c>
      <c r="Q182" s="2">
        <v>224966068</v>
      </c>
      <c r="R182" s="2">
        <v>240968729</v>
      </c>
      <c r="S182" s="2">
        <v>259972339</v>
      </c>
      <c r="T182" s="2">
        <v>274727866</v>
      </c>
      <c r="U182" s="2">
        <v>291367186</v>
      </c>
      <c r="V182" s="2">
        <v>0</v>
      </c>
      <c r="W182" t="str">
        <f t="shared" si="7"/>
        <v>10065</v>
      </c>
      <c r="X182" s="2">
        <v>0</v>
      </c>
    </row>
    <row r="183" spans="1:24">
      <c r="A183" t="s">
        <v>84</v>
      </c>
      <c r="B183" t="s">
        <v>85</v>
      </c>
      <c r="C183" s="1"/>
      <c r="D183" s="1"/>
      <c r="E183" s="1"/>
      <c r="F183" s="2"/>
      <c r="G183" s="2">
        <f>VLOOKUP(A183,'Voter Approved'!$A$3:$F$298,3,FALSE)</f>
        <v>584079</v>
      </c>
      <c r="H183" s="2">
        <v>584079</v>
      </c>
      <c r="I183" s="2">
        <v>448841642</v>
      </c>
      <c r="J183" s="2">
        <v>483266840</v>
      </c>
      <c r="K183" s="2">
        <v>502889369</v>
      </c>
      <c r="L183" s="2">
        <v>558749745</v>
      </c>
      <c r="M183" s="2">
        <v>693758894</v>
      </c>
      <c r="N183" s="2">
        <v>787053617</v>
      </c>
      <c r="O183" s="2">
        <v>887495393</v>
      </c>
      <c r="P183" s="2">
        <v>1011142861</v>
      </c>
      <c r="Q183" s="2">
        <v>1181941682</v>
      </c>
      <c r="R183" s="2">
        <v>1288537797</v>
      </c>
      <c r="S183" s="2">
        <v>1423147493</v>
      </c>
      <c r="T183" s="2">
        <v>1647774362</v>
      </c>
      <c r="U183" s="2">
        <v>1851800910</v>
      </c>
      <c r="V183" s="2">
        <v>0</v>
      </c>
      <c r="W183" t="str">
        <f t="shared" si="7"/>
        <v>09013</v>
      </c>
      <c r="X183" s="2">
        <v>275766.39</v>
      </c>
    </row>
    <row r="184" spans="1:24">
      <c r="A184" t="s">
        <v>327</v>
      </c>
      <c r="B184" t="s">
        <v>328</v>
      </c>
      <c r="C184" s="1"/>
      <c r="D184" s="1"/>
      <c r="E184" s="1"/>
      <c r="F184" s="2"/>
      <c r="G184" s="2">
        <f>VLOOKUP(A184,'Voter Approved'!$A$3:$F$298,3,FALSE)</f>
        <v>1497371</v>
      </c>
      <c r="H184" s="2">
        <v>1497371</v>
      </c>
      <c r="I184" s="2">
        <v>546002312</v>
      </c>
      <c r="J184" s="2">
        <v>532981424</v>
      </c>
      <c r="K184" s="2">
        <v>533828973</v>
      </c>
      <c r="L184" s="2">
        <v>550617827</v>
      </c>
      <c r="M184" s="2">
        <v>632098759</v>
      </c>
      <c r="N184" s="2">
        <v>702367662</v>
      </c>
      <c r="O184" s="2">
        <v>707351562</v>
      </c>
      <c r="P184" s="2">
        <v>744049511</v>
      </c>
      <c r="Q184" s="2">
        <v>820511370</v>
      </c>
      <c r="R184" s="2">
        <v>842612332</v>
      </c>
      <c r="S184" s="2">
        <v>859753086</v>
      </c>
      <c r="T184" s="2">
        <v>907340605</v>
      </c>
      <c r="U184" s="2">
        <v>952266903</v>
      </c>
      <c r="V184" s="2">
        <v>0</v>
      </c>
      <c r="W184" t="str">
        <f t="shared" si="7"/>
        <v>24410</v>
      </c>
      <c r="X184" s="2">
        <v>582584.48</v>
      </c>
    </row>
    <row r="185" spans="1:24">
      <c r="A185" t="s">
        <v>361</v>
      </c>
      <c r="B185" t="s">
        <v>362</v>
      </c>
      <c r="C185" s="1"/>
      <c r="D185" s="1"/>
      <c r="E185" s="1"/>
      <c r="F185" s="2"/>
      <c r="G185" s="2">
        <f>VLOOKUP(A185,'Voter Approved'!$A$3:$F$298,3,FALSE)</f>
        <v>3300000</v>
      </c>
      <c r="H185" s="2">
        <v>3300000</v>
      </c>
      <c r="I185" s="2">
        <v>1633326353</v>
      </c>
      <c r="J185" s="2">
        <v>1798263432</v>
      </c>
      <c r="K185" s="2">
        <v>2097865503</v>
      </c>
      <c r="L185" s="2">
        <v>2627941240</v>
      </c>
      <c r="M185" s="2">
        <v>3306201902</v>
      </c>
      <c r="N185" s="2">
        <v>3455489817</v>
      </c>
      <c r="O185" s="2">
        <v>3688878255</v>
      </c>
      <c r="P185" s="2">
        <v>4209829051</v>
      </c>
      <c r="Q185" s="2">
        <v>4646045272</v>
      </c>
      <c r="R185" s="2">
        <v>5171174765</v>
      </c>
      <c r="S185" s="2">
        <v>5757742941</v>
      </c>
      <c r="T185" s="2">
        <v>6366621141</v>
      </c>
      <c r="U185" s="2">
        <v>6985902258</v>
      </c>
      <c r="V185" s="2">
        <v>21517.42</v>
      </c>
      <c r="W185" t="str">
        <f t="shared" si="7"/>
        <v>27344</v>
      </c>
      <c r="X185" s="2">
        <v>3092850.79</v>
      </c>
    </row>
    <row r="186" spans="1:24">
      <c r="A186" t="s">
        <v>4</v>
      </c>
      <c r="B186" t="s">
        <v>5</v>
      </c>
      <c r="C186" s="1"/>
      <c r="D186" s="1"/>
      <c r="E186" s="1"/>
      <c r="F186" s="2"/>
      <c r="G186" s="2">
        <f>VLOOKUP(A186,'Voter Approved'!$A$3:$F$298,3,FALSE)</f>
        <v>3200000</v>
      </c>
      <c r="H186" s="2">
        <v>3200000</v>
      </c>
      <c r="I186" s="2">
        <v>1309649703</v>
      </c>
      <c r="J186" s="2">
        <v>1418900891</v>
      </c>
      <c r="K186" s="2">
        <v>1493187121</v>
      </c>
      <c r="L186" s="2">
        <v>1612847469</v>
      </c>
      <c r="M186" s="2">
        <v>2177681099</v>
      </c>
      <c r="N186" s="2">
        <v>2303722398</v>
      </c>
      <c r="O186" s="2">
        <v>2905270589</v>
      </c>
      <c r="P186" s="2">
        <v>3329941654</v>
      </c>
      <c r="Q186" s="2">
        <v>3857945555</v>
      </c>
      <c r="R186" s="2">
        <v>4468255234</v>
      </c>
      <c r="S186" s="2">
        <v>5197970557</v>
      </c>
      <c r="T186" s="2">
        <v>5845091902</v>
      </c>
      <c r="U186" s="2">
        <v>6619768490</v>
      </c>
      <c r="V186" s="2">
        <v>1245018.3899999999</v>
      </c>
      <c r="W186" t="str">
        <f t="shared" si="7"/>
        <v>01147</v>
      </c>
      <c r="X186" s="2">
        <v>1338485</v>
      </c>
    </row>
    <row r="187" spans="1:24">
      <c r="A187" t="s">
        <v>88</v>
      </c>
      <c r="B187" t="s">
        <v>89</v>
      </c>
      <c r="C187" s="1"/>
      <c r="D187" s="1"/>
      <c r="E187" s="1"/>
      <c r="F187" s="2"/>
      <c r="G187" s="2">
        <f>VLOOKUP(A187,'Voter Approved'!$A$3:$F$298,3,FALSE)</f>
        <v>149000</v>
      </c>
      <c r="H187" s="2">
        <v>149000</v>
      </c>
      <c r="I187" s="2">
        <v>61734943</v>
      </c>
      <c r="J187" s="2">
        <v>67564979</v>
      </c>
      <c r="K187" s="2">
        <v>71344878</v>
      </c>
      <c r="L187" s="2">
        <v>78177480</v>
      </c>
      <c r="M187" s="2">
        <v>86236018</v>
      </c>
      <c r="N187" s="2">
        <v>88704642</v>
      </c>
      <c r="O187" s="2">
        <v>108164323</v>
      </c>
      <c r="P187" s="2">
        <v>124000161</v>
      </c>
      <c r="Q187" s="2">
        <v>141816720</v>
      </c>
      <c r="R187" s="2">
        <v>154748471</v>
      </c>
      <c r="S187" s="2">
        <v>163239553</v>
      </c>
      <c r="T187" s="2">
        <v>187955940</v>
      </c>
      <c r="U187" s="2">
        <v>212629498</v>
      </c>
      <c r="V187" s="2">
        <v>0</v>
      </c>
      <c r="W187" t="str">
        <f t="shared" si="7"/>
        <v>09102</v>
      </c>
      <c r="X187" s="2">
        <v>58722.91</v>
      </c>
    </row>
    <row r="188" spans="1:24">
      <c r="A188" t="s">
        <v>543</v>
      </c>
      <c r="B188" t="s">
        <v>544</v>
      </c>
      <c r="C188" s="1"/>
      <c r="D188" s="1"/>
      <c r="E188" s="1"/>
      <c r="F188" s="2"/>
      <c r="G188" s="2">
        <f>VLOOKUP(A188,'Voter Approved'!$A$3:$F$298,3,FALSE)</f>
        <v>270000</v>
      </c>
      <c r="H188" s="2">
        <v>270000</v>
      </c>
      <c r="I188" s="2">
        <v>134112149</v>
      </c>
      <c r="J188" s="2">
        <v>151534839</v>
      </c>
      <c r="K188" s="2">
        <v>152970757</v>
      </c>
      <c r="L188" s="2">
        <v>154769896</v>
      </c>
      <c r="M188" s="2">
        <v>156349014</v>
      </c>
      <c r="N188" s="2">
        <v>160660880</v>
      </c>
      <c r="O188" s="2">
        <v>173886029</v>
      </c>
      <c r="P188" s="2">
        <v>188247148</v>
      </c>
      <c r="Q188" s="2">
        <v>200472233</v>
      </c>
      <c r="R188" s="2">
        <v>215198222</v>
      </c>
      <c r="S188" s="2">
        <v>227269902</v>
      </c>
      <c r="T188" s="2">
        <v>241749249</v>
      </c>
      <c r="U188" s="2">
        <v>259840910</v>
      </c>
      <c r="V188" s="2">
        <v>18303.54</v>
      </c>
      <c r="W188" t="str">
        <f t="shared" si="7"/>
        <v>38301</v>
      </c>
      <c r="X188" s="2">
        <v>190302.81</v>
      </c>
    </row>
    <row r="189" spans="1:24">
      <c r="A189" t="s">
        <v>106</v>
      </c>
      <c r="B189" t="s">
        <v>107</v>
      </c>
      <c r="C189" s="1"/>
      <c r="D189" s="1"/>
      <c r="E189" s="1"/>
      <c r="F189" s="2"/>
      <c r="G189" s="2">
        <f>VLOOKUP(A189,'Voter Approved'!$A$3:$F$298,3,FALSE)</f>
        <v>10537658</v>
      </c>
      <c r="H189" s="2">
        <v>10537658</v>
      </c>
      <c r="I189" s="2">
        <v>7120879639</v>
      </c>
      <c r="J189" s="2">
        <v>7829830759</v>
      </c>
      <c r="K189" s="2">
        <v>8631934628</v>
      </c>
      <c r="L189" s="2">
        <v>10170113930</v>
      </c>
      <c r="M189" s="2">
        <v>12068386999</v>
      </c>
      <c r="N189" s="2">
        <v>15130845507</v>
      </c>
      <c r="O189" s="2">
        <v>15461397333</v>
      </c>
      <c r="P189" s="2">
        <v>17184156616</v>
      </c>
      <c r="Q189" s="2">
        <v>19291972906</v>
      </c>
      <c r="R189" s="2">
        <v>22001690700</v>
      </c>
      <c r="S189" s="2">
        <v>24756953988</v>
      </c>
      <c r="T189" s="2">
        <v>27730501921</v>
      </c>
      <c r="U189" s="2">
        <v>31651278315</v>
      </c>
      <c r="V189" s="2">
        <v>3488004.39</v>
      </c>
      <c r="W189" t="str">
        <f t="shared" si="7"/>
        <v>11001</v>
      </c>
      <c r="X189" s="2">
        <v>12015568</v>
      </c>
    </row>
    <row r="190" spans="1:24">
      <c r="A190" t="s">
        <v>321</v>
      </c>
      <c r="B190" t="s">
        <v>322</v>
      </c>
      <c r="C190" s="1"/>
      <c r="D190" s="1"/>
      <c r="E190" s="1"/>
      <c r="F190" s="2"/>
      <c r="G190" s="2">
        <f>VLOOKUP(A190,'Voter Approved'!$A$3:$F$298,3,FALSE)</f>
        <v>664000</v>
      </c>
      <c r="H190" s="2">
        <v>664000</v>
      </c>
      <c r="I190" s="2">
        <v>205593001</v>
      </c>
      <c r="J190" s="2">
        <v>207417252</v>
      </c>
      <c r="K190" s="2">
        <v>220995337</v>
      </c>
      <c r="L190" s="2">
        <v>247535840</v>
      </c>
      <c r="M190" s="2">
        <v>282691206</v>
      </c>
      <c r="N190" s="2">
        <v>360817454</v>
      </c>
      <c r="O190" s="2">
        <v>337665084</v>
      </c>
      <c r="P190" s="2">
        <v>365143083</v>
      </c>
      <c r="Q190" s="2">
        <v>405245739</v>
      </c>
      <c r="R190" s="2">
        <v>441651310</v>
      </c>
      <c r="S190" s="2">
        <v>479939812</v>
      </c>
      <c r="T190" s="2">
        <v>527619332</v>
      </c>
      <c r="U190" s="2">
        <v>577924259</v>
      </c>
      <c r="V190" s="2">
        <v>0</v>
      </c>
      <c r="W190" t="str">
        <f t="shared" si="7"/>
        <v>24122</v>
      </c>
      <c r="X190" s="2">
        <v>285227.59999999998</v>
      </c>
    </row>
    <row r="191" spans="1:24">
      <c r="A191" t="s">
        <v>16</v>
      </c>
      <c r="B191" t="s">
        <v>17</v>
      </c>
      <c r="C191" s="1"/>
      <c r="D191" s="1"/>
      <c r="E191" s="1"/>
      <c r="F191" s="2"/>
      <c r="G191" s="2">
        <f>VLOOKUP(A191,'Voter Approved'!$A$3:$F$298,3,FALSE)</f>
        <v>314807</v>
      </c>
      <c r="H191" s="2">
        <v>314807</v>
      </c>
      <c r="I191" s="2">
        <v>499438129</v>
      </c>
      <c r="J191" s="2">
        <v>501170240</v>
      </c>
      <c r="K191" s="2">
        <v>514113344</v>
      </c>
      <c r="L191" s="2">
        <v>509873633</v>
      </c>
      <c r="M191" s="2">
        <v>522284115</v>
      </c>
      <c r="N191" s="2">
        <v>569510184</v>
      </c>
      <c r="O191" s="2">
        <v>554200690</v>
      </c>
      <c r="P191" s="2">
        <v>576883870</v>
      </c>
      <c r="Q191" s="2">
        <v>578562069</v>
      </c>
      <c r="R191" s="2">
        <v>590934822</v>
      </c>
      <c r="S191" s="2">
        <v>615971288</v>
      </c>
      <c r="T191" s="2">
        <v>637382212</v>
      </c>
      <c r="U191" s="2">
        <v>628638706</v>
      </c>
      <c r="V191" s="2">
        <v>0</v>
      </c>
      <c r="W191" t="str">
        <f t="shared" si="7"/>
        <v>03050</v>
      </c>
      <c r="X191" s="2">
        <v>170758.94</v>
      </c>
    </row>
    <row r="192" spans="1:24">
      <c r="A192" t="s">
        <v>275</v>
      </c>
      <c r="B192" t="s">
        <v>276</v>
      </c>
      <c r="C192" s="1"/>
      <c r="D192" s="1"/>
      <c r="E192" s="1"/>
      <c r="F192" s="2"/>
      <c r="G192" s="2">
        <f>VLOOKUP(A192,'Voter Approved'!$A$3:$F$298,3,FALSE)</f>
        <v>350000</v>
      </c>
      <c r="H192" s="2">
        <v>350000</v>
      </c>
      <c r="I192" s="2">
        <v>215859329</v>
      </c>
      <c r="J192" s="2">
        <v>241598138</v>
      </c>
      <c r="K192" s="2">
        <v>252427210</v>
      </c>
      <c r="L192" s="2">
        <v>280158518</v>
      </c>
      <c r="M192" s="2">
        <v>366446568</v>
      </c>
      <c r="N192" s="2">
        <v>393822752</v>
      </c>
      <c r="O192" s="2">
        <v>439039151</v>
      </c>
      <c r="P192" s="2">
        <v>473985168</v>
      </c>
      <c r="Q192" s="2">
        <v>532679295</v>
      </c>
      <c r="R192" s="2">
        <v>576801969</v>
      </c>
      <c r="S192" s="2">
        <v>615831328</v>
      </c>
      <c r="T192" s="2">
        <v>669782945</v>
      </c>
      <c r="U192" s="2">
        <v>731853397</v>
      </c>
      <c r="V192" s="2">
        <v>0</v>
      </c>
      <c r="W192" t="str">
        <f t="shared" si="7"/>
        <v>21301</v>
      </c>
      <c r="X192" s="2">
        <v>165830</v>
      </c>
    </row>
    <row r="193" spans="1:24">
      <c r="A193" t="s">
        <v>365</v>
      </c>
      <c r="B193" t="s">
        <v>366</v>
      </c>
      <c r="C193" s="1"/>
      <c r="D193" s="1"/>
      <c r="E193" s="1"/>
      <c r="F193" s="2"/>
      <c r="G193" s="2">
        <f>VLOOKUP(A193,'Voter Approved'!$A$3:$F$298,3,FALSE)</f>
        <v>26750000</v>
      </c>
      <c r="H193" s="2">
        <v>26750000</v>
      </c>
      <c r="I193" s="2">
        <v>14154638131</v>
      </c>
      <c r="J193" s="2">
        <v>15381003708</v>
      </c>
      <c r="K193" s="2">
        <v>16761684404</v>
      </c>
      <c r="L193" s="2">
        <v>19170770541</v>
      </c>
      <c r="M193" s="2">
        <v>23783497379</v>
      </c>
      <c r="N193" s="2">
        <v>23970315819</v>
      </c>
      <c r="O193" s="2">
        <v>24526225391</v>
      </c>
      <c r="P193" s="2">
        <v>26433119077</v>
      </c>
      <c r="Q193" s="2">
        <v>27510278226</v>
      </c>
      <c r="R193" s="2">
        <v>28718150439</v>
      </c>
      <c r="S193" s="2">
        <v>30637774969</v>
      </c>
      <c r="T193" s="2">
        <v>32170352252</v>
      </c>
      <c r="U193" s="2">
        <v>33647732281</v>
      </c>
      <c r="V193" s="2">
        <v>0</v>
      </c>
      <c r="W193" t="str">
        <f t="shared" si="7"/>
        <v>27401</v>
      </c>
      <c r="X193" s="2">
        <v>12792600</v>
      </c>
    </row>
    <row r="194" spans="1:24">
      <c r="A194" t="s">
        <v>307</v>
      </c>
      <c r="B194" t="s">
        <v>308</v>
      </c>
      <c r="C194" s="1"/>
      <c r="D194" s="1"/>
      <c r="E194" s="1"/>
      <c r="F194" s="2"/>
      <c r="G194" s="2">
        <f>VLOOKUP(A194,'Voter Approved'!$A$3:$F$298,3,FALSE)</f>
        <v>2641258</v>
      </c>
      <c r="H194" s="2">
        <v>2641258</v>
      </c>
      <c r="I194" s="2">
        <v>1479466585</v>
      </c>
      <c r="J194" s="2">
        <v>1571151195</v>
      </c>
      <c r="K194" s="2">
        <v>1782213321</v>
      </c>
      <c r="L194" s="2">
        <v>2119174498</v>
      </c>
      <c r="M194" s="2">
        <v>2361072940</v>
      </c>
      <c r="N194" s="2">
        <v>2653819938</v>
      </c>
      <c r="O194" s="2">
        <v>2919792834</v>
      </c>
      <c r="P194" s="2">
        <v>3244080762</v>
      </c>
      <c r="Q194" s="2">
        <v>3577982325</v>
      </c>
      <c r="R194" s="2">
        <v>3890080382</v>
      </c>
      <c r="S194" s="2">
        <v>4303421205</v>
      </c>
      <c r="T194" s="2">
        <v>4765359792</v>
      </c>
      <c r="U194" s="2">
        <v>5422038386</v>
      </c>
      <c r="V194" s="2">
        <v>0</v>
      </c>
      <c r="W194" t="str">
        <f t="shared" si="7"/>
        <v>23402</v>
      </c>
      <c r="X194" s="2">
        <v>1327639.72</v>
      </c>
    </row>
    <row r="195" spans="1:24">
      <c r="A195" t="s">
        <v>114</v>
      </c>
      <c r="B195" t="s">
        <v>115</v>
      </c>
      <c r="C195" s="1"/>
      <c r="D195" s="1"/>
      <c r="E195" s="1"/>
      <c r="F195" s="2"/>
      <c r="G195" s="2">
        <f>VLOOKUP(A195,'Voter Approved'!$A$3:$F$298,3,FALSE)</f>
        <v>1080000</v>
      </c>
      <c r="H195" s="2">
        <v>800500</v>
      </c>
      <c r="I195" s="2">
        <v>607758468</v>
      </c>
      <c r="J195" s="2">
        <v>546392513</v>
      </c>
      <c r="K195" s="2">
        <v>513115006</v>
      </c>
      <c r="L195" s="2">
        <v>535783386</v>
      </c>
      <c r="M195" s="2">
        <v>526582696</v>
      </c>
      <c r="N195" s="2">
        <v>526205710</v>
      </c>
      <c r="O195" s="2">
        <v>528558156</v>
      </c>
      <c r="P195" s="2">
        <v>537450836</v>
      </c>
      <c r="Q195" s="2">
        <v>525595259</v>
      </c>
      <c r="R195" s="2">
        <v>528760351</v>
      </c>
      <c r="S195" s="2">
        <v>526916497</v>
      </c>
      <c r="T195" s="2">
        <v>531930455</v>
      </c>
      <c r="U195" s="2">
        <v>534362926</v>
      </c>
      <c r="V195" s="2">
        <v>0</v>
      </c>
      <c r="W195" t="str">
        <f t="shared" si="7"/>
        <v>12110</v>
      </c>
      <c r="X195" s="2">
        <v>516881.04</v>
      </c>
    </row>
    <row r="196" spans="1:24">
      <c r="A196" t="s">
        <v>40</v>
      </c>
      <c r="B196" t="s">
        <v>41</v>
      </c>
      <c r="C196" s="1"/>
      <c r="D196" s="1"/>
      <c r="E196" s="1"/>
      <c r="F196" s="2"/>
      <c r="G196" s="2">
        <f>VLOOKUP(A196,'Voter Approved'!$A$3:$F$298,3,FALSE)</f>
        <v>9100000</v>
      </c>
      <c r="H196" s="2">
        <v>9100000</v>
      </c>
      <c r="I196" s="2">
        <v>3337106011.5</v>
      </c>
      <c r="J196" s="2">
        <v>3662840266</v>
      </c>
      <c r="K196" s="2">
        <v>3903969429</v>
      </c>
      <c r="L196" s="2">
        <v>4335334700</v>
      </c>
      <c r="M196" s="2">
        <v>5364061984</v>
      </c>
      <c r="N196" s="2">
        <v>5817539462</v>
      </c>
      <c r="O196" s="2">
        <v>6664086722</v>
      </c>
      <c r="P196" s="2">
        <v>7574065189</v>
      </c>
      <c r="Q196" s="2">
        <v>8282534867</v>
      </c>
      <c r="R196" s="2">
        <v>9375458504</v>
      </c>
      <c r="S196" s="2">
        <v>10280314784</v>
      </c>
      <c r="T196" s="2">
        <v>11460736873</v>
      </c>
      <c r="U196" s="2">
        <v>12661596037</v>
      </c>
      <c r="V196" s="2">
        <v>0</v>
      </c>
      <c r="W196" t="str">
        <f t="shared" ref="W196:W259" si="8">A196</f>
        <v>05121</v>
      </c>
      <c r="X196" s="2">
        <v>2653280</v>
      </c>
    </row>
    <row r="197" spans="1:24">
      <c r="A197" t="s">
        <v>176</v>
      </c>
      <c r="B197" t="s">
        <v>177</v>
      </c>
      <c r="C197" s="1"/>
      <c r="D197" s="1"/>
      <c r="E197" s="1"/>
      <c r="F197" s="2"/>
      <c r="G197" s="2">
        <f>VLOOKUP(A197,'Voter Approved'!$A$3:$F$298,3,FALSE)</f>
        <v>3880000</v>
      </c>
      <c r="H197" s="2">
        <v>2871606.02</v>
      </c>
      <c r="I197" s="2">
        <v>2704402190</v>
      </c>
      <c r="J197" s="2">
        <v>2962483385</v>
      </c>
      <c r="K197" s="2">
        <v>3177142308</v>
      </c>
      <c r="L197" s="2">
        <v>3509509223</v>
      </c>
      <c r="M197" s="2">
        <v>4285702345</v>
      </c>
      <c r="N197" s="2">
        <v>4532689672</v>
      </c>
      <c r="O197" s="2">
        <v>5133655468</v>
      </c>
      <c r="P197" s="2">
        <v>5732369377</v>
      </c>
      <c r="Q197" s="2">
        <v>6381421528</v>
      </c>
      <c r="R197" s="2">
        <v>7058466470</v>
      </c>
      <c r="S197" s="2">
        <v>7781619474</v>
      </c>
      <c r="T197" s="2">
        <v>8591557652</v>
      </c>
      <c r="U197" s="2">
        <v>9479307578</v>
      </c>
      <c r="V197" s="2">
        <v>0</v>
      </c>
      <c r="W197" t="str">
        <f t="shared" si="8"/>
        <v>16050</v>
      </c>
      <c r="X197" s="2">
        <v>1681990</v>
      </c>
    </row>
    <row r="198" spans="1:24">
      <c r="A198" t="s">
        <v>517</v>
      </c>
      <c r="B198" t="s">
        <v>518</v>
      </c>
      <c r="C198" s="1"/>
      <c r="D198" s="1"/>
      <c r="E198" s="1"/>
      <c r="F198" s="2"/>
      <c r="G198" s="2">
        <f>VLOOKUP(A198,'Voter Approved'!$A$3:$F$298,3,FALSE)</f>
        <v>560600</v>
      </c>
      <c r="H198" s="2">
        <v>560600</v>
      </c>
      <c r="I198" s="2">
        <v>382612670</v>
      </c>
      <c r="J198" s="2">
        <v>390532312</v>
      </c>
      <c r="K198" s="2">
        <v>411242649</v>
      </c>
      <c r="L198" s="2">
        <v>440962745</v>
      </c>
      <c r="M198" s="2">
        <v>454769311</v>
      </c>
      <c r="N198" s="2">
        <v>468439309</v>
      </c>
      <c r="O198" s="2">
        <v>509308685</v>
      </c>
      <c r="P198" s="2">
        <v>540491294</v>
      </c>
      <c r="Q198" s="2">
        <v>582735194</v>
      </c>
      <c r="R198" s="2">
        <v>629383755</v>
      </c>
      <c r="S198" s="2">
        <v>643363837</v>
      </c>
      <c r="T198" s="2">
        <v>663441611</v>
      </c>
      <c r="U198" s="2">
        <v>738486898</v>
      </c>
      <c r="V198" s="2">
        <v>0</v>
      </c>
      <c r="W198" t="str">
        <f t="shared" si="8"/>
        <v>36402</v>
      </c>
      <c r="X198" s="2">
        <v>324553</v>
      </c>
    </row>
    <row r="199" spans="1:24">
      <c r="A199" t="s">
        <v>22</v>
      </c>
      <c r="B199" t="s">
        <v>23</v>
      </c>
      <c r="C199" s="1"/>
      <c r="D199" s="1"/>
      <c r="E199" s="1"/>
      <c r="F199" s="2"/>
      <c r="G199" s="2">
        <f>VLOOKUP(A199,'Voter Approved'!$A$3:$F$298,3,FALSE)</f>
        <v>2412401</v>
      </c>
      <c r="H199" s="2">
        <v>2412401</v>
      </c>
      <c r="I199" s="2">
        <v>1562577452</v>
      </c>
      <c r="J199" s="2">
        <v>1610388734</v>
      </c>
      <c r="K199" s="2">
        <v>1663360031</v>
      </c>
      <c r="L199" s="2">
        <v>1715584407</v>
      </c>
      <c r="M199" s="2">
        <v>1847296941</v>
      </c>
      <c r="N199" s="2">
        <v>2076718875</v>
      </c>
      <c r="O199" s="2">
        <v>2146397316</v>
      </c>
      <c r="P199" s="2">
        <v>2290816238</v>
      </c>
      <c r="Q199" s="2">
        <v>2390116970</v>
      </c>
      <c r="R199" s="2">
        <v>2483818261</v>
      </c>
      <c r="S199" s="2">
        <v>2622330917</v>
      </c>
      <c r="T199" s="2">
        <v>2822800196</v>
      </c>
      <c r="U199" s="2">
        <v>2826570298</v>
      </c>
      <c r="V199" s="2">
        <v>423363.18</v>
      </c>
      <c r="W199" t="str">
        <f t="shared" si="8"/>
        <v>03116</v>
      </c>
      <c r="X199" s="2">
        <v>1845684.58</v>
      </c>
    </row>
    <row r="200" spans="1:24">
      <c r="A200" t="s">
        <v>539</v>
      </c>
      <c r="B200" t="s">
        <v>540</v>
      </c>
      <c r="C200" s="1"/>
      <c r="D200" s="1"/>
      <c r="E200" s="1"/>
      <c r="F200" s="2"/>
      <c r="G200" s="2">
        <f>VLOOKUP(A200,'Voter Approved'!$A$3:$F$298,3,FALSE)</f>
        <v>5500000</v>
      </c>
      <c r="H200" s="2">
        <v>5500000</v>
      </c>
      <c r="I200" s="2">
        <v>2268633826</v>
      </c>
      <c r="J200" s="2">
        <v>2446249414</v>
      </c>
      <c r="K200" s="2">
        <v>2534176782</v>
      </c>
      <c r="L200" s="2">
        <v>2589025160</v>
      </c>
      <c r="M200" s="2">
        <v>2646802950</v>
      </c>
      <c r="N200" s="2">
        <v>2967856039</v>
      </c>
      <c r="O200" s="2">
        <v>2989644719</v>
      </c>
      <c r="P200" s="2">
        <v>3249285969</v>
      </c>
      <c r="Q200" s="2">
        <v>3398553119</v>
      </c>
      <c r="R200" s="2">
        <v>3669955671</v>
      </c>
      <c r="S200" s="2">
        <v>3909546096</v>
      </c>
      <c r="T200" s="2">
        <v>4089876989</v>
      </c>
      <c r="U200" s="2">
        <v>4469575806</v>
      </c>
      <c r="V200" s="2">
        <v>220151.16</v>
      </c>
      <c r="W200" t="str">
        <f t="shared" si="8"/>
        <v>38267</v>
      </c>
      <c r="X200" s="2">
        <v>2511140</v>
      </c>
    </row>
    <row r="201" spans="1:24">
      <c r="A201" t="s">
        <v>349</v>
      </c>
      <c r="B201" t="s">
        <v>350</v>
      </c>
      <c r="C201" s="1"/>
      <c r="D201" s="1"/>
      <c r="E201" s="1"/>
      <c r="F201" s="2"/>
      <c r="G201" s="2">
        <f>VLOOKUP(A201,'Voter Approved'!$A$3:$F$298,3,FALSE)</f>
        <v>31500000</v>
      </c>
      <c r="H201" s="2">
        <v>31500000</v>
      </c>
      <c r="I201" s="2">
        <v>17355158304</v>
      </c>
      <c r="J201" s="2">
        <v>19036046050</v>
      </c>
      <c r="K201" s="2">
        <v>20746497935</v>
      </c>
      <c r="L201" s="2">
        <v>23867873092</v>
      </c>
      <c r="M201" s="2">
        <v>28680428245</v>
      </c>
      <c r="N201" s="2">
        <v>28673140073</v>
      </c>
      <c r="O201" s="2">
        <v>29571531939</v>
      </c>
      <c r="P201" s="2">
        <v>32302106288</v>
      </c>
      <c r="Q201" s="2">
        <v>34289986046</v>
      </c>
      <c r="R201" s="2">
        <v>36778008351</v>
      </c>
      <c r="S201" s="2">
        <v>38267567307</v>
      </c>
      <c r="T201" s="2">
        <v>40265017676</v>
      </c>
      <c r="U201" s="2">
        <v>42496108536</v>
      </c>
      <c r="V201" s="2">
        <v>436418.96</v>
      </c>
      <c r="W201" t="str">
        <f t="shared" si="8"/>
        <v>27003</v>
      </c>
      <c r="X201" s="2">
        <v>30966421.879999999</v>
      </c>
    </row>
    <row r="202" spans="1:24">
      <c r="A202" t="s">
        <v>168</v>
      </c>
      <c r="B202" t="s">
        <v>169</v>
      </c>
      <c r="C202" s="1"/>
      <c r="D202" s="1"/>
      <c r="E202" s="1"/>
      <c r="F202" s="2"/>
      <c r="G202" s="2">
        <f>VLOOKUP(A202,'Voter Approved'!$A$3:$F$298,3,FALSE)</f>
        <v>75000</v>
      </c>
      <c r="H202" s="2">
        <v>66702.98</v>
      </c>
      <c r="I202" s="2">
        <v>61603935</v>
      </c>
      <c r="J202" s="2">
        <v>59913382</v>
      </c>
      <c r="K202" s="2">
        <v>42987252</v>
      </c>
      <c r="L202" s="2">
        <v>50399734</v>
      </c>
      <c r="M202" s="2">
        <v>60818768</v>
      </c>
      <c r="N202" s="2">
        <v>96618440</v>
      </c>
      <c r="O202" s="2">
        <v>61968321</v>
      </c>
      <c r="P202" s="2">
        <v>62706258</v>
      </c>
      <c r="Q202" s="2">
        <v>63607159</v>
      </c>
      <c r="R202" s="2">
        <v>64366445</v>
      </c>
      <c r="S202" s="2">
        <v>65327853</v>
      </c>
      <c r="T202" s="2">
        <v>66285170</v>
      </c>
      <c r="U202" s="2">
        <v>67737134</v>
      </c>
      <c r="V202" s="2">
        <v>0</v>
      </c>
      <c r="W202" t="str">
        <f t="shared" si="8"/>
        <v>16020</v>
      </c>
      <c r="X202" s="2">
        <v>35535</v>
      </c>
    </row>
    <row r="203" spans="1:24">
      <c r="A203" t="s">
        <v>172</v>
      </c>
      <c r="B203" t="s">
        <v>173</v>
      </c>
      <c r="C203" s="1"/>
      <c r="D203" s="1"/>
      <c r="E203" s="1"/>
      <c r="F203" s="2"/>
      <c r="G203" s="2">
        <f>VLOOKUP(A203,'Voter Approved'!$A$3:$F$298,3,FALSE)</f>
        <v>561915</v>
      </c>
      <c r="H203" s="2">
        <v>567899.71</v>
      </c>
      <c r="I203" s="2">
        <v>374791084</v>
      </c>
      <c r="J203" s="2">
        <v>395017587</v>
      </c>
      <c r="K203" s="2">
        <v>409006542</v>
      </c>
      <c r="L203" s="2">
        <v>462491502</v>
      </c>
      <c r="M203" s="2">
        <v>545881944</v>
      </c>
      <c r="N203" s="2">
        <v>606965210</v>
      </c>
      <c r="O203" s="2">
        <v>635823392</v>
      </c>
      <c r="P203" s="2">
        <v>700662261</v>
      </c>
      <c r="Q203" s="2">
        <v>789651728</v>
      </c>
      <c r="R203" s="2">
        <v>870404071</v>
      </c>
      <c r="S203" s="2">
        <v>974224666</v>
      </c>
      <c r="T203" s="2">
        <v>1073603080</v>
      </c>
      <c r="U203" s="2">
        <v>1207475124</v>
      </c>
      <c r="V203" s="2">
        <v>62051.11</v>
      </c>
      <c r="W203" t="str">
        <f t="shared" si="8"/>
        <v>16048</v>
      </c>
      <c r="X203" s="2">
        <v>296408.81</v>
      </c>
    </row>
    <row r="204" spans="1:24">
      <c r="A204" t="s">
        <v>48</v>
      </c>
      <c r="B204" t="s">
        <v>49</v>
      </c>
      <c r="C204" s="1"/>
      <c r="D204" s="1"/>
      <c r="E204" s="1"/>
      <c r="F204" s="2"/>
      <c r="G204" s="2">
        <f>VLOOKUP(A204,'Voter Approved'!$A$3:$F$298,3,FALSE)</f>
        <v>714304</v>
      </c>
      <c r="H204" s="2">
        <v>714304</v>
      </c>
      <c r="I204" s="2">
        <v>470983958.5</v>
      </c>
      <c r="J204" s="2">
        <v>507114507</v>
      </c>
      <c r="K204" s="2">
        <v>541408405</v>
      </c>
      <c r="L204" s="2">
        <v>589669360</v>
      </c>
      <c r="M204" s="2">
        <v>774701598</v>
      </c>
      <c r="N204" s="2">
        <v>874104620</v>
      </c>
      <c r="O204" s="2">
        <v>929200964</v>
      </c>
      <c r="P204" s="2">
        <v>1006541037</v>
      </c>
      <c r="Q204" s="2">
        <v>1079109326</v>
      </c>
      <c r="R204" s="2">
        <v>1197509561</v>
      </c>
      <c r="S204" s="2">
        <v>1331968656</v>
      </c>
      <c r="T204" s="2">
        <v>1472936654</v>
      </c>
      <c r="U204" s="2">
        <v>1634222946</v>
      </c>
      <c r="V204" s="2">
        <v>762389.1</v>
      </c>
      <c r="W204" t="str">
        <f t="shared" si="8"/>
        <v>05402</v>
      </c>
      <c r="X204" s="2">
        <v>338437.24</v>
      </c>
    </row>
    <row r="205" spans="1:24">
      <c r="A205" t="s">
        <v>150</v>
      </c>
      <c r="B205" t="s">
        <v>151</v>
      </c>
      <c r="C205" s="1"/>
      <c r="D205" s="1"/>
      <c r="E205" s="1"/>
      <c r="F205" s="2"/>
      <c r="G205" s="2">
        <f>VLOOKUP(A205,'Voter Approved'!$A$3:$F$298,3,FALSE)</f>
        <v>204509</v>
      </c>
      <c r="H205" s="2">
        <v>204509</v>
      </c>
      <c r="I205" s="2">
        <v>146487888</v>
      </c>
      <c r="J205" s="2">
        <v>158754407</v>
      </c>
      <c r="K205" s="2">
        <v>158890426</v>
      </c>
      <c r="L205" s="2">
        <v>170177058</v>
      </c>
      <c r="M205" s="2">
        <v>258154363</v>
      </c>
      <c r="N205" s="2">
        <v>274741434</v>
      </c>
      <c r="O205" s="2">
        <v>305166112</v>
      </c>
      <c r="P205" s="2">
        <v>328883230</v>
      </c>
      <c r="Q205" s="2">
        <v>359214670</v>
      </c>
      <c r="R205" s="2">
        <v>387105815</v>
      </c>
      <c r="S205" s="2">
        <v>429566322</v>
      </c>
      <c r="T205" s="2">
        <v>466202488</v>
      </c>
      <c r="U205" s="2">
        <v>492274949</v>
      </c>
      <c r="V205" s="2">
        <v>0</v>
      </c>
      <c r="W205" t="str">
        <f t="shared" si="8"/>
        <v>14097</v>
      </c>
      <c r="X205" s="2">
        <v>165287.5</v>
      </c>
    </row>
    <row r="206" spans="1:24">
      <c r="A206" t="s">
        <v>118</v>
      </c>
      <c r="B206" t="s">
        <v>119</v>
      </c>
      <c r="C206" s="1"/>
      <c r="D206" s="1"/>
      <c r="E206" s="1"/>
      <c r="F206" s="2"/>
      <c r="G206" s="2">
        <f>VLOOKUP(A206,'Voter Approved'!$A$3:$F$298,3,FALSE)</f>
        <v>8460547</v>
      </c>
      <c r="H206" s="2">
        <v>8460547</v>
      </c>
      <c r="I206" s="2">
        <v>4323519436</v>
      </c>
      <c r="J206" s="2">
        <v>4976104238</v>
      </c>
      <c r="K206" s="2">
        <v>5112844188</v>
      </c>
      <c r="L206" s="2">
        <v>6475247839</v>
      </c>
      <c r="M206" s="2">
        <v>7170681079</v>
      </c>
      <c r="N206" s="2">
        <v>7930539427</v>
      </c>
      <c r="O206" s="2">
        <v>8842829501</v>
      </c>
      <c r="P206" s="2">
        <v>9948697796</v>
      </c>
      <c r="Q206" s="2">
        <v>10943466108</v>
      </c>
      <c r="R206" s="2">
        <v>12106312651</v>
      </c>
      <c r="S206" s="2">
        <v>13457196635</v>
      </c>
      <c r="T206" s="2">
        <v>14842733334</v>
      </c>
      <c r="U206" s="2">
        <v>16628285602</v>
      </c>
      <c r="V206" s="2">
        <v>0</v>
      </c>
      <c r="W206" t="str">
        <f t="shared" si="8"/>
        <v>13144</v>
      </c>
      <c r="X206" s="2">
        <v>4079418</v>
      </c>
    </row>
    <row r="207" spans="1:24">
      <c r="A207" t="s">
        <v>495</v>
      </c>
      <c r="B207" t="s">
        <v>496</v>
      </c>
      <c r="C207" s="1"/>
      <c r="D207" s="1"/>
      <c r="E207" s="1"/>
      <c r="F207" s="2"/>
      <c r="G207" s="2">
        <f>VLOOKUP(A207,'Voter Approved'!$A$3:$F$298,3,FALSE)</f>
        <v>1690000</v>
      </c>
      <c r="H207" s="2">
        <v>1690000</v>
      </c>
      <c r="I207" s="2">
        <v>568678713</v>
      </c>
      <c r="J207" s="2">
        <v>604935255</v>
      </c>
      <c r="K207" s="2">
        <v>834844533</v>
      </c>
      <c r="L207" s="2">
        <v>823121927</v>
      </c>
      <c r="M207" s="2">
        <v>986479869</v>
      </c>
      <c r="N207" s="2">
        <v>1002305677</v>
      </c>
      <c r="O207" s="2">
        <v>1249728310</v>
      </c>
      <c r="P207" s="2">
        <v>1377134470</v>
      </c>
      <c r="Q207" s="2">
        <v>1528341678</v>
      </c>
      <c r="R207" s="2">
        <v>1711870319</v>
      </c>
      <c r="S207" s="2">
        <v>1904686041</v>
      </c>
      <c r="T207" s="2">
        <v>2218425779</v>
      </c>
      <c r="U207" s="2">
        <v>2480286701</v>
      </c>
      <c r="V207" s="2">
        <v>66458.03</v>
      </c>
      <c r="W207" t="str">
        <f t="shared" si="8"/>
        <v>34307</v>
      </c>
      <c r="X207" s="2">
        <v>1117037.51</v>
      </c>
    </row>
    <row r="208" spans="1:24">
      <c r="A208" t="s">
        <v>331</v>
      </c>
      <c r="B208" t="s">
        <v>332</v>
      </c>
      <c r="C208" s="1"/>
      <c r="D208" s="1"/>
      <c r="E208" s="1"/>
      <c r="F208" s="2"/>
      <c r="G208" s="2">
        <f>VLOOKUP(A208,'Voter Approved'!$A$3:$F$298,3,FALSE)</f>
        <v>860371</v>
      </c>
      <c r="H208" s="2">
        <v>860371</v>
      </c>
      <c r="I208" s="2">
        <v>243374756</v>
      </c>
      <c r="J208" s="2">
        <v>266315042</v>
      </c>
      <c r="K208" s="2">
        <v>284371667</v>
      </c>
      <c r="L208" s="2">
        <v>331396448</v>
      </c>
      <c r="M208" s="2">
        <v>418928331</v>
      </c>
      <c r="N208" s="2">
        <v>486549329</v>
      </c>
      <c r="O208" s="2">
        <v>496933427</v>
      </c>
      <c r="P208" s="2">
        <v>547115715</v>
      </c>
      <c r="Q208" s="2">
        <v>599527979</v>
      </c>
      <c r="R208" s="2">
        <v>647968039</v>
      </c>
      <c r="S208" s="2">
        <v>718234109</v>
      </c>
      <c r="T208" s="2">
        <v>785090417</v>
      </c>
      <c r="U208" s="2">
        <v>876781804</v>
      </c>
      <c r="V208" s="2">
        <v>51569.63</v>
      </c>
      <c r="W208" t="str">
        <f t="shared" si="8"/>
        <v>25116</v>
      </c>
      <c r="X208" s="2">
        <v>299441.59999999998</v>
      </c>
    </row>
    <row r="209" spans="1:24">
      <c r="A209" t="s">
        <v>285</v>
      </c>
      <c r="B209" t="s">
        <v>286</v>
      </c>
      <c r="C209" s="1"/>
      <c r="D209" s="1"/>
      <c r="E209" s="1"/>
      <c r="F209" s="2"/>
      <c r="G209" s="2">
        <f>VLOOKUP(A209,'Voter Approved'!$A$3:$F$298,3,FALSE)</f>
        <v>903098</v>
      </c>
      <c r="H209" s="2">
        <v>903098</v>
      </c>
      <c r="I209" s="2">
        <v>546475912</v>
      </c>
      <c r="J209" s="2">
        <v>587013516</v>
      </c>
      <c r="K209" s="2">
        <v>626728725</v>
      </c>
      <c r="L209" s="2">
        <v>732878774</v>
      </c>
      <c r="M209" s="2">
        <v>876857386</v>
      </c>
      <c r="N209" s="2">
        <v>909320318</v>
      </c>
      <c r="O209" s="2">
        <v>997298403</v>
      </c>
      <c r="P209" s="2">
        <v>1111827961</v>
      </c>
      <c r="Q209" s="2">
        <v>1206166344</v>
      </c>
      <c r="R209" s="2">
        <v>1283093342</v>
      </c>
      <c r="S209" s="2">
        <v>1398977538</v>
      </c>
      <c r="T209" s="2">
        <v>1511070390</v>
      </c>
      <c r="U209" s="2">
        <v>1647162132</v>
      </c>
      <c r="V209" s="2">
        <v>19490.64</v>
      </c>
      <c r="W209" t="str">
        <f t="shared" si="8"/>
        <v>22009</v>
      </c>
      <c r="X209" s="2">
        <v>672679.92</v>
      </c>
    </row>
    <row r="210" spans="1:24">
      <c r="A210" t="s">
        <v>190</v>
      </c>
      <c r="B210" t="s">
        <v>191</v>
      </c>
      <c r="C210" s="1"/>
      <c r="D210" s="1"/>
      <c r="E210" s="1"/>
      <c r="F210" s="2"/>
      <c r="G210" s="2">
        <f>VLOOKUP(A210,'Voter Approved'!$A$3:$F$298,3,FALSE)</f>
        <v>57151000</v>
      </c>
      <c r="H210" s="2">
        <v>57151000</v>
      </c>
      <c r="I210" s="2">
        <v>25700576865</v>
      </c>
      <c r="J210" s="2">
        <v>26987681709</v>
      </c>
      <c r="K210" s="2">
        <v>28560105847</v>
      </c>
      <c r="L210" s="2">
        <v>31392042464</v>
      </c>
      <c r="M210" s="2">
        <v>38625569474</v>
      </c>
      <c r="N210" s="2">
        <v>36908416183</v>
      </c>
      <c r="O210" s="2">
        <v>40521816780</v>
      </c>
      <c r="P210" s="2">
        <v>44504149720</v>
      </c>
      <c r="Q210" s="2">
        <v>48517367823</v>
      </c>
      <c r="R210" s="2">
        <v>50321134383</v>
      </c>
      <c r="S210" s="2">
        <v>53288004764</v>
      </c>
      <c r="T210" s="2">
        <v>55621757729</v>
      </c>
      <c r="U210" s="2">
        <v>58333236773</v>
      </c>
      <c r="V210" s="2">
        <v>0</v>
      </c>
      <c r="W210" t="str">
        <f t="shared" si="8"/>
        <v>17403</v>
      </c>
      <c r="X210" s="2">
        <v>19850327.170000002</v>
      </c>
    </row>
    <row r="211" spans="1:24">
      <c r="A211" t="s">
        <v>104</v>
      </c>
      <c r="B211" t="s">
        <v>105</v>
      </c>
      <c r="C211" s="1"/>
      <c r="D211" s="1"/>
      <c r="E211" s="1"/>
      <c r="F211" s="2"/>
      <c r="G211" s="2">
        <f>VLOOKUP(A211,'Voter Approved'!$A$3:$F$298,3,FALSE)</f>
        <v>450000</v>
      </c>
      <c r="H211" s="2">
        <v>450000</v>
      </c>
      <c r="I211" s="2">
        <v>302282286.96499664</v>
      </c>
      <c r="J211" s="2">
        <v>341235799</v>
      </c>
      <c r="K211" s="2">
        <v>325006220</v>
      </c>
      <c r="L211" s="2">
        <v>355960060</v>
      </c>
      <c r="M211" s="2">
        <v>403545589</v>
      </c>
      <c r="N211" s="2">
        <v>442269902</v>
      </c>
      <c r="O211" s="2">
        <v>469359703</v>
      </c>
      <c r="P211" s="2">
        <v>509453630</v>
      </c>
      <c r="Q211" s="2">
        <v>551077300</v>
      </c>
      <c r="R211" s="2">
        <v>602916470</v>
      </c>
      <c r="S211" s="2">
        <v>657609227</v>
      </c>
      <c r="T211" s="2">
        <v>706649936</v>
      </c>
      <c r="U211" s="2">
        <v>771291618</v>
      </c>
      <c r="V211" s="2">
        <v>15316.49</v>
      </c>
      <c r="W211" t="str">
        <f t="shared" si="8"/>
        <v>10309</v>
      </c>
      <c r="X211" s="2">
        <v>234531</v>
      </c>
    </row>
    <row r="212" spans="1:24">
      <c r="A212" t="s">
        <v>24</v>
      </c>
      <c r="B212" t="s">
        <v>25</v>
      </c>
      <c r="C212" s="1"/>
      <c r="D212" s="1"/>
      <c r="E212" s="1"/>
      <c r="F212" s="2"/>
      <c r="G212" s="2">
        <f>VLOOKUP(A212,'Voter Approved'!$A$3:$F$298,3,FALSE)</f>
        <v>23000000</v>
      </c>
      <c r="H212" s="2">
        <v>23000000</v>
      </c>
      <c r="I212" s="2">
        <v>8308457040</v>
      </c>
      <c r="J212" s="2">
        <v>9345900211</v>
      </c>
      <c r="K212" s="2">
        <v>9973947997</v>
      </c>
      <c r="L212" s="2">
        <v>10853832797</v>
      </c>
      <c r="M212" s="2">
        <v>12136803740</v>
      </c>
      <c r="N212" s="2">
        <v>14326065047</v>
      </c>
      <c r="O212" s="2">
        <v>15274669427</v>
      </c>
      <c r="P212" s="2">
        <v>17296667599</v>
      </c>
      <c r="Q212" s="2">
        <v>19542522194</v>
      </c>
      <c r="R212" s="2">
        <v>21941551918</v>
      </c>
      <c r="S212" s="2">
        <v>23624465822</v>
      </c>
      <c r="T212" s="2">
        <v>25689819505</v>
      </c>
      <c r="U212" s="2">
        <v>27767624239</v>
      </c>
      <c r="V212" s="2">
        <v>1427917.68</v>
      </c>
      <c r="W212" t="str">
        <f t="shared" si="8"/>
        <v>03400</v>
      </c>
      <c r="X212" s="2">
        <v>14194947.08</v>
      </c>
    </row>
    <row r="213" spans="1:24">
      <c r="A213" t="s">
        <v>66</v>
      </c>
      <c r="B213" t="s">
        <v>67</v>
      </c>
      <c r="C213" s="1"/>
      <c r="D213" s="1"/>
      <c r="E213" s="1"/>
      <c r="F213" s="2"/>
      <c r="G213" s="2">
        <f>VLOOKUP(A213,'Voter Approved'!$A$3:$F$298,3,FALSE)</f>
        <v>7572923</v>
      </c>
      <c r="H213" s="2">
        <v>5400000</v>
      </c>
      <c r="I213" s="2">
        <v>3459003443</v>
      </c>
      <c r="J213" s="2">
        <v>3866600788</v>
      </c>
      <c r="K213" s="2">
        <v>4324833425</v>
      </c>
      <c r="L213" s="2">
        <v>5114633437</v>
      </c>
      <c r="M213" s="2">
        <v>6321424747</v>
      </c>
      <c r="N213" s="2">
        <v>7063460103</v>
      </c>
      <c r="O213" s="2">
        <v>7470561472</v>
      </c>
      <c r="P213" s="2">
        <v>8424502485</v>
      </c>
      <c r="Q213" s="2">
        <v>9161531685</v>
      </c>
      <c r="R213" s="2">
        <v>10133495218</v>
      </c>
      <c r="S213" s="2">
        <v>11150761198</v>
      </c>
      <c r="T213" s="2">
        <v>12289916020</v>
      </c>
      <c r="U213" s="2">
        <v>13280121227</v>
      </c>
      <c r="V213" s="2">
        <v>0</v>
      </c>
      <c r="W213" t="str">
        <f t="shared" si="8"/>
        <v>06122</v>
      </c>
      <c r="X213" s="2">
        <v>4933139.2699999996</v>
      </c>
    </row>
    <row r="214" spans="1:24">
      <c r="A214" t="s">
        <v>8</v>
      </c>
      <c r="B214" t="s">
        <v>9</v>
      </c>
      <c r="C214" s="1"/>
      <c r="D214" s="1"/>
      <c r="E214" s="1"/>
      <c r="F214" s="2"/>
      <c r="G214" s="2">
        <f>VLOOKUP(A214,'Voter Approved'!$A$3:$F$298,3,FALSE)</f>
        <v>596719</v>
      </c>
      <c r="H214" s="2">
        <v>596719</v>
      </c>
      <c r="I214" s="2">
        <v>380326008</v>
      </c>
      <c r="J214" s="2">
        <v>389955544</v>
      </c>
      <c r="K214" s="2">
        <v>401867990</v>
      </c>
      <c r="L214" s="2">
        <v>465962367</v>
      </c>
      <c r="M214" s="2">
        <v>494873542</v>
      </c>
      <c r="N214" s="2">
        <v>535606518</v>
      </c>
      <c r="O214" s="2">
        <v>608907137</v>
      </c>
      <c r="P214" s="2">
        <v>646780252</v>
      </c>
      <c r="Q214" s="2">
        <v>750020349</v>
      </c>
      <c r="R214" s="2">
        <v>819244817</v>
      </c>
      <c r="S214" s="2">
        <v>909322131</v>
      </c>
      <c r="T214" s="2">
        <v>949217350</v>
      </c>
      <c r="U214" s="2">
        <v>1025717227</v>
      </c>
      <c r="V214" s="2">
        <v>0</v>
      </c>
      <c r="W214" t="str">
        <f t="shared" si="8"/>
        <v>01160</v>
      </c>
      <c r="X214" s="2">
        <v>433053.2</v>
      </c>
    </row>
    <row r="215" spans="1:24">
      <c r="A215" t="s">
        <v>461</v>
      </c>
      <c r="B215" t="s">
        <v>462</v>
      </c>
      <c r="C215" s="1"/>
      <c r="D215" s="1"/>
      <c r="E215" s="1"/>
      <c r="F215" s="2"/>
      <c r="G215" s="2">
        <f>VLOOKUP(A215,'Voter Approved'!$A$3:$F$298,3,FALSE)</f>
        <v>1664500</v>
      </c>
      <c r="H215" s="2">
        <v>1664500</v>
      </c>
      <c r="I215" s="2">
        <v>1100572376</v>
      </c>
      <c r="J215" s="2">
        <v>1203697710</v>
      </c>
      <c r="K215" s="2">
        <v>1337605083</v>
      </c>
      <c r="L215" s="2">
        <v>1556622704</v>
      </c>
      <c r="M215" s="2">
        <v>2025357165</v>
      </c>
      <c r="N215" s="2">
        <v>2127162248</v>
      </c>
      <c r="O215" s="2">
        <v>2221041599</v>
      </c>
      <c r="P215" s="2">
        <v>2411478989</v>
      </c>
      <c r="Q215" s="2">
        <v>2609482274</v>
      </c>
      <c r="R215" s="2">
        <v>2773493364</v>
      </c>
      <c r="S215" s="2">
        <v>2967234502</v>
      </c>
      <c r="T215" s="2">
        <v>3178205712</v>
      </c>
      <c r="U215" s="2">
        <v>3384563435</v>
      </c>
      <c r="V215" s="2">
        <v>0</v>
      </c>
      <c r="W215" t="str">
        <f t="shared" si="8"/>
        <v>32416</v>
      </c>
      <c r="X215" s="2">
        <v>1258990.8400000001</v>
      </c>
    </row>
    <row r="216" spans="1:24">
      <c r="A216" t="s">
        <v>197</v>
      </c>
      <c r="B216" t="s">
        <v>198</v>
      </c>
      <c r="C216" s="1"/>
      <c r="D216" s="1"/>
      <c r="E216" s="1"/>
      <c r="F216" s="2"/>
      <c r="G216" s="2">
        <f>VLOOKUP(A216,'Voter Approved'!$A$3:$F$298,3,FALSE)</f>
        <v>8450000</v>
      </c>
      <c r="H216" s="2">
        <v>8450000</v>
      </c>
      <c r="I216" s="2">
        <v>4348263360</v>
      </c>
      <c r="J216" s="2">
        <v>4801132717</v>
      </c>
      <c r="K216" s="2">
        <v>4875914316</v>
      </c>
      <c r="L216" s="2">
        <v>5759316961</v>
      </c>
      <c r="M216" s="2">
        <v>7831670975</v>
      </c>
      <c r="N216" s="2">
        <v>6928578138</v>
      </c>
      <c r="O216" s="2">
        <v>8963008220</v>
      </c>
      <c r="P216" s="2">
        <v>10304190364</v>
      </c>
      <c r="Q216" s="2">
        <v>11623808198</v>
      </c>
      <c r="R216" s="2">
        <v>12604303223</v>
      </c>
      <c r="S216" s="2">
        <v>13877881113</v>
      </c>
      <c r="T216" s="2">
        <v>14937072618</v>
      </c>
      <c r="U216" s="2">
        <v>16275633008</v>
      </c>
      <c r="V216" s="2">
        <v>0</v>
      </c>
      <c r="W216" t="str">
        <f t="shared" si="8"/>
        <v>17407</v>
      </c>
      <c r="X216" s="2">
        <v>4308756.63</v>
      </c>
    </row>
    <row r="217" spans="1:24">
      <c r="A217" t="s">
        <v>499</v>
      </c>
      <c r="B217" t="s">
        <v>500</v>
      </c>
      <c r="C217" s="1"/>
      <c r="D217" s="1"/>
      <c r="E217" s="1"/>
      <c r="F217" s="2"/>
      <c r="G217" s="2">
        <f>VLOOKUP(A217,'Voter Approved'!$A$3:$F$298,3,FALSE)</f>
        <v>4119985</v>
      </c>
      <c r="H217" s="2">
        <v>4119985</v>
      </c>
      <c r="I217" s="2">
        <v>1233794726</v>
      </c>
      <c r="J217" s="2">
        <v>1286381438.4200001</v>
      </c>
      <c r="K217" s="2">
        <v>1389201195</v>
      </c>
      <c r="L217" s="2">
        <v>1648863641</v>
      </c>
      <c r="M217" s="2">
        <v>2047315010</v>
      </c>
      <c r="N217" s="2">
        <v>2136654702</v>
      </c>
      <c r="O217" s="2">
        <v>2572684710</v>
      </c>
      <c r="P217" s="2">
        <v>2794387159</v>
      </c>
      <c r="Q217" s="2">
        <v>3106863472</v>
      </c>
      <c r="R217" s="2">
        <v>3458078927</v>
      </c>
      <c r="S217" s="2">
        <v>3917442572</v>
      </c>
      <c r="T217" s="2">
        <v>4537288549</v>
      </c>
      <c r="U217" s="2">
        <v>5059918628</v>
      </c>
      <c r="V217" s="2">
        <v>253915.45</v>
      </c>
      <c r="W217" t="str">
        <f t="shared" si="8"/>
        <v>34401</v>
      </c>
      <c r="X217" s="2">
        <v>2353647.46</v>
      </c>
    </row>
    <row r="218" spans="1:24">
      <c r="A218" t="s">
        <v>249</v>
      </c>
      <c r="B218" t="s">
        <v>250</v>
      </c>
      <c r="C218" s="1"/>
      <c r="D218" s="1"/>
      <c r="E218" s="1"/>
      <c r="F218" s="2"/>
      <c r="G218" s="2">
        <f>VLOOKUP(A218,'Voter Approved'!$A$3:$F$298,3,FALSE)</f>
        <v>60000</v>
      </c>
      <c r="H218" s="2">
        <v>60000</v>
      </c>
      <c r="I218" s="2">
        <v>153471497</v>
      </c>
      <c r="J218" s="2">
        <v>156302340</v>
      </c>
      <c r="K218" s="2">
        <v>150029559</v>
      </c>
      <c r="L218" s="2">
        <v>157769837</v>
      </c>
      <c r="M218" s="2">
        <v>161852283</v>
      </c>
      <c r="N218" s="2">
        <v>158787834</v>
      </c>
      <c r="O218" s="2">
        <v>176304662</v>
      </c>
      <c r="P218" s="2">
        <v>177132974</v>
      </c>
      <c r="Q218" s="2">
        <v>182063633</v>
      </c>
      <c r="R218" s="2">
        <v>183481638</v>
      </c>
      <c r="S218" s="2">
        <v>193986112</v>
      </c>
      <c r="T218" s="2">
        <v>203466789</v>
      </c>
      <c r="U218" s="2">
        <v>213748401</v>
      </c>
      <c r="V218" s="2">
        <v>0</v>
      </c>
      <c r="W218" t="str">
        <f t="shared" si="8"/>
        <v>20403</v>
      </c>
      <c r="X218" s="2">
        <v>28428</v>
      </c>
    </row>
    <row r="219" spans="1:24">
      <c r="A219" t="s">
        <v>553</v>
      </c>
      <c r="B219" t="s">
        <v>554</v>
      </c>
      <c r="C219" s="1"/>
      <c r="D219" s="1"/>
      <c r="E219" s="1"/>
      <c r="F219" s="2"/>
      <c r="G219" s="2">
        <f>VLOOKUP(A219,'Voter Approved'!$A$3:$F$298,3,FALSE)</f>
        <v>305000</v>
      </c>
      <c r="H219" s="2">
        <v>305000</v>
      </c>
      <c r="I219" s="2">
        <v>174834804</v>
      </c>
      <c r="J219" s="2">
        <v>178674016</v>
      </c>
      <c r="K219" s="2">
        <v>167239008</v>
      </c>
      <c r="L219" s="2">
        <v>176878425</v>
      </c>
      <c r="M219" s="2">
        <v>178037169</v>
      </c>
      <c r="N219" s="2">
        <v>178026182</v>
      </c>
      <c r="O219" s="2">
        <v>183904547</v>
      </c>
      <c r="P219" s="2">
        <v>190188870</v>
      </c>
      <c r="Q219" s="2">
        <v>193226379</v>
      </c>
      <c r="R219" s="2">
        <v>203893030</v>
      </c>
      <c r="S219" s="2">
        <v>209499533</v>
      </c>
      <c r="T219" s="2">
        <v>217816942</v>
      </c>
      <c r="U219" s="2">
        <v>232841468</v>
      </c>
      <c r="V219" s="2">
        <v>6152.93</v>
      </c>
      <c r="W219" t="str">
        <f t="shared" si="8"/>
        <v>38320</v>
      </c>
      <c r="X219" s="2">
        <v>210872.01</v>
      </c>
    </row>
    <row r="220" spans="1:24">
      <c r="A220" t="s">
        <v>126</v>
      </c>
      <c r="B220" t="s">
        <v>127</v>
      </c>
      <c r="C220" s="1"/>
      <c r="D220" s="1"/>
      <c r="E220" s="1"/>
      <c r="F220" s="2"/>
      <c r="G220" s="2">
        <f>VLOOKUP(A220,'Voter Approved'!$A$3:$F$298,3,FALSE)</f>
        <v>1370000</v>
      </c>
      <c r="H220" s="2">
        <v>1370000</v>
      </c>
      <c r="I220" s="2">
        <v>806138081</v>
      </c>
      <c r="J220" s="2">
        <v>812898554</v>
      </c>
      <c r="K220" s="2">
        <v>818702599</v>
      </c>
      <c r="L220" s="2">
        <v>851315754</v>
      </c>
      <c r="M220" s="2">
        <v>940795865</v>
      </c>
      <c r="N220" s="2">
        <v>1040798737</v>
      </c>
      <c r="O220" s="2">
        <v>1043217576</v>
      </c>
      <c r="P220" s="2">
        <v>1117977629</v>
      </c>
      <c r="Q220" s="2">
        <v>1170195277</v>
      </c>
      <c r="R220" s="2">
        <v>1230319054</v>
      </c>
      <c r="S220" s="2">
        <v>1240261508</v>
      </c>
      <c r="T220" s="2">
        <v>1298564061</v>
      </c>
      <c r="U220" s="2">
        <v>1398150551</v>
      </c>
      <c r="V220" s="2">
        <v>448160.08</v>
      </c>
      <c r="W220" t="str">
        <f t="shared" si="8"/>
        <v>13160</v>
      </c>
      <c r="X220" s="2">
        <v>649106</v>
      </c>
    </row>
    <row r="221" spans="1:24">
      <c r="A221" t="s">
        <v>383</v>
      </c>
      <c r="B221" t="s">
        <v>384</v>
      </c>
      <c r="C221" s="1"/>
      <c r="D221" s="1"/>
      <c r="E221" s="1"/>
      <c r="F221" s="2"/>
      <c r="G221" s="2">
        <f>VLOOKUP(A221,'Voter Approved'!$A$3:$F$298,3,FALSE)</f>
        <v>2426500</v>
      </c>
      <c r="H221" s="2">
        <v>1899800</v>
      </c>
      <c r="I221" s="2">
        <v>3455262699</v>
      </c>
      <c r="J221" s="2">
        <v>3776697941</v>
      </c>
      <c r="K221" s="2">
        <v>4116556544</v>
      </c>
      <c r="L221" s="2">
        <v>4452952661</v>
      </c>
      <c r="M221" s="2">
        <v>5546062448</v>
      </c>
      <c r="N221" s="2">
        <v>6551865690</v>
      </c>
      <c r="O221" s="2">
        <v>6820759546</v>
      </c>
      <c r="P221" s="2">
        <v>7439618395</v>
      </c>
      <c r="Q221" s="2">
        <v>8120048736</v>
      </c>
      <c r="R221" s="2">
        <v>9266808861</v>
      </c>
      <c r="S221" s="2">
        <v>10041553739</v>
      </c>
      <c r="T221" s="2">
        <v>11427888453</v>
      </c>
      <c r="U221" s="2">
        <v>12935592555</v>
      </c>
      <c r="V221" s="2">
        <v>0</v>
      </c>
      <c r="W221" t="str">
        <f t="shared" si="8"/>
        <v>28149</v>
      </c>
      <c r="X221" s="2">
        <v>1155655.03</v>
      </c>
    </row>
    <row r="222" spans="1:24">
      <c r="A222" t="s">
        <v>154</v>
      </c>
      <c r="B222" t="s">
        <v>155</v>
      </c>
      <c r="C222" s="1"/>
      <c r="D222" s="1"/>
      <c r="E222" s="1"/>
      <c r="F222" s="2"/>
      <c r="G222" s="2">
        <f>VLOOKUP(A222,'Voter Approved'!$A$3:$F$298,3,FALSE)</f>
        <v>80000</v>
      </c>
      <c r="H222" s="2">
        <v>80000</v>
      </c>
      <c r="I222" s="2">
        <v>47973943</v>
      </c>
      <c r="J222" s="2">
        <v>48445264</v>
      </c>
      <c r="K222" s="2">
        <v>53083046</v>
      </c>
      <c r="L222" s="2">
        <v>62010456</v>
      </c>
      <c r="M222" s="2">
        <v>87201763</v>
      </c>
      <c r="N222" s="2">
        <v>87222640</v>
      </c>
      <c r="O222" s="2">
        <v>109922528</v>
      </c>
      <c r="P222" s="2">
        <v>118953880</v>
      </c>
      <c r="Q222" s="2">
        <v>129648328</v>
      </c>
      <c r="R222" s="2">
        <v>141649163</v>
      </c>
      <c r="S222" s="2">
        <v>159627358</v>
      </c>
      <c r="T222" s="2">
        <v>175913877</v>
      </c>
      <c r="U222" s="2">
        <v>185852894</v>
      </c>
      <c r="V222" s="2">
        <v>3097.91</v>
      </c>
      <c r="W222" t="str">
        <f t="shared" si="8"/>
        <v>14104</v>
      </c>
      <c r="X222" s="2">
        <v>37904</v>
      </c>
    </row>
    <row r="223" spans="1:24">
      <c r="A223" t="s">
        <v>178</v>
      </c>
      <c r="B223" t="s">
        <v>179</v>
      </c>
      <c r="C223" s="1"/>
      <c r="D223" s="1"/>
      <c r="E223" s="1"/>
      <c r="F223" s="2"/>
      <c r="G223" s="2">
        <f>VLOOKUP(A223,'Voter Approved'!$A$3:$F$298,3,FALSE)</f>
        <v>278600000</v>
      </c>
      <c r="H223" s="2">
        <v>278600000</v>
      </c>
      <c r="I223" s="2">
        <v>244342237051</v>
      </c>
      <c r="J223" s="2">
        <v>257341774838</v>
      </c>
      <c r="K223" s="2">
        <v>261293732253</v>
      </c>
      <c r="L223" s="2">
        <v>275175430537</v>
      </c>
      <c r="M223" s="2">
        <v>307558388448</v>
      </c>
      <c r="N223" s="2">
        <v>299686617300</v>
      </c>
      <c r="O223" s="2">
        <v>288960616758</v>
      </c>
      <c r="P223" s="2">
        <v>305188015841</v>
      </c>
      <c r="Q223" s="2">
        <v>313137065503</v>
      </c>
      <c r="R223" s="2">
        <v>320713202012</v>
      </c>
      <c r="S223" s="2">
        <v>327280650385</v>
      </c>
      <c r="T223" s="2">
        <v>329984732547</v>
      </c>
      <c r="U223" s="2">
        <v>334876478430</v>
      </c>
      <c r="V223" s="2">
        <v>0</v>
      </c>
      <c r="W223" t="str">
        <f t="shared" si="8"/>
        <v>17001</v>
      </c>
      <c r="X223" s="2">
        <v>90136000.140000001</v>
      </c>
    </row>
    <row r="224" spans="1:24">
      <c r="A224" t="s">
        <v>389</v>
      </c>
      <c r="B224" t="s">
        <v>390</v>
      </c>
      <c r="C224" s="1"/>
      <c r="D224" s="1"/>
      <c r="E224" s="1"/>
      <c r="F224" s="2"/>
      <c r="G224" s="2">
        <f>VLOOKUP(A224,'Voter Approved'!$A$3:$F$298,3,FALSE)</f>
        <v>12046115</v>
      </c>
      <c r="H224" s="2">
        <v>12046115</v>
      </c>
      <c r="I224" s="2">
        <v>3372770701</v>
      </c>
      <c r="J224" s="2">
        <v>3703984246</v>
      </c>
      <c r="K224" s="2">
        <v>3960932628</v>
      </c>
      <c r="L224" s="2">
        <v>4582069141</v>
      </c>
      <c r="M224" s="2">
        <v>5577343353</v>
      </c>
      <c r="N224" s="2">
        <v>5968648338</v>
      </c>
      <c r="O224" s="2">
        <v>7021204971</v>
      </c>
      <c r="P224" s="2">
        <v>8088123197</v>
      </c>
      <c r="Q224" s="2">
        <v>9003086145</v>
      </c>
      <c r="R224" s="2">
        <v>9810829471</v>
      </c>
      <c r="S224" s="2">
        <v>10904571333</v>
      </c>
      <c r="T224" s="2">
        <v>12221625275</v>
      </c>
      <c r="U224" s="2">
        <v>13550241572</v>
      </c>
      <c r="V224" s="2">
        <v>0</v>
      </c>
      <c r="W224" t="str">
        <f t="shared" si="8"/>
        <v>29101</v>
      </c>
      <c r="X224" s="2">
        <v>5929617.9000000004</v>
      </c>
    </row>
    <row r="225" spans="1:24">
      <c r="A225" t="s">
        <v>567</v>
      </c>
      <c r="B225" t="s">
        <v>568</v>
      </c>
      <c r="C225" s="1"/>
      <c r="D225" s="1"/>
      <c r="E225" s="1"/>
      <c r="F225" s="2"/>
      <c r="G225" s="2">
        <f>VLOOKUP(A225,'Voter Approved'!$A$3:$F$298,3,FALSE)</f>
        <v>5730736</v>
      </c>
      <c r="H225" s="2">
        <v>5730736</v>
      </c>
      <c r="I225" s="2">
        <v>1804048251</v>
      </c>
      <c r="J225" s="2">
        <v>2024566774</v>
      </c>
      <c r="K225" s="2">
        <v>2152682976</v>
      </c>
      <c r="L225" s="2">
        <v>2389273432</v>
      </c>
      <c r="M225" s="2">
        <v>2638066643</v>
      </c>
      <c r="N225" s="2">
        <v>3129871840</v>
      </c>
      <c r="O225" s="2">
        <v>3266076818</v>
      </c>
      <c r="P225" s="2">
        <v>3625190648</v>
      </c>
      <c r="Q225" s="2">
        <v>4201047498</v>
      </c>
      <c r="R225" s="2">
        <v>4660092390</v>
      </c>
      <c r="S225" s="2">
        <v>5138281325</v>
      </c>
      <c r="T225" s="2">
        <v>5562192381</v>
      </c>
      <c r="U225" s="2">
        <v>6019780347</v>
      </c>
      <c r="V225" s="2">
        <v>699039.61</v>
      </c>
      <c r="W225" t="str">
        <f t="shared" si="8"/>
        <v>39119</v>
      </c>
      <c r="X225" s="2">
        <v>2305378.14</v>
      </c>
    </row>
    <row r="226" spans="1:24">
      <c r="A226" t="s">
        <v>345</v>
      </c>
      <c r="B226" t="s">
        <v>346</v>
      </c>
      <c r="C226" s="1"/>
      <c r="D226" s="1"/>
      <c r="E226" s="1"/>
      <c r="F226" s="2"/>
      <c r="G226" s="2">
        <f>VLOOKUP(A226,'Voter Approved'!$A$3:$F$298,3,FALSE)</f>
        <v>575000</v>
      </c>
      <c r="H226" s="2">
        <v>575000</v>
      </c>
      <c r="I226" s="2">
        <v>289589389</v>
      </c>
      <c r="J226" s="2">
        <v>293904109</v>
      </c>
      <c r="K226" s="2">
        <v>293947101</v>
      </c>
      <c r="L226" s="2">
        <v>306804737</v>
      </c>
      <c r="M226" s="2">
        <v>347374541</v>
      </c>
      <c r="N226" s="2">
        <v>432990019</v>
      </c>
      <c r="O226" s="2">
        <v>391170213</v>
      </c>
      <c r="P226" s="2">
        <v>425382734</v>
      </c>
      <c r="Q226" s="2">
        <v>458910113</v>
      </c>
      <c r="R226" s="2">
        <v>495457593</v>
      </c>
      <c r="S226" s="2">
        <v>541459646</v>
      </c>
      <c r="T226" s="2">
        <v>570333856</v>
      </c>
      <c r="U226" s="2">
        <v>589188617</v>
      </c>
      <c r="V226" s="2">
        <v>0</v>
      </c>
      <c r="W226" t="str">
        <f t="shared" si="8"/>
        <v>26070</v>
      </c>
      <c r="X226" s="2">
        <v>341136</v>
      </c>
    </row>
    <row r="227" spans="1:24">
      <c r="A227" t="s">
        <v>44</v>
      </c>
      <c r="B227" t="s">
        <v>45</v>
      </c>
      <c r="C227" s="1"/>
      <c r="D227" s="1"/>
      <c r="E227" s="1"/>
      <c r="F227" s="2"/>
      <c r="G227" s="2">
        <f>VLOOKUP(A227,'Voter Approved'!$A$3:$F$298,3,FALSE)</f>
        <v>6524000</v>
      </c>
      <c r="H227" s="2">
        <v>6524000</v>
      </c>
      <c r="I227" s="2">
        <v>4782558576</v>
      </c>
      <c r="J227" s="2">
        <v>5230763174</v>
      </c>
      <c r="K227" s="2">
        <v>5653732658</v>
      </c>
      <c r="L227" s="2">
        <v>6455013370</v>
      </c>
      <c r="M227" s="2">
        <v>8152739149</v>
      </c>
      <c r="N227" s="2">
        <v>8715462116</v>
      </c>
      <c r="O227" s="2">
        <v>10118710334</v>
      </c>
      <c r="P227" s="2">
        <v>11041671144</v>
      </c>
      <c r="Q227" s="2">
        <v>12108461325</v>
      </c>
      <c r="R227" s="2">
        <v>13421512630</v>
      </c>
      <c r="S227" s="2">
        <v>14998113969</v>
      </c>
      <c r="T227" s="2">
        <v>16507165948</v>
      </c>
      <c r="U227" s="2">
        <v>18224216402</v>
      </c>
      <c r="V227" s="2">
        <v>0</v>
      </c>
      <c r="W227" t="str">
        <f t="shared" si="8"/>
        <v>05323</v>
      </c>
      <c r="X227" s="2">
        <v>3566188.36</v>
      </c>
    </row>
    <row r="228" spans="1:24">
      <c r="A228" t="s">
        <v>377</v>
      </c>
      <c r="B228" t="s">
        <v>378</v>
      </c>
      <c r="C228" s="1"/>
      <c r="D228" s="1"/>
      <c r="E228" s="1"/>
      <c r="F228" s="2"/>
      <c r="G228" s="2">
        <f>VLOOKUP(A228,'Voter Approved'!$A$3:$F$298,3,FALSE)</f>
        <v>0</v>
      </c>
      <c r="H228" s="2">
        <v>0</v>
      </c>
      <c r="I228" s="2">
        <v>190048741</v>
      </c>
      <c r="J228" s="2">
        <v>197369492</v>
      </c>
      <c r="K228" s="2">
        <v>196914647</v>
      </c>
      <c r="L228" s="2">
        <v>219166122</v>
      </c>
      <c r="M228" s="2">
        <v>332516244</v>
      </c>
      <c r="N228" s="2">
        <v>365505871</v>
      </c>
      <c r="O228" s="2">
        <v>403131526</v>
      </c>
      <c r="P228" s="2">
        <v>431637981</v>
      </c>
      <c r="Q228" s="2">
        <v>473904265</v>
      </c>
      <c r="R228" s="2">
        <v>531374666</v>
      </c>
      <c r="S228" s="2">
        <v>606273540</v>
      </c>
      <c r="T228" s="2">
        <v>679231761</v>
      </c>
      <c r="U228" s="2">
        <v>796573107</v>
      </c>
      <c r="V228" s="2">
        <v>0</v>
      </c>
      <c r="W228" t="str">
        <f t="shared" si="8"/>
        <v>28010</v>
      </c>
      <c r="X228" s="2">
        <v>0</v>
      </c>
    </row>
    <row r="229" spans="1:24">
      <c r="A229" t="s">
        <v>303</v>
      </c>
      <c r="B229" t="s">
        <v>304</v>
      </c>
      <c r="C229" s="1"/>
      <c r="D229" s="1"/>
      <c r="E229" s="1"/>
      <c r="F229" s="2"/>
      <c r="G229" s="2">
        <f>VLOOKUP(A229,'Voter Approved'!$A$3:$F$298,3,FALSE)</f>
        <v>7330000</v>
      </c>
      <c r="H229" s="2">
        <v>7330000</v>
      </c>
      <c r="I229" s="2">
        <v>1971122236</v>
      </c>
      <c r="J229" s="2">
        <v>2107580536</v>
      </c>
      <c r="K229" s="2">
        <v>2339263541</v>
      </c>
      <c r="L229" s="2">
        <v>2649624415</v>
      </c>
      <c r="M229" s="2">
        <v>3137069172</v>
      </c>
      <c r="N229" s="2">
        <v>3522193094</v>
      </c>
      <c r="O229" s="2">
        <v>3823690383</v>
      </c>
      <c r="P229" s="2">
        <v>4279805082</v>
      </c>
      <c r="Q229" s="2">
        <v>4833220415</v>
      </c>
      <c r="R229" s="2">
        <v>5372132605</v>
      </c>
      <c r="S229" s="2">
        <v>5927357382</v>
      </c>
      <c r="T229" s="2">
        <v>6501693780</v>
      </c>
      <c r="U229" s="2">
        <v>7105031581</v>
      </c>
      <c r="V229" s="2">
        <v>581772.29</v>
      </c>
      <c r="W229" t="str">
        <f t="shared" si="8"/>
        <v>23309</v>
      </c>
      <c r="X229" s="2">
        <v>3363980</v>
      </c>
    </row>
    <row r="230" spans="1:24">
      <c r="A230" t="s">
        <v>207</v>
      </c>
      <c r="B230" t="s">
        <v>208</v>
      </c>
      <c r="C230" s="1"/>
      <c r="D230" s="1"/>
      <c r="E230" s="1"/>
      <c r="F230" s="2"/>
      <c r="G230" s="2">
        <f>VLOOKUP(A230,'Voter Approved'!$A$3:$F$298,3,FALSE)</f>
        <v>21300000</v>
      </c>
      <c r="H230" s="2">
        <v>21300000</v>
      </c>
      <c r="I230" s="2">
        <v>13933575283</v>
      </c>
      <c r="J230" s="2">
        <v>14947635058</v>
      </c>
      <c r="K230" s="2">
        <v>15195661954</v>
      </c>
      <c r="L230" s="2">
        <v>17229855666</v>
      </c>
      <c r="M230" s="2">
        <v>20599730373</v>
      </c>
      <c r="N230" s="2">
        <v>18613454642</v>
      </c>
      <c r="O230" s="2">
        <v>21282768832</v>
      </c>
      <c r="P230" s="2">
        <v>22936237460</v>
      </c>
      <c r="Q230" s="2">
        <v>24978793471</v>
      </c>
      <c r="R230" s="2">
        <v>25576270206</v>
      </c>
      <c r="S230" s="2">
        <v>26323813056</v>
      </c>
      <c r="T230" s="2">
        <v>27531745820</v>
      </c>
      <c r="U230" s="2">
        <v>28805491607</v>
      </c>
      <c r="V230" s="2">
        <v>0</v>
      </c>
      <c r="W230" t="str">
        <f t="shared" si="8"/>
        <v>17412</v>
      </c>
      <c r="X230" s="2">
        <v>12555700</v>
      </c>
    </row>
    <row r="231" spans="1:24">
      <c r="A231" t="s">
        <v>399</v>
      </c>
      <c r="B231" t="s">
        <v>400</v>
      </c>
      <c r="C231" s="1"/>
      <c r="D231" s="1"/>
      <c r="E231" s="1"/>
      <c r="F231" s="2"/>
      <c r="G231" s="2">
        <f>VLOOKUP(A231,'Voter Approved'!$A$3:$F$298,3,FALSE)</f>
        <v>175000</v>
      </c>
      <c r="H231" s="2">
        <v>175000</v>
      </c>
      <c r="I231" s="2">
        <v>146037863</v>
      </c>
      <c r="J231" s="2">
        <v>160828166</v>
      </c>
      <c r="K231" s="2">
        <v>164552163</v>
      </c>
      <c r="L231" s="2">
        <v>176723377</v>
      </c>
      <c r="M231" s="2">
        <v>199519979</v>
      </c>
      <c r="N231" s="2">
        <v>221039994</v>
      </c>
      <c r="O231" s="2">
        <v>251037099</v>
      </c>
      <c r="P231" s="2">
        <v>274982162</v>
      </c>
      <c r="Q231" s="2">
        <v>306304221</v>
      </c>
      <c r="R231" s="2">
        <v>323042376</v>
      </c>
      <c r="S231" s="2">
        <v>349337015</v>
      </c>
      <c r="T231" s="2">
        <v>388736722</v>
      </c>
      <c r="U231" s="2">
        <v>418687279</v>
      </c>
      <c r="V231" s="2">
        <v>0</v>
      </c>
      <c r="W231" t="str">
        <f t="shared" si="8"/>
        <v>30002</v>
      </c>
      <c r="X231" s="2">
        <v>118450</v>
      </c>
    </row>
    <row r="232" spans="1:24">
      <c r="A232" t="s">
        <v>192</v>
      </c>
      <c r="B232" t="s">
        <v>193</v>
      </c>
      <c r="C232" s="1"/>
      <c r="D232" s="1"/>
      <c r="E232" s="1"/>
      <c r="F232" s="2"/>
      <c r="G232" s="2">
        <f>VLOOKUP(A232,'Voter Approved'!$A$3:$F$298,3,FALSE)</f>
        <v>291554</v>
      </c>
      <c r="H232" s="2">
        <v>291554</v>
      </c>
      <c r="I232" s="2">
        <v>198756319</v>
      </c>
      <c r="J232" s="2">
        <v>230208058</v>
      </c>
      <c r="K232" s="2">
        <v>224845723</v>
      </c>
      <c r="L232" s="2">
        <v>257650933</v>
      </c>
      <c r="M232" s="2">
        <v>307991357</v>
      </c>
      <c r="N232" s="2">
        <v>313789434</v>
      </c>
      <c r="O232" s="2">
        <v>323242190</v>
      </c>
      <c r="P232" s="2">
        <v>348342604</v>
      </c>
      <c r="Q232" s="2">
        <v>370542797</v>
      </c>
      <c r="R232" s="2">
        <v>401361952</v>
      </c>
      <c r="S232" s="2">
        <v>430055804</v>
      </c>
      <c r="T232" s="2">
        <v>452665851</v>
      </c>
      <c r="U232" s="2">
        <v>478900943</v>
      </c>
      <c r="V232" s="2">
        <v>0</v>
      </c>
      <c r="W232" t="str">
        <f t="shared" si="8"/>
        <v>17404</v>
      </c>
      <c r="X232" s="2">
        <v>51992.54</v>
      </c>
    </row>
    <row r="233" spans="1:24">
      <c r="A233" t="s">
        <v>423</v>
      </c>
      <c r="B233" t="s">
        <v>424</v>
      </c>
      <c r="C233" s="1"/>
      <c r="D233" s="1"/>
      <c r="E233" s="1"/>
      <c r="F233" s="2"/>
      <c r="G233" s="2">
        <f>VLOOKUP(A233,'Voter Approved'!$A$3:$F$298,3,FALSE)</f>
        <v>15085000</v>
      </c>
      <c r="H233" s="2">
        <v>15084999</v>
      </c>
      <c r="I233" s="2">
        <v>9729028363</v>
      </c>
      <c r="J233" s="2">
        <v>10479402838</v>
      </c>
      <c r="K233" s="2">
        <v>11207073774</v>
      </c>
      <c r="L233" s="2">
        <v>12584402775</v>
      </c>
      <c r="M233" s="2">
        <v>17038379722</v>
      </c>
      <c r="N233" s="2">
        <v>15912144495</v>
      </c>
      <c r="O233" s="2">
        <v>17574730044</v>
      </c>
      <c r="P233" s="2">
        <v>18707368797</v>
      </c>
      <c r="Q233" s="2">
        <v>20604241724</v>
      </c>
      <c r="R233" s="2">
        <v>22303404945</v>
      </c>
      <c r="S233" s="2">
        <v>23966038899</v>
      </c>
      <c r="T233" s="2">
        <v>25447447302</v>
      </c>
      <c r="U233" s="2">
        <v>26982294239</v>
      </c>
      <c r="V233" s="2">
        <v>0</v>
      </c>
      <c r="W233" t="str">
        <f t="shared" si="8"/>
        <v>31201</v>
      </c>
      <c r="X233" s="2">
        <v>12792126.199999999</v>
      </c>
    </row>
    <row r="234" spans="1:24">
      <c r="A234" t="s">
        <v>203</v>
      </c>
      <c r="B234" t="s">
        <v>204</v>
      </c>
      <c r="C234" s="1"/>
      <c r="D234" s="1"/>
      <c r="E234" s="1"/>
      <c r="F234" s="2"/>
      <c r="G234" s="2">
        <f>VLOOKUP(A234,'Voter Approved'!$A$3:$F$298,3,FALSE)</f>
        <v>14250000</v>
      </c>
      <c r="H234" s="2">
        <v>14250000</v>
      </c>
      <c r="I234" s="2">
        <v>9564872030</v>
      </c>
      <c r="J234" s="2">
        <v>10162733205</v>
      </c>
      <c r="K234" s="2">
        <v>10335577512</v>
      </c>
      <c r="L234" s="2">
        <v>12106535983</v>
      </c>
      <c r="M234" s="2">
        <v>16368646871</v>
      </c>
      <c r="N234" s="2">
        <v>14513926005</v>
      </c>
      <c r="O234" s="2">
        <v>18191667648</v>
      </c>
      <c r="P234" s="2">
        <v>20496819904</v>
      </c>
      <c r="Q234" s="2">
        <v>22807522704</v>
      </c>
      <c r="R234" s="2">
        <v>24447949276</v>
      </c>
      <c r="S234" s="2">
        <v>27050586732</v>
      </c>
      <c r="T234" s="2">
        <v>29631686237</v>
      </c>
      <c r="U234" s="2">
        <v>32797979806</v>
      </c>
      <c r="V234" s="2">
        <v>0</v>
      </c>
      <c r="W234" t="str">
        <f t="shared" si="8"/>
        <v>17410</v>
      </c>
      <c r="X234" s="2">
        <v>10173433.6</v>
      </c>
    </row>
    <row r="235" spans="1:24">
      <c r="A235" t="s">
        <v>124</v>
      </c>
      <c r="B235" t="s">
        <v>125</v>
      </c>
      <c r="C235" s="1"/>
      <c r="D235" s="1"/>
      <c r="E235" s="1"/>
      <c r="F235" s="2"/>
      <c r="G235" s="2">
        <f>VLOOKUP(A235,'Voter Approved'!$A$3:$F$298,3,FALSE)</f>
        <v>842366</v>
      </c>
      <c r="H235" s="2">
        <v>842366</v>
      </c>
      <c r="I235" s="2">
        <v>207939245</v>
      </c>
      <c r="J235" s="2">
        <v>221053957</v>
      </c>
      <c r="K235" s="2">
        <v>236296480</v>
      </c>
      <c r="L235" s="2">
        <v>261993135</v>
      </c>
      <c r="M235" s="2">
        <v>289131228</v>
      </c>
      <c r="N235" s="2">
        <v>309545043</v>
      </c>
      <c r="O235" s="2">
        <v>341189274</v>
      </c>
      <c r="P235" s="2">
        <v>373441626</v>
      </c>
      <c r="Q235" s="2">
        <v>419455579</v>
      </c>
      <c r="R235" s="2">
        <v>450176473</v>
      </c>
      <c r="S235" s="2">
        <v>484742112</v>
      </c>
      <c r="T235" s="2">
        <v>532748804</v>
      </c>
      <c r="U235" s="2">
        <v>607728610</v>
      </c>
      <c r="V235" s="2">
        <v>138571.42000000001</v>
      </c>
      <c r="W235" t="str">
        <f t="shared" si="8"/>
        <v>13156</v>
      </c>
      <c r="X235" s="2">
        <v>335924.2</v>
      </c>
    </row>
    <row r="236" spans="1:24">
      <c r="A236" t="s">
        <v>333</v>
      </c>
      <c r="B236" t="s">
        <v>334</v>
      </c>
      <c r="C236" s="1"/>
      <c r="D236" s="1"/>
      <c r="E236" s="1"/>
      <c r="F236" s="2"/>
      <c r="G236" s="2">
        <f>VLOOKUP(A236,'Voter Approved'!$A$3:$F$298,3,FALSE)</f>
        <v>711000</v>
      </c>
      <c r="H236" s="2">
        <v>711000</v>
      </c>
      <c r="I236" s="2">
        <v>211081990</v>
      </c>
      <c r="J236" s="2">
        <v>226767868</v>
      </c>
      <c r="K236" s="2">
        <v>244696055</v>
      </c>
      <c r="L236" s="2">
        <v>265690882</v>
      </c>
      <c r="M236" s="2">
        <v>345990192</v>
      </c>
      <c r="N236" s="2">
        <v>405882652</v>
      </c>
      <c r="O236" s="2">
        <v>413429874</v>
      </c>
      <c r="P236" s="2">
        <v>453030244</v>
      </c>
      <c r="Q236" s="2">
        <v>497162304</v>
      </c>
      <c r="R236" s="2">
        <v>538138431</v>
      </c>
      <c r="S236" s="2">
        <v>583658250</v>
      </c>
      <c r="T236" s="2">
        <v>643689740</v>
      </c>
      <c r="U236" s="2">
        <v>710832417</v>
      </c>
      <c r="V236" s="2">
        <v>118561.42</v>
      </c>
      <c r="W236" t="str">
        <f t="shared" si="8"/>
        <v>25118</v>
      </c>
      <c r="X236" s="2">
        <v>248745</v>
      </c>
    </row>
    <row r="237" spans="1:24">
      <c r="A237" t="s">
        <v>223</v>
      </c>
      <c r="B237" t="s">
        <v>224</v>
      </c>
      <c r="C237" s="1"/>
      <c r="D237" s="1"/>
      <c r="E237" s="1"/>
      <c r="F237" s="2"/>
      <c r="G237" s="2">
        <f>VLOOKUP(A237,'Voter Approved'!$A$3:$F$298,3,FALSE)</f>
        <v>24650304</v>
      </c>
      <c r="H237" s="2">
        <v>24650304</v>
      </c>
      <c r="I237" s="2">
        <v>8551537456.5</v>
      </c>
      <c r="J237" s="2">
        <v>9371260232</v>
      </c>
      <c r="K237" s="2">
        <v>10140523703</v>
      </c>
      <c r="L237" s="2">
        <v>11429548116</v>
      </c>
      <c r="M237" s="2">
        <v>14002799975</v>
      </c>
      <c r="N237" s="2">
        <v>14571819781</v>
      </c>
      <c r="O237" s="2">
        <v>17013149794</v>
      </c>
      <c r="P237" s="2">
        <v>19384914516</v>
      </c>
      <c r="Q237" s="2">
        <v>22180243331</v>
      </c>
      <c r="R237" s="2">
        <v>24286928895</v>
      </c>
      <c r="S237" s="2">
        <v>27510564410</v>
      </c>
      <c r="T237" s="2">
        <v>30059802609</v>
      </c>
      <c r="U237" s="2">
        <v>33442717917</v>
      </c>
      <c r="V237" s="2">
        <v>0</v>
      </c>
      <c r="W237" t="str">
        <f t="shared" si="8"/>
        <v>18402</v>
      </c>
      <c r="X237" s="2">
        <v>13393077.710000001</v>
      </c>
    </row>
    <row r="238" spans="1:24">
      <c r="A238" t="s">
        <v>166</v>
      </c>
      <c r="B238" t="s">
        <v>167</v>
      </c>
      <c r="C238" s="1"/>
      <c r="D238" s="1"/>
      <c r="E238" s="1"/>
      <c r="F238" s="2"/>
      <c r="G238" s="2">
        <f>VLOOKUP(A238,'Voter Approved'!$A$3:$F$298,3,FALSE)</f>
        <v>4300000</v>
      </c>
      <c r="H238" s="2">
        <v>4300000</v>
      </c>
      <c r="I238" s="2">
        <v>4539472045.04</v>
      </c>
      <c r="J238" s="2">
        <v>5004152168</v>
      </c>
      <c r="K238" s="2">
        <v>5349189860</v>
      </c>
      <c r="L238" s="2">
        <v>5849869352</v>
      </c>
      <c r="M238" s="2">
        <v>7157189636</v>
      </c>
      <c r="N238" s="2">
        <v>7806444549</v>
      </c>
      <c r="O238" s="2">
        <v>8933094823</v>
      </c>
      <c r="P238" s="2">
        <v>9780918673</v>
      </c>
      <c r="Q238" s="2">
        <v>10800096505</v>
      </c>
      <c r="R238" s="2">
        <v>12089263343</v>
      </c>
      <c r="S238" s="2">
        <v>13693800410</v>
      </c>
      <c r="T238" s="2">
        <v>14822868375</v>
      </c>
      <c r="U238" s="2">
        <v>16414692599</v>
      </c>
      <c r="V238" s="2">
        <v>0</v>
      </c>
      <c r="W238" t="str">
        <f t="shared" si="8"/>
        <v>15206</v>
      </c>
      <c r="X238" s="2">
        <v>1658300</v>
      </c>
    </row>
    <row r="239" spans="1:24">
      <c r="A239" t="s">
        <v>299</v>
      </c>
      <c r="B239" t="s">
        <v>300</v>
      </c>
      <c r="C239" s="1"/>
      <c r="D239" s="1"/>
      <c r="E239" s="1"/>
      <c r="F239" s="2"/>
      <c r="G239" s="2">
        <f>VLOOKUP(A239,'Voter Approved'!$A$3:$F$298,3,FALSE)</f>
        <v>573905</v>
      </c>
      <c r="H239" s="2">
        <v>573905</v>
      </c>
      <c r="I239" s="2">
        <v>234050078</v>
      </c>
      <c r="J239" s="2">
        <v>253352137</v>
      </c>
      <c r="K239" s="2">
        <v>270593107</v>
      </c>
      <c r="L239" s="2">
        <v>310274806</v>
      </c>
      <c r="M239" s="2">
        <v>381253695</v>
      </c>
      <c r="N239" s="2">
        <v>442171705</v>
      </c>
      <c r="O239" s="2">
        <v>466442659</v>
      </c>
      <c r="P239" s="2">
        <v>523322708</v>
      </c>
      <c r="Q239" s="2">
        <v>582178814</v>
      </c>
      <c r="R239" s="2">
        <v>623379521</v>
      </c>
      <c r="S239" s="2">
        <v>694780069</v>
      </c>
      <c r="T239" s="2">
        <v>786407264</v>
      </c>
      <c r="U239" s="2">
        <v>871628401</v>
      </c>
      <c r="V239" s="2">
        <v>0</v>
      </c>
      <c r="W239" t="str">
        <f t="shared" si="8"/>
        <v>23042</v>
      </c>
      <c r="X239" s="2">
        <v>319290.98</v>
      </c>
    </row>
    <row r="240" spans="1:24">
      <c r="A240" t="s">
        <v>435</v>
      </c>
      <c r="B240" t="s">
        <v>436</v>
      </c>
      <c r="C240" s="1"/>
      <c r="D240" s="1"/>
      <c r="E240" s="1"/>
      <c r="F240" s="2"/>
      <c r="G240" s="2">
        <f>VLOOKUP(A240,'Voter Approved'!$A$3:$F$298,3,FALSE)</f>
        <v>32000000</v>
      </c>
      <c r="H240" s="2">
        <v>32000000</v>
      </c>
      <c r="I240" s="2">
        <v>19999433441</v>
      </c>
      <c r="J240" s="2">
        <v>21997151524</v>
      </c>
      <c r="K240" s="2">
        <v>24728180740</v>
      </c>
      <c r="L240" s="2">
        <v>27213082242</v>
      </c>
      <c r="M240" s="2">
        <v>35153205831</v>
      </c>
      <c r="N240" s="2">
        <v>36501900287</v>
      </c>
      <c r="O240" s="2">
        <v>37094691588</v>
      </c>
      <c r="P240" s="2">
        <v>39729824951</v>
      </c>
      <c r="Q240" s="2">
        <v>41952694161</v>
      </c>
      <c r="R240" s="2">
        <v>44229479096</v>
      </c>
      <c r="S240" s="2">
        <v>45928278085</v>
      </c>
      <c r="T240" s="2">
        <v>48159723434</v>
      </c>
      <c r="U240" s="2">
        <v>49968012486</v>
      </c>
      <c r="V240" s="2">
        <v>277822.11</v>
      </c>
      <c r="W240" t="str">
        <f t="shared" si="8"/>
        <v>32081</v>
      </c>
      <c r="X240" s="2">
        <v>38898980</v>
      </c>
    </row>
    <row r="241" spans="1:24">
      <c r="A241" t="s">
        <v>283</v>
      </c>
      <c r="B241" t="s">
        <v>284</v>
      </c>
      <c r="C241" s="1"/>
      <c r="D241" s="1"/>
      <c r="E241" s="1"/>
      <c r="F241" s="2"/>
      <c r="G241" s="2">
        <f>VLOOKUP(A241,'Voter Approved'!$A$3:$F$298,3,FALSE)</f>
        <v>295000</v>
      </c>
      <c r="H241" s="2">
        <v>295000</v>
      </c>
      <c r="I241" s="2">
        <v>110653620</v>
      </c>
      <c r="J241" s="2">
        <v>113394678</v>
      </c>
      <c r="K241" s="2">
        <v>117120445</v>
      </c>
      <c r="L241" s="2">
        <v>121958838</v>
      </c>
      <c r="M241" s="2">
        <v>122376635</v>
      </c>
      <c r="N241" s="2">
        <v>150672604</v>
      </c>
      <c r="O241" s="2">
        <v>133959490</v>
      </c>
      <c r="P241" s="2">
        <v>143078334</v>
      </c>
      <c r="Q241" s="2">
        <v>151205906</v>
      </c>
      <c r="R241" s="2">
        <v>162093540</v>
      </c>
      <c r="S241" s="2">
        <v>172997891</v>
      </c>
      <c r="T241" s="2">
        <v>183027366</v>
      </c>
      <c r="U241" s="2">
        <v>195845934</v>
      </c>
      <c r="V241" s="2">
        <v>0</v>
      </c>
      <c r="W241" t="str">
        <f t="shared" si="8"/>
        <v>22008</v>
      </c>
      <c r="X241" s="2">
        <v>97344.24</v>
      </c>
    </row>
    <row r="242" spans="1:24">
      <c r="A242" t="s">
        <v>555</v>
      </c>
      <c r="B242" t="s">
        <v>556</v>
      </c>
      <c r="C242" s="1"/>
      <c r="D242" s="1"/>
      <c r="E242" s="1"/>
      <c r="F242" s="2"/>
      <c r="G242" s="2">
        <f>VLOOKUP(A242,'Voter Approved'!$A$3:$F$298,3,FALSE)</f>
        <v>510000</v>
      </c>
      <c r="H242" s="2">
        <v>510000</v>
      </c>
      <c r="I242" s="2">
        <v>220424301</v>
      </c>
      <c r="J242" s="2">
        <v>230387178</v>
      </c>
      <c r="K242" s="2">
        <v>236720479</v>
      </c>
      <c r="L242" s="2">
        <v>251940031</v>
      </c>
      <c r="M242" s="2">
        <v>257615632</v>
      </c>
      <c r="N242" s="2">
        <v>249892124</v>
      </c>
      <c r="O242" s="2">
        <v>282856737</v>
      </c>
      <c r="P242" s="2">
        <v>302736239</v>
      </c>
      <c r="Q242" s="2">
        <v>319072008</v>
      </c>
      <c r="R242" s="2">
        <v>344364719</v>
      </c>
      <c r="S242" s="2">
        <v>367506676</v>
      </c>
      <c r="T242" s="2">
        <v>389556158</v>
      </c>
      <c r="U242" s="2">
        <v>415357210</v>
      </c>
      <c r="V242" s="2">
        <v>0</v>
      </c>
      <c r="W242" t="str">
        <f t="shared" si="8"/>
        <v>38322</v>
      </c>
      <c r="X242" s="2">
        <v>197349.07</v>
      </c>
    </row>
    <row r="243" spans="1:24">
      <c r="A243" t="s">
        <v>433</v>
      </c>
      <c r="B243" t="s">
        <v>434</v>
      </c>
      <c r="C243" s="1"/>
      <c r="D243" s="1"/>
      <c r="E243" s="1"/>
      <c r="F243" s="2"/>
      <c r="G243" s="2">
        <f>VLOOKUP(A243,'Voter Approved'!$A$3:$F$298,3,FALSE)</f>
        <v>13049199</v>
      </c>
      <c r="H243" s="2">
        <v>13049199</v>
      </c>
      <c r="I243" s="2">
        <v>6696593315.4699993</v>
      </c>
      <c r="J243" s="2">
        <v>7375554895</v>
      </c>
      <c r="K243" s="2">
        <v>7856937594</v>
      </c>
      <c r="L243" s="2">
        <v>8709655971</v>
      </c>
      <c r="M243" s="2">
        <v>11064965354</v>
      </c>
      <c r="N243" s="2">
        <v>11598368451</v>
      </c>
      <c r="O243" s="2">
        <v>12620745002</v>
      </c>
      <c r="P243" s="2">
        <v>13761631796</v>
      </c>
      <c r="Q243" s="2">
        <v>14819704712</v>
      </c>
      <c r="R243" s="2">
        <v>15898224950</v>
      </c>
      <c r="S243" s="2">
        <v>17287180817</v>
      </c>
      <c r="T243" s="2">
        <v>18472953591</v>
      </c>
      <c r="U243" s="2">
        <v>19766488153</v>
      </c>
      <c r="V243" s="2">
        <v>0</v>
      </c>
      <c r="W243" t="str">
        <f t="shared" si="8"/>
        <v>31401</v>
      </c>
      <c r="X243" s="2">
        <v>7009307.3899999997</v>
      </c>
    </row>
    <row r="244" spans="1:24">
      <c r="A244" t="s">
        <v>110</v>
      </c>
      <c r="B244" t="s">
        <v>111</v>
      </c>
      <c r="C244" s="1"/>
      <c r="D244" s="1"/>
      <c r="E244" s="1"/>
      <c r="F244" s="2"/>
      <c r="G244" s="2">
        <f>VLOOKUP(A244,'Voter Approved'!$A$3:$F$298,3,FALSE)</f>
        <v>0</v>
      </c>
      <c r="H244" s="2">
        <v>0</v>
      </c>
      <c r="I244" s="2">
        <v>45324645</v>
      </c>
      <c r="J244" s="2">
        <v>34899059</v>
      </c>
      <c r="K244" s="2">
        <v>31469514</v>
      </c>
      <c r="L244" s="2">
        <v>33594386</v>
      </c>
      <c r="M244" s="2">
        <v>37215784</v>
      </c>
      <c r="N244" s="2">
        <v>43005533</v>
      </c>
      <c r="O244" s="2">
        <v>35713586</v>
      </c>
      <c r="P244" s="2">
        <v>35088997</v>
      </c>
      <c r="Q244" s="2">
        <v>34069703</v>
      </c>
      <c r="R244" s="2">
        <v>33500649</v>
      </c>
      <c r="S244" s="2">
        <v>32829288</v>
      </c>
      <c r="T244" s="2">
        <v>33504087</v>
      </c>
      <c r="U244" s="2">
        <v>34045769</v>
      </c>
      <c r="V244" s="2">
        <v>0</v>
      </c>
      <c r="W244" t="str">
        <f t="shared" si="8"/>
        <v>11054</v>
      </c>
      <c r="X244" s="2">
        <v>0</v>
      </c>
    </row>
    <row r="245" spans="1:24">
      <c r="A245" t="s">
        <v>70</v>
      </c>
      <c r="B245" t="s">
        <v>71</v>
      </c>
      <c r="C245" s="1"/>
      <c r="D245" s="1"/>
      <c r="E245" s="1"/>
      <c r="F245" s="2"/>
      <c r="G245" s="2">
        <f>VLOOKUP(A245,'Voter Approved'!$A$3:$F$298,3,FALSE)</f>
        <v>0</v>
      </c>
      <c r="H245" s="2">
        <v>0</v>
      </c>
      <c r="I245" s="2">
        <v>127158054</v>
      </c>
      <c r="J245" s="2">
        <v>127158054</v>
      </c>
      <c r="K245" s="2">
        <v>200797423</v>
      </c>
      <c r="L245" s="2">
        <v>204613021</v>
      </c>
      <c r="M245" s="2">
        <v>204613021</v>
      </c>
      <c r="N245" s="2">
        <v>165397745</v>
      </c>
      <c r="O245" s="2">
        <v>283525767</v>
      </c>
      <c r="P245" s="2">
        <v>331315249</v>
      </c>
      <c r="Q245" s="2">
        <v>384453956</v>
      </c>
      <c r="R245" s="2">
        <v>440605269</v>
      </c>
      <c r="S245" s="2">
        <v>494170745</v>
      </c>
      <c r="T245" s="2">
        <v>561713119</v>
      </c>
      <c r="U245" s="2">
        <v>634456908</v>
      </c>
      <c r="V245" s="2">
        <v>0</v>
      </c>
      <c r="W245" t="str">
        <f t="shared" si="8"/>
        <v>07035</v>
      </c>
      <c r="X245" s="2">
        <v>0</v>
      </c>
    </row>
    <row r="246" spans="1:24">
      <c r="A246" t="s">
        <v>28</v>
      </c>
      <c r="B246" t="s">
        <v>29</v>
      </c>
      <c r="C246" s="1"/>
      <c r="D246" s="1"/>
      <c r="E246" s="1"/>
      <c r="F246" s="2"/>
      <c r="G246" s="2">
        <f>VLOOKUP(A246,'Voter Approved'!$A$3:$F$298,3,FALSE)</f>
        <v>0</v>
      </c>
      <c r="H246" s="2">
        <v>0</v>
      </c>
      <c r="I246" s="2">
        <v>37817617</v>
      </c>
      <c r="J246" s="2">
        <v>38219639</v>
      </c>
      <c r="K246" s="2">
        <v>40139222</v>
      </c>
      <c r="L246" s="2">
        <v>39670702</v>
      </c>
      <c r="M246" s="2">
        <v>46943125</v>
      </c>
      <c r="N246" s="2">
        <v>54146530</v>
      </c>
      <c r="O246" s="2">
        <v>52593938</v>
      </c>
      <c r="P246" s="2">
        <v>55946353</v>
      </c>
      <c r="Q246" s="2">
        <v>58872358</v>
      </c>
      <c r="R246" s="2">
        <v>63870275</v>
      </c>
      <c r="S246" s="2">
        <v>69316865</v>
      </c>
      <c r="T246" s="2">
        <v>72139639</v>
      </c>
      <c r="U246" s="2">
        <v>75428191</v>
      </c>
      <c r="V246" s="2">
        <v>0</v>
      </c>
      <c r="W246" t="str">
        <f t="shared" si="8"/>
        <v>04069</v>
      </c>
      <c r="X246" s="2">
        <v>0</v>
      </c>
    </row>
    <row r="247" spans="1:24">
      <c r="A247" t="s">
        <v>347</v>
      </c>
      <c r="B247" t="s">
        <v>348</v>
      </c>
      <c r="C247" s="1"/>
      <c r="D247" s="1"/>
      <c r="E247" s="1"/>
      <c r="F247" s="2"/>
      <c r="G247" s="2">
        <f>VLOOKUP(A247,'Voter Approved'!$A$3:$F$298,3,FALSE)</f>
        <v>4975000</v>
      </c>
      <c r="H247" s="2">
        <v>4975000</v>
      </c>
      <c r="I247" s="2">
        <v>3232593411</v>
      </c>
      <c r="J247" s="2">
        <v>3636051251</v>
      </c>
      <c r="K247" s="2">
        <v>3978555842</v>
      </c>
      <c r="L247" s="2">
        <v>4536843627</v>
      </c>
      <c r="M247" s="2">
        <v>5331343539</v>
      </c>
      <c r="N247" s="2">
        <v>5379283237</v>
      </c>
      <c r="O247" s="2">
        <v>5358599072</v>
      </c>
      <c r="P247" s="2">
        <v>5856879975</v>
      </c>
      <c r="Q247" s="2">
        <v>6244558731</v>
      </c>
      <c r="R247" s="2">
        <v>6515573987</v>
      </c>
      <c r="S247" s="2">
        <v>6852311459</v>
      </c>
      <c r="T247" s="2">
        <v>7230058149</v>
      </c>
      <c r="U247" s="2">
        <v>7379096732</v>
      </c>
      <c r="V247" s="2">
        <v>0</v>
      </c>
      <c r="W247" t="str">
        <f t="shared" si="8"/>
        <v>27001</v>
      </c>
      <c r="X247" s="2">
        <v>4548480</v>
      </c>
    </row>
    <row r="248" spans="1:24">
      <c r="A248" t="s">
        <v>547</v>
      </c>
      <c r="B248" t="s">
        <v>548</v>
      </c>
      <c r="C248" s="1"/>
      <c r="D248" s="1"/>
      <c r="E248" s="1"/>
      <c r="F248" s="2"/>
      <c r="G248" s="2">
        <f>VLOOKUP(A248,'Voter Approved'!$A$3:$F$298,3,FALSE)</f>
        <v>110000</v>
      </c>
      <c r="H248" s="2">
        <v>110000</v>
      </c>
      <c r="I248" s="2">
        <v>43384675</v>
      </c>
      <c r="J248" s="2">
        <v>43365013</v>
      </c>
      <c r="K248" s="2">
        <v>45699312</v>
      </c>
      <c r="L248" s="2">
        <v>46657526</v>
      </c>
      <c r="M248" s="2">
        <v>46437859</v>
      </c>
      <c r="N248" s="2">
        <v>47174342</v>
      </c>
      <c r="O248" s="2">
        <v>49410231</v>
      </c>
      <c r="P248" s="2">
        <v>52278926</v>
      </c>
      <c r="Q248" s="2">
        <v>53530159</v>
      </c>
      <c r="R248" s="2">
        <v>57855345</v>
      </c>
      <c r="S248" s="2">
        <v>60095691</v>
      </c>
      <c r="T248" s="2">
        <v>62328143</v>
      </c>
      <c r="U248" s="2">
        <v>65009591</v>
      </c>
      <c r="V248" s="2">
        <v>0</v>
      </c>
      <c r="W248" t="str">
        <f t="shared" si="8"/>
        <v>38304</v>
      </c>
      <c r="X248" s="2">
        <v>52118</v>
      </c>
    </row>
    <row r="249" spans="1:24">
      <c r="A249" t="s">
        <v>405</v>
      </c>
      <c r="B249" t="s">
        <v>406</v>
      </c>
      <c r="C249" s="1"/>
      <c r="D249" s="1"/>
      <c r="E249" s="1"/>
      <c r="F249" s="2"/>
      <c r="G249" s="2">
        <f>VLOOKUP(A249,'Voter Approved'!$A$3:$F$298,3,FALSE)</f>
        <v>2000000</v>
      </c>
      <c r="H249" s="2">
        <v>2000000</v>
      </c>
      <c r="I249" s="2">
        <v>899550603</v>
      </c>
      <c r="J249" s="2">
        <v>996724804</v>
      </c>
      <c r="K249" s="2">
        <v>1047635780</v>
      </c>
      <c r="L249" s="2">
        <v>1139593386</v>
      </c>
      <c r="M249" s="2">
        <v>1342692537</v>
      </c>
      <c r="N249" s="2">
        <v>1458545457</v>
      </c>
      <c r="O249" s="2">
        <v>1687335226</v>
      </c>
      <c r="P249" s="2">
        <v>1888542493</v>
      </c>
      <c r="Q249" s="2">
        <v>2109549330</v>
      </c>
      <c r="R249" s="2">
        <v>2316178372</v>
      </c>
      <c r="S249" s="2">
        <v>2543696652</v>
      </c>
      <c r="T249" s="2">
        <v>2802497759</v>
      </c>
      <c r="U249" s="2">
        <v>3036184330</v>
      </c>
      <c r="V249" s="2">
        <v>0</v>
      </c>
      <c r="W249" t="str">
        <f t="shared" si="8"/>
        <v>30303</v>
      </c>
      <c r="X249" s="2">
        <v>1141858</v>
      </c>
    </row>
    <row r="250" spans="1:24">
      <c r="A250" t="s">
        <v>427</v>
      </c>
      <c r="B250" t="s">
        <v>428</v>
      </c>
      <c r="C250" s="1"/>
      <c r="D250" s="1"/>
      <c r="E250" s="1"/>
      <c r="F250" s="2"/>
      <c r="G250" s="2">
        <f>VLOOKUP(A250,'Voter Approved'!$A$3:$F$298,3,FALSE)</f>
        <v>2372865</v>
      </c>
      <c r="H250" s="2">
        <v>2372865</v>
      </c>
      <c r="I250" s="2">
        <v>1609773862</v>
      </c>
      <c r="J250" s="2">
        <v>1823542290</v>
      </c>
      <c r="K250" s="2">
        <v>1973358938</v>
      </c>
      <c r="L250" s="2">
        <v>2282627732</v>
      </c>
      <c r="M250" s="2">
        <v>3108417480</v>
      </c>
      <c r="N250" s="2">
        <v>3028706899</v>
      </c>
      <c r="O250" s="2">
        <v>3320187240</v>
      </c>
      <c r="P250" s="2">
        <v>3767403272</v>
      </c>
      <c r="Q250" s="2">
        <v>4300681442</v>
      </c>
      <c r="R250" s="2">
        <v>4814563295</v>
      </c>
      <c r="S250" s="2">
        <v>5339127204</v>
      </c>
      <c r="T250" s="2">
        <v>5933809254</v>
      </c>
      <c r="U250" s="2">
        <v>6449469746</v>
      </c>
      <c r="V250" s="2">
        <v>0</v>
      </c>
      <c r="W250" t="str">
        <f t="shared" si="8"/>
        <v>31311</v>
      </c>
      <c r="X250" s="2">
        <v>2076267.88</v>
      </c>
    </row>
    <row r="251" spans="1:24">
      <c r="A251" t="s">
        <v>475</v>
      </c>
      <c r="B251" t="s">
        <v>476</v>
      </c>
      <c r="C251" s="1"/>
      <c r="D251" s="1"/>
      <c r="E251" s="1"/>
      <c r="F251" s="2"/>
      <c r="G251" s="2">
        <f>VLOOKUP(A251,'Voter Approved'!$A$3:$F$298,3,FALSE)</f>
        <v>91000</v>
      </c>
      <c r="H251" s="2">
        <v>91000</v>
      </c>
      <c r="I251" s="2">
        <v>49657146.600000001</v>
      </c>
      <c r="J251" s="2">
        <v>56923848</v>
      </c>
      <c r="K251" s="2">
        <v>59038535</v>
      </c>
      <c r="L251" s="2">
        <v>59953977</v>
      </c>
      <c r="M251" s="2">
        <v>65870477</v>
      </c>
      <c r="N251" s="2">
        <v>71025282</v>
      </c>
      <c r="O251" s="2">
        <v>80622750</v>
      </c>
      <c r="P251" s="2">
        <v>88140734</v>
      </c>
      <c r="Q251" s="2">
        <v>96253279</v>
      </c>
      <c r="R251" s="2">
        <v>103457200</v>
      </c>
      <c r="S251" s="2">
        <v>113248008</v>
      </c>
      <c r="T251" s="2">
        <v>124910472</v>
      </c>
      <c r="U251" s="2">
        <v>136114521</v>
      </c>
      <c r="V251" s="2">
        <v>20380.990000000002</v>
      </c>
      <c r="W251" t="str">
        <f t="shared" si="8"/>
        <v>33202</v>
      </c>
      <c r="X251" s="2">
        <v>46669.3</v>
      </c>
    </row>
    <row r="252" spans="1:24">
      <c r="A252" t="s">
        <v>357</v>
      </c>
      <c r="B252" t="s">
        <v>358</v>
      </c>
      <c r="C252" s="1"/>
      <c r="D252" s="1"/>
      <c r="E252" s="1"/>
      <c r="F252" s="2"/>
      <c r="G252" s="2">
        <f>VLOOKUP(A252,'Voter Approved'!$A$3:$F$298,3,FALSE)</f>
        <v>20000000</v>
      </c>
      <c r="H252" s="2">
        <v>20000000</v>
      </c>
      <c r="I252" s="2">
        <v>8637489720</v>
      </c>
      <c r="J252" s="2">
        <v>9646052322</v>
      </c>
      <c r="K252" s="2">
        <v>10452790686</v>
      </c>
      <c r="L252" s="2">
        <v>12264610750</v>
      </c>
      <c r="M252" s="2">
        <v>14478796919</v>
      </c>
      <c r="N252" s="2">
        <v>14815265324</v>
      </c>
      <c r="O252" s="2">
        <v>14941300151</v>
      </c>
      <c r="P252" s="2">
        <v>15749496393</v>
      </c>
      <c r="Q252" s="2">
        <v>17013288880</v>
      </c>
      <c r="R252" s="2">
        <v>17422973476</v>
      </c>
      <c r="S252" s="2">
        <v>18304823810</v>
      </c>
      <c r="T252" s="2">
        <v>19433054902</v>
      </c>
      <c r="U252" s="2">
        <v>20596054934</v>
      </c>
      <c r="V252" s="2">
        <v>0</v>
      </c>
      <c r="W252" t="str">
        <f t="shared" si="8"/>
        <v>27320</v>
      </c>
      <c r="X252" s="2">
        <v>14598173.4</v>
      </c>
    </row>
    <row r="253" spans="1:24">
      <c r="A253" t="s">
        <v>573</v>
      </c>
      <c r="B253" t="s">
        <v>574</v>
      </c>
      <c r="C253" s="1"/>
      <c r="D253" s="1"/>
      <c r="E253" s="1"/>
      <c r="F253" s="2"/>
      <c r="G253" s="2">
        <f>VLOOKUP(A253,'Voter Approved'!$A$3:$F$298,3,FALSE)</f>
        <v>2582904</v>
      </c>
      <c r="H253" s="2">
        <v>2582904</v>
      </c>
      <c r="I253" s="2">
        <v>1490000882</v>
      </c>
      <c r="J253" s="2">
        <v>1612896423</v>
      </c>
      <c r="K253" s="2">
        <v>1706344043</v>
      </c>
      <c r="L253" s="2">
        <v>1827757821</v>
      </c>
      <c r="M253" s="2">
        <v>2160829406</v>
      </c>
      <c r="N253" s="2">
        <v>2492059710</v>
      </c>
      <c r="O253" s="2">
        <v>2661699354</v>
      </c>
      <c r="P253" s="2">
        <v>2984260857</v>
      </c>
      <c r="Q253" s="2">
        <v>3449425326</v>
      </c>
      <c r="R253" s="2">
        <v>3853444201</v>
      </c>
      <c r="S253" s="2">
        <v>4377487504</v>
      </c>
      <c r="T253" s="2">
        <v>4807917221</v>
      </c>
      <c r="U253" s="2">
        <v>5217681780</v>
      </c>
      <c r="V253" s="2">
        <v>2342559.34</v>
      </c>
      <c r="W253" t="str">
        <f t="shared" si="8"/>
        <v>39201</v>
      </c>
      <c r="X253" s="2">
        <v>1753060</v>
      </c>
    </row>
    <row r="254" spans="1:24">
      <c r="A254" t="s">
        <v>351</v>
      </c>
      <c r="B254" t="s">
        <v>352</v>
      </c>
      <c r="C254" s="1"/>
      <c r="D254" s="1"/>
      <c r="E254" s="1"/>
      <c r="F254" s="2"/>
      <c r="G254" s="2">
        <f>VLOOKUP(A254,'Voter Approved'!$A$3:$F$298,3,FALSE)</f>
        <v>70000000</v>
      </c>
      <c r="H254" s="2">
        <v>70000000</v>
      </c>
      <c r="I254" s="2">
        <v>28112802280</v>
      </c>
      <c r="J254" s="2">
        <v>31242833203</v>
      </c>
      <c r="K254" s="2">
        <v>34059689021</v>
      </c>
      <c r="L254" s="2">
        <v>39070112869</v>
      </c>
      <c r="M254" s="2">
        <v>45574842806</v>
      </c>
      <c r="N254" s="2">
        <v>44789365336</v>
      </c>
      <c r="O254" s="2">
        <v>45999609929</v>
      </c>
      <c r="P254" s="2">
        <v>48887399326</v>
      </c>
      <c r="Q254" s="2">
        <v>52837401566</v>
      </c>
      <c r="R254" s="2">
        <v>54810441070</v>
      </c>
      <c r="S254" s="2">
        <v>57584968498</v>
      </c>
      <c r="T254" s="2">
        <v>59991877666</v>
      </c>
      <c r="U254" s="2">
        <v>62117409115</v>
      </c>
      <c r="V254" s="2">
        <v>0</v>
      </c>
      <c r="W254" t="str">
        <f t="shared" si="8"/>
        <v>27010</v>
      </c>
      <c r="X254" s="2">
        <v>37430200</v>
      </c>
    </row>
    <row r="255" spans="1:24">
      <c r="A255" t="s">
        <v>148</v>
      </c>
      <c r="B255" t="s">
        <v>149</v>
      </c>
      <c r="C255" s="1"/>
      <c r="D255" s="1"/>
      <c r="E255" s="1"/>
      <c r="F255" s="2"/>
      <c r="G255" s="2">
        <f>VLOOKUP(A255,'Voter Approved'!$A$3:$F$298,3,FALSE)</f>
        <v>150000</v>
      </c>
      <c r="H255" s="2">
        <v>150000</v>
      </c>
      <c r="I255" s="2">
        <v>15535843</v>
      </c>
      <c r="J255" s="2">
        <v>15961704</v>
      </c>
      <c r="K255" s="2">
        <v>16808081</v>
      </c>
      <c r="L255" s="2">
        <v>17953464</v>
      </c>
      <c r="M255" s="2">
        <v>20048647</v>
      </c>
      <c r="N255" s="2">
        <v>20440776</v>
      </c>
      <c r="O255" s="2">
        <v>22704643</v>
      </c>
      <c r="P255" s="2">
        <v>23982039</v>
      </c>
      <c r="Q255" s="2">
        <v>25097511</v>
      </c>
      <c r="R255" s="2">
        <v>26298450</v>
      </c>
      <c r="S255" s="2">
        <v>27799150</v>
      </c>
      <c r="T255" s="2">
        <v>28582489</v>
      </c>
      <c r="U255" s="2">
        <v>29141913</v>
      </c>
      <c r="V255" s="2">
        <v>85431.37</v>
      </c>
      <c r="W255" t="str">
        <f t="shared" si="8"/>
        <v>14077</v>
      </c>
      <c r="X255" s="2">
        <v>16583</v>
      </c>
    </row>
    <row r="256" spans="1:24">
      <c r="A256" t="s">
        <v>201</v>
      </c>
      <c r="B256" t="s">
        <v>202</v>
      </c>
      <c r="C256" s="1"/>
      <c r="D256" s="1"/>
      <c r="E256" s="1"/>
      <c r="F256" s="2"/>
      <c r="G256" s="2">
        <f>VLOOKUP(A256,'Voter Approved'!$A$3:$F$298,3,FALSE)</f>
        <v>10710073</v>
      </c>
      <c r="H256" s="2">
        <v>10710073</v>
      </c>
      <c r="I256" s="2">
        <v>7198115693</v>
      </c>
      <c r="J256" s="2">
        <v>7535377117</v>
      </c>
      <c r="K256" s="2">
        <v>7877701835</v>
      </c>
      <c r="L256" s="2">
        <v>9266653091</v>
      </c>
      <c r="M256" s="2">
        <v>12070733818</v>
      </c>
      <c r="N256" s="2">
        <v>10909740253</v>
      </c>
      <c r="O256" s="2">
        <v>13145719575</v>
      </c>
      <c r="P256" s="2">
        <v>14876065555</v>
      </c>
      <c r="Q256" s="2">
        <v>16159797362</v>
      </c>
      <c r="R256" s="2">
        <v>17445728962</v>
      </c>
      <c r="S256" s="2">
        <v>18649123145</v>
      </c>
      <c r="T256" s="2">
        <v>20245109406</v>
      </c>
      <c r="U256" s="2">
        <v>22277560341</v>
      </c>
      <c r="V256" s="2">
        <v>232811.9</v>
      </c>
      <c r="W256" t="str">
        <f t="shared" si="8"/>
        <v>17409</v>
      </c>
      <c r="X256" s="2">
        <v>10072456.4</v>
      </c>
    </row>
    <row r="257" spans="1:24">
      <c r="A257" t="s">
        <v>537</v>
      </c>
      <c r="B257" t="s">
        <v>538</v>
      </c>
      <c r="C257" s="1"/>
      <c r="D257" s="1"/>
      <c r="E257" s="1"/>
      <c r="F257" s="2"/>
      <c r="G257" s="2">
        <f>VLOOKUP(A257,'Voter Approved'!$A$3:$F$298,3,FALSE)</f>
        <v>127000</v>
      </c>
      <c r="H257" s="2">
        <v>127000</v>
      </c>
      <c r="I257" s="2">
        <v>79855602</v>
      </c>
      <c r="J257" s="2">
        <v>79979653</v>
      </c>
      <c r="K257" s="2">
        <v>80564493</v>
      </c>
      <c r="L257" s="2">
        <v>82372632</v>
      </c>
      <c r="M257" s="2">
        <v>83775012</v>
      </c>
      <c r="N257" s="2">
        <v>85077477</v>
      </c>
      <c r="O257" s="2">
        <v>89342063</v>
      </c>
      <c r="P257" s="2">
        <v>94514750</v>
      </c>
      <c r="Q257" s="2">
        <v>95729575</v>
      </c>
      <c r="R257" s="2">
        <v>102313946</v>
      </c>
      <c r="S257" s="2">
        <v>107580014</v>
      </c>
      <c r="T257" s="2">
        <v>109537946</v>
      </c>
      <c r="U257" s="2">
        <v>113597918</v>
      </c>
      <c r="V257" s="2">
        <v>72544.42</v>
      </c>
      <c r="W257" t="str">
        <f t="shared" si="8"/>
        <v>38265</v>
      </c>
      <c r="X257" s="2">
        <v>100774.27</v>
      </c>
    </row>
    <row r="258" spans="1:24">
      <c r="A258" t="s">
        <v>501</v>
      </c>
      <c r="B258" t="s">
        <v>502</v>
      </c>
      <c r="C258" s="1"/>
      <c r="D258" s="1"/>
      <c r="E258" s="1"/>
      <c r="F258" s="2"/>
      <c r="G258" s="2">
        <f>VLOOKUP(A258,'Voter Approved'!$A$3:$F$298,3,FALSE)</f>
        <v>3067927</v>
      </c>
      <c r="H258" s="2">
        <v>3067927</v>
      </c>
      <c r="I258" s="2">
        <v>1092958307</v>
      </c>
      <c r="J258" s="2">
        <v>1162507482</v>
      </c>
      <c r="K258" s="2">
        <v>1232396792</v>
      </c>
      <c r="L258" s="2">
        <v>1495077196</v>
      </c>
      <c r="M258" s="2">
        <v>1806524813</v>
      </c>
      <c r="N258" s="2">
        <v>1911399985</v>
      </c>
      <c r="O258" s="2">
        <v>2240396435</v>
      </c>
      <c r="P258" s="2">
        <v>2459254195</v>
      </c>
      <c r="Q258" s="2">
        <v>2790631567</v>
      </c>
      <c r="R258" s="2">
        <v>3094855853</v>
      </c>
      <c r="S258" s="2">
        <v>3482735599</v>
      </c>
      <c r="T258" s="2">
        <v>4079717512</v>
      </c>
      <c r="U258" s="2">
        <v>4406209294</v>
      </c>
      <c r="V258" s="2">
        <v>0</v>
      </c>
      <c r="W258" t="str">
        <f t="shared" si="8"/>
        <v>34402</v>
      </c>
      <c r="X258" s="2">
        <v>1874999.54</v>
      </c>
    </row>
    <row r="259" spans="1:24">
      <c r="A259" t="s">
        <v>229</v>
      </c>
      <c r="B259" t="s">
        <v>230</v>
      </c>
      <c r="C259" s="1"/>
      <c r="D259" s="1"/>
      <c r="E259" s="1"/>
      <c r="F259" s="2"/>
      <c r="G259" s="2">
        <f>VLOOKUP(A259,'Voter Approved'!$A$3:$F$298,3,FALSE)</f>
        <v>776867</v>
      </c>
      <c r="H259" s="2">
        <v>776867</v>
      </c>
      <c r="I259" s="2">
        <v>256405408.19999999</v>
      </c>
      <c r="J259" s="2">
        <v>306959787.19999999</v>
      </c>
      <c r="K259" s="2">
        <v>340162960</v>
      </c>
      <c r="L259" s="2">
        <v>370944185</v>
      </c>
      <c r="M259" s="2">
        <v>448547608</v>
      </c>
      <c r="N259" s="2">
        <v>515176423</v>
      </c>
      <c r="O259" s="2">
        <v>583440702</v>
      </c>
      <c r="P259" s="2">
        <v>676831186</v>
      </c>
      <c r="Q259" s="2">
        <v>785183390</v>
      </c>
      <c r="R259" s="2">
        <v>859009230</v>
      </c>
      <c r="S259" s="2">
        <v>955290801</v>
      </c>
      <c r="T259" s="2">
        <v>1063731599</v>
      </c>
      <c r="U259" s="2">
        <v>1198603650</v>
      </c>
      <c r="V259" s="2">
        <v>0</v>
      </c>
      <c r="W259" t="str">
        <f t="shared" si="8"/>
        <v>19400</v>
      </c>
      <c r="X259" s="2">
        <v>296457.13</v>
      </c>
    </row>
    <row r="260" spans="1:24">
      <c r="A260" t="s">
        <v>271</v>
      </c>
      <c r="B260" t="s">
        <v>272</v>
      </c>
      <c r="C260" s="1"/>
      <c r="D260" s="1"/>
      <c r="E260" s="1"/>
      <c r="F260" s="2"/>
      <c r="G260" s="2">
        <f>VLOOKUP(A260,'Voter Approved'!$A$3:$F$298,3,FALSE)</f>
        <v>1100000</v>
      </c>
      <c r="H260" s="2">
        <v>1100000</v>
      </c>
      <c r="I260" s="2">
        <v>544786777</v>
      </c>
      <c r="J260" s="2">
        <v>599483634</v>
      </c>
      <c r="K260" s="2">
        <v>669844966</v>
      </c>
      <c r="L260" s="2">
        <v>796875107</v>
      </c>
      <c r="M260" s="2">
        <v>1038910263</v>
      </c>
      <c r="N260" s="2">
        <v>1031502897</v>
      </c>
      <c r="O260" s="2">
        <v>1315221959</v>
      </c>
      <c r="P260" s="2">
        <v>1480932582</v>
      </c>
      <c r="Q260" s="2">
        <v>1633926550</v>
      </c>
      <c r="R260" s="2">
        <v>1785374097</v>
      </c>
      <c r="S260" s="2">
        <v>1982394915</v>
      </c>
      <c r="T260" s="2">
        <v>2197999905</v>
      </c>
      <c r="U260" s="2">
        <v>2450233196</v>
      </c>
      <c r="V260" s="2">
        <v>15364.18</v>
      </c>
      <c r="W260" t="str">
        <f t="shared" ref="W260:W298" si="9">A260</f>
        <v>21237</v>
      </c>
      <c r="X260" s="2">
        <v>568560</v>
      </c>
    </row>
    <row r="261" spans="1:24">
      <c r="A261" t="s">
        <v>325</v>
      </c>
      <c r="B261" t="s">
        <v>326</v>
      </c>
      <c r="C261" s="1"/>
      <c r="D261" s="1"/>
      <c r="E261" s="1"/>
      <c r="F261" s="2"/>
      <c r="G261" s="2">
        <f>VLOOKUP(A261,'Voter Approved'!$A$3:$F$298,3,FALSE)</f>
        <v>830000</v>
      </c>
      <c r="H261" s="2">
        <v>830000</v>
      </c>
      <c r="I261" s="2">
        <v>507535841</v>
      </c>
      <c r="J261" s="2">
        <v>519376583</v>
      </c>
      <c r="K261" s="2">
        <v>576008885</v>
      </c>
      <c r="L261" s="2">
        <v>623646735</v>
      </c>
      <c r="M261" s="2">
        <v>705069778</v>
      </c>
      <c r="N261" s="2">
        <v>790376441</v>
      </c>
      <c r="O261" s="2">
        <v>856927848</v>
      </c>
      <c r="P261" s="2">
        <v>948032853</v>
      </c>
      <c r="Q261" s="2">
        <v>1055686366</v>
      </c>
      <c r="R261" s="2">
        <v>1140080738</v>
      </c>
      <c r="S261" s="2">
        <v>1259961232</v>
      </c>
      <c r="T261" s="2">
        <v>1377069185</v>
      </c>
      <c r="U261" s="2">
        <v>1488563090</v>
      </c>
      <c r="V261" s="2">
        <v>264634.28000000003</v>
      </c>
      <c r="W261" t="str">
        <f t="shared" si="9"/>
        <v>24404</v>
      </c>
      <c r="X261" s="2">
        <v>529195.75</v>
      </c>
    </row>
    <row r="262" spans="1:24">
      <c r="A262" t="s">
        <v>575</v>
      </c>
      <c r="B262" t="s">
        <v>576</v>
      </c>
      <c r="C262" s="1"/>
      <c r="D262" s="1"/>
      <c r="E262" s="1"/>
      <c r="F262" s="2"/>
      <c r="G262" s="2">
        <f>VLOOKUP(A262,'Voter Approved'!$A$3:$F$298,3,FALSE)</f>
        <v>1320000</v>
      </c>
      <c r="H262" s="2">
        <v>1320000</v>
      </c>
      <c r="I262" s="2">
        <v>652632785</v>
      </c>
      <c r="J262" s="2">
        <v>686626500</v>
      </c>
      <c r="K262" s="2">
        <v>742238015</v>
      </c>
      <c r="L262" s="2">
        <v>813944368</v>
      </c>
      <c r="M262" s="2">
        <v>904960536</v>
      </c>
      <c r="N262" s="2">
        <v>1123453949</v>
      </c>
      <c r="O262" s="2">
        <v>1083822460</v>
      </c>
      <c r="P262" s="2">
        <v>1204502698</v>
      </c>
      <c r="Q262" s="2">
        <v>1388768176</v>
      </c>
      <c r="R262" s="2">
        <v>1514210193</v>
      </c>
      <c r="S262" s="2">
        <v>1681818558</v>
      </c>
      <c r="T262" s="2">
        <v>1836411772</v>
      </c>
      <c r="U262" s="2">
        <v>1992202242</v>
      </c>
      <c r="V262" s="2">
        <v>1678844.75</v>
      </c>
      <c r="W262" t="str">
        <f t="shared" si="9"/>
        <v>39202</v>
      </c>
      <c r="X262" s="2">
        <v>710700</v>
      </c>
    </row>
    <row r="263" spans="1:24">
      <c r="A263" t="s">
        <v>511</v>
      </c>
      <c r="B263" t="s">
        <v>512</v>
      </c>
      <c r="C263" s="1"/>
      <c r="D263" s="1"/>
      <c r="E263" s="1"/>
      <c r="F263" s="2"/>
      <c r="G263" s="2">
        <f>VLOOKUP(A263,'Voter Approved'!$A$3:$F$298,3,FALSE)</f>
        <v>688031</v>
      </c>
      <c r="H263" s="2">
        <v>688031</v>
      </c>
      <c r="I263" s="2">
        <v>234216963</v>
      </c>
      <c r="J263" s="2">
        <v>245287047</v>
      </c>
      <c r="K263" s="2">
        <v>264197359</v>
      </c>
      <c r="L263" s="2">
        <v>278833641</v>
      </c>
      <c r="M263" s="2">
        <v>294328533</v>
      </c>
      <c r="N263" s="2">
        <v>317846843</v>
      </c>
      <c r="O263" s="2">
        <v>336533000</v>
      </c>
      <c r="P263" s="2">
        <v>366287888</v>
      </c>
      <c r="Q263" s="2">
        <v>386959597</v>
      </c>
      <c r="R263" s="2">
        <v>416051519</v>
      </c>
      <c r="S263" s="2">
        <v>438841060</v>
      </c>
      <c r="T263" s="2">
        <v>466829767</v>
      </c>
      <c r="U263" s="2">
        <v>515819024</v>
      </c>
      <c r="V263" s="2">
        <v>0</v>
      </c>
      <c r="W263" t="str">
        <f t="shared" si="9"/>
        <v>36300</v>
      </c>
      <c r="X263" s="2">
        <v>319237.76000000001</v>
      </c>
    </row>
    <row r="264" spans="1:24">
      <c r="A264" t="s">
        <v>74</v>
      </c>
      <c r="B264" t="s">
        <v>75</v>
      </c>
      <c r="C264" s="1"/>
      <c r="D264" s="1"/>
      <c r="E264" s="1"/>
      <c r="F264" s="2"/>
      <c r="G264" s="2">
        <f>VLOOKUP(A264,'Voter Approved'!$A$3:$F$298,3,FALSE)</f>
        <v>1110000</v>
      </c>
      <c r="H264" s="2">
        <v>1110000</v>
      </c>
      <c r="I264" s="2">
        <v>466808620</v>
      </c>
      <c r="J264" s="2">
        <v>507747573</v>
      </c>
      <c r="K264" s="2">
        <v>568765590</v>
      </c>
      <c r="L264" s="2">
        <v>668602255</v>
      </c>
      <c r="M264" s="2">
        <v>778331230</v>
      </c>
      <c r="N264" s="2">
        <v>796588886</v>
      </c>
      <c r="O264" s="2">
        <v>947837411</v>
      </c>
      <c r="P264" s="2">
        <v>1031046458</v>
      </c>
      <c r="Q264" s="2">
        <v>1151407180</v>
      </c>
      <c r="R264" s="2">
        <v>1258424404</v>
      </c>
      <c r="S264" s="2">
        <v>1381826247</v>
      </c>
      <c r="T264" s="2">
        <v>1583527597</v>
      </c>
      <c r="U264" s="2">
        <v>1833421364</v>
      </c>
      <c r="V264" s="2">
        <v>32357.3</v>
      </c>
      <c r="W264" t="str">
        <f t="shared" si="9"/>
        <v>08130</v>
      </c>
      <c r="X264" s="2">
        <v>788348.71</v>
      </c>
    </row>
    <row r="265" spans="1:24">
      <c r="A265" t="s">
        <v>243</v>
      </c>
      <c r="B265" t="s">
        <v>244</v>
      </c>
      <c r="C265" s="1"/>
      <c r="D265" s="1"/>
      <c r="E265" s="1"/>
      <c r="F265" s="2"/>
      <c r="G265" s="2">
        <f>VLOOKUP(A265,'Voter Approved'!$A$3:$F$298,3,FALSE)</f>
        <v>412000</v>
      </c>
      <c r="H265" s="2">
        <v>412000</v>
      </c>
      <c r="I265" s="2">
        <v>188200617.94999999</v>
      </c>
      <c r="J265" s="2">
        <v>193362612</v>
      </c>
      <c r="K265" s="2">
        <v>207112203</v>
      </c>
      <c r="L265" s="2">
        <v>231045083</v>
      </c>
      <c r="M265" s="2">
        <v>284667874</v>
      </c>
      <c r="N265" s="2">
        <v>277490476</v>
      </c>
      <c r="O265" s="2">
        <v>349455121</v>
      </c>
      <c r="P265" s="2">
        <v>393699629</v>
      </c>
      <c r="Q265" s="2">
        <v>437592493</v>
      </c>
      <c r="R265" s="2">
        <v>471654402</v>
      </c>
      <c r="S265" s="2">
        <v>538656104</v>
      </c>
      <c r="T265" s="2">
        <v>605288805</v>
      </c>
      <c r="U265" s="2">
        <v>672171054</v>
      </c>
      <c r="V265" s="2">
        <v>0</v>
      </c>
      <c r="W265" t="str">
        <f t="shared" si="9"/>
        <v>20400</v>
      </c>
      <c r="X265" s="2">
        <v>288555.59999999998</v>
      </c>
    </row>
    <row r="266" spans="1:24">
      <c r="A266" t="s">
        <v>196</v>
      </c>
      <c r="B266" s="14" t="s">
        <v>954</v>
      </c>
      <c r="C266" s="1"/>
      <c r="D266" s="1"/>
      <c r="E266" s="1"/>
      <c r="F266" s="2"/>
      <c r="G266" s="2">
        <f>VLOOKUP(A266,'Voter Approved'!$A$3:$F$298,3,FALSE)</f>
        <v>12662093</v>
      </c>
      <c r="H266" s="2">
        <v>12662093</v>
      </c>
      <c r="I266" s="2">
        <v>4039636739</v>
      </c>
      <c r="J266" s="2">
        <v>4394519546</v>
      </c>
      <c r="K266" s="2">
        <v>4592482613</v>
      </c>
      <c r="L266" s="2">
        <v>4635387168</v>
      </c>
      <c r="M266" s="2">
        <v>5260397439</v>
      </c>
      <c r="N266" s="2">
        <v>5440057853</v>
      </c>
      <c r="O266" s="2">
        <v>5114883673</v>
      </c>
      <c r="P266" s="2">
        <v>5317144854</v>
      </c>
      <c r="Q266" s="2">
        <v>5489048516</v>
      </c>
      <c r="R266" s="2">
        <v>5589952586</v>
      </c>
      <c r="S266" s="2">
        <v>5535554570</v>
      </c>
      <c r="T266" s="2">
        <v>5638534368</v>
      </c>
      <c r="U266" s="2">
        <v>5814750563</v>
      </c>
      <c r="V266" s="2">
        <v>0</v>
      </c>
      <c r="W266" t="str">
        <f t="shared" si="9"/>
        <v>17406</v>
      </c>
      <c r="X266" s="2">
        <v>3748327.68</v>
      </c>
    </row>
    <row r="267" spans="1:24">
      <c r="A267" t="s">
        <v>491</v>
      </c>
      <c r="B267" t="s">
        <v>492</v>
      </c>
      <c r="C267" s="1"/>
      <c r="D267" s="1"/>
      <c r="E267" s="1"/>
      <c r="F267" s="2"/>
      <c r="G267" s="2">
        <f>VLOOKUP(A267,'Voter Approved'!$A$3:$F$298,3,FALSE)</f>
        <v>16547000</v>
      </c>
      <c r="H267" s="2">
        <v>16547000</v>
      </c>
      <c r="I267" s="2">
        <v>5539438430</v>
      </c>
      <c r="J267" s="2">
        <v>5975270824</v>
      </c>
      <c r="K267" s="2">
        <v>6382852309</v>
      </c>
      <c r="L267" s="2">
        <v>7461823484</v>
      </c>
      <c r="M267" s="2">
        <v>9517960625</v>
      </c>
      <c r="N267" s="2">
        <v>9689155552</v>
      </c>
      <c r="O267" s="2">
        <v>12008556408</v>
      </c>
      <c r="P267" s="2">
        <v>13361311358</v>
      </c>
      <c r="Q267" s="2">
        <v>15197511172</v>
      </c>
      <c r="R267" s="2">
        <v>16867198523</v>
      </c>
      <c r="S267" s="2">
        <v>19193961724</v>
      </c>
      <c r="T267" s="2">
        <v>22226078234</v>
      </c>
      <c r="U267" s="2">
        <v>24425158577</v>
      </c>
      <c r="V267" s="2">
        <v>0</v>
      </c>
      <c r="W267" t="str">
        <f t="shared" si="9"/>
        <v>34033</v>
      </c>
      <c r="X267" s="2">
        <v>9712900</v>
      </c>
    </row>
    <row r="268" spans="1:24">
      <c r="A268" t="s">
        <v>559</v>
      </c>
      <c r="B268" t="s">
        <v>560</v>
      </c>
      <c r="C268" s="1"/>
      <c r="D268" s="1"/>
      <c r="E268" s="1"/>
      <c r="F268" s="2"/>
      <c r="G268" s="2">
        <f>VLOOKUP(A268,'Voter Approved'!$A$3:$F$298,3,FALSE)</f>
        <v>922500</v>
      </c>
      <c r="H268" s="2">
        <v>922500</v>
      </c>
      <c r="I268" s="2">
        <v>523570149</v>
      </c>
      <c r="J268" s="2">
        <v>551627045</v>
      </c>
      <c r="K268" s="2">
        <v>555432746</v>
      </c>
      <c r="L268" s="2">
        <v>582518576</v>
      </c>
      <c r="M268" s="2">
        <v>653062381</v>
      </c>
      <c r="N268" s="2">
        <v>727298356</v>
      </c>
      <c r="O268" s="2">
        <v>756047369</v>
      </c>
      <c r="P268" s="2">
        <v>817497150</v>
      </c>
      <c r="Q268" s="2">
        <v>932017832</v>
      </c>
      <c r="R268" s="2">
        <v>1002950675</v>
      </c>
      <c r="S268" s="2">
        <v>1093782396</v>
      </c>
      <c r="T268" s="2">
        <v>1156526069</v>
      </c>
      <c r="U268" s="2">
        <v>1209630622</v>
      </c>
      <c r="V268" s="2">
        <v>92083.08</v>
      </c>
      <c r="W268" t="str">
        <f t="shared" si="9"/>
        <v>39002</v>
      </c>
      <c r="X268" s="2">
        <v>437080.5</v>
      </c>
    </row>
    <row r="269" spans="1:24">
      <c r="A269" t="s">
        <v>355</v>
      </c>
      <c r="B269" t="s">
        <v>356</v>
      </c>
      <c r="C269" s="1"/>
      <c r="D269" s="1"/>
      <c r="E269" s="1"/>
      <c r="F269" s="2"/>
      <c r="G269" s="2">
        <f>VLOOKUP(A269,'Voter Approved'!$A$3:$F$298,3,FALSE)</f>
        <v>9961000</v>
      </c>
      <c r="H269" s="2">
        <v>9961000</v>
      </c>
      <c r="I269" s="2">
        <v>3846091110</v>
      </c>
      <c r="J269" s="2">
        <v>4217134854</v>
      </c>
      <c r="K269" s="2">
        <v>4697498207</v>
      </c>
      <c r="L269" s="2">
        <v>5425950685</v>
      </c>
      <c r="M269" s="2">
        <v>6462652775</v>
      </c>
      <c r="N269" s="2">
        <v>6301803843</v>
      </c>
      <c r="O269" s="2">
        <v>6609655476</v>
      </c>
      <c r="P269" s="2">
        <v>7132537501</v>
      </c>
      <c r="Q269" s="2">
        <v>7676292927</v>
      </c>
      <c r="R269" s="2">
        <v>8258151677</v>
      </c>
      <c r="S269" s="2">
        <v>8685465597</v>
      </c>
      <c r="T269" s="2">
        <v>9147412082</v>
      </c>
      <c r="U269" s="2">
        <v>9727415950</v>
      </c>
      <c r="V269" s="2">
        <v>360662.2</v>
      </c>
      <c r="W269" t="str">
        <f t="shared" si="9"/>
        <v>27083</v>
      </c>
      <c r="X269" s="2">
        <v>7464486.6500000004</v>
      </c>
    </row>
    <row r="270" spans="1:24">
      <c r="A270" t="s">
        <v>469</v>
      </c>
      <c r="B270" t="s">
        <v>470</v>
      </c>
      <c r="C270" s="1"/>
      <c r="D270" s="1"/>
      <c r="E270" s="1"/>
      <c r="F270" s="2"/>
      <c r="G270" s="2">
        <f>VLOOKUP(A270,'Voter Approved'!$A$3:$F$298,3,FALSE)</f>
        <v>152000</v>
      </c>
      <c r="H270" s="2">
        <v>152000</v>
      </c>
      <c r="I270" s="2">
        <v>141253995.75</v>
      </c>
      <c r="J270" s="2">
        <v>151475518</v>
      </c>
      <c r="K270" s="2">
        <v>149401570</v>
      </c>
      <c r="L270" s="2">
        <v>165035765</v>
      </c>
      <c r="M270" s="2">
        <v>186379704</v>
      </c>
      <c r="N270" s="2">
        <v>215410459</v>
      </c>
      <c r="O270" s="2">
        <v>222198453</v>
      </c>
      <c r="P270" s="2">
        <v>242647924</v>
      </c>
      <c r="Q270" s="2">
        <v>265180881</v>
      </c>
      <c r="R270" s="2">
        <v>287693531</v>
      </c>
      <c r="S270" s="2">
        <v>317125782</v>
      </c>
      <c r="T270" s="2">
        <v>345504601</v>
      </c>
      <c r="U270" s="2">
        <v>376973109</v>
      </c>
      <c r="V270" s="2">
        <v>213992.43</v>
      </c>
      <c r="W270" t="str">
        <f t="shared" si="9"/>
        <v>33070</v>
      </c>
      <c r="X270" s="2">
        <v>72017.600000000006</v>
      </c>
    </row>
    <row r="271" spans="1:24">
      <c r="A271" t="s">
        <v>50</v>
      </c>
      <c r="B271" t="s">
        <v>51</v>
      </c>
      <c r="C271" s="1"/>
      <c r="D271" s="1"/>
      <c r="E271" s="1"/>
      <c r="F271" s="2"/>
      <c r="G271" s="2">
        <f>VLOOKUP(A271,'Voter Approved'!$A$3:$F$298,3,FALSE)</f>
        <v>48400000</v>
      </c>
      <c r="H271" s="2">
        <v>30825000</v>
      </c>
      <c r="I271" s="2">
        <v>20339558923</v>
      </c>
      <c r="J271" s="2">
        <v>21511091575</v>
      </c>
      <c r="K271" s="2">
        <v>22546732161</v>
      </c>
      <c r="L271" s="2">
        <v>24723878927</v>
      </c>
      <c r="M271" s="2">
        <v>29222388812</v>
      </c>
      <c r="N271" s="2">
        <v>31054108024</v>
      </c>
      <c r="O271" s="2">
        <v>31111990427</v>
      </c>
      <c r="P271" s="2">
        <v>33443843466</v>
      </c>
      <c r="Q271" s="2">
        <v>35055754220</v>
      </c>
      <c r="R271" s="2">
        <v>35858998506</v>
      </c>
      <c r="S271" s="2">
        <v>37091319030</v>
      </c>
      <c r="T271" s="2">
        <v>37802817311</v>
      </c>
      <c r="U271" s="2">
        <v>40194210318</v>
      </c>
      <c r="V271" s="2">
        <v>0</v>
      </c>
      <c r="W271" t="str">
        <f t="shared" si="9"/>
        <v>06037</v>
      </c>
      <c r="X271" s="2">
        <v>29215076.559999999</v>
      </c>
    </row>
    <row r="272" spans="1:24">
      <c r="A272" t="s">
        <v>188</v>
      </c>
      <c r="B272" t="s">
        <v>189</v>
      </c>
      <c r="C272" s="1"/>
      <c r="D272" s="1"/>
      <c r="E272" s="1"/>
      <c r="F272" s="2"/>
      <c r="G272" s="2">
        <f>VLOOKUP(A272,'Voter Approved'!$A$3:$F$298,3,FALSE)</f>
        <v>4556285</v>
      </c>
      <c r="H272" s="2">
        <v>4556285</v>
      </c>
      <c r="I272" s="2">
        <v>3232432615</v>
      </c>
      <c r="J272" s="2">
        <v>3340995796</v>
      </c>
      <c r="K272" s="2">
        <v>3265336271</v>
      </c>
      <c r="L272" s="2">
        <v>3831572775</v>
      </c>
      <c r="M272" s="2">
        <v>4955390824</v>
      </c>
      <c r="N272" s="2">
        <v>4405144626</v>
      </c>
      <c r="O272" s="2">
        <v>5230319525</v>
      </c>
      <c r="P272" s="2">
        <v>5666459138</v>
      </c>
      <c r="Q272" s="2">
        <v>6244304732</v>
      </c>
      <c r="R272" s="2">
        <v>6595410538</v>
      </c>
      <c r="S272" s="2">
        <v>6827346013</v>
      </c>
      <c r="T272" s="2">
        <v>7251987405</v>
      </c>
      <c r="U272" s="2">
        <v>7835219072</v>
      </c>
      <c r="V272" s="2">
        <v>0</v>
      </c>
      <c r="W272" t="str">
        <f t="shared" si="9"/>
        <v>17402</v>
      </c>
      <c r="X272" s="2">
        <v>2198475.5</v>
      </c>
    </row>
    <row r="273" spans="1:24">
      <c r="A273" t="s">
        <v>503</v>
      </c>
      <c r="B273" t="s">
        <v>504</v>
      </c>
      <c r="C273" s="1"/>
      <c r="D273" s="1"/>
      <c r="E273" s="1"/>
      <c r="F273" s="2"/>
      <c r="G273" s="2">
        <f>VLOOKUP(A273,'Voter Approved'!$A$3:$F$298,3,FALSE)</f>
        <v>997000</v>
      </c>
      <c r="H273" s="2">
        <v>997000</v>
      </c>
      <c r="I273" s="2">
        <v>440322007</v>
      </c>
      <c r="J273" s="2">
        <v>514493848</v>
      </c>
      <c r="K273" s="2">
        <v>507004314</v>
      </c>
      <c r="L273" s="2">
        <v>580744200</v>
      </c>
      <c r="M273" s="2">
        <v>736396397</v>
      </c>
      <c r="N273" s="2">
        <v>832125909</v>
      </c>
      <c r="O273" s="2">
        <v>909067980</v>
      </c>
      <c r="P273" s="2">
        <v>1019148920</v>
      </c>
      <c r="Q273" s="2">
        <v>1123827892</v>
      </c>
      <c r="R273" s="2">
        <v>1246798276</v>
      </c>
      <c r="S273" s="2">
        <v>1408785124</v>
      </c>
      <c r="T273" s="2">
        <v>1544475440</v>
      </c>
      <c r="U273" s="2">
        <v>1705710289</v>
      </c>
      <c r="V273" s="2">
        <v>0</v>
      </c>
      <c r="W273" t="str">
        <f t="shared" si="9"/>
        <v>35200</v>
      </c>
      <c r="X273" s="2">
        <v>472378.6</v>
      </c>
    </row>
    <row r="274" spans="1:24">
      <c r="A274" t="s">
        <v>116</v>
      </c>
      <c r="B274" t="s">
        <v>117</v>
      </c>
      <c r="C274" s="1"/>
      <c r="D274" s="1"/>
      <c r="E274" s="1"/>
      <c r="F274" s="2"/>
      <c r="G274" s="2">
        <f>VLOOKUP(A274,'Voter Approved'!$A$3:$F$298,3,FALSE)</f>
        <v>1860865</v>
      </c>
      <c r="H274" s="2">
        <v>1860865</v>
      </c>
      <c r="I274" s="2">
        <v>678384183</v>
      </c>
      <c r="J274" s="2">
        <v>692577792</v>
      </c>
      <c r="K274" s="2">
        <v>777029654</v>
      </c>
      <c r="L274" s="2">
        <v>847838824</v>
      </c>
      <c r="M274" s="2">
        <v>926244121</v>
      </c>
      <c r="N274" s="2">
        <v>1027902882</v>
      </c>
      <c r="O274" s="2">
        <v>1101050598</v>
      </c>
      <c r="P274" s="2">
        <v>1221242682</v>
      </c>
      <c r="Q274" s="2">
        <v>1376900594</v>
      </c>
      <c r="R274" s="2">
        <v>1507219438</v>
      </c>
      <c r="S274" s="2">
        <v>1603346725</v>
      </c>
      <c r="T274" s="2">
        <v>1776586429</v>
      </c>
      <c r="U274" s="2">
        <v>1946481012</v>
      </c>
      <c r="V274" s="2">
        <v>855024.74</v>
      </c>
      <c r="W274" t="str">
        <f t="shared" si="9"/>
        <v>13073</v>
      </c>
      <c r="X274" s="2">
        <v>1114002.82</v>
      </c>
    </row>
    <row r="275" spans="1:24">
      <c r="A275" t="s">
        <v>515</v>
      </c>
      <c r="B275" t="s">
        <v>516</v>
      </c>
      <c r="C275" s="1"/>
      <c r="D275" s="1"/>
      <c r="E275" s="1"/>
      <c r="F275" s="2"/>
      <c r="G275" s="2">
        <f>VLOOKUP(A275,'Voter Approved'!$A$3:$F$298,3,FALSE)</f>
        <v>520846</v>
      </c>
      <c r="H275" s="2">
        <v>520846</v>
      </c>
      <c r="I275" s="2">
        <v>177679987</v>
      </c>
      <c r="J275" s="2">
        <v>180407323</v>
      </c>
      <c r="K275" s="2">
        <v>181014448</v>
      </c>
      <c r="L275" s="2">
        <v>201059966</v>
      </c>
      <c r="M275" s="2">
        <v>221963767</v>
      </c>
      <c r="N275" s="2">
        <v>243235411</v>
      </c>
      <c r="O275" s="2">
        <v>260991501</v>
      </c>
      <c r="P275" s="2">
        <v>283641903</v>
      </c>
      <c r="Q275" s="2">
        <v>301663043</v>
      </c>
      <c r="R275" s="2">
        <v>331324476</v>
      </c>
      <c r="S275" s="2">
        <v>350572605</v>
      </c>
      <c r="T275" s="2">
        <v>374974369</v>
      </c>
      <c r="U275" s="2">
        <v>420027803</v>
      </c>
      <c r="V275" s="2">
        <v>44577.15</v>
      </c>
      <c r="W275" t="str">
        <f t="shared" si="9"/>
        <v>36401</v>
      </c>
      <c r="X275" s="2">
        <v>288112.34000000003</v>
      </c>
    </row>
    <row r="276" spans="1:24">
      <c r="A276" t="s">
        <v>507</v>
      </c>
      <c r="B276" t="s">
        <v>508</v>
      </c>
      <c r="C276" s="1"/>
      <c r="D276" s="1"/>
      <c r="E276" s="1"/>
      <c r="F276" s="2"/>
      <c r="G276" s="2">
        <f>VLOOKUP(A276,'Voter Approved'!$A$3:$F$298,3,FALSE)</f>
        <v>11687674</v>
      </c>
      <c r="H276" s="2">
        <v>11687674</v>
      </c>
      <c r="I276" s="2">
        <v>3528975078</v>
      </c>
      <c r="J276" s="2">
        <v>3809277253</v>
      </c>
      <c r="K276" s="2">
        <v>3889348024</v>
      </c>
      <c r="L276" s="2">
        <v>4476741529</v>
      </c>
      <c r="M276" s="2">
        <v>5236976523</v>
      </c>
      <c r="N276" s="2">
        <v>5742861322</v>
      </c>
      <c r="O276" s="2">
        <v>6556203406</v>
      </c>
      <c r="P276" s="2">
        <v>7353329460</v>
      </c>
      <c r="Q276" s="2">
        <v>8325275288</v>
      </c>
      <c r="R276" s="2">
        <v>9488765602</v>
      </c>
      <c r="S276" s="2">
        <v>10625217562</v>
      </c>
      <c r="T276" s="2">
        <v>11698880533</v>
      </c>
      <c r="U276" s="2">
        <v>13205039573</v>
      </c>
      <c r="V276" s="2">
        <v>555365.41</v>
      </c>
      <c r="W276" t="str">
        <f t="shared" si="9"/>
        <v>36140</v>
      </c>
      <c r="X276" s="2">
        <v>5617846.1299999999</v>
      </c>
    </row>
    <row r="277" spans="1:24">
      <c r="A277" t="s">
        <v>583</v>
      </c>
      <c r="B277" t="s">
        <v>584</v>
      </c>
      <c r="C277" s="1"/>
      <c r="D277" s="1"/>
      <c r="E277" s="1"/>
      <c r="F277" s="2"/>
      <c r="G277" s="2">
        <f>VLOOKUP(A277,'Voter Approved'!$A$3:$F$298,3,FALSE)</f>
        <v>1200000</v>
      </c>
      <c r="H277" s="2">
        <v>1200000</v>
      </c>
      <c r="I277" s="2">
        <v>741649783</v>
      </c>
      <c r="J277" s="2">
        <v>777938209</v>
      </c>
      <c r="K277" s="2">
        <v>823172829</v>
      </c>
      <c r="L277" s="2">
        <v>885285381</v>
      </c>
      <c r="M277" s="2">
        <v>1000257432</v>
      </c>
      <c r="N277" s="2">
        <v>1144888420</v>
      </c>
      <c r="O277" s="2">
        <v>1196532444</v>
      </c>
      <c r="P277" s="2">
        <v>1325856785</v>
      </c>
      <c r="Q277" s="2">
        <v>1514604786</v>
      </c>
      <c r="R277" s="2">
        <v>1673750754</v>
      </c>
      <c r="S277" s="2">
        <v>1856322240</v>
      </c>
      <c r="T277" s="2">
        <v>1951648668</v>
      </c>
      <c r="U277" s="2">
        <v>2099973721</v>
      </c>
      <c r="V277" s="2">
        <v>1097998.1200000001</v>
      </c>
      <c r="W277" t="str">
        <f t="shared" si="9"/>
        <v>39207</v>
      </c>
      <c r="X277" s="2">
        <v>722545</v>
      </c>
    </row>
    <row r="278" spans="1:24">
      <c r="A278" t="s">
        <v>120</v>
      </c>
      <c r="B278" t="s">
        <v>121</v>
      </c>
      <c r="C278" s="1"/>
      <c r="D278" s="1"/>
      <c r="E278" s="1"/>
      <c r="F278" s="2"/>
      <c r="G278" s="2">
        <f>VLOOKUP(A278,'Voter Approved'!$A$3:$F$298,3,FALSE)</f>
        <v>787147</v>
      </c>
      <c r="H278" s="2">
        <v>787147</v>
      </c>
      <c r="I278" s="2">
        <v>482283100</v>
      </c>
      <c r="J278" s="2">
        <v>501072307</v>
      </c>
      <c r="K278" s="2">
        <v>527964286</v>
      </c>
      <c r="L278" s="2">
        <v>541502684</v>
      </c>
      <c r="M278" s="2">
        <v>586942476</v>
      </c>
      <c r="N278" s="2">
        <v>761207387</v>
      </c>
      <c r="O278" s="2">
        <v>652519376</v>
      </c>
      <c r="P278" s="2">
        <v>683955723</v>
      </c>
      <c r="Q278" s="2">
        <v>728928778</v>
      </c>
      <c r="R278" s="2">
        <v>773687121</v>
      </c>
      <c r="S278" s="2">
        <v>805100353</v>
      </c>
      <c r="T278" s="2">
        <v>857166345</v>
      </c>
      <c r="U278" s="2">
        <v>926793615</v>
      </c>
      <c r="V278" s="2">
        <v>150053.35999999999</v>
      </c>
      <c r="W278" t="str">
        <f t="shared" si="9"/>
        <v>13146</v>
      </c>
      <c r="X278" s="2">
        <v>626693.36</v>
      </c>
    </row>
    <row r="279" spans="1:24">
      <c r="A279" t="s">
        <v>58</v>
      </c>
      <c r="B279" t="s">
        <v>59</v>
      </c>
      <c r="C279" s="1"/>
      <c r="D279" s="1"/>
      <c r="E279" s="1"/>
      <c r="F279" s="2"/>
      <c r="G279" s="2">
        <f>VLOOKUP(A279,'Voter Approved'!$A$3:$F$298,3,FALSE)</f>
        <v>7750000</v>
      </c>
      <c r="H279" s="2">
        <v>7750000</v>
      </c>
      <c r="I279" s="2">
        <v>3036045193</v>
      </c>
      <c r="J279" s="2">
        <v>3222894215</v>
      </c>
      <c r="K279" s="2">
        <v>3382251190</v>
      </c>
      <c r="L279" s="2">
        <v>3714953697</v>
      </c>
      <c r="M279" s="2">
        <v>4416968748</v>
      </c>
      <c r="N279" s="2">
        <v>4742263361</v>
      </c>
      <c r="O279" s="2">
        <v>4859938144</v>
      </c>
      <c r="P279" s="2">
        <v>5346461627</v>
      </c>
      <c r="Q279" s="2">
        <v>5815215796</v>
      </c>
      <c r="R279" s="2">
        <v>6140347913</v>
      </c>
      <c r="S279" s="2">
        <v>6380085405</v>
      </c>
      <c r="T279" s="2">
        <v>6717772358</v>
      </c>
      <c r="U279" s="2">
        <v>7117592108</v>
      </c>
      <c r="V279" s="2">
        <v>0</v>
      </c>
      <c r="W279" t="str">
        <f t="shared" si="9"/>
        <v>06112</v>
      </c>
      <c r="X279" s="2">
        <v>4166655.7</v>
      </c>
    </row>
    <row r="280" spans="1:24">
      <c r="A280" t="s">
        <v>0</v>
      </c>
      <c r="B280" t="s">
        <v>1</v>
      </c>
      <c r="C280" s="1"/>
      <c r="D280" s="1"/>
      <c r="E280" s="1"/>
      <c r="F280" s="2"/>
      <c r="G280" s="2">
        <f>VLOOKUP(A280,'Voter Approved'!$A$3:$F$298,3,FALSE)</f>
        <v>79075</v>
      </c>
      <c r="H280" s="2">
        <v>79075</v>
      </c>
      <c r="I280" s="2">
        <v>53633014</v>
      </c>
      <c r="J280" s="2">
        <v>54868762</v>
      </c>
      <c r="K280" s="2">
        <v>58496350</v>
      </c>
      <c r="L280" s="2">
        <v>92503040</v>
      </c>
      <c r="M280" s="2">
        <v>92735856</v>
      </c>
      <c r="N280" s="2">
        <v>97997837</v>
      </c>
      <c r="O280" s="2">
        <v>127253798</v>
      </c>
      <c r="P280" s="2">
        <v>144276270</v>
      </c>
      <c r="Q280" s="2">
        <v>167748595</v>
      </c>
      <c r="R280" s="2">
        <v>190846355</v>
      </c>
      <c r="S280" s="2">
        <v>223741298</v>
      </c>
      <c r="T280" s="2">
        <v>249730065</v>
      </c>
      <c r="U280" s="2">
        <v>279040949</v>
      </c>
      <c r="V280" s="2">
        <v>0</v>
      </c>
      <c r="W280" t="str">
        <f t="shared" si="9"/>
        <v>01109</v>
      </c>
      <c r="X280" s="2">
        <v>71070</v>
      </c>
    </row>
    <row r="281" spans="1:24">
      <c r="A281" t="s">
        <v>94</v>
      </c>
      <c r="B281" t="s">
        <v>95</v>
      </c>
      <c r="C281" s="1"/>
      <c r="D281" s="1"/>
      <c r="E281" s="1"/>
      <c r="F281" s="2"/>
      <c r="G281" s="2">
        <f>VLOOKUP(A281,'Voter Approved'!$A$3:$F$298,3,FALSE)</f>
        <v>298300</v>
      </c>
      <c r="H281" s="2">
        <v>298300</v>
      </c>
      <c r="I281" s="2">
        <v>211429460</v>
      </c>
      <c r="J281" s="2">
        <v>211698333</v>
      </c>
      <c r="K281" s="2">
        <v>212771775</v>
      </c>
      <c r="L281" s="2">
        <v>222163941</v>
      </c>
      <c r="M281" s="2">
        <v>252685924</v>
      </c>
      <c r="N281" s="2">
        <v>272466766</v>
      </c>
      <c r="O281" s="2">
        <v>290505966</v>
      </c>
      <c r="P281" s="2">
        <v>316131001</v>
      </c>
      <c r="Q281" s="2">
        <v>348700659</v>
      </c>
      <c r="R281" s="2">
        <v>368980550</v>
      </c>
      <c r="S281" s="2">
        <v>384660973</v>
      </c>
      <c r="T281" s="2">
        <v>427747380</v>
      </c>
      <c r="U281" s="2">
        <v>460256521</v>
      </c>
      <c r="V281" s="2">
        <v>20102.45</v>
      </c>
      <c r="W281" t="str">
        <f t="shared" si="9"/>
        <v>09209</v>
      </c>
      <c r="X281" s="2">
        <v>322736.88</v>
      </c>
    </row>
    <row r="282" spans="1:24">
      <c r="A282" t="s">
        <v>467</v>
      </c>
      <c r="B282" t="s">
        <v>468</v>
      </c>
      <c r="C282" s="1"/>
      <c r="D282" s="1"/>
      <c r="E282" s="1"/>
      <c r="F282" s="2"/>
      <c r="G282" s="2">
        <f>VLOOKUP(A282,'Voter Approved'!$A$3:$F$298,3,FALSE)</f>
        <v>50000</v>
      </c>
      <c r="H282" s="2">
        <v>50000</v>
      </c>
      <c r="I282" s="2">
        <v>39168284.049999997</v>
      </c>
      <c r="J282" s="2">
        <v>42970354</v>
      </c>
      <c r="K282" s="2">
        <v>44576452</v>
      </c>
      <c r="L282" s="2">
        <v>45001704</v>
      </c>
      <c r="M282" s="2">
        <v>43328710</v>
      </c>
      <c r="N282" s="2">
        <v>36336512</v>
      </c>
      <c r="O282" s="2">
        <v>47893855</v>
      </c>
      <c r="P282" s="2">
        <v>51377115</v>
      </c>
      <c r="Q282" s="2">
        <v>54950586</v>
      </c>
      <c r="R282" s="2">
        <v>57372647</v>
      </c>
      <c r="S282" s="2">
        <v>60615004</v>
      </c>
      <c r="T282" s="2">
        <v>63856133</v>
      </c>
      <c r="U282" s="2">
        <v>67752056</v>
      </c>
      <c r="V282" s="2">
        <v>197363.18</v>
      </c>
      <c r="W282" t="str">
        <f t="shared" si="9"/>
        <v>33049</v>
      </c>
      <c r="X282" s="2">
        <v>35535</v>
      </c>
    </row>
    <row r="283" spans="1:24">
      <c r="A283" t="s">
        <v>38</v>
      </c>
      <c r="B283" t="s">
        <v>39</v>
      </c>
      <c r="C283" s="1"/>
      <c r="D283" s="1"/>
      <c r="E283" s="1"/>
      <c r="F283" s="2"/>
      <c r="G283" s="2">
        <f>VLOOKUP(A283,'Voter Approved'!$A$3:$F$298,3,FALSE)</f>
        <v>12903727</v>
      </c>
      <c r="H283" s="2">
        <v>12903727</v>
      </c>
      <c r="I283" s="2">
        <v>4842735717</v>
      </c>
      <c r="J283" s="2">
        <v>5260885317</v>
      </c>
      <c r="K283" s="2">
        <v>5548879085</v>
      </c>
      <c r="L283" s="2">
        <v>6197484284</v>
      </c>
      <c r="M283" s="2">
        <v>7292143490</v>
      </c>
      <c r="N283" s="2">
        <v>7846325511</v>
      </c>
      <c r="O283" s="2">
        <v>8687526910</v>
      </c>
      <c r="P283" s="2">
        <v>9721348472</v>
      </c>
      <c r="Q283" s="2">
        <v>10882123862</v>
      </c>
      <c r="R283" s="2">
        <v>12394549830</v>
      </c>
      <c r="S283" s="2">
        <v>13824701798</v>
      </c>
      <c r="T283" s="2">
        <v>15528357465</v>
      </c>
      <c r="U283" s="2">
        <v>17742212154</v>
      </c>
      <c r="V283" s="2">
        <v>638309.59</v>
      </c>
      <c r="W283" t="str">
        <f t="shared" si="9"/>
        <v>04246</v>
      </c>
      <c r="X283" s="2">
        <v>6017260</v>
      </c>
    </row>
    <row r="284" spans="1:24">
      <c r="A284" t="s">
        <v>457</v>
      </c>
      <c r="B284" t="s">
        <v>458</v>
      </c>
      <c r="C284" s="1"/>
      <c r="D284" s="1"/>
      <c r="E284" s="1"/>
      <c r="F284" s="2"/>
      <c r="G284" s="2">
        <f>VLOOKUP(A284,'Voter Approved'!$A$3:$F$298,3,FALSE)</f>
        <v>3446815</v>
      </c>
      <c r="H284" s="2">
        <v>3446815</v>
      </c>
      <c r="I284" s="2">
        <v>2155606012</v>
      </c>
      <c r="J284" s="2">
        <v>2341539268</v>
      </c>
      <c r="K284" s="2">
        <v>2634746731</v>
      </c>
      <c r="L284" s="2">
        <v>2899968049</v>
      </c>
      <c r="M284" s="2">
        <v>3656265883</v>
      </c>
      <c r="N284" s="2">
        <v>3831239347</v>
      </c>
      <c r="O284" s="2">
        <v>3745927943</v>
      </c>
      <c r="P284" s="2">
        <v>4019791379</v>
      </c>
      <c r="Q284" s="2">
        <v>4171977676</v>
      </c>
      <c r="R284" s="2">
        <v>4374710949</v>
      </c>
      <c r="S284" s="2">
        <v>4612316695</v>
      </c>
      <c r="T284" s="2">
        <v>4792495440</v>
      </c>
      <c r="U284" s="2">
        <v>5009241602</v>
      </c>
      <c r="V284" s="2">
        <v>239757.66</v>
      </c>
      <c r="W284" t="str">
        <f t="shared" si="9"/>
        <v>32363</v>
      </c>
      <c r="X284" s="2">
        <v>4147306.91</v>
      </c>
    </row>
    <row r="285" spans="1:24">
      <c r="A285" t="s">
        <v>585</v>
      </c>
      <c r="B285" t="s">
        <v>586</v>
      </c>
      <c r="C285" s="1"/>
      <c r="D285" s="1"/>
      <c r="E285" s="1"/>
      <c r="F285" s="2"/>
      <c r="G285" s="2">
        <f>VLOOKUP(A285,'Voter Approved'!$A$3:$F$298,3,FALSE)</f>
        <v>5965626</v>
      </c>
      <c r="H285" s="2">
        <v>5965626</v>
      </c>
      <c r="I285" s="2">
        <v>3052158879</v>
      </c>
      <c r="J285" s="2">
        <v>3392018283</v>
      </c>
      <c r="K285" s="2">
        <v>3701803193</v>
      </c>
      <c r="L285" s="2">
        <v>4145707402</v>
      </c>
      <c r="M285" s="2">
        <v>4739934198</v>
      </c>
      <c r="N285" s="2">
        <v>5470428697</v>
      </c>
      <c r="O285" s="2">
        <v>5813260965</v>
      </c>
      <c r="P285" s="2">
        <v>6523241641</v>
      </c>
      <c r="Q285" s="2">
        <v>7529773163</v>
      </c>
      <c r="R285" s="2">
        <v>8549704036</v>
      </c>
      <c r="S285" s="2">
        <v>9947185127</v>
      </c>
      <c r="T285" s="2">
        <v>11057797288</v>
      </c>
      <c r="U285" s="2">
        <v>12154759486</v>
      </c>
      <c r="V285" s="2">
        <v>528229.69999999995</v>
      </c>
      <c r="W285" t="str">
        <f t="shared" si="9"/>
        <v>39208</v>
      </c>
      <c r="X285" s="2">
        <v>3269805.62</v>
      </c>
    </row>
    <row r="286" spans="1:24">
      <c r="A286" t="s">
        <v>279</v>
      </c>
      <c r="B286" t="s">
        <v>280</v>
      </c>
      <c r="C286" s="1"/>
      <c r="D286" s="1"/>
      <c r="E286" s="1"/>
      <c r="F286" s="2"/>
      <c r="G286" s="2">
        <f>VLOOKUP(A286,'Voter Approved'!$A$3:$F$298,3,FALSE)</f>
        <v>1188000</v>
      </c>
      <c r="H286" s="2">
        <v>1188000</v>
      </c>
      <c r="I286" s="2">
        <v>675861681.85000002</v>
      </c>
      <c r="J286" s="2">
        <v>809289830.86000001</v>
      </c>
      <c r="K286" s="2">
        <v>864174270</v>
      </c>
      <c r="L286" s="2">
        <v>974082013</v>
      </c>
      <c r="M286" s="2">
        <v>1428980177</v>
      </c>
      <c r="N286" s="2">
        <v>1659821786</v>
      </c>
      <c r="O286" s="2">
        <v>1744308175</v>
      </c>
      <c r="P286" s="2">
        <v>1871328471</v>
      </c>
      <c r="Q286" s="2">
        <v>2073358747</v>
      </c>
      <c r="R286" s="2">
        <v>2279577807</v>
      </c>
      <c r="S286" s="2">
        <v>2498136793</v>
      </c>
      <c r="T286" s="2">
        <v>2774456792</v>
      </c>
      <c r="U286" s="2">
        <v>3071423890</v>
      </c>
      <c r="V286" s="2">
        <v>0</v>
      </c>
      <c r="W286" t="str">
        <f t="shared" si="9"/>
        <v>21303</v>
      </c>
      <c r="X286" s="2">
        <v>442020.81</v>
      </c>
    </row>
    <row r="287" spans="1:24">
      <c r="A287" t="s">
        <v>373</v>
      </c>
      <c r="B287" t="s">
        <v>374</v>
      </c>
      <c r="C287" s="1"/>
      <c r="D287" s="1"/>
      <c r="E287" s="1"/>
      <c r="F287" s="2"/>
      <c r="G287" s="2">
        <f>VLOOKUP(A287,'Voter Approved'!$A$3:$F$298,3,FALSE)</f>
        <v>4750000</v>
      </c>
      <c r="H287" s="2">
        <v>4750000</v>
      </c>
      <c r="I287" s="2">
        <v>3343345029</v>
      </c>
      <c r="J287" s="2">
        <v>3747342714</v>
      </c>
      <c r="K287" s="2">
        <v>4136882752</v>
      </c>
      <c r="L287" s="2">
        <v>4817063937</v>
      </c>
      <c r="M287" s="2">
        <v>5833000574</v>
      </c>
      <c r="N287" s="2">
        <v>5862989112</v>
      </c>
      <c r="O287" s="2">
        <v>6188195077</v>
      </c>
      <c r="P287" s="2">
        <v>6700674076</v>
      </c>
      <c r="Q287" s="2">
        <v>7143191278</v>
      </c>
      <c r="R287" s="2">
        <v>7458976927</v>
      </c>
      <c r="S287" s="2">
        <v>7889705746</v>
      </c>
      <c r="T287" s="2">
        <v>8390526578</v>
      </c>
      <c r="U287" s="2">
        <v>8835878768</v>
      </c>
      <c r="V287" s="2">
        <v>0</v>
      </c>
      <c r="W287" t="str">
        <f t="shared" si="9"/>
        <v>27416</v>
      </c>
      <c r="X287" s="2">
        <v>5685600</v>
      </c>
    </row>
    <row r="288" spans="1:24">
      <c r="A288" t="s">
        <v>253</v>
      </c>
      <c r="B288" t="s">
        <v>254</v>
      </c>
      <c r="C288" s="1"/>
      <c r="D288" s="1"/>
      <c r="E288" s="1"/>
      <c r="F288" s="2"/>
      <c r="G288" s="2">
        <f>VLOOKUP(A288,'Voter Approved'!$A$3:$F$298,3,FALSE)</f>
        <v>2830000</v>
      </c>
      <c r="H288" s="2">
        <v>2830000</v>
      </c>
      <c r="I288" s="2">
        <v>1280750002.1700001</v>
      </c>
      <c r="J288" s="2">
        <v>1402354937</v>
      </c>
      <c r="K288" s="2">
        <v>1498682227</v>
      </c>
      <c r="L288" s="2">
        <v>1623621905</v>
      </c>
      <c r="M288" s="2">
        <v>1956188826</v>
      </c>
      <c r="N288" s="2">
        <v>2197365001</v>
      </c>
      <c r="O288" s="2">
        <v>2483192599</v>
      </c>
      <c r="P288" s="2">
        <v>2765058348</v>
      </c>
      <c r="Q288" s="2">
        <v>3087892831</v>
      </c>
      <c r="R288" s="2">
        <v>3412714425</v>
      </c>
      <c r="S288" s="2">
        <v>3835396283</v>
      </c>
      <c r="T288" s="2">
        <v>4386961324</v>
      </c>
      <c r="U288" s="2">
        <v>4915985667</v>
      </c>
      <c r="V288" s="2">
        <v>0</v>
      </c>
      <c r="W288" t="str">
        <f t="shared" si="9"/>
        <v>20405</v>
      </c>
      <c r="X288" s="2">
        <v>1641717</v>
      </c>
    </row>
    <row r="289" spans="1:24">
      <c r="A289" t="s">
        <v>293</v>
      </c>
      <c r="B289" t="s">
        <v>294</v>
      </c>
      <c r="C289" s="1"/>
      <c r="D289" s="1"/>
      <c r="E289" s="1"/>
      <c r="F289" s="2"/>
      <c r="G289" s="2">
        <f>VLOOKUP(A289,'Voter Approved'!$A$3:$F$298,3,FALSE)</f>
        <v>305000</v>
      </c>
      <c r="H289" s="2">
        <v>305000</v>
      </c>
      <c r="I289" s="2">
        <v>183599604</v>
      </c>
      <c r="J289" s="2">
        <v>186551125</v>
      </c>
      <c r="K289" s="2">
        <v>189762148</v>
      </c>
      <c r="L289" s="2">
        <v>191715201</v>
      </c>
      <c r="M289" s="2">
        <v>199247666</v>
      </c>
      <c r="N289" s="2">
        <v>205615581</v>
      </c>
      <c r="O289" s="2">
        <v>219673742</v>
      </c>
      <c r="P289" s="2">
        <v>236607222</v>
      </c>
      <c r="Q289" s="2">
        <v>253058498</v>
      </c>
      <c r="R289" s="2">
        <v>259112807</v>
      </c>
      <c r="S289" s="2">
        <v>275395318</v>
      </c>
      <c r="T289" s="2">
        <v>296665841</v>
      </c>
      <c r="U289" s="2">
        <v>319464285</v>
      </c>
      <c r="V289" s="2">
        <v>19970.080000000002</v>
      </c>
      <c r="W289" t="str">
        <f t="shared" si="9"/>
        <v>22200</v>
      </c>
      <c r="X289" s="2">
        <v>225055</v>
      </c>
    </row>
    <row r="290" spans="1:24">
      <c r="A290" t="s">
        <v>337</v>
      </c>
      <c r="B290" t="s">
        <v>338</v>
      </c>
      <c r="C290" s="1"/>
      <c r="D290" s="1"/>
      <c r="E290" s="1"/>
      <c r="F290" s="2"/>
      <c r="G290" s="2">
        <f>VLOOKUP(A290,'Voter Approved'!$A$3:$F$298,3,FALSE)</f>
        <v>724500</v>
      </c>
      <c r="H290" s="2">
        <v>724500</v>
      </c>
      <c r="I290" s="2">
        <v>251466103</v>
      </c>
      <c r="J290" s="2">
        <v>307145191</v>
      </c>
      <c r="K290" s="2">
        <v>318229204</v>
      </c>
      <c r="L290" s="2">
        <v>352511101</v>
      </c>
      <c r="M290" s="2">
        <v>444439618</v>
      </c>
      <c r="N290" s="2">
        <v>487860233</v>
      </c>
      <c r="O290" s="2">
        <v>524269087</v>
      </c>
      <c r="P290" s="2">
        <v>565148592</v>
      </c>
      <c r="Q290" s="2">
        <v>610658331</v>
      </c>
      <c r="R290" s="2">
        <v>659027898</v>
      </c>
      <c r="S290" s="2">
        <v>715122456</v>
      </c>
      <c r="T290" s="2">
        <v>792387069</v>
      </c>
      <c r="U290" s="2">
        <v>880128976</v>
      </c>
      <c r="V290" s="2">
        <v>0</v>
      </c>
      <c r="W290" t="str">
        <f t="shared" si="9"/>
        <v>25160</v>
      </c>
      <c r="X290" s="2">
        <v>319815</v>
      </c>
    </row>
    <row r="291" spans="1:24">
      <c r="A291" t="s">
        <v>132</v>
      </c>
      <c r="B291" t="s">
        <v>133</v>
      </c>
      <c r="C291" s="1"/>
      <c r="D291" s="1"/>
      <c r="E291" s="1"/>
      <c r="F291" s="2"/>
      <c r="G291" s="2">
        <f>VLOOKUP(A291,'Voter Approved'!$A$3:$F$298,3,FALSE)</f>
        <v>263500</v>
      </c>
      <c r="H291" s="2">
        <v>263500</v>
      </c>
      <c r="I291" s="2">
        <v>84950307</v>
      </c>
      <c r="J291" s="2">
        <v>92398349</v>
      </c>
      <c r="K291" s="2">
        <v>96032187</v>
      </c>
      <c r="L291" s="2">
        <v>114965899</v>
      </c>
      <c r="M291" s="2">
        <v>134771971</v>
      </c>
      <c r="N291" s="2">
        <v>140002180</v>
      </c>
      <c r="O291" s="2">
        <v>163081804</v>
      </c>
      <c r="P291" s="2">
        <v>181287050</v>
      </c>
      <c r="Q291" s="2">
        <v>203079729</v>
      </c>
      <c r="R291" s="2">
        <v>226093855</v>
      </c>
      <c r="S291" s="2">
        <v>250986476</v>
      </c>
      <c r="T291" s="2">
        <v>279560802</v>
      </c>
      <c r="U291" s="2">
        <v>311261597</v>
      </c>
      <c r="V291" s="2">
        <v>2585.13</v>
      </c>
      <c r="W291" t="str">
        <f t="shared" si="9"/>
        <v>13167</v>
      </c>
      <c r="X291" s="2">
        <v>124846.3</v>
      </c>
    </row>
    <row r="292" spans="1:24">
      <c r="A292" t="s">
        <v>267</v>
      </c>
      <c r="B292" t="s">
        <v>268</v>
      </c>
      <c r="C292" s="1"/>
      <c r="D292" s="1"/>
      <c r="E292" s="1"/>
      <c r="F292" s="2"/>
      <c r="G292" s="2">
        <f>VLOOKUP(A292,'Voter Approved'!$A$3:$F$298,3,FALSE)</f>
        <v>560000</v>
      </c>
      <c r="H292" s="2">
        <v>560000</v>
      </c>
      <c r="I292" s="2">
        <v>399091980.05000001</v>
      </c>
      <c r="J292" s="2">
        <v>444913402.27999997</v>
      </c>
      <c r="K292" s="2">
        <v>509554940</v>
      </c>
      <c r="L292" s="2">
        <v>745461690</v>
      </c>
      <c r="M292" s="2">
        <v>965136595</v>
      </c>
      <c r="N292" s="2">
        <v>1046491056</v>
      </c>
      <c r="O292" s="2">
        <v>1210363993</v>
      </c>
      <c r="P292" s="2">
        <v>1321576999</v>
      </c>
      <c r="Q292" s="2">
        <v>1501964398</v>
      </c>
      <c r="R292" s="2">
        <v>1648586880</v>
      </c>
      <c r="S292" s="2">
        <v>1819644122</v>
      </c>
      <c r="T292" s="2">
        <v>2078540059</v>
      </c>
      <c r="U292" s="2">
        <v>2285759939</v>
      </c>
      <c r="V292" s="2">
        <v>0</v>
      </c>
      <c r="W292" t="str">
        <f t="shared" si="9"/>
        <v>21232</v>
      </c>
      <c r="X292" s="2">
        <v>469062</v>
      </c>
    </row>
    <row r="293" spans="1:24">
      <c r="A293" t="s">
        <v>156</v>
      </c>
      <c r="B293" t="s">
        <v>157</v>
      </c>
      <c r="C293" s="1"/>
      <c r="D293" s="1"/>
      <c r="E293" s="1"/>
      <c r="F293" s="2"/>
      <c r="G293" s="2">
        <f>VLOOKUP(A293,'Voter Approved'!$A$3:$F$298,3,FALSE)</f>
        <v>500000</v>
      </c>
      <c r="H293" s="2">
        <v>500000</v>
      </c>
      <c r="I293" s="2">
        <v>96340482</v>
      </c>
      <c r="J293" s="2">
        <v>113283936</v>
      </c>
      <c r="K293" s="2">
        <v>110613550</v>
      </c>
      <c r="L293" s="2">
        <v>122031569</v>
      </c>
      <c r="M293" s="2">
        <v>161780083</v>
      </c>
      <c r="N293" s="2">
        <v>162144438</v>
      </c>
      <c r="O293" s="2">
        <v>199556052</v>
      </c>
      <c r="P293" s="2">
        <v>216725886</v>
      </c>
      <c r="Q293" s="2">
        <v>234573115</v>
      </c>
      <c r="R293" s="2">
        <v>253058328</v>
      </c>
      <c r="S293" s="2">
        <v>282428572</v>
      </c>
      <c r="T293" s="2">
        <v>314260437</v>
      </c>
      <c r="U293" s="2">
        <v>339451002</v>
      </c>
      <c r="V293" s="2">
        <v>16692.64</v>
      </c>
      <c r="W293" t="str">
        <f t="shared" si="9"/>
        <v>14117</v>
      </c>
      <c r="X293" s="2">
        <v>192060.09</v>
      </c>
    </row>
    <row r="294" spans="1:24">
      <c r="A294" t="s">
        <v>237</v>
      </c>
      <c r="B294" t="s">
        <v>238</v>
      </c>
      <c r="C294" s="1"/>
      <c r="D294" s="1"/>
      <c r="E294" s="1"/>
      <c r="F294" s="2"/>
      <c r="G294" s="2">
        <f>VLOOKUP(A294,'Voter Approved'!$A$3:$F$298,3,FALSE)</f>
        <v>75000</v>
      </c>
      <c r="H294" s="2">
        <v>75000</v>
      </c>
      <c r="I294" s="2">
        <v>51035246</v>
      </c>
      <c r="J294" s="2">
        <v>54450807</v>
      </c>
      <c r="K294" s="2">
        <v>54604969</v>
      </c>
      <c r="L294" s="2">
        <v>58317816</v>
      </c>
      <c r="M294" s="2">
        <v>62783933</v>
      </c>
      <c r="N294" s="2">
        <v>63521129</v>
      </c>
      <c r="O294" s="2">
        <v>69668620</v>
      </c>
      <c r="P294" s="2">
        <v>76912339</v>
      </c>
      <c r="Q294" s="2">
        <v>81119149</v>
      </c>
      <c r="R294" s="2">
        <v>84988620</v>
      </c>
      <c r="S294" s="2">
        <v>92529723</v>
      </c>
      <c r="T294" s="2">
        <v>98989860</v>
      </c>
      <c r="U294" s="2">
        <v>106512547</v>
      </c>
      <c r="V294" s="2">
        <v>8704.67</v>
      </c>
      <c r="W294" t="str">
        <f t="shared" si="9"/>
        <v>20094</v>
      </c>
      <c r="X294" s="2">
        <v>35535</v>
      </c>
    </row>
    <row r="295" spans="1:24">
      <c r="A295" t="s">
        <v>80</v>
      </c>
      <c r="B295" t="s">
        <v>81</v>
      </c>
      <c r="C295" s="1"/>
      <c r="D295" s="1"/>
      <c r="E295" s="1"/>
      <c r="F295" s="2"/>
      <c r="G295" s="2">
        <f>VLOOKUP(A295,'Voter Approved'!$A$3:$F$298,3,FALSE)</f>
        <v>4750000</v>
      </c>
      <c r="H295" s="2">
        <v>4750000</v>
      </c>
      <c r="I295" s="2">
        <v>1928689220</v>
      </c>
      <c r="J295" s="2">
        <v>2109676574</v>
      </c>
      <c r="K295" s="2">
        <v>2304640847</v>
      </c>
      <c r="L295" s="2">
        <v>2474151706</v>
      </c>
      <c r="M295" s="2">
        <v>2909063223</v>
      </c>
      <c r="N295" s="2">
        <v>3078531800</v>
      </c>
      <c r="O295" s="2">
        <v>3510796673</v>
      </c>
      <c r="P295" s="2">
        <v>3851738794</v>
      </c>
      <c r="Q295" s="2">
        <v>4271398951</v>
      </c>
      <c r="R295" s="2">
        <v>4711068245</v>
      </c>
      <c r="S295" s="2">
        <v>5119792286</v>
      </c>
      <c r="T295" s="2">
        <v>5788918871</v>
      </c>
      <c r="U295" s="2">
        <v>6448086401</v>
      </c>
      <c r="V295" s="2">
        <v>0</v>
      </c>
      <c r="W295" t="str">
        <f t="shared" si="9"/>
        <v>08404</v>
      </c>
      <c r="X295" s="2">
        <v>0</v>
      </c>
    </row>
    <row r="296" spans="1:24">
      <c r="A296" t="s">
        <v>563</v>
      </c>
      <c r="B296" t="s">
        <v>564</v>
      </c>
      <c r="C296" s="1"/>
      <c r="D296" s="1"/>
      <c r="E296" s="1"/>
      <c r="F296" s="2"/>
      <c r="G296" s="2">
        <f>VLOOKUP(A296,'Voter Approved'!$A$3:$F$298,3,FALSE)</f>
        <v>14400000</v>
      </c>
      <c r="H296" s="2">
        <v>14400000</v>
      </c>
      <c r="I296" s="2">
        <v>5331897156</v>
      </c>
      <c r="J296" s="2">
        <v>5679962162</v>
      </c>
      <c r="K296" s="2">
        <v>6027254715</v>
      </c>
      <c r="L296" s="2">
        <v>6642587751</v>
      </c>
      <c r="M296" s="2">
        <v>7777477986</v>
      </c>
      <c r="N296" s="2">
        <v>8873231126</v>
      </c>
      <c r="O296" s="2">
        <v>9596605663</v>
      </c>
      <c r="P296" s="2">
        <v>10440979146</v>
      </c>
      <c r="Q296" s="2">
        <v>12141169600</v>
      </c>
      <c r="R296" s="2">
        <v>13854070412</v>
      </c>
      <c r="S296" s="2">
        <v>15303488875</v>
      </c>
      <c r="T296" s="2">
        <v>16971021279</v>
      </c>
      <c r="U296" s="2">
        <v>18486882234</v>
      </c>
      <c r="V296" s="2">
        <v>4521387.6100000003</v>
      </c>
      <c r="W296" t="str">
        <f t="shared" si="9"/>
        <v>39007</v>
      </c>
      <c r="X296" s="2">
        <v>7831700.3200000003</v>
      </c>
    </row>
    <row r="297" spans="1:24">
      <c r="A297" t="s">
        <v>487</v>
      </c>
      <c r="B297" t="s">
        <v>488</v>
      </c>
      <c r="C297" s="1"/>
      <c r="D297" s="1"/>
      <c r="E297" s="1"/>
      <c r="F297" s="2"/>
      <c r="G297" s="2">
        <f>VLOOKUP(A297,'Voter Approved'!$A$3:$F$298,3,FALSE)</f>
        <v>11700000</v>
      </c>
      <c r="H297" s="2">
        <v>11700000</v>
      </c>
      <c r="I297" s="2">
        <v>3361517539</v>
      </c>
      <c r="J297" s="2">
        <v>3635546669</v>
      </c>
      <c r="K297" s="2">
        <v>3890582033</v>
      </c>
      <c r="L297" s="2">
        <v>4753229766</v>
      </c>
      <c r="M297" s="2">
        <v>5846523175</v>
      </c>
      <c r="N297" s="2">
        <v>5925317344</v>
      </c>
      <c r="O297" s="2">
        <v>6980442852</v>
      </c>
      <c r="P297" s="2">
        <v>7679441999</v>
      </c>
      <c r="Q297" s="2">
        <v>8482460764</v>
      </c>
      <c r="R297" s="2">
        <v>9437945270</v>
      </c>
      <c r="S297" s="2">
        <v>10455952440</v>
      </c>
      <c r="T297" s="2">
        <v>11737749114</v>
      </c>
      <c r="U297" s="2">
        <v>12999910148</v>
      </c>
      <c r="V297" s="2">
        <v>545632.01</v>
      </c>
      <c r="W297" t="str">
        <f t="shared" si="9"/>
        <v>34002</v>
      </c>
      <c r="X297" s="2">
        <v>6040950</v>
      </c>
    </row>
    <row r="298" spans="1:24">
      <c r="A298" t="s">
        <v>581</v>
      </c>
      <c r="B298" t="s">
        <v>582</v>
      </c>
      <c r="C298" s="1"/>
      <c r="D298" s="1"/>
      <c r="E298" s="1"/>
      <c r="F298" s="2"/>
      <c r="G298" s="2">
        <f>VLOOKUP(A298,'Voter Approved'!$A$3:$F$298,3,FALSE)</f>
        <v>900000</v>
      </c>
      <c r="H298" s="2">
        <v>900000</v>
      </c>
      <c r="I298" s="2">
        <v>479971758</v>
      </c>
      <c r="J298" s="2">
        <v>515770322</v>
      </c>
      <c r="K298" s="2">
        <v>534601399</v>
      </c>
      <c r="L298" s="2">
        <v>586870654</v>
      </c>
      <c r="M298" s="2">
        <v>700625895</v>
      </c>
      <c r="N298" s="2">
        <v>794325850</v>
      </c>
      <c r="O298" s="2">
        <v>869227110</v>
      </c>
      <c r="P298" s="2">
        <v>965386324</v>
      </c>
      <c r="Q298" s="2">
        <v>1122657292</v>
      </c>
      <c r="R298" s="2">
        <v>1283006906</v>
      </c>
      <c r="S298" s="2">
        <v>1435550054</v>
      </c>
      <c r="T298" s="2">
        <v>1605652923</v>
      </c>
      <c r="U298" s="2">
        <v>1756959588</v>
      </c>
      <c r="V298" s="2">
        <v>372098.96</v>
      </c>
      <c r="W298" t="str">
        <f t="shared" si="9"/>
        <v>39205</v>
      </c>
      <c r="X298" s="2">
        <v>639630</v>
      </c>
    </row>
    <row r="299" spans="1:24">
      <c r="A299" t="s">
        <v>677</v>
      </c>
      <c r="B299" t="s">
        <v>982</v>
      </c>
      <c r="V299" s="2">
        <v>15708.05</v>
      </c>
      <c r="W299" t="str">
        <f>A299</f>
        <v>05903</v>
      </c>
    </row>
    <row r="300" spans="1:24">
      <c r="A300" t="s">
        <v>761</v>
      </c>
      <c r="B300" t="s">
        <v>974</v>
      </c>
      <c r="V300" s="2">
        <v>300697.78000000003</v>
      </c>
      <c r="W300" t="str">
        <f t="shared" ref="W300:W306" si="10">A300</f>
        <v>17903</v>
      </c>
    </row>
    <row r="301" spans="1:24">
      <c r="A301" t="s">
        <v>768</v>
      </c>
      <c r="B301" t="s">
        <v>976</v>
      </c>
      <c r="V301" s="2">
        <v>41624.410000000003</v>
      </c>
      <c r="W301" t="str">
        <f t="shared" si="10"/>
        <v>18902</v>
      </c>
    </row>
    <row r="302" spans="1:24">
      <c r="A302" t="s">
        <v>1136</v>
      </c>
      <c r="B302" t="s">
        <v>1158</v>
      </c>
      <c r="V302" s="2">
        <v>10724.52</v>
      </c>
      <c r="W302" t="str">
        <f t="shared" ref="W302" si="11">A302</f>
        <v>24915</v>
      </c>
    </row>
    <row r="303" spans="1:24">
      <c r="A303" t="s">
        <v>959</v>
      </c>
      <c r="B303" t="s">
        <v>981</v>
      </c>
      <c r="V303" s="2">
        <v>315393.25</v>
      </c>
      <c r="W303" t="str">
        <f t="shared" si="10"/>
        <v>27901</v>
      </c>
    </row>
    <row r="304" spans="1:24">
      <c r="A304" t="s">
        <v>908</v>
      </c>
      <c r="B304" t="s">
        <v>971</v>
      </c>
      <c r="V304" s="2">
        <v>73894.66</v>
      </c>
      <c r="W304" t="str">
        <f t="shared" si="10"/>
        <v>34901</v>
      </c>
    </row>
    <row r="305" spans="1:23">
      <c r="A305" t="s">
        <v>925</v>
      </c>
      <c r="B305" t="s">
        <v>978</v>
      </c>
      <c r="V305" s="2">
        <v>211014.55</v>
      </c>
      <c r="W305" t="str">
        <f t="shared" si="10"/>
        <v>37903</v>
      </c>
    </row>
    <row r="306" spans="1:23">
      <c r="A306" t="s">
        <v>961</v>
      </c>
      <c r="B306" t="s">
        <v>980</v>
      </c>
      <c r="V306" s="2">
        <v>15487</v>
      </c>
      <c r="W306" t="str">
        <f t="shared" si="10"/>
        <v>39901</v>
      </c>
    </row>
  </sheetData>
  <autoFilter ref="A2:X2" xr:uid="{00000000-0009-0000-0000-000004000000}">
    <sortState xmlns:xlrd2="http://schemas.microsoft.com/office/spreadsheetml/2017/richdata2" ref="A3:N298">
      <sortCondition ref="B2"/>
    </sortState>
  </autoFilter>
  <conditionalFormatting sqref="A3">
    <cfRule type="duplicateValues" dxfId="7" priority="2"/>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W358"/>
  <sheetViews>
    <sheetView zoomScale="90" zoomScaleNormal="90" workbookViewId="0">
      <pane xSplit="2" ySplit="8" topLeftCell="F9" activePane="bottomRight" state="frozen"/>
      <selection activeCell="B3" sqref="B3"/>
      <selection pane="topRight" activeCell="B3" sqref="B3"/>
      <selection pane="bottomLeft" activeCell="B3" sqref="B3"/>
      <selection pane="bottomRight" activeCell="X9" sqref="X9"/>
    </sheetView>
  </sheetViews>
  <sheetFormatPr defaultColWidth="9.140625" defaultRowHeight="15"/>
  <cols>
    <col min="1" max="1" width="9.140625" style="8"/>
    <col min="2" max="2" width="23.5703125" style="8" bestFit="1" customWidth="1"/>
    <col min="3" max="3" width="11" style="8" bestFit="1" customWidth="1"/>
    <col min="4" max="4" width="15.85546875" style="8" bestFit="1" customWidth="1"/>
    <col min="5" max="5" width="16" style="8" customWidth="1"/>
    <col min="6" max="6" width="11.28515625" style="8" bestFit="1" customWidth="1"/>
    <col min="7" max="7" width="15.7109375" style="10" bestFit="1" customWidth="1"/>
    <col min="8" max="8" width="11" style="8" customWidth="1"/>
    <col min="9" max="9" width="9.85546875" style="8" customWidth="1"/>
    <col min="10" max="12" width="13.85546875" style="8" bestFit="1" customWidth="1"/>
    <col min="13" max="14" width="16.140625" style="8" customWidth="1"/>
    <col min="15" max="15" width="5.7109375" style="8" customWidth="1"/>
    <col min="16" max="18" width="13.85546875" style="8" bestFit="1" customWidth="1"/>
    <col min="19" max="20" width="13.42578125" style="8" bestFit="1" customWidth="1"/>
    <col min="21" max="21" width="4.28515625" style="8" customWidth="1"/>
    <col min="22" max="22" width="13.85546875" style="8" bestFit="1" customWidth="1"/>
    <col min="23" max="16384" width="9.140625" style="8"/>
  </cols>
  <sheetData>
    <row r="1" spans="1:23" customFormat="1">
      <c r="A1" s="4">
        <v>1</v>
      </c>
      <c r="B1" s="4">
        <f>1+A1</f>
        <v>2</v>
      </c>
      <c r="C1" s="4">
        <f t="shared" ref="C1:I1" si="0">1+B1</f>
        <v>3</v>
      </c>
      <c r="D1" s="4">
        <f t="shared" si="0"/>
        <v>4</v>
      </c>
      <c r="E1" s="4">
        <f t="shared" si="0"/>
        <v>5</v>
      </c>
      <c r="F1" s="4">
        <f t="shared" si="0"/>
        <v>6</v>
      </c>
      <c r="G1" s="4">
        <f t="shared" si="0"/>
        <v>7</v>
      </c>
      <c r="H1" s="4">
        <f t="shared" si="0"/>
        <v>8</v>
      </c>
      <c r="I1" s="4">
        <f t="shared" si="0"/>
        <v>9</v>
      </c>
      <c r="J1" s="4">
        <f t="shared" ref="J1" si="1">1+I1</f>
        <v>10</v>
      </c>
      <c r="K1" s="4">
        <f t="shared" ref="K1" si="2">1+J1</f>
        <v>11</v>
      </c>
      <c r="L1" s="4">
        <f t="shared" ref="L1" si="3">1+K1</f>
        <v>12</v>
      </c>
      <c r="M1" s="4">
        <f t="shared" ref="M1" si="4">1+L1</f>
        <v>13</v>
      </c>
      <c r="N1" s="4">
        <f t="shared" ref="N1" si="5">1+M1</f>
        <v>14</v>
      </c>
      <c r="O1" s="4">
        <f t="shared" ref="O1" si="6">1+N1</f>
        <v>15</v>
      </c>
      <c r="P1" s="4">
        <f t="shared" ref="P1" si="7">1+O1</f>
        <v>16</v>
      </c>
      <c r="Q1" s="4">
        <f t="shared" ref="Q1" si="8">1+P1</f>
        <v>17</v>
      </c>
      <c r="R1" s="4">
        <f t="shared" ref="R1" si="9">1+Q1</f>
        <v>18</v>
      </c>
      <c r="S1" s="4">
        <f t="shared" ref="S1" si="10">1+R1</f>
        <v>19</v>
      </c>
      <c r="T1" s="4">
        <f t="shared" ref="T1" si="11">1+S1</f>
        <v>20</v>
      </c>
      <c r="U1" s="4">
        <f t="shared" ref="U1" si="12">1+T1</f>
        <v>21</v>
      </c>
      <c r="V1" s="4">
        <f t="shared" ref="V1" si="13">1+U1</f>
        <v>22</v>
      </c>
      <c r="W1" s="4">
        <f t="shared" ref="W1" si="14">1+V1</f>
        <v>23</v>
      </c>
    </row>
    <row r="2" spans="1:23">
      <c r="A2"/>
      <c r="B2"/>
      <c r="C2"/>
      <c r="D2"/>
      <c r="E2"/>
      <c r="H2" s="9"/>
      <c r="I2" s="33" t="s">
        <v>608</v>
      </c>
      <c r="J2" s="27">
        <v>2025</v>
      </c>
      <c r="K2" s="27">
        <v>2026</v>
      </c>
      <c r="L2" s="27">
        <v>2027</v>
      </c>
      <c r="M2" s="27">
        <v>2028</v>
      </c>
      <c r="N2" s="27">
        <v>2029</v>
      </c>
      <c r="O2" s="10"/>
      <c r="P2" s="117">
        <f t="shared" ref="P2:T3" si="15">J2</f>
        <v>2025</v>
      </c>
      <c r="Q2" s="117">
        <f t="shared" si="15"/>
        <v>2026</v>
      </c>
      <c r="R2" s="117">
        <f t="shared" si="15"/>
        <v>2027</v>
      </c>
      <c r="S2" s="117">
        <f t="shared" si="15"/>
        <v>2028</v>
      </c>
      <c r="T2" s="117">
        <f t="shared" si="15"/>
        <v>2029</v>
      </c>
    </row>
    <row r="3" spans="1:23">
      <c r="A3" s="136"/>
      <c r="B3" s="136"/>
      <c r="C3" s="136"/>
      <c r="D3" s="136"/>
      <c r="E3" s="136"/>
      <c r="H3" s="9"/>
      <c r="I3" s="33" t="s">
        <v>618</v>
      </c>
      <c r="J3" s="27" t="s">
        <v>964</v>
      </c>
      <c r="K3" s="27" t="s">
        <v>968</v>
      </c>
      <c r="L3" s="27" t="s">
        <v>1047</v>
      </c>
      <c r="M3" s="27" t="s">
        <v>1049</v>
      </c>
      <c r="N3" s="27" t="s">
        <v>1051</v>
      </c>
      <c r="O3" s="10"/>
      <c r="P3" s="117" t="str">
        <f t="shared" si="15"/>
        <v>2023-24</v>
      </c>
      <c r="Q3" s="117" t="str">
        <f t="shared" si="15"/>
        <v>2024-25</v>
      </c>
      <c r="R3" s="117" t="str">
        <f t="shared" si="15"/>
        <v>2025-26</v>
      </c>
      <c r="S3" s="117" t="str">
        <f t="shared" si="15"/>
        <v>2026-27</v>
      </c>
      <c r="T3" s="117" t="str">
        <f t="shared" si="15"/>
        <v>2027-28</v>
      </c>
    </row>
    <row r="4" spans="1:23">
      <c r="A4"/>
      <c r="B4"/>
      <c r="C4"/>
      <c r="D4"/>
      <c r="E4" s="1"/>
      <c r="H4" s="12"/>
      <c r="I4" s="33" t="s">
        <v>643</v>
      </c>
      <c r="J4" s="13">
        <v>0</v>
      </c>
      <c r="K4" s="128">
        <v>1.7331284178713088E-2</v>
      </c>
      <c r="L4" s="128">
        <v>1.1607422764439308E-2</v>
      </c>
      <c r="M4" s="13">
        <v>-1.33072613429044E-2</v>
      </c>
      <c r="N4" s="13">
        <v>0.01</v>
      </c>
      <c r="O4" s="13"/>
    </row>
    <row r="5" spans="1:23" ht="15.75" thickBot="1">
      <c r="A5" s="36" t="s">
        <v>1168</v>
      </c>
      <c r="B5" s="14"/>
      <c r="C5" s="14"/>
      <c r="D5" s="14"/>
      <c r="O5" s="10"/>
    </row>
    <row r="6" spans="1:23" ht="45.75" thickBot="1">
      <c r="A6" s="15" t="s">
        <v>595</v>
      </c>
      <c r="B6" s="16" t="s">
        <v>596</v>
      </c>
      <c r="C6" s="127" t="s">
        <v>1169</v>
      </c>
      <c r="D6" s="127" t="s">
        <v>1170</v>
      </c>
      <c r="E6" s="120" t="s">
        <v>1159</v>
      </c>
      <c r="F6" s="17" t="s">
        <v>644</v>
      </c>
      <c r="G6" s="18" t="s">
        <v>645</v>
      </c>
      <c r="H6" s="19" t="s">
        <v>646</v>
      </c>
      <c r="I6" s="19" t="s">
        <v>647</v>
      </c>
      <c r="J6" s="34" t="s">
        <v>965</v>
      </c>
      <c r="K6" s="34" t="s">
        <v>1062</v>
      </c>
      <c r="L6" s="34" t="s">
        <v>1106</v>
      </c>
      <c r="M6" s="34" t="s">
        <v>1135</v>
      </c>
      <c r="N6" s="34" t="s">
        <v>1162</v>
      </c>
      <c r="O6" s="19"/>
      <c r="P6" s="34" t="str">
        <f>J6</f>
        <v>Total
SY 2023-24</v>
      </c>
      <c r="Q6" s="34" t="str">
        <f t="shared" ref="Q6:T6" si="16">K6</f>
        <v>Total
SY 2024-25</v>
      </c>
      <c r="R6" s="34" t="str">
        <f t="shared" si="16"/>
        <v>Total
SY 2025-26</v>
      </c>
      <c r="S6" s="34" t="str">
        <f t="shared" si="16"/>
        <v>Total
SY 2026-27</v>
      </c>
      <c r="T6" s="34" t="str">
        <f t="shared" si="16"/>
        <v>Total
SY 2027-28</v>
      </c>
      <c r="V6" s="118" t="s">
        <v>1160</v>
      </c>
      <c r="W6" s="118" t="s">
        <v>1161</v>
      </c>
    </row>
    <row r="7" spans="1:23">
      <c r="A7" s="20" t="s">
        <v>633</v>
      </c>
      <c r="B7" s="20" t="s">
        <v>648</v>
      </c>
      <c r="C7" s="24">
        <f t="shared" ref="C7:D7" si="17">SUM(C9:C311)</f>
        <v>5210.119999999999</v>
      </c>
      <c r="D7" s="24">
        <f t="shared" si="17"/>
        <v>1060209.1300000004</v>
      </c>
      <c r="E7" s="24">
        <f>SUM(E9:E311)</f>
        <v>1065419.2500000007</v>
      </c>
      <c r="F7" s="22" t="s">
        <v>649</v>
      </c>
      <c r="G7" s="10">
        <f>COUNTIF(G9:G311,"Yes")</f>
        <v>41</v>
      </c>
      <c r="H7" s="21">
        <f>SUM(H9:H311)</f>
        <v>2822.0199999999995</v>
      </c>
      <c r="I7" s="23">
        <f>SUM(I9:I316)</f>
        <v>2822.02</v>
      </c>
      <c r="J7" s="24">
        <f>SUM(J9:J319)</f>
        <v>1065419.2500000007</v>
      </c>
      <c r="K7" s="24">
        <f>SUM(K9:K319)</f>
        <v>1083847.1743047521</v>
      </c>
      <c r="L7" s="24">
        <f>SUM(L9:L319)</f>
        <v>1096402.9595420235</v>
      </c>
      <c r="M7" s="24">
        <f>SUM(M9:M319)</f>
        <v>1081841.3705220928</v>
      </c>
      <c r="N7" s="24">
        <f>SUM(N9:N319)</f>
        <v>1092638.3435273129</v>
      </c>
      <c r="O7" s="24"/>
      <c r="P7" s="24">
        <f t="shared" ref="P7:S7" si="18">SUM(P9:P319)</f>
        <v>1065419.25</v>
      </c>
      <c r="Q7" s="24">
        <f t="shared" si="18"/>
        <v>1083847.0999999996</v>
      </c>
      <c r="R7" s="24">
        <f t="shared" si="18"/>
        <v>1096402.97</v>
      </c>
      <c r="S7" s="24">
        <f t="shared" si="18"/>
        <v>1081841.3800000001</v>
      </c>
      <c r="T7" s="24">
        <f t="shared" ref="T7" si="19">SUM(T9:T319)</f>
        <v>1092638.4200000002</v>
      </c>
      <c r="V7" s="24">
        <f>SUM(V9:V320)</f>
        <v>1065419.2500000007</v>
      </c>
      <c r="W7" s="24">
        <f>SUM(W9:W320)</f>
        <v>-4.5474735088646412E-13</v>
      </c>
    </row>
    <row r="8" spans="1:23" ht="8.25" customHeight="1">
      <c r="A8" s="20"/>
      <c r="B8" s="20"/>
      <c r="C8" s="20"/>
      <c r="D8" s="20"/>
      <c r="E8" s="21"/>
      <c r="F8" s="22"/>
      <c r="H8" s="21"/>
      <c r="I8" s="23"/>
      <c r="J8" s="24"/>
      <c r="K8" s="24"/>
      <c r="L8" s="24"/>
      <c r="M8" s="24"/>
      <c r="N8" s="24"/>
      <c r="O8" s="24"/>
      <c r="P8" s="24"/>
      <c r="Q8" s="24"/>
      <c r="R8" s="24"/>
      <c r="S8" s="24"/>
      <c r="T8" s="24"/>
    </row>
    <row r="9" spans="1:23">
      <c r="A9" s="28" t="s">
        <v>0</v>
      </c>
      <c r="B9" s="28" t="s">
        <v>650</v>
      </c>
      <c r="C9" s="26">
        <v>0</v>
      </c>
      <c r="D9" s="26">
        <v>65.7</v>
      </c>
      <c r="E9" s="26">
        <f>SUM(C9:D9)</f>
        <v>65.7</v>
      </c>
      <c r="F9" s="27" t="str">
        <f>IF(E9&gt;100,"Yes","No")</f>
        <v>No</v>
      </c>
      <c r="G9" s="27" t="s">
        <v>651</v>
      </c>
      <c r="H9" s="11">
        <v>0</v>
      </c>
      <c r="I9" s="11">
        <v>0</v>
      </c>
      <c r="J9" s="35">
        <f>(IF($F9="Yes",($E9*(1+J$4)),$E9))</f>
        <v>65.7</v>
      </c>
      <c r="K9" s="35">
        <f>(IF($F9="Yes",(($E9*(1+J$4))*(1+K$4)),$E9))</f>
        <v>65.7</v>
      </c>
      <c r="L9" s="35">
        <f>(IF($F9="Yes",((($E9*(1+J$4))*(1+K$4))*(1+L$4)),$E9))</f>
        <v>65.7</v>
      </c>
      <c r="M9" s="35">
        <f>(IF($F9="Yes",(((($E9*(1+J$4))*(1+K$4))*(1+L$4))*(1+M$4)),$E9))</f>
        <v>65.7</v>
      </c>
      <c r="N9" s="35">
        <f>(IF($F9="Yes",((((($E9*(1+J$4))*(1+K$4))*(1+L$4))*(1+M$4))*(1+N$4)),$E9))</f>
        <v>65.7</v>
      </c>
      <c r="O9" s="25"/>
      <c r="P9" s="35">
        <f>ROUND(J9-$H9+$I9,2)</f>
        <v>65.7</v>
      </c>
      <c r="Q9" s="35">
        <f>ROUND(K9-$H9+$I9,2)</f>
        <v>65.7</v>
      </c>
      <c r="R9" s="35">
        <f>ROUND(L9-$H9+$I9,2)</f>
        <v>65.7</v>
      </c>
      <c r="S9" s="35">
        <f>ROUND(M9-$H9+$I9,2)</f>
        <v>65.7</v>
      </c>
      <c r="T9" s="35">
        <f>ROUND(N9-$H9+$I9,2)</f>
        <v>65.7</v>
      </c>
      <c r="U9" s="25"/>
      <c r="V9" s="25">
        <f>J9</f>
        <v>65.7</v>
      </c>
      <c r="W9" s="25">
        <f>P9-V9</f>
        <v>0</v>
      </c>
    </row>
    <row r="10" spans="1:23">
      <c r="A10" s="28" t="s">
        <v>2</v>
      </c>
      <c r="B10" s="28" t="s">
        <v>652</v>
      </c>
      <c r="C10" s="26">
        <v>0</v>
      </c>
      <c r="D10" s="26">
        <v>11</v>
      </c>
      <c r="E10" s="26">
        <f t="shared" ref="E10:E73" si="20">SUM(C10:D10)</f>
        <v>11</v>
      </c>
      <c r="F10" s="27" t="str">
        <f t="shared" ref="F10:F73" si="21">IF(E10&gt;100,"Yes","No")</f>
        <v>No</v>
      </c>
      <c r="G10" s="27" t="s">
        <v>651</v>
      </c>
      <c r="H10" s="11">
        <v>0</v>
      </c>
      <c r="I10" s="11">
        <v>0</v>
      </c>
      <c r="J10" s="35">
        <f t="shared" ref="J10:J73" si="22">(IF($F10="Yes",($E10*(1+J$4)),$E10))</f>
        <v>11</v>
      </c>
      <c r="K10" s="35">
        <f t="shared" ref="K10:K73" si="23">(IF($F10="Yes",(($E10*(1+J$4))*(1+K$4)),$E10))</f>
        <v>11</v>
      </c>
      <c r="L10" s="35">
        <f t="shared" ref="L10:L73" si="24">(IF($F10="Yes",((($E10*(1+J$4))*(1+K$4))*(1+L$4)),$E10))</f>
        <v>11</v>
      </c>
      <c r="M10" s="35">
        <f t="shared" ref="M10:M73" si="25">(IF($F10="Yes",(((($E10*(1+J$4))*(1+K$4))*(1+L$4))*(1+M$4)),$E10))</f>
        <v>11</v>
      </c>
      <c r="N10" s="35">
        <f t="shared" ref="N10:N73" si="26">(IF($F10="Yes",((((($E10*(1+J$4))*(1+K$4))*(1+L$4))*(1+M$4))*(1+N$4)),$E10))</f>
        <v>11</v>
      </c>
      <c r="O10" s="25"/>
      <c r="P10" s="35">
        <f t="shared" ref="P10:P73" si="27">ROUND(J10-$H10+$I10,2)</f>
        <v>11</v>
      </c>
      <c r="Q10" s="35">
        <f t="shared" ref="Q10:Q73" si="28">ROUND(K10-$H10+$I10,2)</f>
        <v>11</v>
      </c>
      <c r="R10" s="35">
        <f t="shared" ref="R10:R73" si="29">ROUND(L10-$H10+$I10,2)</f>
        <v>11</v>
      </c>
      <c r="S10" s="35">
        <f t="shared" ref="S10:S73" si="30">ROUND(M10-$H10+$I10,2)</f>
        <v>11</v>
      </c>
      <c r="T10" s="35">
        <f t="shared" ref="T10:T73" si="31">ROUND(N10-$H10+$I10,2)</f>
        <v>11</v>
      </c>
      <c r="U10" s="25"/>
      <c r="V10" s="25">
        <f>J10</f>
        <v>11</v>
      </c>
      <c r="W10" s="25">
        <f t="shared" ref="W10:W73" si="32">P10-V10</f>
        <v>0</v>
      </c>
    </row>
    <row r="11" spans="1:23">
      <c r="A11" s="28" t="s">
        <v>4</v>
      </c>
      <c r="B11" s="28" t="s">
        <v>654</v>
      </c>
      <c r="C11" s="26">
        <v>48.13</v>
      </c>
      <c r="D11" s="26">
        <v>4460.97</v>
      </c>
      <c r="E11" s="26">
        <f t="shared" si="20"/>
        <v>4509.1000000000004</v>
      </c>
      <c r="F11" s="27" t="str">
        <f t="shared" si="21"/>
        <v>Yes</v>
      </c>
      <c r="G11" s="27" t="s">
        <v>651</v>
      </c>
      <c r="H11" s="11">
        <v>0</v>
      </c>
      <c r="I11" s="11">
        <v>0</v>
      </c>
      <c r="J11" s="35">
        <f t="shared" si="22"/>
        <v>4509.1000000000004</v>
      </c>
      <c r="K11" s="35">
        <f t="shared" si="23"/>
        <v>4587.248493490235</v>
      </c>
      <c r="L11" s="35">
        <f t="shared" si="24"/>
        <v>4640.4946260797142</v>
      </c>
      <c r="M11" s="35">
        <f t="shared" si="25"/>
        <v>4578.7423513301283</v>
      </c>
      <c r="N11" s="35">
        <f t="shared" si="26"/>
        <v>4624.5297748434295</v>
      </c>
      <c r="O11" s="25"/>
      <c r="P11" s="35">
        <f t="shared" si="27"/>
        <v>4509.1000000000004</v>
      </c>
      <c r="Q11" s="35">
        <f t="shared" si="28"/>
        <v>4587.25</v>
      </c>
      <c r="R11" s="35">
        <f t="shared" si="29"/>
        <v>4640.49</v>
      </c>
      <c r="S11" s="35">
        <f t="shared" si="30"/>
        <v>4578.74</v>
      </c>
      <c r="T11" s="35">
        <f t="shared" si="31"/>
        <v>4624.53</v>
      </c>
      <c r="U11" s="25"/>
      <c r="V11" s="25">
        <f t="shared" ref="V11:V73" si="33">J11</f>
        <v>4509.1000000000004</v>
      </c>
      <c r="W11" s="25">
        <f t="shared" si="32"/>
        <v>0</v>
      </c>
    </row>
    <row r="12" spans="1:23">
      <c r="A12" s="28" t="s">
        <v>6</v>
      </c>
      <c r="B12" s="28" t="s">
        <v>655</v>
      </c>
      <c r="C12" s="26">
        <v>6.6</v>
      </c>
      <c r="D12" s="26">
        <v>175.29</v>
      </c>
      <c r="E12" s="26">
        <f t="shared" si="20"/>
        <v>181.89</v>
      </c>
      <c r="F12" s="27" t="str">
        <f t="shared" si="21"/>
        <v>Yes</v>
      </c>
      <c r="G12" s="27" t="s">
        <v>651</v>
      </c>
      <c r="H12" s="11">
        <v>0</v>
      </c>
      <c r="I12" s="11">
        <v>0</v>
      </c>
      <c r="J12" s="35">
        <f t="shared" si="22"/>
        <v>181.89</v>
      </c>
      <c r="K12" s="35">
        <f t="shared" si="23"/>
        <v>185.04238727926608</v>
      </c>
      <c r="L12" s="35">
        <f t="shared" si="24"/>
        <v>187.19025249775765</v>
      </c>
      <c r="M12" s="35">
        <f t="shared" si="25"/>
        <v>184.69926288692574</v>
      </c>
      <c r="N12" s="35">
        <f t="shared" si="26"/>
        <v>186.546255515795</v>
      </c>
      <c r="O12" s="25"/>
      <c r="P12" s="35">
        <f t="shared" si="27"/>
        <v>181.89</v>
      </c>
      <c r="Q12" s="35">
        <f t="shared" si="28"/>
        <v>185.04</v>
      </c>
      <c r="R12" s="35">
        <f t="shared" si="29"/>
        <v>187.19</v>
      </c>
      <c r="S12" s="35">
        <f t="shared" si="30"/>
        <v>184.7</v>
      </c>
      <c r="T12" s="35">
        <f t="shared" si="31"/>
        <v>186.55</v>
      </c>
      <c r="U12" s="25"/>
      <c r="V12" s="25">
        <f t="shared" si="33"/>
        <v>181.89</v>
      </c>
      <c r="W12" s="25">
        <f t="shared" si="32"/>
        <v>0</v>
      </c>
    </row>
    <row r="13" spans="1:23">
      <c r="A13" s="28" t="s">
        <v>8</v>
      </c>
      <c r="B13" s="28" t="s">
        <v>656</v>
      </c>
      <c r="C13" s="26">
        <v>12.97</v>
      </c>
      <c r="D13" s="26">
        <v>384.07</v>
      </c>
      <c r="E13" s="26">
        <f t="shared" si="20"/>
        <v>397.04</v>
      </c>
      <c r="F13" s="27" t="str">
        <f t="shared" si="21"/>
        <v>Yes</v>
      </c>
      <c r="G13" s="27" t="s">
        <v>651</v>
      </c>
      <c r="H13" s="11">
        <v>0</v>
      </c>
      <c r="I13" s="11">
        <v>0</v>
      </c>
      <c r="J13" s="35">
        <f t="shared" si="22"/>
        <v>397.04</v>
      </c>
      <c r="K13" s="35">
        <f t="shared" si="23"/>
        <v>403.92121307031624</v>
      </c>
      <c r="L13" s="35">
        <f t="shared" si="24"/>
        <v>408.6096973539486</v>
      </c>
      <c r="M13" s="35">
        <f t="shared" si="25"/>
        <v>403.17222132401452</v>
      </c>
      <c r="N13" s="35">
        <f t="shared" si="26"/>
        <v>407.20394353725464</v>
      </c>
      <c r="O13" s="25"/>
      <c r="P13" s="35">
        <f t="shared" si="27"/>
        <v>397.04</v>
      </c>
      <c r="Q13" s="35">
        <f t="shared" si="28"/>
        <v>403.92</v>
      </c>
      <c r="R13" s="35">
        <f t="shared" si="29"/>
        <v>408.61</v>
      </c>
      <c r="S13" s="35">
        <f t="shared" si="30"/>
        <v>403.17</v>
      </c>
      <c r="T13" s="35">
        <f t="shared" si="31"/>
        <v>407.2</v>
      </c>
      <c r="U13" s="25"/>
      <c r="V13" s="25">
        <f t="shared" si="33"/>
        <v>397.04</v>
      </c>
      <c r="W13" s="25">
        <f t="shared" si="32"/>
        <v>0</v>
      </c>
    </row>
    <row r="14" spans="1:23">
      <c r="A14" s="28" t="s">
        <v>10</v>
      </c>
      <c r="B14" s="28" t="s">
        <v>657</v>
      </c>
      <c r="C14" s="26">
        <v>51.7</v>
      </c>
      <c r="D14" s="26">
        <v>2412.02</v>
      </c>
      <c r="E14" s="26">
        <f t="shared" si="20"/>
        <v>2463.7199999999998</v>
      </c>
      <c r="F14" s="27" t="str">
        <f t="shared" si="21"/>
        <v>Yes</v>
      </c>
      <c r="G14" s="27" t="s">
        <v>651</v>
      </c>
      <c r="H14" s="11">
        <v>0</v>
      </c>
      <c r="I14" s="11">
        <v>0</v>
      </c>
      <c r="J14" s="35">
        <f t="shared" si="22"/>
        <v>2463.7199999999998</v>
      </c>
      <c r="K14" s="35">
        <f t="shared" si="23"/>
        <v>2506.4194314567785</v>
      </c>
      <c r="L14" s="35">
        <f t="shared" si="24"/>
        <v>2535.5125014227033</v>
      </c>
      <c r="M14" s="35">
        <f t="shared" si="25"/>
        <v>2501.7717739280702</v>
      </c>
      <c r="N14" s="35">
        <f t="shared" si="26"/>
        <v>2526.7894916673508</v>
      </c>
      <c r="O14" s="25"/>
      <c r="P14" s="35">
        <f t="shared" si="27"/>
        <v>2463.7199999999998</v>
      </c>
      <c r="Q14" s="35">
        <f t="shared" si="28"/>
        <v>2506.42</v>
      </c>
      <c r="R14" s="35">
        <f t="shared" si="29"/>
        <v>2535.5100000000002</v>
      </c>
      <c r="S14" s="35">
        <f t="shared" si="30"/>
        <v>2501.77</v>
      </c>
      <c r="T14" s="35">
        <f t="shared" si="31"/>
        <v>2526.79</v>
      </c>
      <c r="U14" s="25"/>
      <c r="V14" s="25">
        <f t="shared" si="33"/>
        <v>2463.7199999999998</v>
      </c>
      <c r="W14" s="25">
        <f t="shared" si="32"/>
        <v>0</v>
      </c>
    </row>
    <row r="15" spans="1:23">
      <c r="A15" s="28" t="s">
        <v>12</v>
      </c>
      <c r="B15" s="28" t="s">
        <v>658</v>
      </c>
      <c r="C15" s="26">
        <v>29.5</v>
      </c>
      <c r="D15" s="26">
        <v>587.35</v>
      </c>
      <c r="E15" s="26">
        <f t="shared" si="20"/>
        <v>616.85</v>
      </c>
      <c r="F15" s="27" t="str">
        <f t="shared" si="21"/>
        <v>Yes</v>
      </c>
      <c r="G15" s="27" t="s">
        <v>651</v>
      </c>
      <c r="H15" s="11">
        <v>0</v>
      </c>
      <c r="I15" s="11">
        <v>0</v>
      </c>
      <c r="J15" s="35">
        <f t="shared" si="22"/>
        <v>616.85</v>
      </c>
      <c r="K15" s="35">
        <f t="shared" si="23"/>
        <v>627.54080264563913</v>
      </c>
      <c r="L15" s="35">
        <f t="shared" si="24"/>
        <v>634.82493404388265</v>
      </c>
      <c r="M15" s="35">
        <f t="shared" si="25"/>
        <v>626.37715273956871</v>
      </c>
      <c r="N15" s="35">
        <f t="shared" si="26"/>
        <v>632.64092426696436</v>
      </c>
      <c r="O15" s="25"/>
      <c r="P15" s="35">
        <f t="shared" si="27"/>
        <v>616.85</v>
      </c>
      <c r="Q15" s="35">
        <f t="shared" si="28"/>
        <v>627.54</v>
      </c>
      <c r="R15" s="35">
        <f t="shared" si="29"/>
        <v>634.82000000000005</v>
      </c>
      <c r="S15" s="35">
        <f t="shared" si="30"/>
        <v>626.38</v>
      </c>
      <c r="T15" s="35">
        <f t="shared" si="31"/>
        <v>632.64</v>
      </c>
      <c r="U15" s="25"/>
      <c r="V15" s="25">
        <f t="shared" si="33"/>
        <v>616.85</v>
      </c>
      <c r="W15" s="25">
        <f t="shared" si="32"/>
        <v>0</v>
      </c>
    </row>
    <row r="16" spans="1:23">
      <c r="A16" s="28" t="s">
        <v>14</v>
      </c>
      <c r="B16" s="28" t="s">
        <v>659</v>
      </c>
      <c r="C16" s="26">
        <v>20.9</v>
      </c>
      <c r="D16" s="26">
        <v>18760.900000000001</v>
      </c>
      <c r="E16" s="26">
        <f t="shared" si="20"/>
        <v>18781.800000000003</v>
      </c>
      <c r="F16" s="27" t="str">
        <f t="shared" si="21"/>
        <v>Yes</v>
      </c>
      <c r="G16" s="27" t="s">
        <v>651</v>
      </c>
      <c r="H16" s="11">
        <v>0</v>
      </c>
      <c r="I16" s="11">
        <v>0</v>
      </c>
      <c r="J16" s="35">
        <f t="shared" si="22"/>
        <v>18781.800000000003</v>
      </c>
      <c r="K16" s="35">
        <f t="shared" si="23"/>
        <v>19107.312713187755</v>
      </c>
      <c r="L16" s="35">
        <f t="shared" si="24"/>
        <v>19329.099369742074</v>
      </c>
      <c r="M16" s="35">
        <f t="shared" si="25"/>
        <v>19071.88199290595</v>
      </c>
      <c r="N16" s="35">
        <f t="shared" si="26"/>
        <v>19262.600812835011</v>
      </c>
      <c r="O16" s="25"/>
      <c r="P16" s="35">
        <f t="shared" si="27"/>
        <v>18781.8</v>
      </c>
      <c r="Q16" s="35">
        <f t="shared" si="28"/>
        <v>19107.310000000001</v>
      </c>
      <c r="R16" s="35">
        <f t="shared" si="29"/>
        <v>19329.099999999999</v>
      </c>
      <c r="S16" s="35">
        <f t="shared" si="30"/>
        <v>19071.88</v>
      </c>
      <c r="T16" s="35">
        <f t="shared" si="31"/>
        <v>19262.599999999999</v>
      </c>
      <c r="U16" s="25"/>
      <c r="V16" s="25">
        <f t="shared" si="33"/>
        <v>18781.800000000003</v>
      </c>
      <c r="W16" s="25">
        <f t="shared" si="32"/>
        <v>0</v>
      </c>
    </row>
    <row r="17" spans="1:23">
      <c r="A17" s="28" t="s">
        <v>16</v>
      </c>
      <c r="B17" s="28" t="s">
        <v>660</v>
      </c>
      <c r="C17" s="26">
        <v>0</v>
      </c>
      <c r="D17" s="26">
        <v>140.80000000000001</v>
      </c>
      <c r="E17" s="26">
        <f t="shared" si="20"/>
        <v>140.80000000000001</v>
      </c>
      <c r="F17" s="27" t="str">
        <f t="shared" si="21"/>
        <v>Yes</v>
      </c>
      <c r="G17" s="27" t="s">
        <v>653</v>
      </c>
      <c r="H17" s="11">
        <v>0</v>
      </c>
      <c r="I17" s="11">
        <v>23</v>
      </c>
      <c r="J17" s="35">
        <f t="shared" si="22"/>
        <v>140.80000000000001</v>
      </c>
      <c r="K17" s="35">
        <f t="shared" si="23"/>
        <v>143.24024481236279</v>
      </c>
      <c r="L17" s="35">
        <f t="shared" si="24"/>
        <v>144.90289489078168</v>
      </c>
      <c r="M17" s="35">
        <f t="shared" si="25"/>
        <v>142.97463419912665</v>
      </c>
      <c r="N17" s="35">
        <f t="shared" si="26"/>
        <v>144.40438054111792</v>
      </c>
      <c r="O17" s="25"/>
      <c r="P17" s="35">
        <f t="shared" si="27"/>
        <v>163.80000000000001</v>
      </c>
      <c r="Q17" s="35">
        <f t="shared" si="28"/>
        <v>166.24</v>
      </c>
      <c r="R17" s="35">
        <f t="shared" si="29"/>
        <v>167.9</v>
      </c>
      <c r="S17" s="35">
        <f t="shared" si="30"/>
        <v>165.97</v>
      </c>
      <c r="T17" s="35">
        <f t="shared" si="31"/>
        <v>167.4</v>
      </c>
      <c r="U17" s="25"/>
      <c r="V17" s="25">
        <f t="shared" si="33"/>
        <v>140.80000000000001</v>
      </c>
      <c r="W17" s="25">
        <f t="shared" si="32"/>
        <v>23</v>
      </c>
    </row>
    <row r="18" spans="1:23">
      <c r="A18" s="28" t="s">
        <v>18</v>
      </c>
      <c r="B18" s="28" t="s">
        <v>661</v>
      </c>
      <c r="C18" s="26">
        <v>16.2</v>
      </c>
      <c r="D18" s="26">
        <v>1342.91</v>
      </c>
      <c r="E18" s="26">
        <f t="shared" si="20"/>
        <v>1359.1100000000001</v>
      </c>
      <c r="F18" s="27" t="str">
        <f t="shared" si="21"/>
        <v>Yes</v>
      </c>
      <c r="G18" s="27" t="s">
        <v>651</v>
      </c>
      <c r="H18" s="11">
        <v>0</v>
      </c>
      <c r="I18" s="11">
        <v>0</v>
      </c>
      <c r="J18" s="35">
        <f t="shared" si="22"/>
        <v>1359.1100000000001</v>
      </c>
      <c r="K18" s="35">
        <f t="shared" si="23"/>
        <v>1382.6651216401308</v>
      </c>
      <c r="L18" s="35">
        <f t="shared" si="24"/>
        <v>1398.7143002486528</v>
      </c>
      <c r="M18" s="35">
        <f t="shared" si="25"/>
        <v>1380.1012435111863</v>
      </c>
      <c r="N18" s="35">
        <f t="shared" si="26"/>
        <v>1393.9022559462983</v>
      </c>
      <c r="O18" s="25"/>
      <c r="P18" s="35">
        <f t="shared" si="27"/>
        <v>1359.11</v>
      </c>
      <c r="Q18" s="35">
        <f t="shared" si="28"/>
        <v>1382.67</v>
      </c>
      <c r="R18" s="35">
        <f t="shared" si="29"/>
        <v>1398.71</v>
      </c>
      <c r="S18" s="35">
        <f t="shared" si="30"/>
        <v>1380.1</v>
      </c>
      <c r="T18" s="35">
        <f t="shared" si="31"/>
        <v>1393.9</v>
      </c>
      <c r="U18" s="25"/>
      <c r="V18" s="25">
        <f t="shared" si="33"/>
        <v>1359.1100000000001</v>
      </c>
      <c r="W18" s="25">
        <f t="shared" si="32"/>
        <v>0</v>
      </c>
    </row>
    <row r="19" spans="1:23">
      <c r="A19" s="28" t="s">
        <v>20</v>
      </c>
      <c r="B19" s="28" t="s">
        <v>662</v>
      </c>
      <c r="C19" s="26">
        <v>0</v>
      </c>
      <c r="D19" s="26">
        <v>855.17</v>
      </c>
      <c r="E19" s="26">
        <f t="shared" si="20"/>
        <v>855.17</v>
      </c>
      <c r="F19" s="27" t="str">
        <f t="shared" si="21"/>
        <v>Yes</v>
      </c>
      <c r="G19" s="27" t="s">
        <v>651</v>
      </c>
      <c r="H19" s="11">
        <v>0</v>
      </c>
      <c r="I19" s="11">
        <v>0</v>
      </c>
      <c r="J19" s="35">
        <f t="shared" si="22"/>
        <v>855.17</v>
      </c>
      <c r="K19" s="35">
        <f t="shared" si="23"/>
        <v>869.99119429110999</v>
      </c>
      <c r="L19" s="35">
        <f t="shared" si="24"/>
        <v>880.0895498845864</v>
      </c>
      <c r="M19" s="35">
        <f t="shared" si="25"/>
        <v>868.3779682391131</v>
      </c>
      <c r="N19" s="35">
        <f t="shared" si="26"/>
        <v>877.06174792150421</v>
      </c>
      <c r="O19" s="25"/>
      <c r="P19" s="35">
        <f t="shared" si="27"/>
        <v>855.17</v>
      </c>
      <c r="Q19" s="35">
        <f t="shared" si="28"/>
        <v>869.99</v>
      </c>
      <c r="R19" s="35">
        <f t="shared" si="29"/>
        <v>880.09</v>
      </c>
      <c r="S19" s="35">
        <f t="shared" si="30"/>
        <v>868.38</v>
      </c>
      <c r="T19" s="35">
        <f t="shared" si="31"/>
        <v>877.06</v>
      </c>
      <c r="U19" s="25"/>
      <c r="V19" s="25">
        <f t="shared" si="33"/>
        <v>855.17</v>
      </c>
      <c r="W19" s="25">
        <f t="shared" si="32"/>
        <v>0</v>
      </c>
    </row>
    <row r="20" spans="1:23">
      <c r="A20" s="28" t="s">
        <v>22</v>
      </c>
      <c r="B20" s="28" t="s">
        <v>663</v>
      </c>
      <c r="C20" s="26">
        <v>34.9</v>
      </c>
      <c r="D20" s="26">
        <v>2401.27</v>
      </c>
      <c r="E20" s="26">
        <f t="shared" si="20"/>
        <v>2436.17</v>
      </c>
      <c r="F20" s="27" t="str">
        <f t="shared" si="21"/>
        <v>Yes</v>
      </c>
      <c r="G20" s="27" t="s">
        <v>651</v>
      </c>
      <c r="H20" s="11">
        <v>23</v>
      </c>
      <c r="I20" s="11">
        <v>0</v>
      </c>
      <c r="J20" s="35">
        <f t="shared" si="22"/>
        <v>2436.17</v>
      </c>
      <c r="K20" s="35">
        <f t="shared" si="23"/>
        <v>2478.3919545776553</v>
      </c>
      <c r="L20" s="35">
        <f t="shared" si="24"/>
        <v>2507.1596977704235</v>
      </c>
      <c r="M20" s="35">
        <f t="shared" si="25"/>
        <v>2473.7962684437953</v>
      </c>
      <c r="N20" s="35">
        <f t="shared" si="26"/>
        <v>2498.5342311282334</v>
      </c>
      <c r="O20" s="25"/>
      <c r="P20" s="35">
        <f t="shared" si="27"/>
        <v>2413.17</v>
      </c>
      <c r="Q20" s="35">
        <f t="shared" si="28"/>
        <v>2455.39</v>
      </c>
      <c r="R20" s="35">
        <f t="shared" si="29"/>
        <v>2484.16</v>
      </c>
      <c r="S20" s="35">
        <f t="shared" si="30"/>
        <v>2450.8000000000002</v>
      </c>
      <c r="T20" s="35">
        <f t="shared" si="31"/>
        <v>2475.5300000000002</v>
      </c>
      <c r="U20" s="25"/>
      <c r="V20" s="25">
        <f t="shared" si="33"/>
        <v>2436.17</v>
      </c>
      <c r="W20" s="25">
        <f t="shared" si="32"/>
        <v>-23</v>
      </c>
    </row>
    <row r="21" spans="1:23">
      <c r="A21" s="28" t="s">
        <v>24</v>
      </c>
      <c r="B21" s="28" t="s">
        <v>664</v>
      </c>
      <c r="C21" s="26">
        <v>0</v>
      </c>
      <c r="D21" s="26">
        <v>13797.2</v>
      </c>
      <c r="E21" s="26">
        <f t="shared" si="20"/>
        <v>13797.2</v>
      </c>
      <c r="F21" s="27" t="str">
        <f t="shared" si="21"/>
        <v>Yes</v>
      </c>
      <c r="G21" s="27" t="s">
        <v>651</v>
      </c>
      <c r="H21" s="11">
        <v>0</v>
      </c>
      <c r="I21" s="11">
        <v>0</v>
      </c>
      <c r="J21" s="35">
        <f t="shared" si="22"/>
        <v>13797.2</v>
      </c>
      <c r="K21" s="35">
        <f t="shared" si="23"/>
        <v>14036.323194070539</v>
      </c>
      <c r="L21" s="35">
        <f t="shared" si="24"/>
        <v>14199.248731442422</v>
      </c>
      <c r="M21" s="35">
        <f t="shared" si="25"/>
        <v>14010.295617700214</v>
      </c>
      <c r="N21" s="35">
        <f t="shared" si="26"/>
        <v>14150.398573877217</v>
      </c>
      <c r="O21" s="25"/>
      <c r="P21" s="35">
        <f t="shared" si="27"/>
        <v>13797.2</v>
      </c>
      <c r="Q21" s="35">
        <f t="shared" si="28"/>
        <v>14036.32</v>
      </c>
      <c r="R21" s="35">
        <f t="shared" si="29"/>
        <v>14199.25</v>
      </c>
      <c r="S21" s="35">
        <f t="shared" si="30"/>
        <v>14010.3</v>
      </c>
      <c r="T21" s="35">
        <f t="shared" si="31"/>
        <v>14150.4</v>
      </c>
      <c r="U21" s="25"/>
      <c r="V21" s="25">
        <f t="shared" si="33"/>
        <v>13797.2</v>
      </c>
      <c r="W21" s="25">
        <f t="shared" si="32"/>
        <v>0</v>
      </c>
    </row>
    <row r="22" spans="1:23">
      <c r="A22" s="28" t="s">
        <v>26</v>
      </c>
      <c r="B22" s="28" t="s">
        <v>665</v>
      </c>
      <c r="C22" s="26">
        <v>0</v>
      </c>
      <c r="D22" s="26">
        <v>648.97</v>
      </c>
      <c r="E22" s="26">
        <f t="shared" si="20"/>
        <v>648.97</v>
      </c>
      <c r="F22" s="27" t="str">
        <f t="shared" si="21"/>
        <v>Yes</v>
      </c>
      <c r="G22" s="27" t="s">
        <v>651</v>
      </c>
      <c r="H22" s="11">
        <v>0</v>
      </c>
      <c r="I22" s="11">
        <v>0</v>
      </c>
      <c r="J22" s="35">
        <f t="shared" si="22"/>
        <v>648.97</v>
      </c>
      <c r="K22" s="35">
        <f t="shared" si="23"/>
        <v>660.21748349345944</v>
      </c>
      <c r="L22" s="35">
        <f t="shared" si="24"/>
        <v>667.88090694084235</v>
      </c>
      <c r="M22" s="35">
        <f t="shared" si="25"/>
        <v>658.9932411662445</v>
      </c>
      <c r="N22" s="35">
        <f t="shared" si="26"/>
        <v>665.5831735779069</v>
      </c>
      <c r="O22" s="25"/>
      <c r="P22" s="35">
        <f t="shared" si="27"/>
        <v>648.97</v>
      </c>
      <c r="Q22" s="35">
        <f t="shared" si="28"/>
        <v>660.22</v>
      </c>
      <c r="R22" s="35">
        <f t="shared" si="29"/>
        <v>667.88</v>
      </c>
      <c r="S22" s="35">
        <f t="shared" si="30"/>
        <v>658.99</v>
      </c>
      <c r="T22" s="35">
        <f t="shared" si="31"/>
        <v>665.58</v>
      </c>
      <c r="U22" s="25"/>
      <c r="V22" s="25">
        <f t="shared" si="33"/>
        <v>648.97</v>
      </c>
      <c r="W22" s="25">
        <f t="shared" si="32"/>
        <v>0</v>
      </c>
    </row>
    <row r="23" spans="1:23">
      <c r="A23" s="28" t="s">
        <v>28</v>
      </c>
      <c r="B23" s="28" t="s">
        <v>666</v>
      </c>
      <c r="C23" s="26">
        <v>0</v>
      </c>
      <c r="D23" s="26">
        <v>10.36</v>
      </c>
      <c r="E23" s="26">
        <f t="shared" si="20"/>
        <v>10.36</v>
      </c>
      <c r="F23" s="27" t="str">
        <f t="shared" si="21"/>
        <v>No</v>
      </c>
      <c r="G23" s="27" t="s">
        <v>651</v>
      </c>
      <c r="H23" s="11">
        <v>0</v>
      </c>
      <c r="I23" s="11">
        <v>0</v>
      </c>
      <c r="J23" s="35">
        <f t="shared" si="22"/>
        <v>10.36</v>
      </c>
      <c r="K23" s="35">
        <f t="shared" si="23"/>
        <v>10.36</v>
      </c>
      <c r="L23" s="35">
        <f t="shared" si="24"/>
        <v>10.36</v>
      </c>
      <c r="M23" s="35">
        <f t="shared" si="25"/>
        <v>10.36</v>
      </c>
      <c r="N23" s="35">
        <f t="shared" si="26"/>
        <v>10.36</v>
      </c>
      <c r="O23" s="25"/>
      <c r="P23" s="35">
        <f t="shared" si="27"/>
        <v>10.36</v>
      </c>
      <c r="Q23" s="35">
        <f t="shared" si="28"/>
        <v>10.36</v>
      </c>
      <c r="R23" s="35">
        <f t="shared" si="29"/>
        <v>10.36</v>
      </c>
      <c r="S23" s="35">
        <f t="shared" si="30"/>
        <v>10.36</v>
      </c>
      <c r="T23" s="35">
        <f t="shared" si="31"/>
        <v>10.36</v>
      </c>
      <c r="U23" s="25"/>
      <c r="V23" s="25">
        <f t="shared" si="33"/>
        <v>10.36</v>
      </c>
      <c r="W23" s="25">
        <f t="shared" si="32"/>
        <v>0</v>
      </c>
    </row>
    <row r="24" spans="1:23">
      <c r="A24" s="28" t="s">
        <v>30</v>
      </c>
      <c r="B24" s="28" t="s">
        <v>667</v>
      </c>
      <c r="C24" s="26">
        <v>0</v>
      </c>
      <c r="D24" s="26">
        <v>380.3</v>
      </c>
      <c r="E24" s="26">
        <f t="shared" si="20"/>
        <v>380.3</v>
      </c>
      <c r="F24" s="27" t="str">
        <f t="shared" si="21"/>
        <v>Yes</v>
      </c>
      <c r="G24" s="27" t="s">
        <v>651</v>
      </c>
      <c r="H24" s="11">
        <v>0</v>
      </c>
      <c r="I24" s="11">
        <v>0</v>
      </c>
      <c r="J24" s="35">
        <f t="shared" si="22"/>
        <v>380.3</v>
      </c>
      <c r="K24" s="35">
        <f t="shared" si="23"/>
        <v>386.89108737316457</v>
      </c>
      <c r="L24" s="35">
        <f t="shared" si="24"/>
        <v>391.38189578809852</v>
      </c>
      <c r="M24" s="35">
        <f t="shared" si="25"/>
        <v>386.1736746159649</v>
      </c>
      <c r="N24" s="35">
        <f t="shared" si="26"/>
        <v>390.03541136212453</v>
      </c>
      <c r="O24" s="25"/>
      <c r="P24" s="35">
        <f t="shared" si="27"/>
        <v>380.3</v>
      </c>
      <c r="Q24" s="35">
        <f t="shared" si="28"/>
        <v>386.89</v>
      </c>
      <c r="R24" s="35">
        <f t="shared" si="29"/>
        <v>391.38</v>
      </c>
      <c r="S24" s="35">
        <f t="shared" si="30"/>
        <v>386.17</v>
      </c>
      <c r="T24" s="35">
        <f t="shared" si="31"/>
        <v>390.04</v>
      </c>
      <c r="U24" s="25"/>
      <c r="V24" s="25">
        <f t="shared" si="33"/>
        <v>380.3</v>
      </c>
      <c r="W24" s="25">
        <f t="shared" si="32"/>
        <v>0</v>
      </c>
    </row>
    <row r="25" spans="1:23">
      <c r="A25" s="28" t="s">
        <v>32</v>
      </c>
      <c r="B25" s="28" t="s">
        <v>668</v>
      </c>
      <c r="C25" s="26">
        <v>0</v>
      </c>
      <c r="D25" s="26">
        <v>1270.02</v>
      </c>
      <c r="E25" s="26">
        <f t="shared" si="20"/>
        <v>1270.02</v>
      </c>
      <c r="F25" s="27" t="str">
        <f t="shared" si="21"/>
        <v>Yes</v>
      </c>
      <c r="G25" s="27" t="s">
        <v>651</v>
      </c>
      <c r="H25" s="11">
        <v>31.3</v>
      </c>
      <c r="I25" s="11">
        <v>0</v>
      </c>
      <c r="J25" s="35">
        <f t="shared" si="22"/>
        <v>1270.02</v>
      </c>
      <c r="K25" s="35">
        <f t="shared" si="23"/>
        <v>1292.0310775326491</v>
      </c>
      <c r="L25" s="35">
        <f t="shared" si="24"/>
        <v>1307.0282284743646</v>
      </c>
      <c r="M25" s="35">
        <f t="shared" si="25"/>
        <v>1289.635262255503</v>
      </c>
      <c r="N25" s="35">
        <f t="shared" si="26"/>
        <v>1302.531614878058</v>
      </c>
      <c r="O25" s="25"/>
      <c r="P25" s="35">
        <f t="shared" si="27"/>
        <v>1238.72</v>
      </c>
      <c r="Q25" s="35">
        <f t="shared" si="28"/>
        <v>1260.73</v>
      </c>
      <c r="R25" s="35">
        <f t="shared" si="29"/>
        <v>1275.73</v>
      </c>
      <c r="S25" s="35">
        <f t="shared" si="30"/>
        <v>1258.3399999999999</v>
      </c>
      <c r="T25" s="35">
        <f t="shared" si="31"/>
        <v>1271.23</v>
      </c>
      <c r="U25" s="25"/>
      <c r="V25" s="25">
        <f t="shared" si="33"/>
        <v>1270.02</v>
      </c>
      <c r="W25" s="25">
        <f t="shared" si="32"/>
        <v>-31.299999999999955</v>
      </c>
    </row>
    <row r="26" spans="1:23">
      <c r="A26" s="28" t="s">
        <v>34</v>
      </c>
      <c r="B26" s="28" t="s">
        <v>669</v>
      </c>
      <c r="C26" s="26">
        <v>0</v>
      </c>
      <c r="D26" s="26">
        <v>1601.93</v>
      </c>
      <c r="E26" s="26">
        <f t="shared" si="20"/>
        <v>1601.93</v>
      </c>
      <c r="F26" s="27" t="str">
        <f t="shared" si="21"/>
        <v>Yes</v>
      </c>
      <c r="G26" s="27" t="s">
        <v>651</v>
      </c>
      <c r="H26" s="11">
        <v>0</v>
      </c>
      <c r="I26" s="11">
        <v>0</v>
      </c>
      <c r="J26" s="35">
        <f t="shared" si="22"/>
        <v>1601.93</v>
      </c>
      <c r="K26" s="35">
        <f t="shared" si="23"/>
        <v>1629.6935040644057</v>
      </c>
      <c r="L26" s="35">
        <f t="shared" si="24"/>
        <v>1648.6100455425419</v>
      </c>
      <c r="M26" s="35">
        <f t="shared" si="25"/>
        <v>1626.6715608139698</v>
      </c>
      <c r="N26" s="35">
        <f t="shared" si="26"/>
        <v>1642.9382764221095</v>
      </c>
      <c r="O26" s="25"/>
      <c r="P26" s="35">
        <f t="shared" si="27"/>
        <v>1601.93</v>
      </c>
      <c r="Q26" s="35">
        <f t="shared" si="28"/>
        <v>1629.69</v>
      </c>
      <c r="R26" s="35">
        <f t="shared" si="29"/>
        <v>1648.61</v>
      </c>
      <c r="S26" s="35">
        <f t="shared" si="30"/>
        <v>1626.67</v>
      </c>
      <c r="T26" s="35">
        <f t="shared" si="31"/>
        <v>1642.94</v>
      </c>
      <c r="U26" s="25"/>
      <c r="V26" s="25">
        <f t="shared" si="33"/>
        <v>1601.93</v>
      </c>
      <c r="W26" s="25">
        <f t="shared" si="32"/>
        <v>0</v>
      </c>
    </row>
    <row r="27" spans="1:23">
      <c r="A27" s="28" t="s">
        <v>36</v>
      </c>
      <c r="B27" s="28" t="s">
        <v>670</v>
      </c>
      <c r="C27" s="26">
        <v>16.95</v>
      </c>
      <c r="D27" s="26">
        <v>1205.92</v>
      </c>
      <c r="E27" s="26">
        <f t="shared" si="20"/>
        <v>1222.8700000000001</v>
      </c>
      <c r="F27" s="27" t="str">
        <f t="shared" si="21"/>
        <v>Yes</v>
      </c>
      <c r="G27" s="27" t="s">
        <v>651</v>
      </c>
      <c r="H27" s="11">
        <v>0</v>
      </c>
      <c r="I27" s="11">
        <v>0</v>
      </c>
      <c r="J27" s="35">
        <f t="shared" si="22"/>
        <v>1222.8700000000001</v>
      </c>
      <c r="K27" s="35">
        <f t="shared" si="23"/>
        <v>1244.0639074836229</v>
      </c>
      <c r="L27" s="35">
        <f t="shared" si="24"/>
        <v>1258.5042832037657</v>
      </c>
      <c r="M27" s="35">
        <f t="shared" si="25"/>
        <v>1241.7570378060086</v>
      </c>
      <c r="N27" s="35">
        <f t="shared" si="26"/>
        <v>1254.1746081840688</v>
      </c>
      <c r="O27" s="25"/>
      <c r="P27" s="35">
        <f t="shared" si="27"/>
        <v>1222.8699999999999</v>
      </c>
      <c r="Q27" s="35">
        <f t="shared" si="28"/>
        <v>1244.06</v>
      </c>
      <c r="R27" s="35">
        <f t="shared" si="29"/>
        <v>1258.5</v>
      </c>
      <c r="S27" s="35">
        <f t="shared" si="30"/>
        <v>1241.76</v>
      </c>
      <c r="T27" s="35">
        <f t="shared" si="31"/>
        <v>1254.17</v>
      </c>
      <c r="U27" s="25"/>
      <c r="V27" s="25">
        <f t="shared" si="33"/>
        <v>1222.8700000000001</v>
      </c>
      <c r="W27" s="25">
        <f t="shared" si="32"/>
        <v>0</v>
      </c>
    </row>
    <row r="28" spans="1:23">
      <c r="A28" s="28" t="s">
        <v>38</v>
      </c>
      <c r="B28" s="28" t="s">
        <v>671</v>
      </c>
      <c r="C28" s="26">
        <v>41.9</v>
      </c>
      <c r="D28" s="26">
        <v>7061.05</v>
      </c>
      <c r="E28" s="26">
        <f t="shared" si="20"/>
        <v>7102.95</v>
      </c>
      <c r="F28" s="27" t="str">
        <f t="shared" si="21"/>
        <v>Yes</v>
      </c>
      <c r="G28" s="27" t="s">
        <v>651</v>
      </c>
      <c r="H28" s="11">
        <v>3</v>
      </c>
      <c r="I28" s="11">
        <v>0</v>
      </c>
      <c r="J28" s="35">
        <f t="shared" si="22"/>
        <v>7102.95</v>
      </c>
      <c r="K28" s="35">
        <f t="shared" si="23"/>
        <v>7226.0532449571892</v>
      </c>
      <c r="L28" s="35">
        <f t="shared" si="24"/>
        <v>7309.9290998897568</v>
      </c>
      <c r="M28" s="35">
        <f t="shared" si="25"/>
        <v>7212.6539629594217</v>
      </c>
      <c r="N28" s="35">
        <f t="shared" si="26"/>
        <v>7284.7805025890157</v>
      </c>
      <c r="O28" s="25"/>
      <c r="P28" s="35">
        <f t="shared" si="27"/>
        <v>7099.95</v>
      </c>
      <c r="Q28" s="35">
        <f t="shared" si="28"/>
        <v>7223.05</v>
      </c>
      <c r="R28" s="35">
        <f t="shared" si="29"/>
        <v>7306.93</v>
      </c>
      <c r="S28" s="35">
        <f t="shared" si="30"/>
        <v>7209.65</v>
      </c>
      <c r="T28" s="35">
        <f t="shared" si="31"/>
        <v>7281.78</v>
      </c>
      <c r="U28" s="25"/>
      <c r="V28" s="25">
        <f t="shared" si="33"/>
        <v>7102.95</v>
      </c>
      <c r="W28" s="25">
        <f t="shared" si="32"/>
        <v>-3</v>
      </c>
    </row>
    <row r="29" spans="1:23">
      <c r="A29" s="28" t="s">
        <v>40</v>
      </c>
      <c r="B29" s="28" t="s">
        <v>672</v>
      </c>
      <c r="C29" s="26">
        <v>30</v>
      </c>
      <c r="D29" s="26">
        <v>3441.38</v>
      </c>
      <c r="E29" s="26">
        <f t="shared" si="20"/>
        <v>3471.38</v>
      </c>
      <c r="F29" s="27" t="str">
        <f t="shared" si="21"/>
        <v>Yes</v>
      </c>
      <c r="G29" s="27" t="s">
        <v>651</v>
      </c>
      <c r="H29" s="11">
        <v>0</v>
      </c>
      <c r="I29" s="11">
        <v>0</v>
      </c>
      <c r="J29" s="35">
        <f t="shared" si="22"/>
        <v>3471.38</v>
      </c>
      <c r="K29" s="35">
        <f t="shared" si="23"/>
        <v>3531.5434732723006</v>
      </c>
      <c r="L29" s="35">
        <f t="shared" si="24"/>
        <v>3572.5355913775688</v>
      </c>
      <c r="M29" s="35">
        <f t="shared" si="25"/>
        <v>3524.9949266062799</v>
      </c>
      <c r="N29" s="35">
        <f t="shared" si="26"/>
        <v>3560.2448758723426</v>
      </c>
      <c r="O29" s="25"/>
      <c r="P29" s="35">
        <f t="shared" si="27"/>
        <v>3471.38</v>
      </c>
      <c r="Q29" s="35">
        <f t="shared" si="28"/>
        <v>3531.54</v>
      </c>
      <c r="R29" s="35">
        <f t="shared" si="29"/>
        <v>3572.54</v>
      </c>
      <c r="S29" s="35">
        <f t="shared" si="30"/>
        <v>3524.99</v>
      </c>
      <c r="T29" s="35">
        <f t="shared" si="31"/>
        <v>3560.24</v>
      </c>
      <c r="U29" s="25"/>
      <c r="V29" s="25">
        <f t="shared" si="33"/>
        <v>3471.38</v>
      </c>
      <c r="W29" s="25">
        <f t="shared" si="32"/>
        <v>0</v>
      </c>
    </row>
    <row r="30" spans="1:23">
      <c r="A30" s="28" t="s">
        <v>42</v>
      </c>
      <c r="B30" s="28" t="s">
        <v>673</v>
      </c>
      <c r="C30" s="26">
        <v>0</v>
      </c>
      <c r="D30" s="26">
        <v>357.24</v>
      </c>
      <c r="E30" s="26">
        <f t="shared" si="20"/>
        <v>357.24</v>
      </c>
      <c r="F30" s="27" t="str">
        <f t="shared" si="21"/>
        <v>Yes</v>
      </c>
      <c r="G30" s="27" t="s">
        <v>651</v>
      </c>
      <c r="H30" s="11">
        <v>0</v>
      </c>
      <c r="I30" s="11">
        <v>0</v>
      </c>
      <c r="J30" s="35">
        <f t="shared" si="22"/>
        <v>357.24</v>
      </c>
      <c r="K30" s="35">
        <f t="shared" si="23"/>
        <v>363.43142796000342</v>
      </c>
      <c r="L30" s="35">
        <f t="shared" si="24"/>
        <v>367.6499301902191</v>
      </c>
      <c r="M30" s="35">
        <f t="shared" si="25"/>
        <v>362.7575164864773</v>
      </c>
      <c r="N30" s="35">
        <f t="shared" si="26"/>
        <v>366.38509165134207</v>
      </c>
      <c r="O30" s="25"/>
      <c r="P30" s="35">
        <f t="shared" si="27"/>
        <v>357.24</v>
      </c>
      <c r="Q30" s="35">
        <f t="shared" si="28"/>
        <v>363.43</v>
      </c>
      <c r="R30" s="35">
        <f t="shared" si="29"/>
        <v>367.65</v>
      </c>
      <c r="S30" s="35">
        <f t="shared" si="30"/>
        <v>362.76</v>
      </c>
      <c r="T30" s="35">
        <f t="shared" si="31"/>
        <v>366.39</v>
      </c>
      <c r="U30" s="25"/>
      <c r="V30" s="25">
        <f t="shared" si="33"/>
        <v>357.24</v>
      </c>
      <c r="W30" s="25">
        <f t="shared" si="32"/>
        <v>0</v>
      </c>
    </row>
    <row r="31" spans="1:23">
      <c r="A31" s="28" t="s">
        <v>44</v>
      </c>
      <c r="B31" s="28" t="s">
        <v>674</v>
      </c>
      <c r="C31" s="26">
        <v>0</v>
      </c>
      <c r="D31" s="26">
        <v>2565.9899999999998</v>
      </c>
      <c r="E31" s="26">
        <f t="shared" si="20"/>
        <v>2565.9899999999998</v>
      </c>
      <c r="F31" s="27" t="str">
        <f t="shared" si="21"/>
        <v>Yes</v>
      </c>
      <c r="G31" s="27" t="s">
        <v>651</v>
      </c>
      <c r="H31" s="11">
        <v>0</v>
      </c>
      <c r="I31" s="11">
        <v>0</v>
      </c>
      <c r="J31" s="35">
        <f t="shared" si="22"/>
        <v>2565.9899999999998</v>
      </c>
      <c r="K31" s="35">
        <f t="shared" si="23"/>
        <v>2610.4619018897356</v>
      </c>
      <c r="L31" s="35">
        <f t="shared" si="24"/>
        <v>2640.7626367954322</v>
      </c>
      <c r="M31" s="35">
        <f t="shared" si="25"/>
        <v>2605.6213182430179</v>
      </c>
      <c r="N31" s="35">
        <f t="shared" si="26"/>
        <v>2631.6775314254483</v>
      </c>
      <c r="O31" s="25"/>
      <c r="P31" s="35">
        <f t="shared" si="27"/>
        <v>2565.9899999999998</v>
      </c>
      <c r="Q31" s="35">
        <f t="shared" si="28"/>
        <v>2610.46</v>
      </c>
      <c r="R31" s="35">
        <f t="shared" si="29"/>
        <v>2640.76</v>
      </c>
      <c r="S31" s="35">
        <f t="shared" si="30"/>
        <v>2605.62</v>
      </c>
      <c r="T31" s="35">
        <f t="shared" si="31"/>
        <v>2631.68</v>
      </c>
      <c r="U31" s="25"/>
      <c r="V31" s="25">
        <f t="shared" si="33"/>
        <v>2565.9899999999998</v>
      </c>
      <c r="W31" s="25">
        <f t="shared" si="32"/>
        <v>0</v>
      </c>
    </row>
    <row r="32" spans="1:23">
      <c r="A32" s="28" t="s">
        <v>46</v>
      </c>
      <c r="B32" s="28" t="s">
        <v>675</v>
      </c>
      <c r="C32" s="26">
        <v>0</v>
      </c>
      <c r="D32" s="26">
        <v>487.19</v>
      </c>
      <c r="E32" s="26">
        <f t="shared" si="20"/>
        <v>487.19</v>
      </c>
      <c r="F32" s="27" t="str">
        <f t="shared" si="21"/>
        <v>Yes</v>
      </c>
      <c r="G32" s="27" t="s">
        <v>651</v>
      </c>
      <c r="H32" s="11">
        <v>0</v>
      </c>
      <c r="I32" s="11">
        <v>0</v>
      </c>
      <c r="J32" s="35">
        <f t="shared" si="22"/>
        <v>487.19</v>
      </c>
      <c r="K32" s="35">
        <f t="shared" si="23"/>
        <v>495.63362833902715</v>
      </c>
      <c r="L32" s="35">
        <f t="shared" si="24"/>
        <v>501.38665739943127</v>
      </c>
      <c r="M32" s="35">
        <f t="shared" si="25"/>
        <v>494.71457411557179</v>
      </c>
      <c r="N32" s="35">
        <f t="shared" si="26"/>
        <v>499.66171985672753</v>
      </c>
      <c r="O32" s="25"/>
      <c r="P32" s="35">
        <f t="shared" si="27"/>
        <v>487.19</v>
      </c>
      <c r="Q32" s="35">
        <f t="shared" si="28"/>
        <v>495.63</v>
      </c>
      <c r="R32" s="35">
        <f t="shared" si="29"/>
        <v>501.39</v>
      </c>
      <c r="S32" s="35">
        <f t="shared" si="30"/>
        <v>494.71</v>
      </c>
      <c r="T32" s="35">
        <f t="shared" si="31"/>
        <v>499.66</v>
      </c>
      <c r="U32" s="25"/>
      <c r="V32" s="25">
        <f t="shared" si="33"/>
        <v>487.19</v>
      </c>
      <c r="W32" s="25">
        <f t="shared" si="32"/>
        <v>0</v>
      </c>
    </row>
    <row r="33" spans="1:23">
      <c r="A33" s="28" t="s">
        <v>48</v>
      </c>
      <c r="B33" s="28" t="s">
        <v>676</v>
      </c>
      <c r="C33" s="26">
        <v>17.25</v>
      </c>
      <c r="D33" s="26">
        <v>3587.74</v>
      </c>
      <c r="E33" s="26">
        <f t="shared" si="20"/>
        <v>3604.99</v>
      </c>
      <c r="F33" s="27" t="str">
        <f t="shared" si="21"/>
        <v>Yes</v>
      </c>
      <c r="G33" s="27" t="s">
        <v>651</v>
      </c>
      <c r="H33" s="11">
        <v>0</v>
      </c>
      <c r="I33" s="11">
        <v>0</v>
      </c>
      <c r="J33" s="35">
        <f t="shared" si="22"/>
        <v>3604.99</v>
      </c>
      <c r="K33" s="35">
        <f t="shared" si="23"/>
        <v>3667.4691061514181</v>
      </c>
      <c r="L33" s="35">
        <f t="shared" si="24"/>
        <v>3710.0389705420384</v>
      </c>
      <c r="M33" s="35">
        <f t="shared" si="25"/>
        <v>3660.6685123686757</v>
      </c>
      <c r="N33" s="35">
        <f t="shared" si="26"/>
        <v>3697.2751974923626</v>
      </c>
      <c r="O33" s="25"/>
      <c r="P33" s="35">
        <f t="shared" si="27"/>
        <v>3604.99</v>
      </c>
      <c r="Q33" s="35">
        <f t="shared" si="28"/>
        <v>3667.47</v>
      </c>
      <c r="R33" s="35">
        <f t="shared" si="29"/>
        <v>3710.04</v>
      </c>
      <c r="S33" s="35">
        <f t="shared" si="30"/>
        <v>3660.67</v>
      </c>
      <c r="T33" s="35">
        <f t="shared" si="31"/>
        <v>3697.28</v>
      </c>
      <c r="U33" s="25"/>
      <c r="V33" s="25">
        <f t="shared" si="33"/>
        <v>3604.99</v>
      </c>
      <c r="W33" s="25">
        <f t="shared" si="32"/>
        <v>0</v>
      </c>
    </row>
    <row r="34" spans="1:23">
      <c r="A34" s="29" t="s">
        <v>677</v>
      </c>
      <c r="B34" s="30" t="s">
        <v>678</v>
      </c>
      <c r="C34" s="26">
        <v>0</v>
      </c>
      <c r="D34" s="26">
        <v>124.81</v>
      </c>
      <c r="E34" s="26">
        <f t="shared" si="20"/>
        <v>124.81</v>
      </c>
      <c r="F34" s="27" t="str">
        <f t="shared" si="21"/>
        <v>Yes</v>
      </c>
      <c r="G34" s="27" t="s">
        <v>651</v>
      </c>
      <c r="H34" s="11">
        <v>0</v>
      </c>
      <c r="I34" s="11">
        <v>0</v>
      </c>
      <c r="J34" s="35">
        <f t="shared" si="22"/>
        <v>124.81</v>
      </c>
      <c r="K34" s="35">
        <f t="shared" si="23"/>
        <v>126.97311757834517</v>
      </c>
      <c r="L34" s="35">
        <f t="shared" si="24"/>
        <v>128.44694823379589</v>
      </c>
      <c r="M34" s="35">
        <f t="shared" si="25"/>
        <v>126.73767112495027</v>
      </c>
      <c r="N34" s="35">
        <f t="shared" si="26"/>
        <v>128.00504783619976</v>
      </c>
      <c r="O34" s="25"/>
      <c r="P34" s="35">
        <f t="shared" si="27"/>
        <v>124.81</v>
      </c>
      <c r="Q34" s="35">
        <f t="shared" si="28"/>
        <v>126.97</v>
      </c>
      <c r="R34" s="35">
        <f t="shared" si="29"/>
        <v>128.44999999999999</v>
      </c>
      <c r="S34" s="35">
        <f t="shared" si="30"/>
        <v>126.74</v>
      </c>
      <c r="T34" s="35">
        <f t="shared" si="31"/>
        <v>128.01</v>
      </c>
      <c r="U34" s="25"/>
      <c r="V34" s="25">
        <f t="shared" si="33"/>
        <v>124.81</v>
      </c>
      <c r="W34" s="25">
        <f t="shared" si="32"/>
        <v>0</v>
      </c>
    </row>
    <row r="35" spans="1:23">
      <c r="A35" s="28" t="s">
        <v>50</v>
      </c>
      <c r="B35" s="28" t="s">
        <v>679</v>
      </c>
      <c r="C35" s="26">
        <v>148.75</v>
      </c>
      <c r="D35" s="26">
        <v>21272.25</v>
      </c>
      <c r="E35" s="26">
        <f t="shared" si="20"/>
        <v>21421</v>
      </c>
      <c r="F35" s="27" t="str">
        <f t="shared" si="21"/>
        <v>Yes</v>
      </c>
      <c r="G35" s="27" t="s">
        <v>651</v>
      </c>
      <c r="H35" s="11">
        <v>0</v>
      </c>
      <c r="I35" s="11">
        <v>0</v>
      </c>
      <c r="J35" s="35">
        <f t="shared" si="22"/>
        <v>21421</v>
      </c>
      <c r="K35" s="35">
        <f t="shared" si="23"/>
        <v>21792.25343839221</v>
      </c>
      <c r="L35" s="35">
        <f t="shared" si="24"/>
        <v>22045.205337041436</v>
      </c>
      <c r="M35" s="35">
        <f t="shared" si="25"/>
        <v>21751.844028263436</v>
      </c>
      <c r="N35" s="35">
        <f t="shared" si="26"/>
        <v>21969.362468546071</v>
      </c>
      <c r="O35" s="25"/>
      <c r="P35" s="35">
        <f t="shared" si="27"/>
        <v>21421</v>
      </c>
      <c r="Q35" s="35">
        <f t="shared" si="28"/>
        <v>21792.25</v>
      </c>
      <c r="R35" s="35">
        <f t="shared" si="29"/>
        <v>22045.21</v>
      </c>
      <c r="S35" s="35">
        <f t="shared" si="30"/>
        <v>21751.84</v>
      </c>
      <c r="T35" s="35">
        <f t="shared" si="31"/>
        <v>21969.360000000001</v>
      </c>
      <c r="U35" s="25"/>
      <c r="V35" s="25">
        <f t="shared" si="33"/>
        <v>21421</v>
      </c>
      <c r="W35" s="25">
        <f t="shared" si="32"/>
        <v>0</v>
      </c>
    </row>
    <row r="36" spans="1:23">
      <c r="A36" s="28" t="s">
        <v>52</v>
      </c>
      <c r="B36" s="28" t="s">
        <v>680</v>
      </c>
      <c r="C36" s="26">
        <v>72.400000000000006</v>
      </c>
      <c r="D36" s="26">
        <v>1976.77</v>
      </c>
      <c r="E36" s="26">
        <f t="shared" si="20"/>
        <v>2049.17</v>
      </c>
      <c r="F36" s="27" t="str">
        <f t="shared" si="21"/>
        <v>Yes</v>
      </c>
      <c r="G36" s="27" t="s">
        <v>651</v>
      </c>
      <c r="H36" s="11">
        <v>0</v>
      </c>
      <c r="I36" s="11">
        <v>0</v>
      </c>
      <c r="J36" s="35">
        <f t="shared" si="22"/>
        <v>2049.17</v>
      </c>
      <c r="K36" s="35">
        <f t="shared" si="23"/>
        <v>2084.6847476004932</v>
      </c>
      <c r="L36" s="35">
        <f t="shared" si="24"/>
        <v>2108.8825647964709</v>
      </c>
      <c r="M36" s="35">
        <f t="shared" si="25"/>
        <v>2080.8191133652299</v>
      </c>
      <c r="N36" s="35">
        <f t="shared" si="26"/>
        <v>2101.627304498882</v>
      </c>
      <c r="O36" s="25"/>
      <c r="P36" s="35">
        <f t="shared" si="27"/>
        <v>2049.17</v>
      </c>
      <c r="Q36" s="35">
        <f t="shared" si="28"/>
        <v>2084.6799999999998</v>
      </c>
      <c r="R36" s="35">
        <f t="shared" si="29"/>
        <v>2108.88</v>
      </c>
      <c r="S36" s="35">
        <f t="shared" si="30"/>
        <v>2080.8200000000002</v>
      </c>
      <c r="T36" s="35">
        <f t="shared" si="31"/>
        <v>2101.63</v>
      </c>
      <c r="U36" s="25"/>
      <c r="V36" s="25">
        <f t="shared" si="33"/>
        <v>2049.17</v>
      </c>
      <c r="W36" s="25">
        <f t="shared" si="32"/>
        <v>0</v>
      </c>
    </row>
    <row r="37" spans="1:23">
      <c r="A37" s="28" t="s">
        <v>54</v>
      </c>
      <c r="B37" s="28" t="s">
        <v>955</v>
      </c>
      <c r="C37" s="26">
        <v>16.899999999999999</v>
      </c>
      <c r="D37" s="26">
        <v>1780.56</v>
      </c>
      <c r="E37" s="26">
        <f t="shared" si="20"/>
        <v>1797.46</v>
      </c>
      <c r="F37" s="27" t="str">
        <f t="shared" si="21"/>
        <v>Yes</v>
      </c>
      <c r="G37" s="27" t="s">
        <v>651</v>
      </c>
      <c r="H37" s="11">
        <v>18</v>
      </c>
      <c r="I37" s="11">
        <v>0</v>
      </c>
      <c r="J37" s="35">
        <f t="shared" si="22"/>
        <v>1797.46</v>
      </c>
      <c r="K37" s="35">
        <f t="shared" si="23"/>
        <v>1828.6122900598696</v>
      </c>
      <c r="L37" s="35">
        <f t="shared" si="24"/>
        <v>1849.8377659828441</v>
      </c>
      <c r="M37" s="35">
        <f t="shared" si="25"/>
        <v>1825.2214913889359</v>
      </c>
      <c r="N37" s="35">
        <f t="shared" si="26"/>
        <v>1843.4737063028253</v>
      </c>
      <c r="O37" s="25"/>
      <c r="P37" s="35">
        <f t="shared" si="27"/>
        <v>1779.46</v>
      </c>
      <c r="Q37" s="35">
        <f t="shared" si="28"/>
        <v>1810.61</v>
      </c>
      <c r="R37" s="35">
        <f t="shared" si="29"/>
        <v>1831.84</v>
      </c>
      <c r="S37" s="35">
        <f t="shared" si="30"/>
        <v>1807.22</v>
      </c>
      <c r="T37" s="35">
        <f t="shared" si="31"/>
        <v>1825.47</v>
      </c>
      <c r="U37" s="25"/>
      <c r="V37" s="25">
        <f t="shared" si="33"/>
        <v>1797.46</v>
      </c>
      <c r="W37" s="25">
        <f t="shared" si="32"/>
        <v>-18</v>
      </c>
    </row>
    <row r="38" spans="1:23">
      <c r="A38" s="28" t="s">
        <v>56</v>
      </c>
      <c r="B38" s="28" t="s">
        <v>681</v>
      </c>
      <c r="C38" s="26">
        <v>0</v>
      </c>
      <c r="D38" s="26">
        <v>167.7</v>
      </c>
      <c r="E38" s="26">
        <f t="shared" si="20"/>
        <v>167.7</v>
      </c>
      <c r="F38" s="27" t="str">
        <f t="shared" si="21"/>
        <v>Yes</v>
      </c>
      <c r="G38" s="27" t="s">
        <v>653</v>
      </c>
      <c r="H38" s="11">
        <v>0</v>
      </c>
      <c r="I38" s="11">
        <v>39.660000000000004</v>
      </c>
      <c r="J38" s="35">
        <f t="shared" si="22"/>
        <v>167.7</v>
      </c>
      <c r="K38" s="35">
        <f t="shared" si="23"/>
        <v>170.60645635677017</v>
      </c>
      <c r="L38" s="35">
        <f t="shared" si="24"/>
        <v>172.58675762204606</v>
      </c>
      <c r="M38" s="35">
        <f t="shared" si="25"/>
        <v>170.290100534045</v>
      </c>
      <c r="N38" s="35">
        <f t="shared" si="26"/>
        <v>171.99300153938546</v>
      </c>
      <c r="O38" s="25"/>
      <c r="P38" s="35">
        <f t="shared" si="27"/>
        <v>207.36</v>
      </c>
      <c r="Q38" s="35">
        <f t="shared" si="28"/>
        <v>210.27</v>
      </c>
      <c r="R38" s="35">
        <f t="shared" si="29"/>
        <v>212.25</v>
      </c>
      <c r="S38" s="35">
        <f t="shared" si="30"/>
        <v>209.95</v>
      </c>
      <c r="T38" s="35">
        <f t="shared" si="31"/>
        <v>211.65</v>
      </c>
      <c r="U38" s="25"/>
      <c r="V38" s="25">
        <f t="shared" si="33"/>
        <v>167.7</v>
      </c>
      <c r="W38" s="25">
        <f t="shared" si="32"/>
        <v>39.660000000000025</v>
      </c>
    </row>
    <row r="39" spans="1:23">
      <c r="A39" s="28" t="s">
        <v>58</v>
      </c>
      <c r="B39" s="28" t="s">
        <v>682</v>
      </c>
      <c r="C39" s="26">
        <v>54.9</v>
      </c>
      <c r="D39" s="26">
        <v>2691.46</v>
      </c>
      <c r="E39" s="26">
        <f t="shared" si="20"/>
        <v>2746.36</v>
      </c>
      <c r="F39" s="27" t="str">
        <f t="shared" si="21"/>
        <v>Yes</v>
      </c>
      <c r="G39" s="27" t="s">
        <v>651</v>
      </c>
      <c r="H39" s="11">
        <v>11</v>
      </c>
      <c r="I39" s="11">
        <v>0</v>
      </c>
      <c r="J39" s="35">
        <f t="shared" si="22"/>
        <v>2746.36</v>
      </c>
      <c r="K39" s="35">
        <f t="shared" si="23"/>
        <v>2793.9579456170504</v>
      </c>
      <c r="L39" s="35">
        <f t="shared" si="24"/>
        <v>2826.3885966778921</v>
      </c>
      <c r="M39" s="35">
        <f t="shared" si="25"/>
        <v>2788.7771049652947</v>
      </c>
      <c r="N39" s="35">
        <f t="shared" si="26"/>
        <v>2816.6648760149478</v>
      </c>
      <c r="O39" s="25"/>
      <c r="P39" s="35">
        <f t="shared" si="27"/>
        <v>2735.36</v>
      </c>
      <c r="Q39" s="35">
        <f t="shared" si="28"/>
        <v>2782.96</v>
      </c>
      <c r="R39" s="35">
        <f t="shared" si="29"/>
        <v>2815.39</v>
      </c>
      <c r="S39" s="35">
        <f t="shared" si="30"/>
        <v>2777.78</v>
      </c>
      <c r="T39" s="35">
        <f t="shared" si="31"/>
        <v>2805.66</v>
      </c>
      <c r="U39" s="25"/>
      <c r="V39" s="25">
        <f t="shared" si="33"/>
        <v>2746.36</v>
      </c>
      <c r="W39" s="25">
        <f t="shared" si="32"/>
        <v>-11</v>
      </c>
    </row>
    <row r="40" spans="1:23">
      <c r="A40" s="28" t="s">
        <v>60</v>
      </c>
      <c r="B40" s="28" t="s">
        <v>683</v>
      </c>
      <c r="C40" s="26">
        <v>67.17</v>
      </c>
      <c r="D40" s="26">
        <v>22392.49</v>
      </c>
      <c r="E40" s="26">
        <f t="shared" si="20"/>
        <v>22459.66</v>
      </c>
      <c r="F40" s="27" t="str">
        <f t="shared" si="21"/>
        <v>Yes</v>
      </c>
      <c r="G40" s="27" t="s">
        <v>651</v>
      </c>
      <c r="H40" s="11">
        <v>0</v>
      </c>
      <c r="I40" s="11">
        <v>0</v>
      </c>
      <c r="J40" s="35">
        <f t="shared" si="22"/>
        <v>22459.66</v>
      </c>
      <c r="K40" s="35">
        <f t="shared" si="23"/>
        <v>22848.914750017273</v>
      </c>
      <c r="L40" s="35">
        <f t="shared" si="24"/>
        <v>23114.131763229358</v>
      </c>
      <c r="M40" s="35">
        <f t="shared" si="25"/>
        <v>22806.545971141739</v>
      </c>
      <c r="N40" s="35">
        <f t="shared" si="26"/>
        <v>23034.611430853158</v>
      </c>
      <c r="O40" s="25"/>
      <c r="P40" s="35">
        <f t="shared" si="27"/>
        <v>22459.66</v>
      </c>
      <c r="Q40" s="35">
        <f t="shared" si="28"/>
        <v>22848.91</v>
      </c>
      <c r="R40" s="35">
        <f t="shared" si="29"/>
        <v>23114.13</v>
      </c>
      <c r="S40" s="35">
        <f t="shared" si="30"/>
        <v>22806.55</v>
      </c>
      <c r="T40" s="35">
        <f t="shared" si="31"/>
        <v>23034.61</v>
      </c>
      <c r="U40" s="25"/>
      <c r="V40" s="25">
        <f t="shared" si="33"/>
        <v>22459.66</v>
      </c>
      <c r="W40" s="25">
        <f t="shared" si="32"/>
        <v>0</v>
      </c>
    </row>
    <row r="41" spans="1:23">
      <c r="A41" s="28" t="s">
        <v>62</v>
      </c>
      <c r="B41" s="28" t="s">
        <v>684</v>
      </c>
      <c r="C41" s="26">
        <v>15</v>
      </c>
      <c r="D41" s="26">
        <v>7108.31</v>
      </c>
      <c r="E41" s="26">
        <f t="shared" si="20"/>
        <v>7123.31</v>
      </c>
      <c r="F41" s="27" t="str">
        <f t="shared" si="21"/>
        <v>Yes</v>
      </c>
      <c r="G41" s="27" t="s">
        <v>651</v>
      </c>
      <c r="H41" s="11">
        <v>0</v>
      </c>
      <c r="I41" s="11">
        <v>0</v>
      </c>
      <c r="J41" s="35">
        <f t="shared" si="22"/>
        <v>7123.31</v>
      </c>
      <c r="K41" s="35">
        <f t="shared" si="23"/>
        <v>7246.7661099030684</v>
      </c>
      <c r="L41" s="35">
        <f t="shared" si="24"/>
        <v>7330.8823878157255</v>
      </c>
      <c r="M41" s="35">
        <f t="shared" si="25"/>
        <v>7233.3284200069666</v>
      </c>
      <c r="N41" s="35">
        <f t="shared" si="26"/>
        <v>7305.6617042070366</v>
      </c>
      <c r="O41" s="25"/>
      <c r="P41" s="35">
        <f t="shared" si="27"/>
        <v>7123.31</v>
      </c>
      <c r="Q41" s="35">
        <f t="shared" si="28"/>
        <v>7246.77</v>
      </c>
      <c r="R41" s="35">
        <f t="shared" si="29"/>
        <v>7330.88</v>
      </c>
      <c r="S41" s="35">
        <f t="shared" si="30"/>
        <v>7233.33</v>
      </c>
      <c r="T41" s="35">
        <f t="shared" si="31"/>
        <v>7305.66</v>
      </c>
      <c r="U41" s="25"/>
      <c r="V41" s="25">
        <f t="shared" si="33"/>
        <v>7123.31</v>
      </c>
      <c r="W41" s="25">
        <f t="shared" si="32"/>
        <v>0</v>
      </c>
    </row>
    <row r="42" spans="1:23">
      <c r="A42" s="28" t="s">
        <v>64</v>
      </c>
      <c r="B42" s="28" t="s">
        <v>685</v>
      </c>
      <c r="C42" s="26">
        <v>86.47</v>
      </c>
      <c r="D42" s="26">
        <v>12300.18</v>
      </c>
      <c r="E42" s="26">
        <f t="shared" si="20"/>
        <v>12386.65</v>
      </c>
      <c r="F42" s="27" t="str">
        <f t="shared" si="21"/>
        <v>Yes</v>
      </c>
      <c r="G42" s="27" t="s">
        <v>651</v>
      </c>
      <c r="H42" s="11">
        <v>17.420000000000002</v>
      </c>
      <c r="I42" s="11">
        <v>0</v>
      </c>
      <c r="J42" s="35">
        <f t="shared" si="22"/>
        <v>12386.65</v>
      </c>
      <c r="K42" s="35">
        <f t="shared" si="23"/>
        <v>12601.326551172255</v>
      </c>
      <c r="L42" s="35">
        <f t="shared" si="24"/>
        <v>12747.595475844466</v>
      </c>
      <c r="M42" s="35">
        <f t="shared" si="25"/>
        <v>12577.959891353777</v>
      </c>
      <c r="N42" s="35">
        <f t="shared" si="26"/>
        <v>12703.739490267315</v>
      </c>
      <c r="O42" s="25"/>
      <c r="P42" s="35">
        <f t="shared" si="27"/>
        <v>12369.23</v>
      </c>
      <c r="Q42" s="35">
        <f t="shared" si="28"/>
        <v>12583.91</v>
      </c>
      <c r="R42" s="35">
        <f t="shared" si="29"/>
        <v>12730.18</v>
      </c>
      <c r="S42" s="35">
        <f t="shared" si="30"/>
        <v>12560.54</v>
      </c>
      <c r="T42" s="35">
        <f t="shared" si="31"/>
        <v>12686.32</v>
      </c>
      <c r="U42" s="25"/>
      <c r="V42" s="25">
        <f t="shared" si="33"/>
        <v>12386.65</v>
      </c>
      <c r="W42" s="25">
        <f t="shared" si="32"/>
        <v>-17.420000000000073</v>
      </c>
    </row>
    <row r="43" spans="1:23">
      <c r="A43" s="28" t="s">
        <v>66</v>
      </c>
      <c r="B43" s="28" t="s">
        <v>686</v>
      </c>
      <c r="C43" s="26">
        <v>0</v>
      </c>
      <c r="D43" s="26">
        <v>4043.48</v>
      </c>
      <c r="E43" s="26">
        <f t="shared" si="20"/>
        <v>4043.48</v>
      </c>
      <c r="F43" s="27" t="str">
        <f t="shared" si="21"/>
        <v>Yes</v>
      </c>
      <c r="G43" s="27" t="s">
        <v>651</v>
      </c>
      <c r="H43" s="11">
        <v>0</v>
      </c>
      <c r="I43" s="11">
        <v>0</v>
      </c>
      <c r="J43" s="35">
        <f t="shared" si="22"/>
        <v>4043.48</v>
      </c>
      <c r="K43" s="35">
        <f t="shared" si="23"/>
        <v>4113.5587009509427</v>
      </c>
      <c r="L43" s="35">
        <f t="shared" si="24"/>
        <v>4161.3065158592181</v>
      </c>
      <c r="M43" s="35">
        <f t="shared" si="25"/>
        <v>4105.9309225247489</v>
      </c>
      <c r="N43" s="35">
        <f t="shared" si="26"/>
        <v>4146.9902317499964</v>
      </c>
      <c r="O43" s="25"/>
      <c r="P43" s="35">
        <f t="shared" si="27"/>
        <v>4043.48</v>
      </c>
      <c r="Q43" s="35">
        <f t="shared" si="28"/>
        <v>4113.5600000000004</v>
      </c>
      <c r="R43" s="35">
        <f t="shared" si="29"/>
        <v>4161.3100000000004</v>
      </c>
      <c r="S43" s="35">
        <f t="shared" si="30"/>
        <v>4105.93</v>
      </c>
      <c r="T43" s="35">
        <f t="shared" si="31"/>
        <v>4146.99</v>
      </c>
      <c r="U43" s="25"/>
      <c r="V43" s="25">
        <f t="shared" si="33"/>
        <v>4043.48</v>
      </c>
      <c r="W43" s="25">
        <f t="shared" si="32"/>
        <v>0</v>
      </c>
    </row>
    <row r="44" spans="1:23">
      <c r="A44" s="28" t="s">
        <v>68</v>
      </c>
      <c r="B44" s="28" t="s">
        <v>687</v>
      </c>
      <c r="C44" s="26">
        <v>0</v>
      </c>
      <c r="D44" s="26">
        <v>344.82</v>
      </c>
      <c r="E44" s="26">
        <f t="shared" si="20"/>
        <v>344.82</v>
      </c>
      <c r="F44" s="27" t="str">
        <f t="shared" si="21"/>
        <v>Yes</v>
      </c>
      <c r="G44" s="27" t="s">
        <v>651</v>
      </c>
      <c r="H44" s="11">
        <v>0</v>
      </c>
      <c r="I44" s="11">
        <v>0</v>
      </c>
      <c r="J44" s="35">
        <f t="shared" si="22"/>
        <v>344.82</v>
      </c>
      <c r="K44" s="35">
        <f t="shared" si="23"/>
        <v>350.7961734105038</v>
      </c>
      <c r="L44" s="35">
        <f t="shared" si="24"/>
        <v>354.86801289942713</v>
      </c>
      <c r="M44" s="35">
        <f t="shared" si="25"/>
        <v>350.1456915095373</v>
      </c>
      <c r="N44" s="35">
        <f t="shared" si="26"/>
        <v>353.64714842463269</v>
      </c>
      <c r="O44" s="25"/>
      <c r="P44" s="35">
        <f t="shared" si="27"/>
        <v>344.82</v>
      </c>
      <c r="Q44" s="35">
        <f t="shared" si="28"/>
        <v>350.8</v>
      </c>
      <c r="R44" s="35">
        <f t="shared" si="29"/>
        <v>354.87</v>
      </c>
      <c r="S44" s="35">
        <f t="shared" si="30"/>
        <v>350.15</v>
      </c>
      <c r="T44" s="35">
        <f t="shared" si="31"/>
        <v>353.65</v>
      </c>
      <c r="U44" s="25"/>
      <c r="V44" s="25">
        <f t="shared" si="33"/>
        <v>344.82</v>
      </c>
      <c r="W44" s="25">
        <f t="shared" si="32"/>
        <v>0</v>
      </c>
    </row>
    <row r="45" spans="1:23">
      <c r="A45" s="28" t="s">
        <v>70</v>
      </c>
      <c r="B45" s="28" t="s">
        <v>688</v>
      </c>
      <c r="C45" s="26">
        <v>7</v>
      </c>
      <c r="D45" s="26">
        <v>744.38</v>
      </c>
      <c r="E45" s="26">
        <f t="shared" si="20"/>
        <v>751.38</v>
      </c>
      <c r="F45" s="27" t="str">
        <f t="shared" si="21"/>
        <v>Yes</v>
      </c>
      <c r="G45" s="27" t="s">
        <v>651</v>
      </c>
      <c r="H45" s="11">
        <v>0</v>
      </c>
      <c r="I45" s="11">
        <v>0</v>
      </c>
      <c r="J45" s="35">
        <f t="shared" si="22"/>
        <v>751.38</v>
      </c>
      <c r="K45" s="35">
        <f t="shared" si="23"/>
        <v>764.40238030620139</v>
      </c>
      <c r="L45" s="35">
        <f t="shared" si="24"/>
        <v>773.2751218965592</v>
      </c>
      <c r="M45" s="35">
        <f t="shared" si="25"/>
        <v>762.98494775951542</v>
      </c>
      <c r="N45" s="35">
        <f t="shared" si="26"/>
        <v>770.61479723711057</v>
      </c>
      <c r="O45" s="25"/>
      <c r="P45" s="35">
        <f t="shared" si="27"/>
        <v>751.38</v>
      </c>
      <c r="Q45" s="35">
        <f t="shared" si="28"/>
        <v>764.4</v>
      </c>
      <c r="R45" s="35">
        <f t="shared" si="29"/>
        <v>773.28</v>
      </c>
      <c r="S45" s="35">
        <f t="shared" si="30"/>
        <v>762.98</v>
      </c>
      <c r="T45" s="35">
        <f t="shared" si="31"/>
        <v>770.61</v>
      </c>
      <c r="U45" s="25"/>
      <c r="V45" s="25">
        <f t="shared" si="33"/>
        <v>751.38</v>
      </c>
      <c r="W45" s="25">
        <f t="shared" si="32"/>
        <v>0</v>
      </c>
    </row>
    <row r="46" spans="1:23">
      <c r="A46" s="28" t="s">
        <v>72</v>
      </c>
      <c r="B46" s="28" t="s">
        <v>689</v>
      </c>
      <c r="C46" s="26">
        <v>87.7</v>
      </c>
      <c r="D46" s="26">
        <v>6124.42</v>
      </c>
      <c r="E46" s="26">
        <f t="shared" si="20"/>
        <v>6212.12</v>
      </c>
      <c r="F46" s="27" t="str">
        <f t="shared" si="21"/>
        <v>Yes</v>
      </c>
      <c r="G46" s="27" t="s">
        <v>651</v>
      </c>
      <c r="H46" s="11">
        <v>0</v>
      </c>
      <c r="I46" s="11">
        <v>0</v>
      </c>
      <c r="J46" s="35">
        <f t="shared" si="22"/>
        <v>6212.12</v>
      </c>
      <c r="K46" s="35">
        <f t="shared" si="23"/>
        <v>6319.7840170722666</v>
      </c>
      <c r="L46" s="35">
        <f t="shared" si="24"/>
        <v>6393.1404219383712</v>
      </c>
      <c r="M46" s="35">
        <f t="shared" si="25"/>
        <v>6308.065231541751</v>
      </c>
      <c r="N46" s="35">
        <f t="shared" si="26"/>
        <v>6371.1458838571689</v>
      </c>
      <c r="O46" s="25"/>
      <c r="P46" s="35">
        <f t="shared" si="27"/>
        <v>6212.12</v>
      </c>
      <c r="Q46" s="35">
        <f t="shared" si="28"/>
        <v>6319.78</v>
      </c>
      <c r="R46" s="35">
        <f t="shared" si="29"/>
        <v>6393.14</v>
      </c>
      <c r="S46" s="35">
        <f t="shared" si="30"/>
        <v>6308.07</v>
      </c>
      <c r="T46" s="35">
        <f t="shared" si="31"/>
        <v>6371.15</v>
      </c>
      <c r="U46" s="25"/>
      <c r="V46" s="25">
        <f t="shared" si="33"/>
        <v>6212.12</v>
      </c>
      <c r="W46" s="25">
        <f t="shared" si="32"/>
        <v>0</v>
      </c>
    </row>
    <row r="47" spans="1:23">
      <c r="A47" s="28" t="s">
        <v>74</v>
      </c>
      <c r="B47" s="28" t="s">
        <v>690</v>
      </c>
      <c r="C47" s="26">
        <v>0</v>
      </c>
      <c r="D47" s="26">
        <v>674</v>
      </c>
      <c r="E47" s="26">
        <f t="shared" si="20"/>
        <v>674</v>
      </c>
      <c r="F47" s="27" t="str">
        <f t="shared" si="21"/>
        <v>Yes</v>
      </c>
      <c r="G47" s="27" t="s">
        <v>651</v>
      </c>
      <c r="H47" s="11">
        <v>0</v>
      </c>
      <c r="I47" s="11">
        <v>0</v>
      </c>
      <c r="J47" s="35">
        <f t="shared" si="22"/>
        <v>674</v>
      </c>
      <c r="K47" s="35">
        <f t="shared" si="23"/>
        <v>685.68128553645261</v>
      </c>
      <c r="L47" s="35">
        <f t="shared" si="24"/>
        <v>693.6402780993385</v>
      </c>
      <c r="M47" s="35">
        <f t="shared" si="25"/>
        <v>684.40982564070578</v>
      </c>
      <c r="N47" s="35">
        <f t="shared" si="26"/>
        <v>691.25392389711283</v>
      </c>
      <c r="O47" s="25"/>
      <c r="P47" s="35">
        <f t="shared" si="27"/>
        <v>674</v>
      </c>
      <c r="Q47" s="35">
        <f t="shared" si="28"/>
        <v>685.68</v>
      </c>
      <c r="R47" s="35">
        <f t="shared" si="29"/>
        <v>693.64</v>
      </c>
      <c r="S47" s="35">
        <f t="shared" si="30"/>
        <v>684.41</v>
      </c>
      <c r="T47" s="35">
        <f t="shared" si="31"/>
        <v>691.25</v>
      </c>
      <c r="U47" s="25"/>
      <c r="V47" s="25">
        <f t="shared" si="33"/>
        <v>674</v>
      </c>
      <c r="W47" s="25">
        <f t="shared" si="32"/>
        <v>0</v>
      </c>
    </row>
    <row r="48" spans="1:23">
      <c r="A48" s="28" t="s">
        <v>76</v>
      </c>
      <c r="B48" s="28" t="s">
        <v>691</v>
      </c>
      <c r="C48" s="26">
        <v>0</v>
      </c>
      <c r="D48" s="26">
        <v>1396.38</v>
      </c>
      <c r="E48" s="26">
        <f t="shared" si="20"/>
        <v>1396.38</v>
      </c>
      <c r="F48" s="27" t="str">
        <f t="shared" si="21"/>
        <v>Yes</v>
      </c>
      <c r="G48" s="27" t="s">
        <v>651</v>
      </c>
      <c r="H48" s="11">
        <v>0</v>
      </c>
      <c r="I48" s="11">
        <v>0</v>
      </c>
      <c r="J48" s="35">
        <f t="shared" si="22"/>
        <v>1396.38</v>
      </c>
      <c r="K48" s="35">
        <f t="shared" si="23"/>
        <v>1420.5810586014713</v>
      </c>
      <c r="L48" s="35">
        <f t="shared" si="24"/>
        <v>1437.0703435198134</v>
      </c>
      <c r="M48" s="35">
        <f t="shared" si="25"/>
        <v>1417.9468728904578</v>
      </c>
      <c r="N48" s="35">
        <f t="shared" si="26"/>
        <v>1432.1263416193624</v>
      </c>
      <c r="O48" s="25"/>
      <c r="P48" s="35">
        <f t="shared" si="27"/>
        <v>1396.38</v>
      </c>
      <c r="Q48" s="35">
        <f t="shared" si="28"/>
        <v>1420.58</v>
      </c>
      <c r="R48" s="35">
        <f t="shared" si="29"/>
        <v>1437.07</v>
      </c>
      <c r="S48" s="35">
        <f t="shared" si="30"/>
        <v>1417.95</v>
      </c>
      <c r="T48" s="35">
        <f t="shared" si="31"/>
        <v>1432.13</v>
      </c>
      <c r="U48" s="25"/>
      <c r="V48" s="25">
        <f t="shared" si="33"/>
        <v>1396.38</v>
      </c>
      <c r="W48" s="25">
        <f t="shared" si="32"/>
        <v>0</v>
      </c>
    </row>
    <row r="49" spans="1:23">
      <c r="A49" s="28" t="s">
        <v>78</v>
      </c>
      <c r="B49" s="28" t="s">
        <v>692</v>
      </c>
      <c r="C49" s="26">
        <v>34.340000000000003</v>
      </c>
      <c r="D49" s="26">
        <v>1103.06</v>
      </c>
      <c r="E49" s="26">
        <f t="shared" si="20"/>
        <v>1137.3999999999999</v>
      </c>
      <c r="F49" s="27" t="str">
        <f t="shared" si="21"/>
        <v>Yes</v>
      </c>
      <c r="G49" s="27" t="s">
        <v>651</v>
      </c>
      <c r="H49" s="11">
        <v>0</v>
      </c>
      <c r="I49" s="11">
        <v>0</v>
      </c>
      <c r="J49" s="35">
        <f t="shared" si="22"/>
        <v>1137.3999999999999</v>
      </c>
      <c r="K49" s="35">
        <f t="shared" si="23"/>
        <v>1157.112602624868</v>
      </c>
      <c r="L49" s="35">
        <f t="shared" si="24"/>
        <v>1170.5436977895956</v>
      </c>
      <c r="M49" s="35">
        <f t="shared" si="25"/>
        <v>1154.9669668898198</v>
      </c>
      <c r="N49" s="35">
        <f t="shared" si="26"/>
        <v>1166.5166365587179</v>
      </c>
      <c r="O49" s="25"/>
      <c r="P49" s="35">
        <f t="shared" si="27"/>
        <v>1137.4000000000001</v>
      </c>
      <c r="Q49" s="35">
        <f t="shared" si="28"/>
        <v>1157.1099999999999</v>
      </c>
      <c r="R49" s="35">
        <f t="shared" si="29"/>
        <v>1170.54</v>
      </c>
      <c r="S49" s="35">
        <f t="shared" si="30"/>
        <v>1154.97</v>
      </c>
      <c r="T49" s="35">
        <f t="shared" si="31"/>
        <v>1166.52</v>
      </c>
      <c r="U49" s="25"/>
      <c r="V49" s="25">
        <f t="shared" si="33"/>
        <v>1137.3999999999999</v>
      </c>
      <c r="W49" s="25">
        <f t="shared" si="32"/>
        <v>0</v>
      </c>
    </row>
    <row r="50" spans="1:23">
      <c r="A50" s="28" t="s">
        <v>80</v>
      </c>
      <c r="B50" s="28" t="s">
        <v>693</v>
      </c>
      <c r="C50" s="26">
        <v>0</v>
      </c>
      <c r="D50" s="26">
        <v>2351.11</v>
      </c>
      <c r="E50" s="26">
        <f t="shared" si="20"/>
        <v>2351.11</v>
      </c>
      <c r="F50" s="27" t="str">
        <f t="shared" si="21"/>
        <v>Yes</v>
      </c>
      <c r="G50" s="27" t="s">
        <v>651</v>
      </c>
      <c r="H50" s="11">
        <v>4.24</v>
      </c>
      <c r="I50" s="11">
        <v>0</v>
      </c>
      <c r="J50" s="35">
        <f t="shared" si="22"/>
        <v>2351.11</v>
      </c>
      <c r="K50" s="35">
        <f t="shared" si="23"/>
        <v>2391.857755545414</v>
      </c>
      <c r="L50" s="35">
        <f t="shared" si="24"/>
        <v>2419.6210597064328</v>
      </c>
      <c r="M50" s="35">
        <f t="shared" si="25"/>
        <v>2387.422529914124</v>
      </c>
      <c r="N50" s="35">
        <f t="shared" si="26"/>
        <v>2411.2967552132654</v>
      </c>
      <c r="O50" s="25"/>
      <c r="P50" s="35">
        <f t="shared" si="27"/>
        <v>2346.87</v>
      </c>
      <c r="Q50" s="35">
        <f t="shared" si="28"/>
        <v>2387.62</v>
      </c>
      <c r="R50" s="35">
        <f t="shared" si="29"/>
        <v>2415.38</v>
      </c>
      <c r="S50" s="35">
        <f t="shared" si="30"/>
        <v>2383.1799999999998</v>
      </c>
      <c r="T50" s="35">
        <f t="shared" si="31"/>
        <v>2407.06</v>
      </c>
      <c r="U50" s="25"/>
      <c r="V50" s="25">
        <f t="shared" si="33"/>
        <v>2351.11</v>
      </c>
      <c r="W50" s="25">
        <f t="shared" si="32"/>
        <v>-4.2400000000002365</v>
      </c>
    </row>
    <row r="51" spans="1:23">
      <c r="A51" s="28" t="s">
        <v>82</v>
      </c>
      <c r="B51" s="28" t="s">
        <v>694</v>
      </c>
      <c r="C51" s="26">
        <v>96.32</v>
      </c>
      <c r="D51" s="26">
        <v>4910.7700000000004</v>
      </c>
      <c r="E51" s="26">
        <f t="shared" si="20"/>
        <v>5007.09</v>
      </c>
      <c r="F51" s="27" t="str">
        <f t="shared" si="21"/>
        <v>Yes</v>
      </c>
      <c r="G51" s="27" t="s">
        <v>651</v>
      </c>
      <c r="H51" s="11">
        <v>0</v>
      </c>
      <c r="I51" s="11">
        <v>0</v>
      </c>
      <c r="J51" s="35">
        <f t="shared" si="22"/>
        <v>5007.09</v>
      </c>
      <c r="K51" s="35">
        <f t="shared" si="23"/>
        <v>5093.8692996983918</v>
      </c>
      <c r="L51" s="35">
        <f t="shared" si="24"/>
        <v>5152.9959941667894</v>
      </c>
      <c r="M51" s="35">
        <f t="shared" si="25"/>
        <v>5084.4237297734726</v>
      </c>
      <c r="N51" s="35">
        <f t="shared" si="26"/>
        <v>5135.2679670712077</v>
      </c>
      <c r="O51" s="25"/>
      <c r="P51" s="35">
        <f t="shared" si="27"/>
        <v>5007.09</v>
      </c>
      <c r="Q51" s="35">
        <f t="shared" si="28"/>
        <v>5093.87</v>
      </c>
      <c r="R51" s="35">
        <f t="shared" si="29"/>
        <v>5153</v>
      </c>
      <c r="S51" s="35">
        <f t="shared" si="30"/>
        <v>5084.42</v>
      </c>
      <c r="T51" s="35">
        <f t="shared" si="31"/>
        <v>5135.2700000000004</v>
      </c>
      <c r="U51" s="25"/>
      <c r="V51" s="25">
        <f t="shared" si="33"/>
        <v>5007.09</v>
      </c>
      <c r="W51" s="25">
        <f t="shared" si="32"/>
        <v>0</v>
      </c>
    </row>
    <row r="52" spans="1:23">
      <c r="A52" s="28" t="s">
        <v>84</v>
      </c>
      <c r="B52" s="28" t="s">
        <v>695</v>
      </c>
      <c r="C52" s="26">
        <v>0</v>
      </c>
      <c r="D52" s="26">
        <v>109.06</v>
      </c>
      <c r="E52" s="26">
        <f t="shared" si="20"/>
        <v>109.06</v>
      </c>
      <c r="F52" s="27" t="str">
        <f t="shared" si="21"/>
        <v>Yes</v>
      </c>
      <c r="G52" s="27" t="s">
        <v>653</v>
      </c>
      <c r="H52" s="11">
        <v>0</v>
      </c>
      <c r="I52" s="11">
        <v>74.08</v>
      </c>
      <c r="J52" s="35">
        <f t="shared" si="22"/>
        <v>109.06</v>
      </c>
      <c r="K52" s="35">
        <f t="shared" si="23"/>
        <v>110.95014985253044</v>
      </c>
      <c r="L52" s="35">
        <f t="shared" si="24"/>
        <v>112.23799514764667</v>
      </c>
      <c r="M52" s="35">
        <f t="shared" si="25"/>
        <v>110.7444148136133</v>
      </c>
      <c r="N52" s="35">
        <f t="shared" si="26"/>
        <v>111.85185896174944</v>
      </c>
      <c r="O52" s="25"/>
      <c r="P52" s="35">
        <f t="shared" si="27"/>
        <v>183.14</v>
      </c>
      <c r="Q52" s="35">
        <f t="shared" si="28"/>
        <v>185.03</v>
      </c>
      <c r="R52" s="35">
        <f t="shared" si="29"/>
        <v>186.32</v>
      </c>
      <c r="S52" s="35">
        <f t="shared" si="30"/>
        <v>184.82</v>
      </c>
      <c r="T52" s="35">
        <f t="shared" si="31"/>
        <v>185.93</v>
      </c>
      <c r="U52" s="25"/>
      <c r="V52" s="25">
        <f t="shared" si="33"/>
        <v>109.06</v>
      </c>
      <c r="W52" s="25">
        <f t="shared" si="32"/>
        <v>74.079999999999984</v>
      </c>
    </row>
    <row r="53" spans="1:23">
      <c r="A53" s="28" t="s">
        <v>86</v>
      </c>
      <c r="B53" s="28" t="s">
        <v>696</v>
      </c>
      <c r="C53" s="26">
        <v>29.1</v>
      </c>
      <c r="D53" s="26">
        <v>706.72</v>
      </c>
      <c r="E53" s="26">
        <f t="shared" si="20"/>
        <v>735.82</v>
      </c>
      <c r="F53" s="27" t="str">
        <f t="shared" si="21"/>
        <v>Yes</v>
      </c>
      <c r="G53" s="27" t="s">
        <v>651</v>
      </c>
      <c r="H53" s="11">
        <v>0</v>
      </c>
      <c r="I53" s="11">
        <v>0</v>
      </c>
      <c r="J53" s="35">
        <f t="shared" si="22"/>
        <v>735.82</v>
      </c>
      <c r="K53" s="35">
        <f t="shared" si="23"/>
        <v>748.57270552438069</v>
      </c>
      <c r="L53" s="35">
        <f t="shared" si="24"/>
        <v>757.26170538732242</v>
      </c>
      <c r="M53" s="35">
        <f t="shared" si="25"/>
        <v>747.18462596875986</v>
      </c>
      <c r="N53" s="35">
        <f t="shared" si="26"/>
        <v>754.65647222844746</v>
      </c>
      <c r="O53" s="25"/>
      <c r="P53" s="35">
        <f t="shared" si="27"/>
        <v>735.82</v>
      </c>
      <c r="Q53" s="35">
        <f t="shared" si="28"/>
        <v>748.57</v>
      </c>
      <c r="R53" s="35">
        <f t="shared" si="29"/>
        <v>757.26</v>
      </c>
      <c r="S53" s="35">
        <f t="shared" si="30"/>
        <v>747.18</v>
      </c>
      <c r="T53" s="35">
        <f t="shared" si="31"/>
        <v>754.66</v>
      </c>
      <c r="U53" s="25"/>
      <c r="V53" s="25">
        <f t="shared" si="33"/>
        <v>735.82</v>
      </c>
      <c r="W53" s="25">
        <f t="shared" si="32"/>
        <v>0</v>
      </c>
    </row>
    <row r="54" spans="1:23">
      <c r="A54" s="28" t="s">
        <v>88</v>
      </c>
      <c r="B54" s="28" t="s">
        <v>697</v>
      </c>
      <c r="C54" s="26">
        <v>3</v>
      </c>
      <c r="D54" s="26">
        <v>23.7</v>
      </c>
      <c r="E54" s="26">
        <f t="shared" si="20"/>
        <v>26.7</v>
      </c>
      <c r="F54" s="27" t="str">
        <f t="shared" si="21"/>
        <v>No</v>
      </c>
      <c r="G54" s="27" t="s">
        <v>653</v>
      </c>
      <c r="H54" s="11">
        <v>0</v>
      </c>
      <c r="I54" s="11">
        <v>10</v>
      </c>
      <c r="J54" s="35">
        <f t="shared" si="22"/>
        <v>26.7</v>
      </c>
      <c r="K54" s="35">
        <f t="shared" si="23"/>
        <v>26.7</v>
      </c>
      <c r="L54" s="35">
        <f t="shared" si="24"/>
        <v>26.7</v>
      </c>
      <c r="M54" s="35">
        <f t="shared" si="25"/>
        <v>26.7</v>
      </c>
      <c r="N54" s="35">
        <f t="shared" si="26"/>
        <v>26.7</v>
      </c>
      <c r="O54" s="25"/>
      <c r="P54" s="35">
        <f t="shared" si="27"/>
        <v>36.700000000000003</v>
      </c>
      <c r="Q54" s="35">
        <f t="shared" si="28"/>
        <v>36.700000000000003</v>
      </c>
      <c r="R54" s="35">
        <f t="shared" si="29"/>
        <v>36.700000000000003</v>
      </c>
      <c r="S54" s="35">
        <f t="shared" si="30"/>
        <v>36.700000000000003</v>
      </c>
      <c r="T54" s="35">
        <f t="shared" si="31"/>
        <v>36.700000000000003</v>
      </c>
      <c r="U54" s="25"/>
      <c r="V54" s="25">
        <f t="shared" si="33"/>
        <v>26.7</v>
      </c>
      <c r="W54" s="25">
        <f t="shared" si="32"/>
        <v>10.000000000000004</v>
      </c>
    </row>
    <row r="55" spans="1:23">
      <c r="A55" s="28" t="s">
        <v>90</v>
      </c>
      <c r="B55" s="28" t="s">
        <v>698</v>
      </c>
      <c r="C55" s="26">
        <v>63.53</v>
      </c>
      <c r="D55" s="26">
        <v>5852.63</v>
      </c>
      <c r="E55" s="26">
        <f t="shared" si="20"/>
        <v>5916.16</v>
      </c>
      <c r="F55" s="27" t="str">
        <f t="shared" si="21"/>
        <v>Yes</v>
      </c>
      <c r="G55" s="27" t="s">
        <v>651</v>
      </c>
      <c r="H55" s="11">
        <v>36.78</v>
      </c>
      <c r="I55" s="11">
        <v>0</v>
      </c>
      <c r="J55" s="35">
        <f t="shared" si="22"/>
        <v>5916.16</v>
      </c>
      <c r="K55" s="35">
        <f t="shared" si="23"/>
        <v>6018.6946502067349</v>
      </c>
      <c r="L55" s="35">
        <f t="shared" si="24"/>
        <v>6088.5561835017543</v>
      </c>
      <c r="M55" s="35">
        <f t="shared" si="25"/>
        <v>6007.5341751669403</v>
      </c>
      <c r="N55" s="35">
        <f t="shared" si="26"/>
        <v>6067.6095169186101</v>
      </c>
      <c r="O55" s="25"/>
      <c r="P55" s="35">
        <f t="shared" si="27"/>
        <v>5879.38</v>
      </c>
      <c r="Q55" s="35">
        <f t="shared" si="28"/>
        <v>5981.91</v>
      </c>
      <c r="R55" s="35">
        <f t="shared" si="29"/>
        <v>6051.78</v>
      </c>
      <c r="S55" s="35">
        <f t="shared" si="30"/>
        <v>5970.75</v>
      </c>
      <c r="T55" s="35">
        <f t="shared" si="31"/>
        <v>6030.83</v>
      </c>
      <c r="U55" s="25"/>
      <c r="V55" s="25">
        <f t="shared" si="33"/>
        <v>5916.16</v>
      </c>
      <c r="W55" s="25">
        <f t="shared" si="32"/>
        <v>-36.779999999999745</v>
      </c>
    </row>
    <row r="56" spans="1:23">
      <c r="A56" s="28" t="s">
        <v>92</v>
      </c>
      <c r="B56" s="28" t="s">
        <v>699</v>
      </c>
      <c r="C56" s="26">
        <v>0</v>
      </c>
      <c r="D56" s="26">
        <v>99.94</v>
      </c>
      <c r="E56" s="26">
        <f t="shared" si="20"/>
        <v>99.94</v>
      </c>
      <c r="F56" s="27" t="str">
        <f t="shared" si="21"/>
        <v>No</v>
      </c>
      <c r="G56" s="27" t="s">
        <v>651</v>
      </c>
      <c r="H56" s="11">
        <v>0</v>
      </c>
      <c r="I56" s="11">
        <v>0</v>
      </c>
      <c r="J56" s="35">
        <f t="shared" si="22"/>
        <v>99.94</v>
      </c>
      <c r="K56" s="35">
        <f t="shared" si="23"/>
        <v>99.94</v>
      </c>
      <c r="L56" s="35">
        <f t="shared" si="24"/>
        <v>99.94</v>
      </c>
      <c r="M56" s="35">
        <f t="shared" si="25"/>
        <v>99.94</v>
      </c>
      <c r="N56" s="35">
        <f t="shared" si="26"/>
        <v>99.94</v>
      </c>
      <c r="O56" s="25"/>
      <c r="P56" s="35">
        <f t="shared" si="27"/>
        <v>99.94</v>
      </c>
      <c r="Q56" s="35">
        <f t="shared" si="28"/>
        <v>99.94</v>
      </c>
      <c r="R56" s="35">
        <f t="shared" si="29"/>
        <v>99.94</v>
      </c>
      <c r="S56" s="35">
        <f t="shared" si="30"/>
        <v>99.94</v>
      </c>
      <c r="T56" s="35">
        <f t="shared" si="31"/>
        <v>99.94</v>
      </c>
      <c r="U56" s="25"/>
      <c r="V56" s="25">
        <f t="shared" si="33"/>
        <v>99.94</v>
      </c>
      <c r="W56" s="25">
        <f t="shared" si="32"/>
        <v>0</v>
      </c>
    </row>
    <row r="57" spans="1:23">
      <c r="A57" s="28" t="s">
        <v>94</v>
      </c>
      <c r="B57" s="28" t="s">
        <v>700</v>
      </c>
      <c r="C57" s="26">
        <v>17.399999999999999</v>
      </c>
      <c r="D57" s="26">
        <v>237.79</v>
      </c>
      <c r="E57" s="26">
        <f t="shared" si="20"/>
        <v>255.19</v>
      </c>
      <c r="F57" s="27" t="str">
        <f t="shared" si="21"/>
        <v>Yes</v>
      </c>
      <c r="G57" s="27" t="s">
        <v>651</v>
      </c>
      <c r="H57" s="11">
        <v>13</v>
      </c>
      <c r="I57" s="11">
        <v>0</v>
      </c>
      <c r="J57" s="35">
        <f t="shared" si="22"/>
        <v>255.19</v>
      </c>
      <c r="K57" s="35">
        <f t="shared" si="23"/>
        <v>259.61277040956577</v>
      </c>
      <c r="L57" s="35">
        <f t="shared" si="24"/>
        <v>262.62620559075691</v>
      </c>
      <c r="M57" s="35">
        <f t="shared" si="25"/>
        <v>259.13137003746539</v>
      </c>
      <c r="N57" s="35">
        <f t="shared" si="26"/>
        <v>261.72268373784004</v>
      </c>
      <c r="O57" s="25"/>
      <c r="P57" s="35">
        <f t="shared" si="27"/>
        <v>242.19</v>
      </c>
      <c r="Q57" s="35">
        <f t="shared" si="28"/>
        <v>246.61</v>
      </c>
      <c r="R57" s="35">
        <f t="shared" si="29"/>
        <v>249.63</v>
      </c>
      <c r="S57" s="35">
        <f t="shared" si="30"/>
        <v>246.13</v>
      </c>
      <c r="T57" s="35">
        <f t="shared" si="31"/>
        <v>248.72</v>
      </c>
      <c r="U57" s="25"/>
      <c r="V57" s="25">
        <f t="shared" si="33"/>
        <v>255.19</v>
      </c>
      <c r="W57" s="25">
        <f t="shared" si="32"/>
        <v>-13</v>
      </c>
    </row>
    <row r="58" spans="1:23">
      <c r="A58" s="28" t="s">
        <v>96</v>
      </c>
      <c r="B58" s="28" t="s">
        <v>701</v>
      </c>
      <c r="C58" s="26">
        <v>0</v>
      </c>
      <c r="D58" s="26">
        <v>43.6</v>
      </c>
      <c r="E58" s="26">
        <f t="shared" si="20"/>
        <v>43.6</v>
      </c>
      <c r="F58" s="27" t="str">
        <f t="shared" si="21"/>
        <v>No</v>
      </c>
      <c r="G58" s="27" t="s">
        <v>653</v>
      </c>
      <c r="H58" s="11">
        <v>0</v>
      </c>
      <c r="I58" s="11">
        <v>26.8</v>
      </c>
      <c r="J58" s="35">
        <f t="shared" si="22"/>
        <v>43.6</v>
      </c>
      <c r="K58" s="35">
        <f t="shared" si="23"/>
        <v>43.6</v>
      </c>
      <c r="L58" s="35">
        <f t="shared" si="24"/>
        <v>43.6</v>
      </c>
      <c r="M58" s="35">
        <f t="shared" si="25"/>
        <v>43.6</v>
      </c>
      <c r="N58" s="35">
        <f t="shared" si="26"/>
        <v>43.6</v>
      </c>
      <c r="O58" s="25"/>
      <c r="P58" s="35">
        <f t="shared" si="27"/>
        <v>70.400000000000006</v>
      </c>
      <c r="Q58" s="35">
        <f t="shared" si="28"/>
        <v>70.400000000000006</v>
      </c>
      <c r="R58" s="35">
        <f t="shared" si="29"/>
        <v>70.400000000000006</v>
      </c>
      <c r="S58" s="35">
        <f t="shared" si="30"/>
        <v>70.400000000000006</v>
      </c>
      <c r="T58" s="35">
        <f t="shared" si="31"/>
        <v>70.400000000000006</v>
      </c>
      <c r="U58" s="25"/>
      <c r="V58" s="25">
        <f t="shared" si="33"/>
        <v>43.6</v>
      </c>
      <c r="W58" s="25">
        <f t="shared" si="32"/>
        <v>26.800000000000004</v>
      </c>
    </row>
    <row r="59" spans="1:23">
      <c r="A59" s="28" t="s">
        <v>98</v>
      </c>
      <c r="B59" s="28" t="s">
        <v>702</v>
      </c>
      <c r="C59" s="26">
        <v>0</v>
      </c>
      <c r="D59" s="26">
        <v>271.57</v>
      </c>
      <c r="E59" s="26">
        <f t="shared" si="20"/>
        <v>271.57</v>
      </c>
      <c r="F59" s="27" t="str">
        <f t="shared" si="21"/>
        <v>Yes</v>
      </c>
      <c r="G59" s="27" t="s">
        <v>651</v>
      </c>
      <c r="H59" s="11">
        <v>0</v>
      </c>
      <c r="I59" s="11">
        <v>0</v>
      </c>
      <c r="J59" s="35">
        <f t="shared" si="22"/>
        <v>271.57</v>
      </c>
      <c r="K59" s="35">
        <f t="shared" si="23"/>
        <v>276.27665684441308</v>
      </c>
      <c r="L59" s="35">
        <f t="shared" si="24"/>
        <v>279.48351680035211</v>
      </c>
      <c r="M59" s="35">
        <f t="shared" si="25"/>
        <v>275.76435660125583</v>
      </c>
      <c r="N59" s="35">
        <f t="shared" si="26"/>
        <v>278.5220001672684</v>
      </c>
      <c r="O59" s="25"/>
      <c r="P59" s="35">
        <f t="shared" si="27"/>
        <v>271.57</v>
      </c>
      <c r="Q59" s="35">
        <f t="shared" si="28"/>
        <v>276.27999999999997</v>
      </c>
      <c r="R59" s="35">
        <f t="shared" si="29"/>
        <v>279.48</v>
      </c>
      <c r="S59" s="35">
        <f t="shared" si="30"/>
        <v>275.76</v>
      </c>
      <c r="T59" s="35">
        <f t="shared" si="31"/>
        <v>278.52</v>
      </c>
      <c r="U59" s="25"/>
      <c r="V59" s="25">
        <f t="shared" si="33"/>
        <v>271.57</v>
      </c>
      <c r="W59" s="25">
        <f t="shared" si="32"/>
        <v>0</v>
      </c>
    </row>
    <row r="60" spans="1:23">
      <c r="A60" s="28" t="s">
        <v>100</v>
      </c>
      <c r="B60" s="28" t="s">
        <v>703</v>
      </c>
      <c r="C60" s="26">
        <v>0</v>
      </c>
      <c r="D60" s="26">
        <v>34.200000000000003</v>
      </c>
      <c r="E60" s="26">
        <f t="shared" si="20"/>
        <v>34.200000000000003</v>
      </c>
      <c r="F60" s="27" t="str">
        <f t="shared" si="21"/>
        <v>No</v>
      </c>
      <c r="G60" s="27" t="s">
        <v>653</v>
      </c>
      <c r="H60" s="11">
        <v>0</v>
      </c>
      <c r="I60" s="11">
        <v>21.4</v>
      </c>
      <c r="J60" s="35">
        <f t="shared" si="22"/>
        <v>34.200000000000003</v>
      </c>
      <c r="K60" s="35">
        <f t="shared" si="23"/>
        <v>34.200000000000003</v>
      </c>
      <c r="L60" s="35">
        <f t="shared" si="24"/>
        <v>34.200000000000003</v>
      </c>
      <c r="M60" s="35">
        <f t="shared" si="25"/>
        <v>34.200000000000003</v>
      </c>
      <c r="N60" s="35">
        <f t="shared" si="26"/>
        <v>34.200000000000003</v>
      </c>
      <c r="O60" s="25"/>
      <c r="P60" s="35">
        <f t="shared" si="27"/>
        <v>55.6</v>
      </c>
      <c r="Q60" s="35">
        <f t="shared" si="28"/>
        <v>55.6</v>
      </c>
      <c r="R60" s="35">
        <f t="shared" si="29"/>
        <v>55.6</v>
      </c>
      <c r="S60" s="35">
        <f t="shared" si="30"/>
        <v>55.6</v>
      </c>
      <c r="T60" s="35">
        <f t="shared" si="31"/>
        <v>55.6</v>
      </c>
      <c r="U60" s="25"/>
      <c r="V60" s="25">
        <f t="shared" si="33"/>
        <v>34.200000000000003</v>
      </c>
      <c r="W60" s="25">
        <f t="shared" si="32"/>
        <v>21.4</v>
      </c>
    </row>
    <row r="61" spans="1:23">
      <c r="A61" s="28" t="s">
        <v>102</v>
      </c>
      <c r="B61" s="28" t="s">
        <v>704</v>
      </c>
      <c r="C61" s="26">
        <v>0</v>
      </c>
      <c r="D61" s="26">
        <v>184.38</v>
      </c>
      <c r="E61" s="26">
        <f t="shared" si="20"/>
        <v>184.38</v>
      </c>
      <c r="F61" s="27" t="str">
        <f t="shared" si="21"/>
        <v>Yes</v>
      </c>
      <c r="G61" s="27" t="s">
        <v>651</v>
      </c>
      <c r="H61" s="11">
        <v>0</v>
      </c>
      <c r="I61" s="11">
        <v>0</v>
      </c>
      <c r="J61" s="35">
        <f t="shared" si="22"/>
        <v>184.38</v>
      </c>
      <c r="K61" s="35">
        <f t="shared" si="23"/>
        <v>187.5755421768711</v>
      </c>
      <c r="L61" s="35">
        <f t="shared" si="24"/>
        <v>189.75281079518697</v>
      </c>
      <c r="M61" s="35">
        <f t="shared" si="25"/>
        <v>187.22772055138472</v>
      </c>
      <c r="N61" s="35">
        <f t="shared" si="26"/>
        <v>189.09999775689857</v>
      </c>
      <c r="O61" s="25"/>
      <c r="P61" s="35">
        <f t="shared" si="27"/>
        <v>184.38</v>
      </c>
      <c r="Q61" s="35">
        <f t="shared" si="28"/>
        <v>187.58</v>
      </c>
      <c r="R61" s="35">
        <f t="shared" si="29"/>
        <v>189.75</v>
      </c>
      <c r="S61" s="35">
        <f t="shared" si="30"/>
        <v>187.23</v>
      </c>
      <c r="T61" s="35">
        <f t="shared" si="31"/>
        <v>189.1</v>
      </c>
      <c r="U61" s="25"/>
      <c r="V61" s="25">
        <f t="shared" si="33"/>
        <v>184.38</v>
      </c>
      <c r="W61" s="25">
        <f t="shared" si="32"/>
        <v>0</v>
      </c>
    </row>
    <row r="62" spans="1:23">
      <c r="A62" s="28" t="s">
        <v>104</v>
      </c>
      <c r="B62" s="28" t="s">
        <v>705</v>
      </c>
      <c r="C62" s="26">
        <v>0</v>
      </c>
      <c r="D62" s="26">
        <v>428.57</v>
      </c>
      <c r="E62" s="26">
        <f t="shared" si="20"/>
        <v>428.57</v>
      </c>
      <c r="F62" s="27" t="str">
        <f t="shared" si="21"/>
        <v>Yes</v>
      </c>
      <c r="G62" s="27" t="s">
        <v>651</v>
      </c>
      <c r="H62" s="11">
        <v>4.8</v>
      </c>
      <c r="I62" s="11">
        <v>0</v>
      </c>
      <c r="J62" s="35">
        <f t="shared" si="22"/>
        <v>428.57</v>
      </c>
      <c r="K62" s="35">
        <f t="shared" si="23"/>
        <v>435.997668460471</v>
      </c>
      <c r="L62" s="35">
        <f t="shared" si="24"/>
        <v>441.05847772260159</v>
      </c>
      <c r="M62" s="35">
        <f t="shared" si="25"/>
        <v>435.18919729204339</v>
      </c>
      <c r="N62" s="35">
        <f t="shared" si="26"/>
        <v>439.54108926496383</v>
      </c>
      <c r="O62" s="25"/>
      <c r="P62" s="35">
        <f t="shared" si="27"/>
        <v>423.77</v>
      </c>
      <c r="Q62" s="35">
        <f t="shared" si="28"/>
        <v>431.2</v>
      </c>
      <c r="R62" s="35">
        <f t="shared" si="29"/>
        <v>436.26</v>
      </c>
      <c r="S62" s="35">
        <f t="shared" si="30"/>
        <v>430.39</v>
      </c>
      <c r="T62" s="35">
        <f t="shared" si="31"/>
        <v>434.74</v>
      </c>
      <c r="U62" s="25"/>
      <c r="V62" s="25">
        <f t="shared" si="33"/>
        <v>428.57</v>
      </c>
      <c r="W62" s="25">
        <f t="shared" si="32"/>
        <v>-4.8000000000000114</v>
      </c>
    </row>
    <row r="63" spans="1:23">
      <c r="A63" s="28" t="s">
        <v>106</v>
      </c>
      <c r="B63" s="28" t="s">
        <v>706</v>
      </c>
      <c r="C63" s="26">
        <v>55.1</v>
      </c>
      <c r="D63" s="26">
        <v>18184.150000000001</v>
      </c>
      <c r="E63" s="26">
        <f t="shared" si="20"/>
        <v>18239.25</v>
      </c>
      <c r="F63" s="27" t="str">
        <f t="shared" si="21"/>
        <v>Yes</v>
      </c>
      <c r="G63" s="27" t="s">
        <v>651</v>
      </c>
      <c r="H63" s="11">
        <v>0</v>
      </c>
      <c r="I63" s="11">
        <v>0</v>
      </c>
      <c r="J63" s="35">
        <f t="shared" si="22"/>
        <v>18239.25</v>
      </c>
      <c r="K63" s="35">
        <f t="shared" si="23"/>
        <v>18555.359624956593</v>
      </c>
      <c r="L63" s="35">
        <f t="shared" si="24"/>
        <v>18770.739528669674</v>
      </c>
      <c r="M63" s="35">
        <f t="shared" si="25"/>
        <v>18520.952392162082</v>
      </c>
      <c r="N63" s="35">
        <f t="shared" si="26"/>
        <v>18706.161916083704</v>
      </c>
      <c r="O63" s="25"/>
      <c r="P63" s="35">
        <f t="shared" si="27"/>
        <v>18239.25</v>
      </c>
      <c r="Q63" s="35">
        <f t="shared" si="28"/>
        <v>18555.36</v>
      </c>
      <c r="R63" s="35">
        <f t="shared" si="29"/>
        <v>18770.740000000002</v>
      </c>
      <c r="S63" s="35">
        <f t="shared" si="30"/>
        <v>18520.95</v>
      </c>
      <c r="T63" s="35">
        <f t="shared" si="31"/>
        <v>18706.16</v>
      </c>
      <c r="U63" s="25"/>
      <c r="V63" s="25">
        <f t="shared" si="33"/>
        <v>18239.25</v>
      </c>
      <c r="W63" s="25">
        <f t="shared" si="32"/>
        <v>0</v>
      </c>
    </row>
    <row r="64" spans="1:23">
      <c r="A64" s="28" t="s">
        <v>108</v>
      </c>
      <c r="B64" s="28" t="s">
        <v>707</v>
      </c>
      <c r="C64" s="26">
        <v>14.5</v>
      </c>
      <c r="D64" s="26">
        <v>1986.68</v>
      </c>
      <c r="E64" s="26">
        <f t="shared" si="20"/>
        <v>2001.18</v>
      </c>
      <c r="F64" s="27" t="str">
        <f t="shared" si="21"/>
        <v>Yes</v>
      </c>
      <c r="G64" s="27" t="s">
        <v>651</v>
      </c>
      <c r="H64" s="11">
        <v>2.75</v>
      </c>
      <c r="I64" s="11">
        <v>0</v>
      </c>
      <c r="J64" s="35">
        <f t="shared" si="22"/>
        <v>2001.18</v>
      </c>
      <c r="K64" s="35">
        <f t="shared" si="23"/>
        <v>2035.8630192727569</v>
      </c>
      <c r="L64" s="35">
        <f t="shared" si="24"/>
        <v>2059.4941420279438</v>
      </c>
      <c r="M64" s="35">
        <f t="shared" si="25"/>
        <v>2032.0879152457974</v>
      </c>
      <c r="N64" s="35">
        <f t="shared" si="26"/>
        <v>2052.4087943982554</v>
      </c>
      <c r="O64" s="25"/>
      <c r="P64" s="35">
        <f t="shared" si="27"/>
        <v>1998.43</v>
      </c>
      <c r="Q64" s="35">
        <f t="shared" si="28"/>
        <v>2033.11</v>
      </c>
      <c r="R64" s="35">
        <f t="shared" si="29"/>
        <v>2056.7399999999998</v>
      </c>
      <c r="S64" s="35">
        <f t="shared" si="30"/>
        <v>2029.34</v>
      </c>
      <c r="T64" s="35">
        <f t="shared" si="31"/>
        <v>2049.66</v>
      </c>
      <c r="U64" s="25"/>
      <c r="V64" s="25">
        <f t="shared" si="33"/>
        <v>2001.18</v>
      </c>
      <c r="W64" s="25">
        <f t="shared" si="32"/>
        <v>-2.75</v>
      </c>
    </row>
    <row r="65" spans="1:23">
      <c r="A65" s="28" t="s">
        <v>110</v>
      </c>
      <c r="B65" s="28" t="s">
        <v>708</v>
      </c>
      <c r="C65" s="26">
        <v>0</v>
      </c>
      <c r="D65" s="26">
        <v>10.4</v>
      </c>
      <c r="E65" s="26">
        <f t="shared" si="20"/>
        <v>10.4</v>
      </c>
      <c r="F65" s="27" t="str">
        <f t="shared" si="21"/>
        <v>No</v>
      </c>
      <c r="G65" s="27" t="s">
        <v>653</v>
      </c>
      <c r="H65" s="11">
        <v>0</v>
      </c>
      <c r="I65" s="11">
        <v>2.75</v>
      </c>
      <c r="J65" s="35">
        <f t="shared" si="22"/>
        <v>10.4</v>
      </c>
      <c r="K65" s="35">
        <f t="shared" si="23"/>
        <v>10.4</v>
      </c>
      <c r="L65" s="35">
        <f t="shared" si="24"/>
        <v>10.4</v>
      </c>
      <c r="M65" s="35">
        <f t="shared" si="25"/>
        <v>10.4</v>
      </c>
      <c r="N65" s="35">
        <f t="shared" si="26"/>
        <v>10.4</v>
      </c>
      <c r="O65" s="25"/>
      <c r="P65" s="35">
        <f t="shared" si="27"/>
        <v>13.15</v>
      </c>
      <c r="Q65" s="35">
        <f t="shared" si="28"/>
        <v>13.15</v>
      </c>
      <c r="R65" s="35">
        <f t="shared" si="29"/>
        <v>13.15</v>
      </c>
      <c r="S65" s="35">
        <f t="shared" si="30"/>
        <v>13.15</v>
      </c>
      <c r="T65" s="35">
        <f t="shared" si="31"/>
        <v>13.15</v>
      </c>
      <c r="U65" s="25"/>
      <c r="V65" s="25">
        <f t="shared" si="33"/>
        <v>10.4</v>
      </c>
      <c r="W65" s="25">
        <f t="shared" si="32"/>
        <v>2.75</v>
      </c>
    </row>
    <row r="66" spans="1:23">
      <c r="A66" s="28" t="s">
        <v>112</v>
      </c>
      <c r="B66" s="28" t="s">
        <v>709</v>
      </c>
      <c r="C66" s="26">
        <v>0</v>
      </c>
      <c r="D66" s="26">
        <v>48.51</v>
      </c>
      <c r="E66" s="26">
        <f t="shared" si="20"/>
        <v>48.51</v>
      </c>
      <c r="F66" s="27" t="str">
        <f t="shared" si="21"/>
        <v>No</v>
      </c>
      <c r="G66" s="27" t="s">
        <v>651</v>
      </c>
      <c r="H66" s="11">
        <v>0</v>
      </c>
      <c r="I66" s="11">
        <v>0</v>
      </c>
      <c r="J66" s="35">
        <f t="shared" si="22"/>
        <v>48.51</v>
      </c>
      <c r="K66" s="35">
        <f t="shared" si="23"/>
        <v>48.51</v>
      </c>
      <c r="L66" s="35">
        <f t="shared" si="24"/>
        <v>48.51</v>
      </c>
      <c r="M66" s="35">
        <f t="shared" si="25"/>
        <v>48.51</v>
      </c>
      <c r="N66" s="35">
        <f t="shared" si="26"/>
        <v>48.51</v>
      </c>
      <c r="O66" s="25"/>
      <c r="P66" s="35">
        <f t="shared" si="27"/>
        <v>48.51</v>
      </c>
      <c r="Q66" s="35">
        <f t="shared" si="28"/>
        <v>48.51</v>
      </c>
      <c r="R66" s="35">
        <f t="shared" si="29"/>
        <v>48.51</v>
      </c>
      <c r="S66" s="35">
        <f t="shared" si="30"/>
        <v>48.51</v>
      </c>
      <c r="T66" s="35">
        <f t="shared" si="31"/>
        <v>48.51</v>
      </c>
      <c r="U66" s="25"/>
      <c r="V66" s="25">
        <f t="shared" si="33"/>
        <v>48.51</v>
      </c>
      <c r="W66" s="25">
        <f t="shared" si="32"/>
        <v>0</v>
      </c>
    </row>
    <row r="67" spans="1:23">
      <c r="A67" s="28" t="s">
        <v>114</v>
      </c>
      <c r="B67" s="28" t="s">
        <v>710</v>
      </c>
      <c r="C67" s="26">
        <v>20.6</v>
      </c>
      <c r="D67" s="26">
        <v>318.16000000000003</v>
      </c>
      <c r="E67" s="26">
        <f t="shared" si="20"/>
        <v>338.76000000000005</v>
      </c>
      <c r="F67" s="27" t="str">
        <f t="shared" si="21"/>
        <v>Yes</v>
      </c>
      <c r="G67" s="27" t="s">
        <v>651</v>
      </c>
      <c r="H67" s="11">
        <v>0</v>
      </c>
      <c r="I67" s="11">
        <v>0</v>
      </c>
      <c r="J67" s="35">
        <f t="shared" si="22"/>
        <v>338.76000000000005</v>
      </c>
      <c r="K67" s="35">
        <f t="shared" si="23"/>
        <v>344.63114582838085</v>
      </c>
      <c r="L67" s="35">
        <f t="shared" si="24"/>
        <v>348.63142523580404</v>
      </c>
      <c r="M67" s="35">
        <f t="shared" si="25"/>
        <v>343.99209574784197</v>
      </c>
      <c r="N67" s="35">
        <f t="shared" si="26"/>
        <v>347.43201670532039</v>
      </c>
      <c r="O67" s="25"/>
      <c r="P67" s="35">
        <f t="shared" si="27"/>
        <v>338.76</v>
      </c>
      <c r="Q67" s="35">
        <f t="shared" si="28"/>
        <v>344.63</v>
      </c>
      <c r="R67" s="35">
        <f t="shared" si="29"/>
        <v>348.63</v>
      </c>
      <c r="S67" s="35">
        <f t="shared" si="30"/>
        <v>343.99</v>
      </c>
      <c r="T67" s="35">
        <f t="shared" si="31"/>
        <v>347.43</v>
      </c>
      <c r="U67" s="25"/>
      <c r="V67" s="25">
        <f t="shared" si="33"/>
        <v>338.76000000000005</v>
      </c>
      <c r="W67" s="25">
        <f t="shared" si="32"/>
        <v>0</v>
      </c>
    </row>
    <row r="68" spans="1:23">
      <c r="A68" s="28" t="s">
        <v>116</v>
      </c>
      <c r="B68" s="28" t="s">
        <v>711</v>
      </c>
      <c r="C68" s="26">
        <v>33.1</v>
      </c>
      <c r="D68" s="26">
        <v>2314.54</v>
      </c>
      <c r="E68" s="26">
        <f t="shared" si="20"/>
        <v>2347.64</v>
      </c>
      <c r="F68" s="27" t="str">
        <f t="shared" si="21"/>
        <v>Yes</v>
      </c>
      <c r="G68" s="27" t="s">
        <v>651</v>
      </c>
      <c r="H68" s="11">
        <v>0</v>
      </c>
      <c r="I68" s="11">
        <v>0</v>
      </c>
      <c r="J68" s="35">
        <f t="shared" si="22"/>
        <v>2347.64</v>
      </c>
      <c r="K68" s="35">
        <f t="shared" si="23"/>
        <v>2388.3276159893135</v>
      </c>
      <c r="L68" s="35">
        <f t="shared" si="24"/>
        <v>2416.0499443280869</v>
      </c>
      <c r="M68" s="35">
        <f t="shared" si="25"/>
        <v>2383.8989363014034</v>
      </c>
      <c r="N68" s="35">
        <f t="shared" si="26"/>
        <v>2407.7379256644176</v>
      </c>
      <c r="O68" s="25"/>
      <c r="P68" s="35">
        <f t="shared" si="27"/>
        <v>2347.64</v>
      </c>
      <c r="Q68" s="35">
        <f t="shared" si="28"/>
        <v>2388.33</v>
      </c>
      <c r="R68" s="35">
        <f t="shared" si="29"/>
        <v>2416.0500000000002</v>
      </c>
      <c r="S68" s="35">
        <f t="shared" si="30"/>
        <v>2383.9</v>
      </c>
      <c r="T68" s="35">
        <f t="shared" si="31"/>
        <v>2407.7399999999998</v>
      </c>
      <c r="U68" s="25"/>
      <c r="V68" s="25">
        <f t="shared" si="33"/>
        <v>2347.64</v>
      </c>
      <c r="W68" s="25">
        <f t="shared" si="32"/>
        <v>0</v>
      </c>
    </row>
    <row r="69" spans="1:23">
      <c r="A69" s="28" t="s">
        <v>118</v>
      </c>
      <c r="B69" s="28" t="s">
        <v>712</v>
      </c>
      <c r="C69" s="26">
        <v>48.4</v>
      </c>
      <c r="D69" s="26">
        <v>3166.51</v>
      </c>
      <c r="E69" s="26">
        <f t="shared" si="20"/>
        <v>3214.9100000000003</v>
      </c>
      <c r="F69" s="27" t="str">
        <f t="shared" si="21"/>
        <v>Yes</v>
      </c>
      <c r="G69" s="27" t="s">
        <v>651</v>
      </c>
      <c r="H69" s="11">
        <v>0</v>
      </c>
      <c r="I69" s="11">
        <v>0</v>
      </c>
      <c r="J69" s="35">
        <f t="shared" si="22"/>
        <v>3214.9100000000003</v>
      </c>
      <c r="K69" s="35">
        <f t="shared" si="23"/>
        <v>3270.6285188189863</v>
      </c>
      <c r="L69" s="35">
        <f t="shared" si="24"/>
        <v>3308.5920867423506</v>
      </c>
      <c r="M69" s="35">
        <f t="shared" si="25"/>
        <v>3264.5637871670046</v>
      </c>
      <c r="N69" s="35">
        <f t="shared" si="26"/>
        <v>3297.2094250386749</v>
      </c>
      <c r="O69" s="25"/>
      <c r="P69" s="35">
        <f t="shared" si="27"/>
        <v>3214.91</v>
      </c>
      <c r="Q69" s="35">
        <f t="shared" si="28"/>
        <v>3270.63</v>
      </c>
      <c r="R69" s="35">
        <f t="shared" si="29"/>
        <v>3308.59</v>
      </c>
      <c r="S69" s="35">
        <f t="shared" si="30"/>
        <v>3264.56</v>
      </c>
      <c r="T69" s="35">
        <f t="shared" si="31"/>
        <v>3297.21</v>
      </c>
      <c r="U69" s="25"/>
      <c r="V69" s="25">
        <f t="shared" si="33"/>
        <v>3214.9100000000003</v>
      </c>
      <c r="W69" s="25">
        <f t="shared" si="32"/>
        <v>0</v>
      </c>
    </row>
    <row r="70" spans="1:23">
      <c r="A70" s="28" t="s">
        <v>120</v>
      </c>
      <c r="B70" s="28" t="s">
        <v>713</v>
      </c>
      <c r="C70" s="26">
        <v>0</v>
      </c>
      <c r="D70" s="26">
        <v>913.46</v>
      </c>
      <c r="E70" s="26">
        <f t="shared" si="20"/>
        <v>913.46</v>
      </c>
      <c r="F70" s="27" t="str">
        <f t="shared" si="21"/>
        <v>Yes</v>
      </c>
      <c r="G70" s="27" t="s">
        <v>651</v>
      </c>
      <c r="H70" s="11">
        <v>0</v>
      </c>
      <c r="I70" s="11">
        <v>0</v>
      </c>
      <c r="J70" s="35">
        <f t="shared" si="22"/>
        <v>913.46</v>
      </c>
      <c r="K70" s="35">
        <f t="shared" si="23"/>
        <v>929.29143484588724</v>
      </c>
      <c r="L70" s="35">
        <f t="shared" si="24"/>
        <v>940.07811340151591</v>
      </c>
      <c r="M70" s="35">
        <f t="shared" si="25"/>
        <v>927.56824826373747</v>
      </c>
      <c r="N70" s="35">
        <f t="shared" si="26"/>
        <v>936.84393074637489</v>
      </c>
      <c r="O70" s="25"/>
      <c r="P70" s="35">
        <f t="shared" si="27"/>
        <v>913.46</v>
      </c>
      <c r="Q70" s="35">
        <f t="shared" si="28"/>
        <v>929.29</v>
      </c>
      <c r="R70" s="35">
        <f t="shared" si="29"/>
        <v>940.08</v>
      </c>
      <c r="S70" s="35">
        <f t="shared" si="30"/>
        <v>927.57</v>
      </c>
      <c r="T70" s="35">
        <f t="shared" si="31"/>
        <v>936.84</v>
      </c>
      <c r="U70" s="25"/>
      <c r="V70" s="25">
        <f t="shared" si="33"/>
        <v>913.46</v>
      </c>
      <c r="W70" s="25">
        <f t="shared" si="32"/>
        <v>0</v>
      </c>
    </row>
    <row r="71" spans="1:23">
      <c r="A71" s="28" t="s">
        <v>122</v>
      </c>
      <c r="B71" s="28" t="s">
        <v>714</v>
      </c>
      <c r="C71" s="26">
        <v>0</v>
      </c>
      <c r="D71" s="26">
        <v>201.41</v>
      </c>
      <c r="E71" s="26">
        <f t="shared" si="20"/>
        <v>201.41</v>
      </c>
      <c r="F71" s="27" t="str">
        <f t="shared" si="21"/>
        <v>Yes</v>
      </c>
      <c r="G71" s="27" t="s">
        <v>651</v>
      </c>
      <c r="H71" s="11">
        <v>0</v>
      </c>
      <c r="I71" s="11">
        <v>0</v>
      </c>
      <c r="J71" s="35">
        <f t="shared" si="22"/>
        <v>201.41</v>
      </c>
      <c r="K71" s="35">
        <f t="shared" si="23"/>
        <v>204.90069394643459</v>
      </c>
      <c r="L71" s="35">
        <f t="shared" si="24"/>
        <v>207.27906292579786</v>
      </c>
      <c r="M71" s="35">
        <f t="shared" si="25"/>
        <v>204.52074626453194</v>
      </c>
      <c r="N71" s="35">
        <f t="shared" si="26"/>
        <v>206.56595372717726</v>
      </c>
      <c r="O71" s="25"/>
      <c r="P71" s="35">
        <f t="shared" si="27"/>
        <v>201.41</v>
      </c>
      <c r="Q71" s="35">
        <f t="shared" si="28"/>
        <v>204.9</v>
      </c>
      <c r="R71" s="35">
        <f t="shared" si="29"/>
        <v>207.28</v>
      </c>
      <c r="S71" s="35">
        <f t="shared" si="30"/>
        <v>204.52</v>
      </c>
      <c r="T71" s="35">
        <f t="shared" si="31"/>
        <v>206.57</v>
      </c>
      <c r="U71" s="25"/>
      <c r="V71" s="25">
        <f t="shared" si="33"/>
        <v>201.41</v>
      </c>
      <c r="W71" s="25">
        <f t="shared" si="32"/>
        <v>0</v>
      </c>
    </row>
    <row r="72" spans="1:23">
      <c r="A72" s="28" t="s">
        <v>124</v>
      </c>
      <c r="B72" s="28" t="s">
        <v>715</v>
      </c>
      <c r="C72" s="26">
        <v>36.200000000000003</v>
      </c>
      <c r="D72" s="26">
        <v>500.79</v>
      </c>
      <c r="E72" s="26">
        <f t="shared" si="20"/>
        <v>536.99</v>
      </c>
      <c r="F72" s="27" t="str">
        <f t="shared" si="21"/>
        <v>Yes</v>
      </c>
      <c r="G72" s="27" t="s">
        <v>651</v>
      </c>
      <c r="H72" s="11">
        <v>0</v>
      </c>
      <c r="I72" s="11">
        <v>0</v>
      </c>
      <c r="J72" s="35">
        <f t="shared" si="22"/>
        <v>536.99</v>
      </c>
      <c r="K72" s="35">
        <f t="shared" si="23"/>
        <v>546.29672629112713</v>
      </c>
      <c r="L72" s="35">
        <f t="shared" si="24"/>
        <v>552.63782334801749</v>
      </c>
      <c r="M72" s="35">
        <f t="shared" si="25"/>
        <v>545.28372740475163</v>
      </c>
      <c r="N72" s="35">
        <f t="shared" si="26"/>
        <v>550.73656467879914</v>
      </c>
      <c r="O72" s="25"/>
      <c r="P72" s="35">
        <f t="shared" si="27"/>
        <v>536.99</v>
      </c>
      <c r="Q72" s="35">
        <f t="shared" si="28"/>
        <v>546.29999999999995</v>
      </c>
      <c r="R72" s="35">
        <f t="shared" si="29"/>
        <v>552.64</v>
      </c>
      <c r="S72" s="35">
        <f t="shared" si="30"/>
        <v>545.28</v>
      </c>
      <c r="T72" s="35">
        <f t="shared" si="31"/>
        <v>550.74</v>
      </c>
      <c r="U72" s="25"/>
      <c r="V72" s="25">
        <f t="shared" si="33"/>
        <v>536.99</v>
      </c>
      <c r="W72" s="25">
        <f t="shared" si="32"/>
        <v>0</v>
      </c>
    </row>
    <row r="73" spans="1:23">
      <c r="A73" s="28" t="s">
        <v>126</v>
      </c>
      <c r="B73" s="28" t="s">
        <v>716</v>
      </c>
      <c r="C73" s="26">
        <v>33.799999999999997</v>
      </c>
      <c r="D73" s="26">
        <v>1678.04</v>
      </c>
      <c r="E73" s="26">
        <f t="shared" si="20"/>
        <v>1711.84</v>
      </c>
      <c r="F73" s="27" t="str">
        <f t="shared" si="21"/>
        <v>Yes</v>
      </c>
      <c r="G73" s="27" t="s">
        <v>651</v>
      </c>
      <c r="H73" s="11">
        <v>0</v>
      </c>
      <c r="I73" s="11">
        <v>0</v>
      </c>
      <c r="J73" s="35">
        <f t="shared" si="22"/>
        <v>1711.84</v>
      </c>
      <c r="K73" s="35">
        <f t="shared" si="23"/>
        <v>1741.5083855084879</v>
      </c>
      <c r="L73" s="35">
        <f t="shared" si="24"/>
        <v>1761.7228095869011</v>
      </c>
      <c r="M73" s="35">
        <f t="shared" si="25"/>
        <v>1738.2791037459724</v>
      </c>
      <c r="N73" s="35">
        <f t="shared" si="26"/>
        <v>1755.6618947834322</v>
      </c>
      <c r="O73" s="25"/>
      <c r="P73" s="35">
        <f t="shared" si="27"/>
        <v>1711.84</v>
      </c>
      <c r="Q73" s="35">
        <f t="shared" si="28"/>
        <v>1741.51</v>
      </c>
      <c r="R73" s="35">
        <f t="shared" si="29"/>
        <v>1761.72</v>
      </c>
      <c r="S73" s="35">
        <f t="shared" si="30"/>
        <v>1738.28</v>
      </c>
      <c r="T73" s="35">
        <f t="shared" si="31"/>
        <v>1755.66</v>
      </c>
      <c r="U73" s="25"/>
      <c r="V73" s="25">
        <f t="shared" si="33"/>
        <v>1711.84</v>
      </c>
      <c r="W73" s="25">
        <f t="shared" si="32"/>
        <v>0</v>
      </c>
    </row>
    <row r="74" spans="1:23">
      <c r="A74" s="28" t="s">
        <v>128</v>
      </c>
      <c r="B74" s="28" t="s">
        <v>717</v>
      </c>
      <c r="C74" s="26">
        <v>14.6</v>
      </c>
      <c r="D74" s="26">
        <v>8592.7999999999993</v>
      </c>
      <c r="E74" s="26">
        <f t="shared" ref="E74:E137" si="34">SUM(C74:D74)</f>
        <v>8607.4</v>
      </c>
      <c r="F74" s="27" t="str">
        <f t="shared" ref="F74:F137" si="35">IF(E74&gt;100,"Yes","No")</f>
        <v>Yes</v>
      </c>
      <c r="G74" s="27" t="s">
        <v>651</v>
      </c>
      <c r="H74" s="11">
        <v>0</v>
      </c>
      <c r="I74" s="11">
        <v>0</v>
      </c>
      <c r="J74" s="35">
        <f t="shared" ref="J74:J137" si="36">(IF($F74="Yes",($E74*(1+J$4)),$E74))</f>
        <v>8607.4</v>
      </c>
      <c r="K74" s="35">
        <f t="shared" ref="K74:K137" si="37">(IF($F74="Yes",(($E74*(1+J$4))*(1+K$4)),$E74))</f>
        <v>8756.5772954398544</v>
      </c>
      <c r="L74" s="35">
        <f t="shared" ref="L74:L137" si="38">(IF($F74="Yes",((($E74*(1+J$4))*(1+K$4))*(1+L$4)),$E74))</f>
        <v>8858.2185900775166</v>
      </c>
      <c r="M74" s="35">
        <f t="shared" ref="M74:M137" si="39">(IF($F74="Yes",(((($E74*(1+J$4))*(1+K$4))*(1+L$4))*(1+M$4)),$E74))</f>
        <v>8740.3399602667814</v>
      </c>
      <c r="N74" s="35">
        <f t="shared" ref="N74:N137" si="40">(IF($F74="Yes",((((($E74*(1+J$4))*(1+K$4))*(1+L$4))*(1+M$4))*(1+N$4)),$E74))</f>
        <v>8827.7433598694497</v>
      </c>
      <c r="O74" s="25"/>
      <c r="P74" s="35">
        <f t="shared" ref="P74:P137" si="41">ROUND(J74-$H74+$I74,2)</f>
        <v>8607.4</v>
      </c>
      <c r="Q74" s="35">
        <f t="shared" ref="Q74:Q137" si="42">ROUND(K74-$H74+$I74,2)</f>
        <v>8756.58</v>
      </c>
      <c r="R74" s="35">
        <f t="shared" ref="R74:R137" si="43">ROUND(L74-$H74+$I74,2)</f>
        <v>8858.2199999999993</v>
      </c>
      <c r="S74" s="35">
        <f t="shared" ref="S74:S137" si="44">ROUND(M74-$H74+$I74,2)</f>
        <v>8740.34</v>
      </c>
      <c r="T74" s="35">
        <f t="shared" ref="T74:T137" si="45">ROUND(N74-$H74+$I74,2)</f>
        <v>8827.74</v>
      </c>
      <c r="U74" s="25"/>
      <c r="V74" s="25">
        <f t="shared" ref="V74:V137" si="46">J74</f>
        <v>8607.4</v>
      </c>
      <c r="W74" s="25">
        <f t="shared" ref="W74:W137" si="47">P74-V74</f>
        <v>0</v>
      </c>
    </row>
    <row r="75" spans="1:23">
      <c r="A75" s="28" t="s">
        <v>130</v>
      </c>
      <c r="B75" s="28" t="s">
        <v>718</v>
      </c>
      <c r="C75" s="26">
        <v>0</v>
      </c>
      <c r="D75" s="26">
        <v>2701.35</v>
      </c>
      <c r="E75" s="26">
        <f t="shared" si="34"/>
        <v>2701.35</v>
      </c>
      <c r="F75" s="27" t="str">
        <f t="shared" si="35"/>
        <v>Yes</v>
      </c>
      <c r="G75" s="27" t="s">
        <v>651</v>
      </c>
      <c r="H75" s="11">
        <v>0</v>
      </c>
      <c r="I75" s="11">
        <v>0</v>
      </c>
      <c r="J75" s="35">
        <f t="shared" si="36"/>
        <v>2701.35</v>
      </c>
      <c r="K75" s="35">
        <f t="shared" si="37"/>
        <v>2748.1678645161664</v>
      </c>
      <c r="L75" s="35">
        <f t="shared" si="38"/>
        <v>2780.067010747252</v>
      </c>
      <c r="M75" s="35">
        <f t="shared" si="39"/>
        <v>2743.0719324844513</v>
      </c>
      <c r="N75" s="35">
        <f t="shared" si="40"/>
        <v>2770.5026518092959</v>
      </c>
      <c r="O75" s="25"/>
      <c r="P75" s="35">
        <f t="shared" si="41"/>
        <v>2701.35</v>
      </c>
      <c r="Q75" s="35">
        <f t="shared" si="42"/>
        <v>2748.17</v>
      </c>
      <c r="R75" s="35">
        <f t="shared" si="43"/>
        <v>2780.07</v>
      </c>
      <c r="S75" s="35">
        <f t="shared" si="44"/>
        <v>2743.07</v>
      </c>
      <c r="T75" s="35">
        <f t="shared" si="45"/>
        <v>2770.5</v>
      </c>
      <c r="U75" s="25"/>
      <c r="V75" s="25">
        <f t="shared" si="46"/>
        <v>2701.35</v>
      </c>
      <c r="W75" s="25">
        <f t="shared" si="47"/>
        <v>0</v>
      </c>
    </row>
    <row r="76" spans="1:23">
      <c r="A76" s="28" t="s">
        <v>132</v>
      </c>
      <c r="B76" s="28" t="s">
        <v>719</v>
      </c>
      <c r="C76" s="26">
        <v>4.9000000000000004</v>
      </c>
      <c r="D76" s="26">
        <v>112.09</v>
      </c>
      <c r="E76" s="26">
        <f t="shared" si="34"/>
        <v>116.99000000000001</v>
      </c>
      <c r="F76" s="27" t="str">
        <f t="shared" si="35"/>
        <v>Yes</v>
      </c>
      <c r="G76" s="27" t="s">
        <v>651</v>
      </c>
      <c r="H76" s="11">
        <v>0</v>
      </c>
      <c r="I76" s="11">
        <v>0</v>
      </c>
      <c r="J76" s="35">
        <f t="shared" si="36"/>
        <v>116.99000000000001</v>
      </c>
      <c r="K76" s="35">
        <f t="shared" si="37"/>
        <v>119.01758693606764</v>
      </c>
      <c r="L76" s="35">
        <f t="shared" si="38"/>
        <v>120.399074384038</v>
      </c>
      <c r="M76" s="35">
        <f t="shared" si="39"/>
        <v>118.79689243576583</v>
      </c>
      <c r="N76" s="35">
        <f t="shared" si="40"/>
        <v>119.98486136012349</v>
      </c>
      <c r="O76" s="25"/>
      <c r="P76" s="35">
        <f t="shared" si="41"/>
        <v>116.99</v>
      </c>
      <c r="Q76" s="35">
        <f t="shared" si="42"/>
        <v>119.02</v>
      </c>
      <c r="R76" s="35">
        <f t="shared" si="43"/>
        <v>120.4</v>
      </c>
      <c r="S76" s="35">
        <f t="shared" si="44"/>
        <v>118.8</v>
      </c>
      <c r="T76" s="35">
        <f t="shared" si="45"/>
        <v>119.98</v>
      </c>
      <c r="U76" s="25"/>
      <c r="V76" s="25">
        <f t="shared" si="46"/>
        <v>116.99000000000001</v>
      </c>
      <c r="W76" s="25">
        <f t="shared" si="47"/>
        <v>0</v>
      </c>
    </row>
    <row r="77" spans="1:23">
      <c r="A77" s="28" t="s">
        <v>134</v>
      </c>
      <c r="B77" s="28" t="s">
        <v>720</v>
      </c>
      <c r="C77" s="26">
        <v>0</v>
      </c>
      <c r="D77" s="26">
        <v>701.94</v>
      </c>
      <c r="E77" s="26">
        <f t="shared" si="34"/>
        <v>701.94</v>
      </c>
      <c r="F77" s="27" t="str">
        <f t="shared" si="35"/>
        <v>Yes</v>
      </c>
      <c r="G77" s="27" t="s">
        <v>651</v>
      </c>
      <c r="H77" s="11">
        <v>25</v>
      </c>
      <c r="I77" s="11">
        <v>0</v>
      </c>
      <c r="J77" s="35">
        <f t="shared" si="36"/>
        <v>701.94</v>
      </c>
      <c r="K77" s="35">
        <f t="shared" si="37"/>
        <v>714.10552161640589</v>
      </c>
      <c r="L77" s="35">
        <f t="shared" si="38"/>
        <v>722.39444630422804</v>
      </c>
      <c r="M77" s="35">
        <f t="shared" si="39"/>
        <v>712.78135461459499</v>
      </c>
      <c r="N77" s="35">
        <f t="shared" si="40"/>
        <v>719.90916816074093</v>
      </c>
      <c r="O77" s="25"/>
      <c r="P77" s="35">
        <f t="shared" si="41"/>
        <v>676.94</v>
      </c>
      <c r="Q77" s="35">
        <f t="shared" si="42"/>
        <v>689.11</v>
      </c>
      <c r="R77" s="35">
        <f t="shared" si="43"/>
        <v>697.39</v>
      </c>
      <c r="S77" s="35">
        <f t="shared" si="44"/>
        <v>687.78</v>
      </c>
      <c r="T77" s="35">
        <f t="shared" si="45"/>
        <v>694.91</v>
      </c>
      <c r="U77" s="25"/>
      <c r="V77" s="25">
        <f t="shared" si="46"/>
        <v>701.94</v>
      </c>
      <c r="W77" s="25">
        <f t="shared" si="47"/>
        <v>-25</v>
      </c>
    </row>
    <row r="78" spans="1:23">
      <c r="A78" s="28" t="s">
        <v>136</v>
      </c>
      <c r="B78" s="28" t="s">
        <v>721</v>
      </c>
      <c r="C78" s="26">
        <v>0</v>
      </c>
      <c r="D78" s="26">
        <v>3148.09</v>
      </c>
      <c r="E78" s="26">
        <f t="shared" si="34"/>
        <v>3148.09</v>
      </c>
      <c r="F78" s="27" t="str">
        <f t="shared" si="35"/>
        <v>Yes</v>
      </c>
      <c r="G78" s="27" t="s">
        <v>651</v>
      </c>
      <c r="H78" s="11">
        <v>126.34</v>
      </c>
      <c r="I78" s="11">
        <v>0</v>
      </c>
      <c r="J78" s="35">
        <f t="shared" si="36"/>
        <v>3148.09</v>
      </c>
      <c r="K78" s="35">
        <f t="shared" si="37"/>
        <v>3202.6504424101649</v>
      </c>
      <c r="L78" s="35">
        <f t="shared" si="38"/>
        <v>3239.8249600619383</v>
      </c>
      <c r="M78" s="35">
        <f t="shared" si="39"/>
        <v>3196.7117626131294</v>
      </c>
      <c r="N78" s="35">
        <f t="shared" si="40"/>
        <v>3228.6788802392607</v>
      </c>
      <c r="O78" s="25"/>
      <c r="P78" s="35">
        <f t="shared" si="41"/>
        <v>3021.75</v>
      </c>
      <c r="Q78" s="35">
        <f t="shared" si="42"/>
        <v>3076.31</v>
      </c>
      <c r="R78" s="35">
        <f t="shared" si="43"/>
        <v>3113.48</v>
      </c>
      <c r="S78" s="35">
        <f t="shared" si="44"/>
        <v>3070.37</v>
      </c>
      <c r="T78" s="35">
        <f t="shared" si="45"/>
        <v>3102.34</v>
      </c>
      <c r="U78" s="25"/>
      <c r="V78" s="25">
        <f t="shared" si="46"/>
        <v>3148.09</v>
      </c>
      <c r="W78" s="25">
        <f t="shared" si="47"/>
        <v>-126.34000000000015</v>
      </c>
    </row>
    <row r="79" spans="1:23">
      <c r="A79" s="28" t="s">
        <v>138</v>
      </c>
      <c r="B79" s="28" t="s">
        <v>722</v>
      </c>
      <c r="C79" s="26">
        <v>13.5</v>
      </c>
      <c r="D79" s="26">
        <v>1577.73</v>
      </c>
      <c r="E79" s="26">
        <f t="shared" si="34"/>
        <v>1591.23</v>
      </c>
      <c r="F79" s="27" t="str">
        <f t="shared" si="35"/>
        <v>Yes</v>
      </c>
      <c r="G79" s="27" t="s">
        <v>651</v>
      </c>
      <c r="H79" s="11">
        <v>0</v>
      </c>
      <c r="I79" s="11">
        <v>0</v>
      </c>
      <c r="J79" s="35">
        <f t="shared" si="36"/>
        <v>1591.23</v>
      </c>
      <c r="K79" s="35">
        <f t="shared" si="37"/>
        <v>1618.8080593236934</v>
      </c>
      <c r="L79" s="35">
        <f t="shared" si="38"/>
        <v>1637.5982488427453</v>
      </c>
      <c r="M79" s="35">
        <f t="shared" si="39"/>
        <v>1615.8063009707123</v>
      </c>
      <c r="N79" s="35">
        <f t="shared" si="40"/>
        <v>1631.9643639804194</v>
      </c>
      <c r="O79" s="25"/>
      <c r="P79" s="35">
        <f t="shared" si="41"/>
        <v>1591.23</v>
      </c>
      <c r="Q79" s="35">
        <f t="shared" si="42"/>
        <v>1618.81</v>
      </c>
      <c r="R79" s="35">
        <f t="shared" si="43"/>
        <v>1637.6</v>
      </c>
      <c r="S79" s="35">
        <f t="shared" si="44"/>
        <v>1615.81</v>
      </c>
      <c r="T79" s="35">
        <f t="shared" si="45"/>
        <v>1631.96</v>
      </c>
      <c r="U79" s="25"/>
      <c r="V79" s="25">
        <f t="shared" si="46"/>
        <v>1591.23</v>
      </c>
      <c r="W79" s="25">
        <f t="shared" si="47"/>
        <v>0</v>
      </c>
    </row>
    <row r="80" spans="1:23">
      <c r="A80" s="28" t="s">
        <v>140</v>
      </c>
      <c r="B80" s="28" t="s">
        <v>723</v>
      </c>
      <c r="C80" s="26">
        <v>15.6</v>
      </c>
      <c r="D80" s="26">
        <v>632.29999999999995</v>
      </c>
      <c r="E80" s="26">
        <f t="shared" si="34"/>
        <v>647.9</v>
      </c>
      <c r="F80" s="27" t="str">
        <f t="shared" si="35"/>
        <v>Yes</v>
      </c>
      <c r="G80" s="27" t="s">
        <v>651</v>
      </c>
      <c r="H80" s="11">
        <v>0</v>
      </c>
      <c r="I80" s="11">
        <v>0</v>
      </c>
      <c r="J80" s="35">
        <f t="shared" si="36"/>
        <v>647.9</v>
      </c>
      <c r="K80" s="35">
        <f t="shared" si="37"/>
        <v>659.1289390193881</v>
      </c>
      <c r="L80" s="35">
        <f t="shared" si="38"/>
        <v>666.77972727086251</v>
      </c>
      <c r="M80" s="35">
        <f t="shared" si="39"/>
        <v>657.90671518191868</v>
      </c>
      <c r="N80" s="35">
        <f t="shared" si="40"/>
        <v>664.48578233373792</v>
      </c>
      <c r="O80" s="25"/>
      <c r="P80" s="35">
        <f t="shared" si="41"/>
        <v>647.9</v>
      </c>
      <c r="Q80" s="35">
        <f t="shared" si="42"/>
        <v>659.13</v>
      </c>
      <c r="R80" s="35">
        <f t="shared" si="43"/>
        <v>666.78</v>
      </c>
      <c r="S80" s="35">
        <f t="shared" si="44"/>
        <v>657.91</v>
      </c>
      <c r="T80" s="35">
        <f t="shared" si="45"/>
        <v>664.49</v>
      </c>
      <c r="U80" s="25"/>
      <c r="V80" s="25">
        <f t="shared" si="46"/>
        <v>647.9</v>
      </c>
      <c r="W80" s="25">
        <f t="shared" si="47"/>
        <v>0</v>
      </c>
    </row>
    <row r="81" spans="1:23">
      <c r="A81" s="28" t="s">
        <v>142</v>
      </c>
      <c r="B81" s="28" t="s">
        <v>724</v>
      </c>
      <c r="C81" s="26">
        <v>0</v>
      </c>
      <c r="D81" s="26">
        <v>318.95</v>
      </c>
      <c r="E81" s="26">
        <f t="shared" si="34"/>
        <v>318.95</v>
      </c>
      <c r="F81" s="27" t="str">
        <f t="shared" si="35"/>
        <v>Yes</v>
      </c>
      <c r="G81" s="27" t="s">
        <v>653</v>
      </c>
      <c r="H81" s="11">
        <v>0</v>
      </c>
      <c r="I81" s="11">
        <v>127.52</v>
      </c>
      <c r="J81" s="35">
        <f t="shared" si="36"/>
        <v>318.95</v>
      </c>
      <c r="K81" s="35">
        <f t="shared" si="37"/>
        <v>324.47781308880047</v>
      </c>
      <c r="L81" s="35">
        <f t="shared" si="38"/>
        <v>328.2441642430029</v>
      </c>
      <c r="M81" s="35">
        <f t="shared" si="39"/>
        <v>323.876133365138</v>
      </c>
      <c r="N81" s="35">
        <f t="shared" si="40"/>
        <v>327.11489469878939</v>
      </c>
      <c r="O81" s="25"/>
      <c r="P81" s="35">
        <f t="shared" si="41"/>
        <v>446.47</v>
      </c>
      <c r="Q81" s="35">
        <f t="shared" si="42"/>
        <v>452</v>
      </c>
      <c r="R81" s="35">
        <f t="shared" si="43"/>
        <v>455.76</v>
      </c>
      <c r="S81" s="35">
        <f t="shared" si="44"/>
        <v>451.4</v>
      </c>
      <c r="T81" s="35">
        <f t="shared" si="45"/>
        <v>454.63</v>
      </c>
      <c r="U81" s="25"/>
      <c r="V81" s="25">
        <f t="shared" si="46"/>
        <v>318.95</v>
      </c>
      <c r="W81" s="25">
        <f t="shared" si="47"/>
        <v>127.52000000000004</v>
      </c>
    </row>
    <row r="82" spans="1:23">
      <c r="A82" s="28" t="s">
        <v>144</v>
      </c>
      <c r="B82" s="28" t="s">
        <v>725</v>
      </c>
      <c r="C82" s="26">
        <v>51.85</v>
      </c>
      <c r="D82" s="26">
        <v>1412.58</v>
      </c>
      <c r="E82" s="26">
        <f t="shared" si="34"/>
        <v>1464.4299999999998</v>
      </c>
      <c r="F82" s="27" t="str">
        <f t="shared" si="35"/>
        <v>Yes</v>
      </c>
      <c r="G82" s="27" t="s">
        <v>651</v>
      </c>
      <c r="H82" s="11">
        <v>0</v>
      </c>
      <c r="I82" s="11">
        <v>0</v>
      </c>
      <c r="J82" s="35">
        <f t="shared" si="36"/>
        <v>1464.4299999999998</v>
      </c>
      <c r="K82" s="35">
        <f t="shared" si="37"/>
        <v>1489.8104524898324</v>
      </c>
      <c r="L82" s="35">
        <f t="shared" si="38"/>
        <v>1507.1033122507627</v>
      </c>
      <c r="M82" s="35">
        <f t="shared" si="39"/>
        <v>1487.047894603885</v>
      </c>
      <c r="N82" s="35">
        <f t="shared" si="40"/>
        <v>1501.9183735499239</v>
      </c>
      <c r="O82" s="25"/>
      <c r="P82" s="35">
        <f t="shared" si="41"/>
        <v>1464.43</v>
      </c>
      <c r="Q82" s="35">
        <f t="shared" si="42"/>
        <v>1489.81</v>
      </c>
      <c r="R82" s="35">
        <f t="shared" si="43"/>
        <v>1507.1</v>
      </c>
      <c r="S82" s="35">
        <f t="shared" si="44"/>
        <v>1487.05</v>
      </c>
      <c r="T82" s="35">
        <f t="shared" si="45"/>
        <v>1501.92</v>
      </c>
      <c r="U82" s="25"/>
      <c r="V82" s="25">
        <f t="shared" si="46"/>
        <v>1464.4299999999998</v>
      </c>
      <c r="W82" s="25">
        <f t="shared" si="47"/>
        <v>0</v>
      </c>
    </row>
    <row r="83" spans="1:23">
      <c r="A83" s="28" t="s">
        <v>146</v>
      </c>
      <c r="B83" s="28" t="s">
        <v>726</v>
      </c>
      <c r="C83" s="26">
        <v>11.1</v>
      </c>
      <c r="D83" s="26">
        <v>1667.09</v>
      </c>
      <c r="E83" s="26">
        <f t="shared" si="34"/>
        <v>1678.1899999999998</v>
      </c>
      <c r="F83" s="27" t="str">
        <f t="shared" si="35"/>
        <v>Yes</v>
      </c>
      <c r="G83" s="27" t="s">
        <v>651</v>
      </c>
      <c r="H83" s="11">
        <v>131.84</v>
      </c>
      <c r="I83" s="11">
        <v>0</v>
      </c>
      <c r="J83" s="35">
        <f t="shared" si="36"/>
        <v>1678.1899999999998</v>
      </c>
      <c r="K83" s="35">
        <f t="shared" si="37"/>
        <v>1707.2751877958742</v>
      </c>
      <c r="L83" s="35">
        <f t="shared" si="38"/>
        <v>1727.0922526758586</v>
      </c>
      <c r="M83" s="35">
        <f t="shared" si="39"/>
        <v>1704.1093847061954</v>
      </c>
      <c r="N83" s="35">
        <f t="shared" si="40"/>
        <v>1721.1504785532575</v>
      </c>
      <c r="O83" s="25"/>
      <c r="P83" s="35">
        <f t="shared" si="41"/>
        <v>1546.35</v>
      </c>
      <c r="Q83" s="35">
        <f t="shared" si="42"/>
        <v>1575.44</v>
      </c>
      <c r="R83" s="35">
        <f t="shared" si="43"/>
        <v>1595.25</v>
      </c>
      <c r="S83" s="35">
        <f t="shared" si="44"/>
        <v>1572.27</v>
      </c>
      <c r="T83" s="35">
        <f t="shared" si="45"/>
        <v>1589.31</v>
      </c>
      <c r="U83" s="25"/>
      <c r="V83" s="25">
        <f t="shared" si="46"/>
        <v>1678.1899999999998</v>
      </c>
      <c r="W83" s="25">
        <f t="shared" si="47"/>
        <v>-131.83999999999992</v>
      </c>
    </row>
    <row r="84" spans="1:23">
      <c r="A84" s="28" t="s">
        <v>148</v>
      </c>
      <c r="B84" s="28" t="s">
        <v>727</v>
      </c>
      <c r="C84" s="26">
        <v>0</v>
      </c>
      <c r="D84" s="26">
        <v>184.49</v>
      </c>
      <c r="E84" s="26">
        <f t="shared" si="34"/>
        <v>184.49</v>
      </c>
      <c r="F84" s="27" t="str">
        <f t="shared" si="35"/>
        <v>Yes</v>
      </c>
      <c r="G84" s="27" t="s">
        <v>651</v>
      </c>
      <c r="H84" s="11">
        <v>0</v>
      </c>
      <c r="I84" s="11">
        <v>0</v>
      </c>
      <c r="J84" s="35">
        <f t="shared" si="36"/>
        <v>184.49</v>
      </c>
      <c r="K84" s="35">
        <f t="shared" si="37"/>
        <v>187.68744861813076</v>
      </c>
      <c r="L84" s="35">
        <f t="shared" si="38"/>
        <v>189.86601618182038</v>
      </c>
      <c r="M84" s="35">
        <f t="shared" si="39"/>
        <v>187.33941948435279</v>
      </c>
      <c r="N84" s="35">
        <f t="shared" si="40"/>
        <v>189.21281367919633</v>
      </c>
      <c r="O84" s="25"/>
      <c r="P84" s="35">
        <f t="shared" si="41"/>
        <v>184.49</v>
      </c>
      <c r="Q84" s="35">
        <f t="shared" si="42"/>
        <v>187.69</v>
      </c>
      <c r="R84" s="35">
        <f t="shared" si="43"/>
        <v>189.87</v>
      </c>
      <c r="S84" s="35">
        <f t="shared" si="44"/>
        <v>187.34</v>
      </c>
      <c r="T84" s="35">
        <f t="shared" si="45"/>
        <v>189.21</v>
      </c>
      <c r="U84" s="25"/>
      <c r="V84" s="25">
        <f t="shared" si="46"/>
        <v>184.49</v>
      </c>
      <c r="W84" s="25">
        <f t="shared" si="47"/>
        <v>0</v>
      </c>
    </row>
    <row r="85" spans="1:23">
      <c r="A85" s="28" t="s">
        <v>150</v>
      </c>
      <c r="B85" s="28" t="s">
        <v>728</v>
      </c>
      <c r="C85" s="26">
        <v>0</v>
      </c>
      <c r="D85" s="26">
        <v>208.02</v>
      </c>
      <c r="E85" s="26">
        <f t="shared" si="34"/>
        <v>208.02</v>
      </c>
      <c r="F85" s="27" t="str">
        <f t="shared" si="35"/>
        <v>Yes</v>
      </c>
      <c r="G85" s="27" t="s">
        <v>651</v>
      </c>
      <c r="H85" s="11">
        <v>16.899999999999999</v>
      </c>
      <c r="I85" s="11">
        <v>0</v>
      </c>
      <c r="J85" s="35">
        <f t="shared" si="36"/>
        <v>208.02</v>
      </c>
      <c r="K85" s="35">
        <f t="shared" si="37"/>
        <v>211.62525373485587</v>
      </c>
      <c r="L85" s="35">
        <f t="shared" si="38"/>
        <v>214.08167752258811</v>
      </c>
      <c r="M85" s="35">
        <f t="shared" si="39"/>
        <v>211.23283669106766</v>
      </c>
      <c r="N85" s="35">
        <f t="shared" si="40"/>
        <v>213.34516505797833</v>
      </c>
      <c r="O85" s="25"/>
      <c r="P85" s="35">
        <f t="shared" si="41"/>
        <v>191.12</v>
      </c>
      <c r="Q85" s="35">
        <f t="shared" si="42"/>
        <v>194.73</v>
      </c>
      <c r="R85" s="35">
        <f t="shared" si="43"/>
        <v>197.18</v>
      </c>
      <c r="S85" s="35">
        <f t="shared" si="44"/>
        <v>194.33</v>
      </c>
      <c r="T85" s="35">
        <f t="shared" si="45"/>
        <v>196.45</v>
      </c>
      <c r="U85" s="25"/>
      <c r="V85" s="25">
        <f t="shared" si="46"/>
        <v>208.02</v>
      </c>
      <c r="W85" s="25">
        <f t="shared" si="47"/>
        <v>-16.900000000000006</v>
      </c>
    </row>
    <row r="86" spans="1:23">
      <c r="A86" s="28" t="s">
        <v>152</v>
      </c>
      <c r="B86" s="28" t="s">
        <v>729</v>
      </c>
      <c r="C86" s="26">
        <v>12.38</v>
      </c>
      <c r="D86" s="26">
        <v>169.1</v>
      </c>
      <c r="E86" s="26">
        <f t="shared" si="34"/>
        <v>181.48</v>
      </c>
      <c r="F86" s="27" t="str">
        <f t="shared" si="35"/>
        <v>Yes</v>
      </c>
      <c r="G86" s="27" t="s">
        <v>653</v>
      </c>
      <c r="H86" s="11">
        <v>0</v>
      </c>
      <c r="I86" s="11">
        <v>128.34</v>
      </c>
      <c r="J86" s="35">
        <f t="shared" si="36"/>
        <v>181.48</v>
      </c>
      <c r="K86" s="35">
        <f t="shared" si="37"/>
        <v>184.62528145275283</v>
      </c>
      <c r="L86" s="35">
        <f t="shared" si="38"/>
        <v>186.76830514757853</v>
      </c>
      <c r="M86" s="35">
        <f t="shared" si="39"/>
        <v>184.28293050040838</v>
      </c>
      <c r="N86" s="35">
        <f t="shared" si="40"/>
        <v>186.12575980541246</v>
      </c>
      <c r="O86" s="25"/>
      <c r="P86" s="35">
        <f t="shared" si="41"/>
        <v>309.82</v>
      </c>
      <c r="Q86" s="35">
        <f t="shared" si="42"/>
        <v>312.97000000000003</v>
      </c>
      <c r="R86" s="35">
        <f t="shared" si="43"/>
        <v>315.11</v>
      </c>
      <c r="S86" s="35">
        <f t="shared" si="44"/>
        <v>312.62</v>
      </c>
      <c r="T86" s="35">
        <f t="shared" si="45"/>
        <v>314.47000000000003</v>
      </c>
      <c r="U86" s="25"/>
      <c r="V86" s="25">
        <f t="shared" si="46"/>
        <v>181.48</v>
      </c>
      <c r="W86" s="25">
        <f t="shared" si="47"/>
        <v>128.34</v>
      </c>
    </row>
    <row r="87" spans="1:23">
      <c r="A87" s="28" t="s">
        <v>154</v>
      </c>
      <c r="B87" s="28" t="s">
        <v>730</v>
      </c>
      <c r="C87" s="26">
        <v>0</v>
      </c>
      <c r="D87" s="26">
        <v>58.1</v>
      </c>
      <c r="E87" s="26">
        <f t="shared" si="34"/>
        <v>58.1</v>
      </c>
      <c r="F87" s="27" t="str">
        <f t="shared" si="35"/>
        <v>No</v>
      </c>
      <c r="G87" s="27" t="s">
        <v>653</v>
      </c>
      <c r="H87" s="11">
        <v>0</v>
      </c>
      <c r="I87" s="11">
        <v>32.46</v>
      </c>
      <c r="J87" s="35">
        <f t="shared" si="36"/>
        <v>58.1</v>
      </c>
      <c r="K87" s="35">
        <f t="shared" si="37"/>
        <v>58.1</v>
      </c>
      <c r="L87" s="35">
        <f t="shared" si="38"/>
        <v>58.1</v>
      </c>
      <c r="M87" s="35">
        <f t="shared" si="39"/>
        <v>58.1</v>
      </c>
      <c r="N87" s="35">
        <f t="shared" si="40"/>
        <v>58.1</v>
      </c>
      <c r="O87" s="25"/>
      <c r="P87" s="35">
        <f t="shared" si="41"/>
        <v>90.56</v>
      </c>
      <c r="Q87" s="35">
        <f t="shared" si="42"/>
        <v>90.56</v>
      </c>
      <c r="R87" s="35">
        <f t="shared" si="43"/>
        <v>90.56</v>
      </c>
      <c r="S87" s="35">
        <f t="shared" si="44"/>
        <v>90.56</v>
      </c>
      <c r="T87" s="35">
        <f t="shared" si="45"/>
        <v>90.56</v>
      </c>
      <c r="U87" s="25"/>
      <c r="V87" s="25">
        <f t="shared" si="46"/>
        <v>58.1</v>
      </c>
      <c r="W87" s="25">
        <f t="shared" si="47"/>
        <v>32.46</v>
      </c>
    </row>
    <row r="88" spans="1:23">
      <c r="A88" s="28" t="s">
        <v>156</v>
      </c>
      <c r="B88" s="28" t="s">
        <v>731</v>
      </c>
      <c r="C88" s="26">
        <v>9.9</v>
      </c>
      <c r="D88" s="26">
        <v>168.76</v>
      </c>
      <c r="E88" s="26">
        <f t="shared" si="34"/>
        <v>178.66</v>
      </c>
      <c r="F88" s="27" t="str">
        <f t="shared" si="35"/>
        <v>Yes</v>
      </c>
      <c r="G88" s="27" t="s">
        <v>651</v>
      </c>
      <c r="H88" s="11">
        <v>0</v>
      </c>
      <c r="I88" s="11">
        <v>0</v>
      </c>
      <c r="J88" s="35">
        <f t="shared" si="36"/>
        <v>178.66</v>
      </c>
      <c r="K88" s="35">
        <f t="shared" si="37"/>
        <v>181.75640723136885</v>
      </c>
      <c r="L88" s="35">
        <f t="shared" si="38"/>
        <v>183.86613069024895</v>
      </c>
      <c r="M88" s="35">
        <f t="shared" si="39"/>
        <v>181.4193760370452</v>
      </c>
      <c r="N88" s="35">
        <f t="shared" si="40"/>
        <v>183.23356979741564</v>
      </c>
      <c r="O88" s="25"/>
      <c r="P88" s="35">
        <f t="shared" si="41"/>
        <v>178.66</v>
      </c>
      <c r="Q88" s="35">
        <f t="shared" si="42"/>
        <v>181.76</v>
      </c>
      <c r="R88" s="35">
        <f t="shared" si="43"/>
        <v>183.87</v>
      </c>
      <c r="S88" s="35">
        <f t="shared" si="44"/>
        <v>181.42</v>
      </c>
      <c r="T88" s="35">
        <f t="shared" si="45"/>
        <v>183.23</v>
      </c>
      <c r="U88" s="25"/>
      <c r="V88" s="25">
        <f t="shared" si="46"/>
        <v>178.66</v>
      </c>
      <c r="W88" s="25">
        <f t="shared" si="47"/>
        <v>0</v>
      </c>
    </row>
    <row r="89" spans="1:23">
      <c r="A89" s="28" t="s">
        <v>158</v>
      </c>
      <c r="B89" s="28" t="s">
        <v>732</v>
      </c>
      <c r="C89" s="26">
        <v>0</v>
      </c>
      <c r="D89" s="26">
        <v>584.16</v>
      </c>
      <c r="E89" s="26">
        <f t="shared" si="34"/>
        <v>584.16</v>
      </c>
      <c r="F89" s="27" t="str">
        <f t="shared" si="35"/>
        <v>Yes</v>
      </c>
      <c r="G89" s="27" t="s">
        <v>651</v>
      </c>
      <c r="H89" s="11">
        <v>0</v>
      </c>
      <c r="I89" s="11">
        <v>0</v>
      </c>
      <c r="J89" s="35">
        <f t="shared" si="36"/>
        <v>584.16</v>
      </c>
      <c r="K89" s="35">
        <f t="shared" si="37"/>
        <v>594.28424296583694</v>
      </c>
      <c r="L89" s="35">
        <f t="shared" si="38"/>
        <v>601.18235141618618</v>
      </c>
      <c r="M89" s="35">
        <f t="shared" si="39"/>
        <v>593.18226075114922</v>
      </c>
      <c r="N89" s="35">
        <f t="shared" si="40"/>
        <v>599.11408335866076</v>
      </c>
      <c r="O89" s="25"/>
      <c r="P89" s="35">
        <f t="shared" si="41"/>
        <v>584.16</v>
      </c>
      <c r="Q89" s="35">
        <f t="shared" si="42"/>
        <v>594.28</v>
      </c>
      <c r="R89" s="35">
        <f t="shared" si="43"/>
        <v>601.17999999999995</v>
      </c>
      <c r="S89" s="35">
        <f t="shared" si="44"/>
        <v>593.17999999999995</v>
      </c>
      <c r="T89" s="35">
        <f t="shared" si="45"/>
        <v>599.11</v>
      </c>
      <c r="U89" s="25"/>
      <c r="V89" s="25">
        <f t="shared" si="46"/>
        <v>584.16</v>
      </c>
      <c r="W89" s="25">
        <f t="shared" si="47"/>
        <v>0</v>
      </c>
    </row>
    <row r="90" spans="1:23">
      <c r="A90" s="28" t="s">
        <v>160</v>
      </c>
      <c r="B90" s="28" t="s">
        <v>733</v>
      </c>
      <c r="C90" s="26">
        <v>18.8</v>
      </c>
      <c r="D90" s="26">
        <v>301.77999999999997</v>
      </c>
      <c r="E90" s="26">
        <f t="shared" si="34"/>
        <v>320.58</v>
      </c>
      <c r="F90" s="27" t="str">
        <f t="shared" si="35"/>
        <v>Yes</v>
      </c>
      <c r="G90" s="27" t="s">
        <v>651</v>
      </c>
      <c r="H90" s="11">
        <v>0</v>
      </c>
      <c r="I90" s="11">
        <v>0</v>
      </c>
      <c r="J90" s="35">
        <f t="shared" si="36"/>
        <v>320.58</v>
      </c>
      <c r="K90" s="35">
        <f t="shared" si="37"/>
        <v>326.13606308201179</v>
      </c>
      <c r="L90" s="35">
        <f t="shared" si="38"/>
        <v>329.92166224493457</v>
      </c>
      <c r="M90" s="35">
        <f t="shared" si="39"/>
        <v>325.53130846275582</v>
      </c>
      <c r="N90" s="35">
        <f t="shared" si="40"/>
        <v>328.78662154738339</v>
      </c>
      <c r="O90" s="25"/>
      <c r="P90" s="35">
        <f t="shared" si="41"/>
        <v>320.58</v>
      </c>
      <c r="Q90" s="35">
        <f t="shared" si="42"/>
        <v>326.14</v>
      </c>
      <c r="R90" s="35">
        <f t="shared" si="43"/>
        <v>329.92</v>
      </c>
      <c r="S90" s="35">
        <f t="shared" si="44"/>
        <v>325.52999999999997</v>
      </c>
      <c r="T90" s="35">
        <f t="shared" si="45"/>
        <v>328.79</v>
      </c>
      <c r="U90" s="25"/>
      <c r="V90" s="25">
        <f t="shared" si="46"/>
        <v>320.58</v>
      </c>
      <c r="W90" s="25">
        <f t="shared" si="47"/>
        <v>0</v>
      </c>
    </row>
    <row r="91" spans="1:23">
      <c r="A91" s="28" t="s">
        <v>162</v>
      </c>
      <c r="B91" s="28" t="s">
        <v>734</v>
      </c>
      <c r="C91" s="26">
        <v>30.7</v>
      </c>
      <c r="D91" s="26">
        <v>5571.39</v>
      </c>
      <c r="E91" s="26">
        <f t="shared" si="34"/>
        <v>5602.09</v>
      </c>
      <c r="F91" s="27" t="str">
        <f t="shared" si="35"/>
        <v>Yes</v>
      </c>
      <c r="G91" s="27" t="s">
        <v>651</v>
      </c>
      <c r="H91" s="11">
        <v>0</v>
      </c>
      <c r="I91" s="11">
        <v>0</v>
      </c>
      <c r="J91" s="35">
        <f t="shared" si="36"/>
        <v>5602.09</v>
      </c>
      <c r="K91" s="35">
        <f t="shared" si="37"/>
        <v>5699.1814137847268</v>
      </c>
      <c r="L91" s="35">
        <f t="shared" si="38"/>
        <v>5765.3342218657617</v>
      </c>
      <c r="M91" s="35">
        <f t="shared" si="39"/>
        <v>5688.6134126462039</v>
      </c>
      <c r="N91" s="35">
        <f t="shared" si="40"/>
        <v>5745.4995467726658</v>
      </c>
      <c r="O91" s="25"/>
      <c r="P91" s="35">
        <f t="shared" si="41"/>
        <v>5602.09</v>
      </c>
      <c r="Q91" s="35">
        <f t="shared" si="42"/>
        <v>5699.18</v>
      </c>
      <c r="R91" s="35">
        <f t="shared" si="43"/>
        <v>5765.33</v>
      </c>
      <c r="S91" s="35">
        <f t="shared" si="44"/>
        <v>5688.61</v>
      </c>
      <c r="T91" s="35">
        <f t="shared" si="45"/>
        <v>5745.5</v>
      </c>
      <c r="U91" s="25"/>
      <c r="V91" s="25">
        <f t="shared" si="46"/>
        <v>5602.09</v>
      </c>
      <c r="W91" s="25">
        <f t="shared" si="47"/>
        <v>0</v>
      </c>
    </row>
    <row r="92" spans="1:23">
      <c r="A92" s="28" t="s">
        <v>164</v>
      </c>
      <c r="B92" s="28" t="s">
        <v>735</v>
      </c>
      <c r="C92" s="26">
        <v>0</v>
      </c>
      <c r="D92" s="26">
        <v>1006.32</v>
      </c>
      <c r="E92" s="26">
        <f t="shared" si="34"/>
        <v>1006.32</v>
      </c>
      <c r="F92" s="27" t="str">
        <f t="shared" si="35"/>
        <v>Yes</v>
      </c>
      <c r="G92" s="27" t="s">
        <v>651</v>
      </c>
      <c r="H92" s="11">
        <v>0</v>
      </c>
      <c r="I92" s="11">
        <v>0</v>
      </c>
      <c r="J92" s="35">
        <f t="shared" si="36"/>
        <v>1006.32</v>
      </c>
      <c r="K92" s="35">
        <f t="shared" si="37"/>
        <v>1023.7608178947225</v>
      </c>
      <c r="L92" s="35">
        <f t="shared" si="38"/>
        <v>1035.6440425176947</v>
      </c>
      <c r="M92" s="35">
        <f t="shared" si="39"/>
        <v>1021.8624565856898</v>
      </c>
      <c r="N92" s="35">
        <f t="shared" si="40"/>
        <v>1032.0810811515466</v>
      </c>
      <c r="O92" s="25"/>
      <c r="P92" s="35">
        <f t="shared" si="41"/>
        <v>1006.32</v>
      </c>
      <c r="Q92" s="35">
        <f t="shared" si="42"/>
        <v>1023.76</v>
      </c>
      <c r="R92" s="35">
        <f t="shared" si="43"/>
        <v>1035.6400000000001</v>
      </c>
      <c r="S92" s="35">
        <f t="shared" si="44"/>
        <v>1021.86</v>
      </c>
      <c r="T92" s="35">
        <f t="shared" si="45"/>
        <v>1032.08</v>
      </c>
      <c r="U92" s="25"/>
      <c r="V92" s="25">
        <f t="shared" si="46"/>
        <v>1006.32</v>
      </c>
      <c r="W92" s="25">
        <f t="shared" si="47"/>
        <v>0</v>
      </c>
    </row>
    <row r="93" spans="1:23">
      <c r="A93" s="28" t="s">
        <v>166</v>
      </c>
      <c r="B93" s="28" t="s">
        <v>736</v>
      </c>
      <c r="C93" s="26">
        <v>15.4</v>
      </c>
      <c r="D93" s="26">
        <v>1140.0999999999999</v>
      </c>
      <c r="E93" s="26">
        <f t="shared" si="34"/>
        <v>1155.5</v>
      </c>
      <c r="F93" s="27" t="str">
        <f t="shared" si="35"/>
        <v>Yes</v>
      </c>
      <c r="G93" s="27" t="s">
        <v>651</v>
      </c>
      <c r="H93" s="11">
        <v>0</v>
      </c>
      <c r="I93" s="11">
        <v>0</v>
      </c>
      <c r="J93" s="35">
        <f t="shared" si="36"/>
        <v>1155.5</v>
      </c>
      <c r="K93" s="35">
        <f t="shared" si="37"/>
        <v>1175.5262988685029</v>
      </c>
      <c r="L93" s="35">
        <f t="shared" si="38"/>
        <v>1189.1711295901862</v>
      </c>
      <c r="M93" s="35">
        <f t="shared" si="39"/>
        <v>1173.3465185872928</v>
      </c>
      <c r="N93" s="35">
        <f t="shared" si="40"/>
        <v>1185.0799837731658</v>
      </c>
      <c r="O93" s="25"/>
      <c r="P93" s="35">
        <f t="shared" si="41"/>
        <v>1155.5</v>
      </c>
      <c r="Q93" s="35">
        <f t="shared" si="42"/>
        <v>1175.53</v>
      </c>
      <c r="R93" s="35">
        <f t="shared" si="43"/>
        <v>1189.17</v>
      </c>
      <c r="S93" s="35">
        <f t="shared" si="44"/>
        <v>1173.3499999999999</v>
      </c>
      <c r="T93" s="35">
        <f t="shared" si="45"/>
        <v>1185.08</v>
      </c>
      <c r="U93" s="25"/>
      <c r="V93" s="25">
        <f t="shared" si="46"/>
        <v>1155.5</v>
      </c>
      <c r="W93" s="25">
        <f t="shared" si="47"/>
        <v>0</v>
      </c>
    </row>
    <row r="94" spans="1:23">
      <c r="A94" s="28" t="s">
        <v>168</v>
      </c>
      <c r="B94" s="28" t="s">
        <v>737</v>
      </c>
      <c r="C94" s="26">
        <v>0</v>
      </c>
      <c r="D94" s="26">
        <v>41.6</v>
      </c>
      <c r="E94" s="26">
        <f t="shared" si="34"/>
        <v>41.6</v>
      </c>
      <c r="F94" s="27" t="str">
        <f t="shared" si="35"/>
        <v>No</v>
      </c>
      <c r="G94" s="27" t="s">
        <v>653</v>
      </c>
      <c r="H94" s="11">
        <v>0</v>
      </c>
      <c r="I94" s="11">
        <v>16.899999999999999</v>
      </c>
      <c r="J94" s="35">
        <f t="shared" si="36"/>
        <v>41.6</v>
      </c>
      <c r="K94" s="35">
        <f t="shared" si="37"/>
        <v>41.6</v>
      </c>
      <c r="L94" s="35">
        <f t="shared" si="38"/>
        <v>41.6</v>
      </c>
      <c r="M94" s="35">
        <f t="shared" si="39"/>
        <v>41.6</v>
      </c>
      <c r="N94" s="35">
        <f t="shared" si="40"/>
        <v>41.6</v>
      </c>
      <c r="O94" s="25"/>
      <c r="P94" s="35">
        <f t="shared" si="41"/>
        <v>58.5</v>
      </c>
      <c r="Q94" s="35">
        <f t="shared" si="42"/>
        <v>58.5</v>
      </c>
      <c r="R94" s="35">
        <f t="shared" si="43"/>
        <v>58.5</v>
      </c>
      <c r="S94" s="35">
        <f t="shared" si="44"/>
        <v>58.5</v>
      </c>
      <c r="T94" s="35">
        <f t="shared" si="45"/>
        <v>58.5</v>
      </c>
      <c r="U94" s="25"/>
      <c r="V94" s="25">
        <f t="shared" si="46"/>
        <v>41.6</v>
      </c>
      <c r="W94" s="25">
        <f t="shared" si="47"/>
        <v>16.899999999999999</v>
      </c>
    </row>
    <row r="95" spans="1:23">
      <c r="A95" s="28" t="s">
        <v>170</v>
      </c>
      <c r="B95" s="28" t="s">
        <v>738</v>
      </c>
      <c r="C95" s="26">
        <v>4.9000000000000004</v>
      </c>
      <c r="D95" s="26">
        <v>68.55</v>
      </c>
      <c r="E95" s="26">
        <f t="shared" si="34"/>
        <v>73.45</v>
      </c>
      <c r="F95" s="27" t="str">
        <f t="shared" si="35"/>
        <v>No</v>
      </c>
      <c r="G95" s="27" t="s">
        <v>653</v>
      </c>
      <c r="H95" s="11">
        <v>0</v>
      </c>
      <c r="I95" s="11">
        <v>16.39</v>
      </c>
      <c r="J95" s="35">
        <f t="shared" si="36"/>
        <v>73.45</v>
      </c>
      <c r="K95" s="35">
        <f t="shared" si="37"/>
        <v>73.45</v>
      </c>
      <c r="L95" s="35">
        <f t="shared" si="38"/>
        <v>73.45</v>
      </c>
      <c r="M95" s="35">
        <f t="shared" si="39"/>
        <v>73.45</v>
      </c>
      <c r="N95" s="35">
        <f t="shared" si="40"/>
        <v>73.45</v>
      </c>
      <c r="O95" s="25"/>
      <c r="P95" s="35">
        <f t="shared" si="41"/>
        <v>89.84</v>
      </c>
      <c r="Q95" s="35">
        <f t="shared" si="42"/>
        <v>89.84</v>
      </c>
      <c r="R95" s="35">
        <f t="shared" si="43"/>
        <v>89.84</v>
      </c>
      <c r="S95" s="35">
        <f t="shared" si="44"/>
        <v>89.84</v>
      </c>
      <c r="T95" s="35">
        <f t="shared" si="45"/>
        <v>89.84</v>
      </c>
      <c r="U95" s="25"/>
      <c r="V95" s="25">
        <f t="shared" si="46"/>
        <v>73.45</v>
      </c>
      <c r="W95" s="25">
        <f t="shared" si="47"/>
        <v>16.39</v>
      </c>
    </row>
    <row r="96" spans="1:23">
      <c r="A96" s="28" t="s">
        <v>172</v>
      </c>
      <c r="B96" s="28" t="s">
        <v>739</v>
      </c>
      <c r="C96" s="26">
        <v>0</v>
      </c>
      <c r="D96" s="26">
        <v>630.75</v>
      </c>
      <c r="E96" s="26">
        <f t="shared" si="34"/>
        <v>630.75</v>
      </c>
      <c r="F96" s="27" t="str">
        <f t="shared" si="35"/>
        <v>Yes</v>
      </c>
      <c r="G96" s="27" t="s">
        <v>651</v>
      </c>
      <c r="H96" s="11">
        <v>16.39</v>
      </c>
      <c r="I96" s="11">
        <v>0</v>
      </c>
      <c r="J96" s="35">
        <f t="shared" si="36"/>
        <v>630.75</v>
      </c>
      <c r="K96" s="35">
        <f t="shared" si="37"/>
        <v>641.68170749572323</v>
      </c>
      <c r="L96" s="35">
        <f t="shared" si="38"/>
        <v>649.12997835483338</v>
      </c>
      <c r="M96" s="35">
        <f t="shared" si="39"/>
        <v>640.49183608735177</v>
      </c>
      <c r="N96" s="35">
        <f t="shared" si="40"/>
        <v>646.89675444822524</v>
      </c>
      <c r="O96" s="25"/>
      <c r="P96" s="35">
        <f t="shared" si="41"/>
        <v>614.36</v>
      </c>
      <c r="Q96" s="35">
        <f t="shared" si="42"/>
        <v>625.29</v>
      </c>
      <c r="R96" s="35">
        <f t="shared" si="43"/>
        <v>632.74</v>
      </c>
      <c r="S96" s="35">
        <f t="shared" si="44"/>
        <v>624.1</v>
      </c>
      <c r="T96" s="35">
        <f t="shared" si="45"/>
        <v>630.51</v>
      </c>
      <c r="U96" s="25"/>
      <c r="V96" s="25">
        <f t="shared" si="46"/>
        <v>630.75</v>
      </c>
      <c r="W96" s="25">
        <f t="shared" si="47"/>
        <v>-16.389999999999986</v>
      </c>
    </row>
    <row r="97" spans="1:23">
      <c r="A97" s="28" t="s">
        <v>174</v>
      </c>
      <c r="B97" s="28" t="s">
        <v>740</v>
      </c>
      <c r="C97" s="26">
        <v>28.1</v>
      </c>
      <c r="D97" s="26">
        <v>662.53</v>
      </c>
      <c r="E97" s="26">
        <f t="shared" si="34"/>
        <v>690.63</v>
      </c>
      <c r="F97" s="27" t="str">
        <f t="shared" si="35"/>
        <v>Yes</v>
      </c>
      <c r="G97" s="27" t="s">
        <v>651</v>
      </c>
      <c r="H97" s="11">
        <v>0</v>
      </c>
      <c r="I97" s="11">
        <v>0</v>
      </c>
      <c r="J97" s="35">
        <f t="shared" si="36"/>
        <v>690.63</v>
      </c>
      <c r="K97" s="35">
        <f t="shared" si="37"/>
        <v>702.59950479234453</v>
      </c>
      <c r="L97" s="35">
        <f t="shared" si="38"/>
        <v>710.75487427855501</v>
      </c>
      <c r="M97" s="35">
        <f t="shared" si="39"/>
        <v>701.29667341578715</v>
      </c>
      <c r="N97" s="35">
        <f t="shared" si="40"/>
        <v>708.30964014994504</v>
      </c>
      <c r="O97" s="25"/>
      <c r="P97" s="35">
        <f t="shared" si="41"/>
        <v>690.63</v>
      </c>
      <c r="Q97" s="35">
        <f t="shared" si="42"/>
        <v>702.6</v>
      </c>
      <c r="R97" s="35">
        <f t="shared" si="43"/>
        <v>710.75</v>
      </c>
      <c r="S97" s="35">
        <f t="shared" si="44"/>
        <v>701.3</v>
      </c>
      <c r="T97" s="35">
        <f t="shared" si="45"/>
        <v>708.31</v>
      </c>
      <c r="U97" s="25"/>
      <c r="V97" s="25">
        <f t="shared" si="46"/>
        <v>690.63</v>
      </c>
      <c r="W97" s="25">
        <f t="shared" si="47"/>
        <v>0</v>
      </c>
    </row>
    <row r="98" spans="1:23">
      <c r="A98" s="28" t="s">
        <v>176</v>
      </c>
      <c r="B98" s="28" t="s">
        <v>741</v>
      </c>
      <c r="C98" s="26">
        <v>28.7</v>
      </c>
      <c r="D98" s="26">
        <v>1154.02</v>
      </c>
      <c r="E98" s="26">
        <f t="shared" si="34"/>
        <v>1182.72</v>
      </c>
      <c r="F98" s="27" t="str">
        <f t="shared" si="35"/>
        <v>Yes</v>
      </c>
      <c r="G98" s="27" t="s">
        <v>651</v>
      </c>
      <c r="H98" s="11">
        <v>0</v>
      </c>
      <c r="I98" s="11">
        <v>0</v>
      </c>
      <c r="J98" s="35">
        <f t="shared" si="36"/>
        <v>1182.72</v>
      </c>
      <c r="K98" s="35">
        <f t="shared" si="37"/>
        <v>1203.2180564238474</v>
      </c>
      <c r="L98" s="35">
        <f t="shared" si="38"/>
        <v>1217.1843170825662</v>
      </c>
      <c r="M98" s="35">
        <f t="shared" si="39"/>
        <v>1200.9869272726639</v>
      </c>
      <c r="N98" s="35">
        <f t="shared" si="40"/>
        <v>1212.9967965453907</v>
      </c>
      <c r="O98" s="25"/>
      <c r="P98" s="35">
        <f t="shared" si="41"/>
        <v>1182.72</v>
      </c>
      <c r="Q98" s="35">
        <f t="shared" si="42"/>
        <v>1203.22</v>
      </c>
      <c r="R98" s="35">
        <f t="shared" si="43"/>
        <v>1217.18</v>
      </c>
      <c r="S98" s="35">
        <f t="shared" si="44"/>
        <v>1200.99</v>
      </c>
      <c r="T98" s="35">
        <f t="shared" si="45"/>
        <v>1213</v>
      </c>
      <c r="U98" s="25"/>
      <c r="V98" s="25">
        <f t="shared" si="46"/>
        <v>1182.72</v>
      </c>
      <c r="W98" s="25">
        <f t="shared" si="47"/>
        <v>0</v>
      </c>
    </row>
    <row r="99" spans="1:23">
      <c r="A99" s="28" t="s">
        <v>178</v>
      </c>
      <c r="B99" s="28" t="s">
        <v>742</v>
      </c>
      <c r="C99" s="26">
        <v>0</v>
      </c>
      <c r="D99" s="26">
        <v>49779.05</v>
      </c>
      <c r="E99" s="26">
        <f t="shared" si="34"/>
        <v>49779.05</v>
      </c>
      <c r="F99" s="27" t="str">
        <f t="shared" si="35"/>
        <v>Yes</v>
      </c>
      <c r="G99" s="27" t="s">
        <v>651</v>
      </c>
      <c r="H99" s="11">
        <v>0</v>
      </c>
      <c r="I99" s="11">
        <v>0</v>
      </c>
      <c r="J99" s="35">
        <f t="shared" si="36"/>
        <v>49779.05</v>
      </c>
      <c r="K99" s="35">
        <f t="shared" si="37"/>
        <v>50641.784861696367</v>
      </c>
      <c r="L99" s="35">
        <f t="shared" si="38"/>
        <v>51229.605468131864</v>
      </c>
      <c r="M99" s="35">
        <f t="shared" si="39"/>
        <v>50547.879719673547</v>
      </c>
      <c r="N99" s="35">
        <f t="shared" si="40"/>
        <v>51053.358516870285</v>
      </c>
      <c r="O99" s="25"/>
      <c r="P99" s="35">
        <f t="shared" si="41"/>
        <v>49779.05</v>
      </c>
      <c r="Q99" s="35">
        <f t="shared" si="42"/>
        <v>50641.78</v>
      </c>
      <c r="R99" s="35">
        <f t="shared" si="43"/>
        <v>51229.61</v>
      </c>
      <c r="S99" s="35">
        <f t="shared" si="44"/>
        <v>50547.88</v>
      </c>
      <c r="T99" s="35">
        <f t="shared" si="45"/>
        <v>51053.36</v>
      </c>
      <c r="U99" s="25"/>
      <c r="V99" s="25">
        <f t="shared" si="46"/>
        <v>49779.05</v>
      </c>
      <c r="W99" s="25">
        <f t="shared" si="47"/>
        <v>0</v>
      </c>
    </row>
    <row r="100" spans="1:23">
      <c r="A100" s="28" t="s">
        <v>180</v>
      </c>
      <c r="B100" s="28" t="s">
        <v>743</v>
      </c>
      <c r="C100" s="26">
        <v>97.1</v>
      </c>
      <c r="D100" s="26">
        <v>20822.41</v>
      </c>
      <c r="E100" s="26">
        <f t="shared" si="34"/>
        <v>20919.509999999998</v>
      </c>
      <c r="F100" s="27" t="str">
        <f t="shared" si="35"/>
        <v>Yes</v>
      </c>
      <c r="G100" s="27" t="s">
        <v>651</v>
      </c>
      <c r="H100" s="11">
        <v>4.7</v>
      </c>
      <c r="I100" s="11">
        <v>0</v>
      </c>
      <c r="J100" s="35">
        <f t="shared" si="36"/>
        <v>20919.509999999998</v>
      </c>
      <c r="K100" s="35">
        <f t="shared" si="37"/>
        <v>21282.071972689428</v>
      </c>
      <c r="L100" s="35">
        <f t="shared" si="38"/>
        <v>21529.101979379659</v>
      </c>
      <c r="M100" s="35">
        <f t="shared" si="39"/>
        <v>21242.608592862012</v>
      </c>
      <c r="N100" s="35">
        <f t="shared" si="40"/>
        <v>21455.034678790631</v>
      </c>
      <c r="O100" s="25"/>
      <c r="P100" s="35">
        <f t="shared" si="41"/>
        <v>20914.810000000001</v>
      </c>
      <c r="Q100" s="35">
        <f t="shared" si="42"/>
        <v>21277.37</v>
      </c>
      <c r="R100" s="35">
        <f t="shared" si="43"/>
        <v>21524.400000000001</v>
      </c>
      <c r="S100" s="35">
        <f t="shared" si="44"/>
        <v>21237.91</v>
      </c>
      <c r="T100" s="35">
        <f t="shared" si="45"/>
        <v>21450.33</v>
      </c>
      <c r="U100" s="25"/>
      <c r="V100" s="25">
        <f t="shared" si="46"/>
        <v>20919.509999999998</v>
      </c>
      <c r="W100" s="25">
        <f t="shared" si="47"/>
        <v>-4.6999999999970896</v>
      </c>
    </row>
    <row r="101" spans="1:23">
      <c r="A101" s="28" t="s">
        <v>182</v>
      </c>
      <c r="B101" s="28" t="s">
        <v>744</v>
      </c>
      <c r="C101" s="26">
        <v>39.700000000000003</v>
      </c>
      <c r="D101" s="26">
        <v>4316.3900000000003</v>
      </c>
      <c r="E101" s="26">
        <f t="shared" si="34"/>
        <v>4356.09</v>
      </c>
      <c r="F101" s="27" t="str">
        <f t="shared" si="35"/>
        <v>Yes</v>
      </c>
      <c r="G101" s="27" t="s">
        <v>651</v>
      </c>
      <c r="H101" s="11">
        <v>2</v>
      </c>
      <c r="I101" s="11">
        <v>0</v>
      </c>
      <c r="J101" s="35">
        <f t="shared" si="36"/>
        <v>4356.09</v>
      </c>
      <c r="K101" s="35">
        <f t="shared" si="37"/>
        <v>4431.5866336980498</v>
      </c>
      <c r="L101" s="35">
        <f t="shared" si="38"/>
        <v>4483.0259332726218</v>
      </c>
      <c r="M101" s="35">
        <f t="shared" si="39"/>
        <v>4423.3691355715455</v>
      </c>
      <c r="N101" s="35">
        <f t="shared" si="40"/>
        <v>4467.602826927261</v>
      </c>
      <c r="O101" s="25"/>
      <c r="P101" s="35">
        <f t="shared" si="41"/>
        <v>4354.09</v>
      </c>
      <c r="Q101" s="35">
        <f t="shared" si="42"/>
        <v>4429.59</v>
      </c>
      <c r="R101" s="35">
        <f t="shared" si="43"/>
        <v>4481.03</v>
      </c>
      <c r="S101" s="35">
        <f t="shared" si="44"/>
        <v>4421.37</v>
      </c>
      <c r="T101" s="35">
        <f t="shared" si="45"/>
        <v>4465.6000000000004</v>
      </c>
      <c r="U101" s="25"/>
      <c r="V101" s="25">
        <f t="shared" si="46"/>
        <v>4356.09</v>
      </c>
      <c r="W101" s="25">
        <f t="shared" si="47"/>
        <v>-2</v>
      </c>
    </row>
    <row r="102" spans="1:23">
      <c r="A102" s="28" t="s">
        <v>184</v>
      </c>
      <c r="B102" s="28" t="s">
        <v>745</v>
      </c>
      <c r="C102" s="26">
        <v>0</v>
      </c>
      <c r="D102" s="26">
        <v>3928.92</v>
      </c>
      <c r="E102" s="26">
        <f t="shared" si="34"/>
        <v>3928.92</v>
      </c>
      <c r="F102" s="27" t="str">
        <f t="shared" si="35"/>
        <v>Yes</v>
      </c>
      <c r="G102" s="27" t="s">
        <v>651</v>
      </c>
      <c r="H102" s="11">
        <v>0</v>
      </c>
      <c r="I102" s="11">
        <v>0</v>
      </c>
      <c r="J102" s="35">
        <f t="shared" si="36"/>
        <v>3928.92</v>
      </c>
      <c r="K102" s="35">
        <f t="shared" si="37"/>
        <v>3997.013229035429</v>
      </c>
      <c r="L102" s="35">
        <f t="shared" si="38"/>
        <v>4043.4082513799003</v>
      </c>
      <c r="M102" s="35">
        <f t="shared" si="39"/>
        <v>3989.6015610627319</v>
      </c>
      <c r="N102" s="35">
        <f t="shared" si="40"/>
        <v>4029.4975766733592</v>
      </c>
      <c r="O102" s="25"/>
      <c r="P102" s="35">
        <f t="shared" si="41"/>
        <v>3928.92</v>
      </c>
      <c r="Q102" s="35">
        <f t="shared" si="42"/>
        <v>3997.01</v>
      </c>
      <c r="R102" s="35">
        <f t="shared" si="43"/>
        <v>4043.41</v>
      </c>
      <c r="S102" s="35">
        <f t="shared" si="44"/>
        <v>3989.6</v>
      </c>
      <c r="T102" s="35">
        <f t="shared" si="45"/>
        <v>4029.5</v>
      </c>
      <c r="U102" s="25"/>
      <c r="V102" s="25">
        <f t="shared" si="46"/>
        <v>3928.92</v>
      </c>
      <c r="W102" s="25">
        <f t="shared" si="47"/>
        <v>0</v>
      </c>
    </row>
    <row r="103" spans="1:23">
      <c r="A103" s="28" t="s">
        <v>186</v>
      </c>
      <c r="B103" s="28" t="s">
        <v>746</v>
      </c>
      <c r="C103" s="26">
        <v>46.9</v>
      </c>
      <c r="D103" s="26">
        <v>17555.740000000002</v>
      </c>
      <c r="E103" s="26">
        <f t="shared" si="34"/>
        <v>17602.640000000003</v>
      </c>
      <c r="F103" s="27" t="str">
        <f t="shared" si="35"/>
        <v>Yes</v>
      </c>
      <c r="G103" s="27" t="s">
        <v>651</v>
      </c>
      <c r="H103" s="11">
        <v>1</v>
      </c>
      <c r="I103" s="11">
        <v>0</v>
      </c>
      <c r="J103" s="35">
        <f t="shared" si="36"/>
        <v>17602.640000000003</v>
      </c>
      <c r="K103" s="35">
        <f t="shared" si="37"/>
        <v>17907.716356135585</v>
      </c>
      <c r="L103" s="35">
        <f t="shared" si="38"/>
        <v>18115.578790626918</v>
      </c>
      <c r="M103" s="35">
        <f t="shared" si="39"/>
        <v>17874.510049282071</v>
      </c>
      <c r="N103" s="35">
        <f t="shared" si="40"/>
        <v>18053.255149774894</v>
      </c>
      <c r="O103" s="25"/>
      <c r="P103" s="35">
        <f t="shared" si="41"/>
        <v>17601.64</v>
      </c>
      <c r="Q103" s="35">
        <f t="shared" si="42"/>
        <v>17906.72</v>
      </c>
      <c r="R103" s="35">
        <f t="shared" si="43"/>
        <v>18114.580000000002</v>
      </c>
      <c r="S103" s="35">
        <f t="shared" si="44"/>
        <v>17873.509999999998</v>
      </c>
      <c r="T103" s="35">
        <f t="shared" si="45"/>
        <v>18052.259999999998</v>
      </c>
      <c r="U103" s="25"/>
      <c r="V103" s="25">
        <f t="shared" si="46"/>
        <v>17602.640000000003</v>
      </c>
      <c r="W103" s="25">
        <f t="shared" si="47"/>
        <v>-1.000000000003638</v>
      </c>
    </row>
    <row r="104" spans="1:23">
      <c r="A104" s="28" t="s">
        <v>188</v>
      </c>
      <c r="B104" s="28" t="s">
        <v>747</v>
      </c>
      <c r="C104" s="26">
        <v>0</v>
      </c>
      <c r="D104" s="26">
        <v>1430.16</v>
      </c>
      <c r="E104" s="26">
        <f t="shared" si="34"/>
        <v>1430.16</v>
      </c>
      <c r="F104" s="27" t="str">
        <f t="shared" si="35"/>
        <v>Yes</v>
      </c>
      <c r="G104" s="27" t="s">
        <v>651</v>
      </c>
      <c r="H104" s="11">
        <v>0</v>
      </c>
      <c r="I104" s="11">
        <v>0</v>
      </c>
      <c r="J104" s="35">
        <f t="shared" si="36"/>
        <v>1430.16</v>
      </c>
      <c r="K104" s="35">
        <f t="shared" si="37"/>
        <v>1454.9465093810284</v>
      </c>
      <c r="L104" s="35">
        <f t="shared" si="38"/>
        <v>1471.8346886150593</v>
      </c>
      <c r="M104" s="35">
        <f t="shared" si="39"/>
        <v>1452.2485997601063</v>
      </c>
      <c r="N104" s="35">
        <f t="shared" si="40"/>
        <v>1466.7710857577074</v>
      </c>
      <c r="O104" s="25"/>
      <c r="P104" s="35">
        <f t="shared" si="41"/>
        <v>1430.16</v>
      </c>
      <c r="Q104" s="35">
        <f t="shared" si="42"/>
        <v>1454.95</v>
      </c>
      <c r="R104" s="35">
        <f t="shared" si="43"/>
        <v>1471.83</v>
      </c>
      <c r="S104" s="35">
        <f t="shared" si="44"/>
        <v>1452.25</v>
      </c>
      <c r="T104" s="35">
        <f t="shared" si="45"/>
        <v>1466.77</v>
      </c>
      <c r="U104" s="25"/>
      <c r="V104" s="25">
        <f t="shared" si="46"/>
        <v>1430.16</v>
      </c>
      <c r="W104" s="25">
        <f t="shared" si="47"/>
        <v>0</v>
      </c>
    </row>
    <row r="105" spans="1:23">
      <c r="A105" s="28" t="s">
        <v>190</v>
      </c>
      <c r="B105" s="28" t="s">
        <v>748</v>
      </c>
      <c r="C105" s="26">
        <v>0</v>
      </c>
      <c r="D105" s="26">
        <v>14360.2</v>
      </c>
      <c r="E105" s="26">
        <f t="shared" si="34"/>
        <v>14360.2</v>
      </c>
      <c r="F105" s="27" t="str">
        <f t="shared" si="35"/>
        <v>Yes</v>
      </c>
      <c r="G105" s="27" t="s">
        <v>651</v>
      </c>
      <c r="H105" s="11">
        <v>0</v>
      </c>
      <c r="I105" s="11">
        <v>0</v>
      </c>
      <c r="J105" s="35">
        <f t="shared" si="36"/>
        <v>14360.2</v>
      </c>
      <c r="K105" s="35">
        <f t="shared" si="37"/>
        <v>14609.080707063154</v>
      </c>
      <c r="L105" s="35">
        <f t="shared" si="38"/>
        <v>14778.654483029852</v>
      </c>
      <c r="M105" s="35">
        <f t="shared" si="39"/>
        <v>14581.991065527687</v>
      </c>
      <c r="N105" s="35">
        <f t="shared" si="40"/>
        <v>14727.810976182964</v>
      </c>
      <c r="O105" s="25"/>
      <c r="P105" s="35">
        <f t="shared" si="41"/>
        <v>14360.2</v>
      </c>
      <c r="Q105" s="35">
        <f t="shared" si="42"/>
        <v>14609.08</v>
      </c>
      <c r="R105" s="35">
        <f t="shared" si="43"/>
        <v>14778.65</v>
      </c>
      <c r="S105" s="35">
        <f t="shared" si="44"/>
        <v>14581.99</v>
      </c>
      <c r="T105" s="35">
        <f t="shared" si="45"/>
        <v>14727.81</v>
      </c>
      <c r="U105" s="25"/>
      <c r="V105" s="25">
        <f t="shared" si="46"/>
        <v>14360.2</v>
      </c>
      <c r="W105" s="25">
        <f t="shared" si="47"/>
        <v>0</v>
      </c>
    </row>
    <row r="106" spans="1:23">
      <c r="A106" s="28" t="s">
        <v>192</v>
      </c>
      <c r="B106" s="28" t="s">
        <v>749</v>
      </c>
      <c r="C106" s="26">
        <v>0</v>
      </c>
      <c r="D106" s="26">
        <v>42.91</v>
      </c>
      <c r="E106" s="26">
        <f t="shared" si="34"/>
        <v>42.91</v>
      </c>
      <c r="F106" s="27" t="str">
        <f t="shared" si="35"/>
        <v>No</v>
      </c>
      <c r="G106" s="27" t="s">
        <v>651</v>
      </c>
      <c r="H106" s="11">
        <v>0</v>
      </c>
      <c r="I106" s="11">
        <v>0</v>
      </c>
      <c r="J106" s="35">
        <f t="shared" si="36"/>
        <v>42.91</v>
      </c>
      <c r="K106" s="35">
        <f t="shared" si="37"/>
        <v>42.91</v>
      </c>
      <c r="L106" s="35">
        <f t="shared" si="38"/>
        <v>42.91</v>
      </c>
      <c r="M106" s="35">
        <f t="shared" si="39"/>
        <v>42.91</v>
      </c>
      <c r="N106" s="35">
        <f t="shared" si="40"/>
        <v>42.91</v>
      </c>
      <c r="O106" s="25"/>
      <c r="P106" s="35">
        <f t="shared" si="41"/>
        <v>42.91</v>
      </c>
      <c r="Q106" s="35">
        <f t="shared" si="42"/>
        <v>42.91</v>
      </c>
      <c r="R106" s="35">
        <f t="shared" si="43"/>
        <v>42.91</v>
      </c>
      <c r="S106" s="35">
        <f t="shared" si="44"/>
        <v>42.91</v>
      </c>
      <c r="T106" s="35">
        <f t="shared" si="45"/>
        <v>42.91</v>
      </c>
      <c r="U106" s="25"/>
      <c r="V106" s="25">
        <f t="shared" si="46"/>
        <v>42.91</v>
      </c>
      <c r="W106" s="25">
        <f t="shared" si="47"/>
        <v>0</v>
      </c>
    </row>
    <row r="107" spans="1:23">
      <c r="A107" s="28" t="s">
        <v>194</v>
      </c>
      <c r="B107" s="28" t="s">
        <v>750</v>
      </c>
      <c r="C107" s="26">
        <v>0</v>
      </c>
      <c r="D107" s="26">
        <v>19150.689999999999</v>
      </c>
      <c r="E107" s="26">
        <f t="shared" si="34"/>
        <v>19150.689999999999</v>
      </c>
      <c r="F107" s="27" t="str">
        <f t="shared" si="35"/>
        <v>Yes</v>
      </c>
      <c r="G107" s="27" t="s">
        <v>651</v>
      </c>
      <c r="H107" s="11">
        <v>0</v>
      </c>
      <c r="I107" s="11">
        <v>0</v>
      </c>
      <c r="J107" s="35">
        <f t="shared" si="36"/>
        <v>19150.689999999999</v>
      </c>
      <c r="K107" s="35">
        <f t="shared" si="37"/>
        <v>19482.596050608438</v>
      </c>
      <c r="L107" s="35">
        <f t="shared" si="38"/>
        <v>19708.738779516647</v>
      </c>
      <c r="M107" s="35">
        <f t="shared" si="39"/>
        <v>19446.469441838584</v>
      </c>
      <c r="N107" s="35">
        <f t="shared" si="40"/>
        <v>19640.934136256972</v>
      </c>
      <c r="O107" s="25"/>
      <c r="P107" s="35">
        <f t="shared" si="41"/>
        <v>19150.689999999999</v>
      </c>
      <c r="Q107" s="35">
        <f t="shared" si="42"/>
        <v>19482.599999999999</v>
      </c>
      <c r="R107" s="35">
        <f t="shared" si="43"/>
        <v>19708.740000000002</v>
      </c>
      <c r="S107" s="35">
        <f t="shared" si="44"/>
        <v>19446.47</v>
      </c>
      <c r="T107" s="35">
        <f t="shared" si="45"/>
        <v>19640.93</v>
      </c>
      <c r="U107" s="25"/>
      <c r="V107" s="25">
        <f t="shared" si="46"/>
        <v>19150.689999999999</v>
      </c>
      <c r="W107" s="25">
        <f t="shared" si="47"/>
        <v>0</v>
      </c>
    </row>
    <row r="108" spans="1:23">
      <c r="A108" s="28" t="s">
        <v>196</v>
      </c>
      <c r="B108" s="28" t="s">
        <v>751</v>
      </c>
      <c r="C108" s="26">
        <v>0</v>
      </c>
      <c r="D108" s="26">
        <v>2748.59</v>
      </c>
      <c r="E108" s="26">
        <f t="shared" si="34"/>
        <v>2748.59</v>
      </c>
      <c r="F108" s="27" t="str">
        <f t="shared" si="35"/>
        <v>Yes</v>
      </c>
      <c r="G108" s="27" t="s">
        <v>651</v>
      </c>
      <c r="H108" s="11">
        <v>0</v>
      </c>
      <c r="I108" s="11">
        <v>0</v>
      </c>
      <c r="J108" s="35">
        <f t="shared" si="36"/>
        <v>2748.59</v>
      </c>
      <c r="K108" s="35">
        <f t="shared" si="37"/>
        <v>2796.2265943807688</v>
      </c>
      <c r="L108" s="35">
        <f t="shared" si="38"/>
        <v>2828.683578606915</v>
      </c>
      <c r="M108" s="35">
        <f t="shared" si="39"/>
        <v>2791.0415469700106</v>
      </c>
      <c r="N108" s="35">
        <f t="shared" si="40"/>
        <v>2818.9519624397108</v>
      </c>
      <c r="O108" s="25"/>
      <c r="P108" s="35">
        <f t="shared" si="41"/>
        <v>2748.59</v>
      </c>
      <c r="Q108" s="35">
        <f t="shared" si="42"/>
        <v>2796.23</v>
      </c>
      <c r="R108" s="35">
        <f t="shared" si="43"/>
        <v>2828.68</v>
      </c>
      <c r="S108" s="35">
        <f t="shared" si="44"/>
        <v>2791.04</v>
      </c>
      <c r="T108" s="35">
        <f t="shared" si="45"/>
        <v>2818.95</v>
      </c>
      <c r="U108" s="25"/>
      <c r="V108" s="25">
        <f t="shared" si="46"/>
        <v>2748.59</v>
      </c>
      <c r="W108" s="25">
        <f t="shared" si="47"/>
        <v>0</v>
      </c>
    </row>
    <row r="109" spans="1:23">
      <c r="A109" s="28" t="s">
        <v>197</v>
      </c>
      <c r="B109" s="28" t="s">
        <v>752</v>
      </c>
      <c r="C109" s="26">
        <v>0</v>
      </c>
      <c r="D109" s="26">
        <v>3042.62</v>
      </c>
      <c r="E109" s="26">
        <f t="shared" si="34"/>
        <v>3042.62</v>
      </c>
      <c r="F109" s="27" t="str">
        <f t="shared" si="35"/>
        <v>Yes</v>
      </c>
      <c r="G109" s="27" t="s">
        <v>651</v>
      </c>
      <c r="H109" s="11">
        <v>0</v>
      </c>
      <c r="I109" s="11">
        <v>0</v>
      </c>
      <c r="J109" s="35">
        <f t="shared" si="36"/>
        <v>3042.62</v>
      </c>
      <c r="K109" s="35">
        <f t="shared" si="37"/>
        <v>3095.3525118678358</v>
      </c>
      <c r="L109" s="35">
        <f t="shared" si="38"/>
        <v>3131.2815770780553</v>
      </c>
      <c r="M109" s="35">
        <f t="shared" si="39"/>
        <v>3089.6127947936557</v>
      </c>
      <c r="N109" s="35">
        <f t="shared" si="40"/>
        <v>3120.5089227415924</v>
      </c>
      <c r="O109" s="25"/>
      <c r="P109" s="35">
        <f t="shared" si="41"/>
        <v>3042.62</v>
      </c>
      <c r="Q109" s="35">
        <f t="shared" si="42"/>
        <v>3095.35</v>
      </c>
      <c r="R109" s="35">
        <f t="shared" si="43"/>
        <v>3131.28</v>
      </c>
      <c r="S109" s="35">
        <f t="shared" si="44"/>
        <v>3089.61</v>
      </c>
      <c r="T109" s="35">
        <f t="shared" si="45"/>
        <v>3120.51</v>
      </c>
      <c r="U109" s="25"/>
      <c r="V109" s="25">
        <f t="shared" si="46"/>
        <v>3042.62</v>
      </c>
      <c r="W109" s="25">
        <f t="shared" si="47"/>
        <v>0</v>
      </c>
    </row>
    <row r="110" spans="1:23">
      <c r="A110" s="28" t="s">
        <v>199</v>
      </c>
      <c r="B110" s="28" t="s">
        <v>753</v>
      </c>
      <c r="C110" s="26">
        <v>134.84</v>
      </c>
      <c r="D110" s="26">
        <v>17320.29</v>
      </c>
      <c r="E110" s="26">
        <f t="shared" si="34"/>
        <v>17455.13</v>
      </c>
      <c r="F110" s="27" t="str">
        <f t="shared" si="35"/>
        <v>Yes</v>
      </c>
      <c r="G110" s="27" t="s">
        <v>651</v>
      </c>
      <c r="H110" s="11">
        <v>198.5</v>
      </c>
      <c r="I110" s="11">
        <v>0</v>
      </c>
      <c r="J110" s="35">
        <f t="shared" si="36"/>
        <v>17455.13</v>
      </c>
      <c r="K110" s="35">
        <f t="shared" si="37"/>
        <v>17757.649818406378</v>
      </c>
      <c r="L110" s="35">
        <f t="shared" si="38"/>
        <v>17963.77036715149</v>
      </c>
      <c r="M110" s="35">
        <f t="shared" si="39"/>
        <v>17724.721780171883</v>
      </c>
      <c r="N110" s="35">
        <f t="shared" si="40"/>
        <v>17901.968997973603</v>
      </c>
      <c r="O110" s="25"/>
      <c r="P110" s="35">
        <f t="shared" si="41"/>
        <v>17256.63</v>
      </c>
      <c r="Q110" s="35">
        <f t="shared" si="42"/>
        <v>17559.150000000001</v>
      </c>
      <c r="R110" s="35">
        <f t="shared" si="43"/>
        <v>17765.27</v>
      </c>
      <c r="S110" s="35">
        <f t="shared" si="44"/>
        <v>17526.22</v>
      </c>
      <c r="T110" s="35">
        <f t="shared" si="45"/>
        <v>17703.47</v>
      </c>
      <c r="U110" s="25"/>
      <c r="V110" s="25">
        <f t="shared" si="46"/>
        <v>17455.13</v>
      </c>
      <c r="W110" s="25">
        <f t="shared" si="47"/>
        <v>-198.5</v>
      </c>
    </row>
    <row r="111" spans="1:23">
      <c r="A111" s="28" t="s">
        <v>201</v>
      </c>
      <c r="B111" s="28" t="s">
        <v>754</v>
      </c>
      <c r="C111" s="26">
        <v>14.8</v>
      </c>
      <c r="D111" s="26">
        <v>8935.34</v>
      </c>
      <c r="E111" s="26">
        <f t="shared" si="34"/>
        <v>8950.14</v>
      </c>
      <c r="F111" s="27" t="str">
        <f t="shared" si="35"/>
        <v>Yes</v>
      </c>
      <c r="G111" s="27" t="s">
        <v>651</v>
      </c>
      <c r="H111" s="11">
        <v>0</v>
      </c>
      <c r="I111" s="11">
        <v>0</v>
      </c>
      <c r="J111" s="35">
        <f t="shared" si="36"/>
        <v>8950.14</v>
      </c>
      <c r="K111" s="35">
        <f t="shared" si="37"/>
        <v>9105.2574197792655</v>
      </c>
      <c r="L111" s="35">
        <f t="shared" si="38"/>
        <v>9210.9459920296922</v>
      </c>
      <c r="M111" s="35">
        <f t="shared" si="39"/>
        <v>9088.3735264983752</v>
      </c>
      <c r="N111" s="35">
        <f t="shared" si="40"/>
        <v>9179.2572617633596</v>
      </c>
      <c r="O111" s="25"/>
      <c r="P111" s="35">
        <f t="shared" si="41"/>
        <v>8950.14</v>
      </c>
      <c r="Q111" s="35">
        <f t="shared" si="42"/>
        <v>9105.26</v>
      </c>
      <c r="R111" s="35">
        <f t="shared" si="43"/>
        <v>9210.9500000000007</v>
      </c>
      <c r="S111" s="35">
        <f t="shared" si="44"/>
        <v>9088.3700000000008</v>
      </c>
      <c r="T111" s="35">
        <f t="shared" si="45"/>
        <v>9179.26</v>
      </c>
      <c r="U111" s="25"/>
      <c r="V111" s="25">
        <f t="shared" si="46"/>
        <v>8950.14</v>
      </c>
      <c r="W111" s="25">
        <f t="shared" si="47"/>
        <v>0</v>
      </c>
    </row>
    <row r="112" spans="1:23">
      <c r="A112" s="28" t="s">
        <v>203</v>
      </c>
      <c r="B112" s="28" t="s">
        <v>755</v>
      </c>
      <c r="C112" s="26">
        <v>6.6</v>
      </c>
      <c r="D112" s="26">
        <v>7059.64</v>
      </c>
      <c r="E112" s="26">
        <f t="shared" si="34"/>
        <v>7066.2400000000007</v>
      </c>
      <c r="F112" s="27" t="str">
        <f t="shared" si="35"/>
        <v>Yes</v>
      </c>
      <c r="G112" s="27" t="s">
        <v>651</v>
      </c>
      <c r="H112" s="11">
        <v>0</v>
      </c>
      <c r="I112" s="11">
        <v>0</v>
      </c>
      <c r="J112" s="35">
        <f t="shared" si="36"/>
        <v>7066.2400000000007</v>
      </c>
      <c r="K112" s="35">
        <f t="shared" si="37"/>
        <v>7188.7070135149897</v>
      </c>
      <c r="L112" s="35">
        <f t="shared" si="38"/>
        <v>7272.1493749505489</v>
      </c>
      <c r="M112" s="35">
        <f t="shared" si="39"/>
        <v>7175.3769826934431</v>
      </c>
      <c r="N112" s="35">
        <f t="shared" si="40"/>
        <v>7247.1307525203774</v>
      </c>
      <c r="O112" s="25"/>
      <c r="P112" s="35">
        <f t="shared" si="41"/>
        <v>7066.24</v>
      </c>
      <c r="Q112" s="35">
        <f t="shared" si="42"/>
        <v>7188.71</v>
      </c>
      <c r="R112" s="35">
        <f t="shared" si="43"/>
        <v>7272.15</v>
      </c>
      <c r="S112" s="35">
        <f t="shared" si="44"/>
        <v>7175.38</v>
      </c>
      <c r="T112" s="35">
        <f t="shared" si="45"/>
        <v>7247.13</v>
      </c>
      <c r="U112" s="25"/>
      <c r="V112" s="25">
        <f t="shared" si="46"/>
        <v>7066.2400000000007</v>
      </c>
      <c r="W112" s="25">
        <f t="shared" si="47"/>
        <v>0</v>
      </c>
    </row>
    <row r="113" spans="1:23">
      <c r="A113" s="28" t="s">
        <v>205</v>
      </c>
      <c r="B113" s="28" t="s">
        <v>756</v>
      </c>
      <c r="C113" s="26">
        <v>43</v>
      </c>
      <c r="D113" s="26">
        <v>19060.88</v>
      </c>
      <c r="E113" s="26">
        <f t="shared" si="34"/>
        <v>19103.88</v>
      </c>
      <c r="F113" s="27" t="str">
        <f t="shared" si="35"/>
        <v>Yes</v>
      </c>
      <c r="G113" s="27" t="s">
        <v>651</v>
      </c>
      <c r="H113" s="11">
        <v>0</v>
      </c>
      <c r="I113" s="11">
        <v>0</v>
      </c>
      <c r="J113" s="35">
        <f t="shared" si="36"/>
        <v>19103.88</v>
      </c>
      <c r="K113" s="35">
        <f t="shared" si="37"/>
        <v>19434.974773196034</v>
      </c>
      <c r="L113" s="35">
        <f t="shared" si="38"/>
        <v>19660.564741804734</v>
      </c>
      <c r="M113" s="35">
        <f t="shared" si="39"/>
        <v>19398.936468636446</v>
      </c>
      <c r="N113" s="35">
        <f t="shared" si="40"/>
        <v>19592.92583332281</v>
      </c>
      <c r="O113" s="25"/>
      <c r="P113" s="35">
        <f t="shared" si="41"/>
        <v>19103.88</v>
      </c>
      <c r="Q113" s="35">
        <f t="shared" si="42"/>
        <v>19434.97</v>
      </c>
      <c r="R113" s="35">
        <f t="shared" si="43"/>
        <v>19660.560000000001</v>
      </c>
      <c r="S113" s="35">
        <f t="shared" si="44"/>
        <v>19398.939999999999</v>
      </c>
      <c r="T113" s="35">
        <f t="shared" si="45"/>
        <v>19592.93</v>
      </c>
      <c r="U113" s="25"/>
      <c r="V113" s="25">
        <f t="shared" si="46"/>
        <v>19103.88</v>
      </c>
      <c r="W113" s="25">
        <f t="shared" si="47"/>
        <v>0</v>
      </c>
    </row>
    <row r="114" spans="1:23">
      <c r="A114" s="28" t="s">
        <v>207</v>
      </c>
      <c r="B114" s="28" t="s">
        <v>757</v>
      </c>
      <c r="C114" s="26">
        <v>0</v>
      </c>
      <c r="D114" s="26">
        <v>9146.3700000000008</v>
      </c>
      <c r="E114" s="26">
        <f t="shared" si="34"/>
        <v>9146.3700000000008</v>
      </c>
      <c r="F114" s="27" t="str">
        <f t="shared" si="35"/>
        <v>Yes</v>
      </c>
      <c r="G114" s="27" t="s">
        <v>651</v>
      </c>
      <c r="H114" s="11">
        <v>0</v>
      </c>
      <c r="I114" s="11">
        <v>0</v>
      </c>
      <c r="J114" s="35">
        <f t="shared" si="36"/>
        <v>9146.3700000000008</v>
      </c>
      <c r="K114" s="35">
        <f t="shared" si="37"/>
        <v>9304.8883376736558</v>
      </c>
      <c r="L114" s="35">
        <f t="shared" si="38"/>
        <v>9412.8941103849356</v>
      </c>
      <c r="M114" s="35">
        <f t="shared" si="39"/>
        <v>9287.6342684649571</v>
      </c>
      <c r="N114" s="35">
        <f t="shared" si="40"/>
        <v>9380.5106111496061</v>
      </c>
      <c r="O114" s="25"/>
      <c r="P114" s="35">
        <f t="shared" si="41"/>
        <v>9146.3700000000008</v>
      </c>
      <c r="Q114" s="35">
        <f t="shared" si="42"/>
        <v>9304.89</v>
      </c>
      <c r="R114" s="35">
        <f t="shared" si="43"/>
        <v>9412.89</v>
      </c>
      <c r="S114" s="35">
        <f t="shared" si="44"/>
        <v>9287.6299999999992</v>
      </c>
      <c r="T114" s="35">
        <f t="shared" si="45"/>
        <v>9380.51</v>
      </c>
      <c r="U114" s="25"/>
      <c r="V114" s="25">
        <f t="shared" si="46"/>
        <v>9146.3700000000008</v>
      </c>
      <c r="W114" s="25">
        <f t="shared" si="47"/>
        <v>0</v>
      </c>
    </row>
    <row r="115" spans="1:23">
      <c r="A115" s="28" t="s">
        <v>209</v>
      </c>
      <c r="B115" s="28" t="s">
        <v>758</v>
      </c>
      <c r="C115" s="26">
        <v>0</v>
      </c>
      <c r="D115" s="26">
        <v>30667.3</v>
      </c>
      <c r="E115" s="26">
        <f t="shared" si="34"/>
        <v>30667.3</v>
      </c>
      <c r="F115" s="27" t="str">
        <f t="shared" si="35"/>
        <v>Yes</v>
      </c>
      <c r="G115" s="27" t="s">
        <v>651</v>
      </c>
      <c r="H115" s="11">
        <v>0</v>
      </c>
      <c r="I115" s="11">
        <v>0</v>
      </c>
      <c r="J115" s="35">
        <f t="shared" si="36"/>
        <v>30667.3</v>
      </c>
      <c r="K115" s="35">
        <f t="shared" si="37"/>
        <v>31198.803691293844</v>
      </c>
      <c r="L115" s="35">
        <f t="shared" si="38"/>
        <v>31560.941395483445</v>
      </c>
      <c r="M115" s="35">
        <f t="shared" si="39"/>
        <v>31140.951700105659</v>
      </c>
      <c r="N115" s="35">
        <f t="shared" si="40"/>
        <v>31452.361217106714</v>
      </c>
      <c r="O115" s="25"/>
      <c r="P115" s="35">
        <f t="shared" si="41"/>
        <v>30667.3</v>
      </c>
      <c r="Q115" s="35">
        <f t="shared" si="42"/>
        <v>31198.799999999999</v>
      </c>
      <c r="R115" s="35">
        <f t="shared" si="43"/>
        <v>31560.94</v>
      </c>
      <c r="S115" s="35">
        <f t="shared" si="44"/>
        <v>31140.95</v>
      </c>
      <c r="T115" s="35">
        <f t="shared" si="45"/>
        <v>31452.36</v>
      </c>
      <c r="U115" s="25"/>
      <c r="V115" s="25">
        <f t="shared" si="46"/>
        <v>30667.3</v>
      </c>
      <c r="W115" s="25">
        <f t="shared" si="47"/>
        <v>0</v>
      </c>
    </row>
    <row r="116" spans="1:23">
      <c r="A116" s="28" t="s">
        <v>211</v>
      </c>
      <c r="B116" s="28" t="s">
        <v>759</v>
      </c>
      <c r="C116" s="26">
        <v>0</v>
      </c>
      <c r="D116" s="26">
        <v>25353.8</v>
      </c>
      <c r="E116" s="26">
        <f t="shared" si="34"/>
        <v>25353.8</v>
      </c>
      <c r="F116" s="27" t="str">
        <f t="shared" si="35"/>
        <v>Yes</v>
      </c>
      <c r="G116" s="27" t="s">
        <v>651</v>
      </c>
      <c r="H116" s="11">
        <v>0</v>
      </c>
      <c r="I116" s="11">
        <v>0</v>
      </c>
      <c r="J116" s="35">
        <f t="shared" si="36"/>
        <v>25353.8</v>
      </c>
      <c r="K116" s="35">
        <f t="shared" si="37"/>
        <v>25793.213912810254</v>
      </c>
      <c r="L116" s="35">
        <f t="shared" si="38"/>
        <v>26092.606651149861</v>
      </c>
      <c r="M116" s="35">
        <f t="shared" si="39"/>
        <v>25745.385515325404</v>
      </c>
      <c r="N116" s="35">
        <f t="shared" si="40"/>
        <v>26002.839370478658</v>
      </c>
      <c r="O116" s="25"/>
      <c r="P116" s="35">
        <f t="shared" si="41"/>
        <v>25353.8</v>
      </c>
      <c r="Q116" s="35">
        <f t="shared" si="42"/>
        <v>25793.21</v>
      </c>
      <c r="R116" s="35">
        <f t="shared" si="43"/>
        <v>26092.61</v>
      </c>
      <c r="S116" s="35">
        <f t="shared" si="44"/>
        <v>25745.39</v>
      </c>
      <c r="T116" s="35">
        <f t="shared" si="45"/>
        <v>26002.84</v>
      </c>
      <c r="U116" s="25"/>
      <c r="V116" s="25">
        <f t="shared" si="46"/>
        <v>25353.8</v>
      </c>
      <c r="W116" s="25">
        <f t="shared" si="47"/>
        <v>0</v>
      </c>
    </row>
    <row r="117" spans="1:23">
      <c r="A117" s="28" t="s">
        <v>213</v>
      </c>
      <c r="B117" s="28" t="s">
        <v>760</v>
      </c>
      <c r="C117" s="26">
        <v>0</v>
      </c>
      <c r="D117" s="26">
        <v>22413.03</v>
      </c>
      <c r="E117" s="26">
        <f t="shared" si="34"/>
        <v>22413.03</v>
      </c>
      <c r="F117" s="27" t="str">
        <f t="shared" si="35"/>
        <v>Yes</v>
      </c>
      <c r="G117" s="27" t="s">
        <v>651</v>
      </c>
      <c r="H117" s="11">
        <v>0</v>
      </c>
      <c r="I117" s="11">
        <v>0</v>
      </c>
      <c r="J117" s="35">
        <f t="shared" si="36"/>
        <v>22413.03</v>
      </c>
      <c r="K117" s="35">
        <f t="shared" si="37"/>
        <v>22801.47659223602</v>
      </c>
      <c r="L117" s="35">
        <f t="shared" si="38"/>
        <v>23066.142970695571</v>
      </c>
      <c r="M117" s="35">
        <f t="shared" si="39"/>
        <v>22759.19577801173</v>
      </c>
      <c r="N117" s="35">
        <f t="shared" si="40"/>
        <v>22986.787735791848</v>
      </c>
      <c r="O117" s="25"/>
      <c r="P117" s="35">
        <f t="shared" si="41"/>
        <v>22413.03</v>
      </c>
      <c r="Q117" s="35">
        <f t="shared" si="42"/>
        <v>22801.48</v>
      </c>
      <c r="R117" s="35">
        <f t="shared" si="43"/>
        <v>23066.14</v>
      </c>
      <c r="S117" s="35">
        <f t="shared" si="44"/>
        <v>22759.200000000001</v>
      </c>
      <c r="T117" s="35">
        <f t="shared" si="45"/>
        <v>22986.79</v>
      </c>
      <c r="U117" s="25"/>
      <c r="V117" s="25">
        <f t="shared" si="46"/>
        <v>22413.03</v>
      </c>
      <c r="W117" s="25">
        <f t="shared" si="47"/>
        <v>0</v>
      </c>
    </row>
    <row r="118" spans="1:23">
      <c r="A118" s="31" t="s">
        <v>761</v>
      </c>
      <c r="B118" s="28" t="s">
        <v>762</v>
      </c>
      <c r="C118" s="26">
        <v>0</v>
      </c>
      <c r="D118" s="26">
        <v>532.62</v>
      </c>
      <c r="E118" s="26">
        <f t="shared" si="34"/>
        <v>532.62</v>
      </c>
      <c r="F118" s="27" t="str">
        <f t="shared" si="35"/>
        <v>Yes</v>
      </c>
      <c r="G118" s="27" t="s">
        <v>651</v>
      </c>
      <c r="H118" s="11">
        <v>0</v>
      </c>
      <c r="I118" s="11">
        <v>0</v>
      </c>
      <c r="J118" s="35">
        <f t="shared" si="36"/>
        <v>532.62</v>
      </c>
      <c r="K118" s="35">
        <f t="shared" si="37"/>
        <v>541.85098857926607</v>
      </c>
      <c r="L118" s="35">
        <f t="shared" si="38"/>
        <v>548.140482079035</v>
      </c>
      <c r="M118" s="35">
        <f t="shared" si="39"/>
        <v>540.84623343138367</v>
      </c>
      <c r="N118" s="35">
        <f t="shared" si="40"/>
        <v>546.25469576569753</v>
      </c>
      <c r="O118" s="25"/>
      <c r="P118" s="35">
        <f t="shared" si="41"/>
        <v>532.62</v>
      </c>
      <c r="Q118" s="35">
        <f t="shared" si="42"/>
        <v>541.85</v>
      </c>
      <c r="R118" s="35">
        <f t="shared" si="43"/>
        <v>548.14</v>
      </c>
      <c r="S118" s="35">
        <f t="shared" si="44"/>
        <v>540.85</v>
      </c>
      <c r="T118" s="35">
        <f t="shared" si="45"/>
        <v>546.25</v>
      </c>
      <c r="U118" s="25"/>
      <c r="V118" s="25">
        <f t="shared" si="46"/>
        <v>532.62</v>
      </c>
      <c r="W118" s="25">
        <f t="shared" si="47"/>
        <v>0</v>
      </c>
    </row>
    <row r="119" spans="1:23">
      <c r="A119" s="28" t="s">
        <v>215</v>
      </c>
      <c r="B119" s="28" t="s">
        <v>763</v>
      </c>
      <c r="C119" s="26">
        <v>0</v>
      </c>
      <c r="D119" s="26">
        <v>4446.29</v>
      </c>
      <c r="E119" s="26">
        <f t="shared" si="34"/>
        <v>4446.29</v>
      </c>
      <c r="F119" s="27" t="str">
        <f t="shared" si="35"/>
        <v>Yes</v>
      </c>
      <c r="G119" s="27" t="s">
        <v>651</v>
      </c>
      <c r="H119" s="11">
        <v>0</v>
      </c>
      <c r="I119" s="11">
        <v>0</v>
      </c>
      <c r="J119" s="35">
        <f t="shared" si="36"/>
        <v>4446.29</v>
      </c>
      <c r="K119" s="35">
        <f t="shared" si="37"/>
        <v>4523.3499155309701</v>
      </c>
      <c r="L119" s="35">
        <f t="shared" si="38"/>
        <v>4575.8543503120291</v>
      </c>
      <c r="M119" s="35">
        <f t="shared" si="39"/>
        <v>4514.9622606053608</v>
      </c>
      <c r="N119" s="35">
        <f t="shared" si="40"/>
        <v>4560.1118832114144</v>
      </c>
      <c r="O119" s="25"/>
      <c r="P119" s="35">
        <f t="shared" si="41"/>
        <v>4446.29</v>
      </c>
      <c r="Q119" s="35">
        <f t="shared" si="42"/>
        <v>4523.3500000000004</v>
      </c>
      <c r="R119" s="35">
        <f t="shared" si="43"/>
        <v>4575.8500000000004</v>
      </c>
      <c r="S119" s="35">
        <f t="shared" si="44"/>
        <v>4514.96</v>
      </c>
      <c r="T119" s="35">
        <f t="shared" si="45"/>
        <v>4560.1099999999997</v>
      </c>
      <c r="U119" s="25"/>
      <c r="V119" s="25">
        <f t="shared" si="46"/>
        <v>4446.29</v>
      </c>
      <c r="W119" s="25">
        <f t="shared" si="47"/>
        <v>0</v>
      </c>
    </row>
    <row r="120" spans="1:23">
      <c r="A120" s="28" t="s">
        <v>217</v>
      </c>
      <c r="B120" s="28" t="s">
        <v>764</v>
      </c>
      <c r="C120" s="26">
        <v>0</v>
      </c>
      <c r="D120" s="26">
        <v>3467.41</v>
      </c>
      <c r="E120" s="26">
        <f t="shared" si="34"/>
        <v>3467.41</v>
      </c>
      <c r="F120" s="27" t="str">
        <f t="shared" si="35"/>
        <v>Yes</v>
      </c>
      <c r="G120" s="27" t="s">
        <v>651</v>
      </c>
      <c r="H120" s="11">
        <v>0</v>
      </c>
      <c r="I120" s="11">
        <v>0</v>
      </c>
      <c r="J120" s="35">
        <f t="shared" si="36"/>
        <v>3467.41</v>
      </c>
      <c r="K120" s="35">
        <f t="shared" si="37"/>
        <v>3527.5046680741111</v>
      </c>
      <c r="L120" s="35">
        <f t="shared" si="38"/>
        <v>3568.4499060599805</v>
      </c>
      <c r="M120" s="35">
        <f t="shared" si="39"/>
        <v>3520.9636105709778</v>
      </c>
      <c r="N120" s="35">
        <f t="shared" si="40"/>
        <v>3556.1732466766875</v>
      </c>
      <c r="O120" s="25"/>
      <c r="P120" s="35">
        <f t="shared" si="41"/>
        <v>3467.41</v>
      </c>
      <c r="Q120" s="35">
        <f t="shared" si="42"/>
        <v>3527.5</v>
      </c>
      <c r="R120" s="35">
        <f t="shared" si="43"/>
        <v>3568.45</v>
      </c>
      <c r="S120" s="35">
        <f t="shared" si="44"/>
        <v>3520.96</v>
      </c>
      <c r="T120" s="35">
        <f t="shared" si="45"/>
        <v>3556.17</v>
      </c>
      <c r="U120" s="25"/>
      <c r="V120" s="25">
        <f t="shared" si="46"/>
        <v>3467.41</v>
      </c>
      <c r="W120" s="25">
        <f t="shared" si="47"/>
        <v>0</v>
      </c>
    </row>
    <row r="121" spans="1:23">
      <c r="A121" s="28" t="s">
        <v>219</v>
      </c>
      <c r="B121" s="28" t="s">
        <v>765</v>
      </c>
      <c r="C121" s="26">
        <v>0</v>
      </c>
      <c r="D121" s="26">
        <v>5294.63</v>
      </c>
      <c r="E121" s="26">
        <f t="shared" si="34"/>
        <v>5294.63</v>
      </c>
      <c r="F121" s="27" t="str">
        <f t="shared" si="35"/>
        <v>Yes</v>
      </c>
      <c r="G121" s="27" t="s">
        <v>651</v>
      </c>
      <c r="H121" s="11">
        <v>0</v>
      </c>
      <c r="I121" s="11">
        <v>0</v>
      </c>
      <c r="J121" s="35">
        <f t="shared" si="36"/>
        <v>5294.63</v>
      </c>
      <c r="K121" s="35">
        <f t="shared" si="37"/>
        <v>5386.392737151139</v>
      </c>
      <c r="L121" s="35">
        <f t="shared" si="38"/>
        <v>5448.9148748265579</v>
      </c>
      <c r="M121" s="35">
        <f t="shared" si="39"/>
        <v>5376.4047405520014</v>
      </c>
      <c r="N121" s="35">
        <f t="shared" si="40"/>
        <v>5430.1687879575211</v>
      </c>
      <c r="O121" s="25"/>
      <c r="P121" s="35">
        <f t="shared" si="41"/>
        <v>5294.63</v>
      </c>
      <c r="Q121" s="35">
        <f t="shared" si="42"/>
        <v>5386.39</v>
      </c>
      <c r="R121" s="35">
        <f t="shared" si="43"/>
        <v>5448.91</v>
      </c>
      <c r="S121" s="35">
        <f t="shared" si="44"/>
        <v>5376.4</v>
      </c>
      <c r="T121" s="35">
        <f t="shared" si="45"/>
        <v>5430.17</v>
      </c>
      <c r="U121" s="25"/>
      <c r="V121" s="25">
        <f t="shared" si="46"/>
        <v>5294.63</v>
      </c>
      <c r="W121" s="25">
        <f t="shared" si="47"/>
        <v>0</v>
      </c>
    </row>
    <row r="122" spans="1:23">
      <c r="A122" s="31" t="s">
        <v>221</v>
      </c>
      <c r="B122" s="28" t="s">
        <v>766</v>
      </c>
      <c r="C122" s="26">
        <v>46.1</v>
      </c>
      <c r="D122" s="26">
        <v>10826.18</v>
      </c>
      <c r="E122" s="26">
        <f t="shared" si="34"/>
        <v>10872.28</v>
      </c>
      <c r="F122" s="27" t="str">
        <f t="shared" si="35"/>
        <v>Yes</v>
      </c>
      <c r="G122" s="27" t="s">
        <v>651</v>
      </c>
      <c r="H122" s="11">
        <v>0</v>
      </c>
      <c r="I122" s="11">
        <v>0</v>
      </c>
      <c r="J122" s="35">
        <f t="shared" si="36"/>
        <v>10872.28</v>
      </c>
      <c r="K122" s="35">
        <f t="shared" si="37"/>
        <v>11060.710574350538</v>
      </c>
      <c r="L122" s="35">
        <f t="shared" si="38"/>
        <v>11189.09691806213</v>
      </c>
      <c r="M122" s="35">
        <f t="shared" si="39"/>
        <v>11040.200681182392</v>
      </c>
      <c r="N122" s="35">
        <f t="shared" si="40"/>
        <v>11150.602687994216</v>
      </c>
      <c r="O122" s="25"/>
      <c r="P122" s="35">
        <f t="shared" si="41"/>
        <v>10872.28</v>
      </c>
      <c r="Q122" s="35">
        <f t="shared" si="42"/>
        <v>11060.71</v>
      </c>
      <c r="R122" s="35">
        <f t="shared" si="43"/>
        <v>11189.1</v>
      </c>
      <c r="S122" s="35">
        <f t="shared" si="44"/>
        <v>11040.2</v>
      </c>
      <c r="T122" s="35">
        <f t="shared" si="45"/>
        <v>11150.6</v>
      </c>
      <c r="U122" s="25"/>
      <c r="V122" s="25">
        <f t="shared" si="46"/>
        <v>10872.28</v>
      </c>
      <c r="W122" s="25">
        <f t="shared" si="47"/>
        <v>0</v>
      </c>
    </row>
    <row r="123" spans="1:23">
      <c r="A123" s="28" t="s">
        <v>223</v>
      </c>
      <c r="B123" s="28" t="s">
        <v>767</v>
      </c>
      <c r="C123" s="26">
        <v>0</v>
      </c>
      <c r="D123" s="26">
        <v>9165.81</v>
      </c>
      <c r="E123" s="26">
        <f t="shared" si="34"/>
        <v>9165.81</v>
      </c>
      <c r="F123" s="27" t="str">
        <f t="shared" si="35"/>
        <v>Yes</v>
      </c>
      <c r="G123" s="27" t="s">
        <v>651</v>
      </c>
      <c r="H123" s="11">
        <v>0</v>
      </c>
      <c r="I123" s="11">
        <v>0</v>
      </c>
      <c r="J123" s="35">
        <f t="shared" si="36"/>
        <v>9165.81</v>
      </c>
      <c r="K123" s="35">
        <f t="shared" si="37"/>
        <v>9324.665257838089</v>
      </c>
      <c r="L123" s="35">
        <f t="shared" si="38"/>
        <v>9432.9005896226954</v>
      </c>
      <c r="M123" s="35">
        <f t="shared" si="39"/>
        <v>9307.3745162549494</v>
      </c>
      <c r="N123" s="35">
        <f t="shared" si="40"/>
        <v>9400.4482614174995</v>
      </c>
      <c r="O123" s="25"/>
      <c r="P123" s="35">
        <f t="shared" si="41"/>
        <v>9165.81</v>
      </c>
      <c r="Q123" s="35">
        <f t="shared" si="42"/>
        <v>9324.67</v>
      </c>
      <c r="R123" s="35">
        <f t="shared" si="43"/>
        <v>9432.9</v>
      </c>
      <c r="S123" s="35">
        <f t="shared" si="44"/>
        <v>9307.3700000000008</v>
      </c>
      <c r="T123" s="35">
        <f t="shared" si="45"/>
        <v>9400.4500000000007</v>
      </c>
      <c r="U123" s="25"/>
      <c r="V123" s="25">
        <f t="shared" si="46"/>
        <v>9165.81</v>
      </c>
      <c r="W123" s="25">
        <f t="shared" si="47"/>
        <v>0</v>
      </c>
    </row>
    <row r="124" spans="1:23">
      <c r="A124" s="28" t="s">
        <v>768</v>
      </c>
      <c r="B124" s="28" t="s">
        <v>769</v>
      </c>
      <c r="C124" s="26">
        <v>0</v>
      </c>
      <c r="D124" s="26">
        <v>74.760000000000005</v>
      </c>
      <c r="E124" s="26">
        <f t="shared" si="34"/>
        <v>74.760000000000005</v>
      </c>
      <c r="F124" s="27" t="str">
        <f t="shared" si="35"/>
        <v>No</v>
      </c>
      <c r="G124" s="27" t="s">
        <v>651</v>
      </c>
      <c r="H124" s="11">
        <v>0</v>
      </c>
      <c r="I124" s="11">
        <v>0</v>
      </c>
      <c r="J124" s="35">
        <f t="shared" si="36"/>
        <v>74.760000000000005</v>
      </c>
      <c r="K124" s="35">
        <f t="shared" si="37"/>
        <v>74.760000000000005</v>
      </c>
      <c r="L124" s="35">
        <f t="shared" si="38"/>
        <v>74.760000000000005</v>
      </c>
      <c r="M124" s="35">
        <f t="shared" si="39"/>
        <v>74.760000000000005</v>
      </c>
      <c r="N124" s="35">
        <f t="shared" si="40"/>
        <v>74.760000000000005</v>
      </c>
      <c r="O124" s="25"/>
      <c r="P124" s="35">
        <f t="shared" si="41"/>
        <v>74.760000000000005</v>
      </c>
      <c r="Q124" s="35">
        <f t="shared" si="42"/>
        <v>74.760000000000005</v>
      </c>
      <c r="R124" s="35">
        <f t="shared" si="43"/>
        <v>74.760000000000005</v>
      </c>
      <c r="S124" s="35">
        <f t="shared" si="44"/>
        <v>74.760000000000005</v>
      </c>
      <c r="T124" s="35">
        <f t="shared" si="45"/>
        <v>74.760000000000005</v>
      </c>
      <c r="U124" s="25"/>
      <c r="V124" s="25">
        <f t="shared" si="46"/>
        <v>74.760000000000005</v>
      </c>
      <c r="W124" s="25">
        <f t="shared" si="47"/>
        <v>0</v>
      </c>
    </row>
    <row r="125" spans="1:23">
      <c r="A125" s="28" t="s">
        <v>225</v>
      </c>
      <c r="B125" s="28" t="s">
        <v>770</v>
      </c>
      <c r="C125" s="26">
        <v>0</v>
      </c>
      <c r="D125" s="26">
        <v>44.4</v>
      </c>
      <c r="E125" s="26">
        <f t="shared" si="34"/>
        <v>44.4</v>
      </c>
      <c r="F125" s="27" t="str">
        <f t="shared" si="35"/>
        <v>No</v>
      </c>
      <c r="G125" s="27" t="s">
        <v>653</v>
      </c>
      <c r="H125" s="11">
        <v>0</v>
      </c>
      <c r="I125" s="11">
        <v>45</v>
      </c>
      <c r="J125" s="35">
        <f t="shared" si="36"/>
        <v>44.4</v>
      </c>
      <c r="K125" s="35">
        <f t="shared" si="37"/>
        <v>44.4</v>
      </c>
      <c r="L125" s="35">
        <f t="shared" si="38"/>
        <v>44.4</v>
      </c>
      <c r="M125" s="35">
        <f t="shared" si="39"/>
        <v>44.4</v>
      </c>
      <c r="N125" s="35">
        <f t="shared" si="40"/>
        <v>44.4</v>
      </c>
      <c r="O125" s="25"/>
      <c r="P125" s="35">
        <f t="shared" si="41"/>
        <v>89.4</v>
      </c>
      <c r="Q125" s="35">
        <f t="shared" si="42"/>
        <v>89.4</v>
      </c>
      <c r="R125" s="35">
        <f t="shared" si="43"/>
        <v>89.4</v>
      </c>
      <c r="S125" s="35">
        <f t="shared" si="44"/>
        <v>89.4</v>
      </c>
      <c r="T125" s="35">
        <f t="shared" si="45"/>
        <v>89.4</v>
      </c>
      <c r="U125" s="25"/>
      <c r="V125" s="25">
        <f t="shared" si="46"/>
        <v>44.4</v>
      </c>
      <c r="W125" s="25">
        <f t="shared" si="47"/>
        <v>45.000000000000007</v>
      </c>
    </row>
    <row r="126" spans="1:23">
      <c r="A126" s="28" t="s">
        <v>227</v>
      </c>
      <c r="B126" s="28" t="s">
        <v>771</v>
      </c>
      <c r="C126" s="26">
        <v>0</v>
      </c>
      <c r="D126" s="26">
        <v>85.91</v>
      </c>
      <c r="E126" s="26">
        <f t="shared" si="34"/>
        <v>85.91</v>
      </c>
      <c r="F126" s="27" t="str">
        <f t="shared" si="35"/>
        <v>No</v>
      </c>
      <c r="G126" s="27" t="s">
        <v>651</v>
      </c>
      <c r="H126" s="11">
        <v>0</v>
      </c>
      <c r="I126" s="11">
        <v>0</v>
      </c>
      <c r="J126" s="35">
        <f t="shared" si="36"/>
        <v>85.91</v>
      </c>
      <c r="K126" s="35">
        <f t="shared" si="37"/>
        <v>85.91</v>
      </c>
      <c r="L126" s="35">
        <f t="shared" si="38"/>
        <v>85.91</v>
      </c>
      <c r="M126" s="35">
        <f t="shared" si="39"/>
        <v>85.91</v>
      </c>
      <c r="N126" s="35">
        <f t="shared" si="40"/>
        <v>85.91</v>
      </c>
      <c r="O126" s="25"/>
      <c r="P126" s="35">
        <f t="shared" si="41"/>
        <v>85.91</v>
      </c>
      <c r="Q126" s="35">
        <f t="shared" si="42"/>
        <v>85.91</v>
      </c>
      <c r="R126" s="35">
        <f t="shared" si="43"/>
        <v>85.91</v>
      </c>
      <c r="S126" s="35">
        <f t="shared" si="44"/>
        <v>85.91</v>
      </c>
      <c r="T126" s="35">
        <f t="shared" si="45"/>
        <v>85.91</v>
      </c>
      <c r="U126" s="25"/>
      <c r="V126" s="25">
        <f t="shared" si="46"/>
        <v>85.91</v>
      </c>
      <c r="W126" s="25">
        <f t="shared" si="47"/>
        <v>0</v>
      </c>
    </row>
    <row r="127" spans="1:23">
      <c r="A127" s="28" t="s">
        <v>229</v>
      </c>
      <c r="B127" s="28" t="s">
        <v>772</v>
      </c>
      <c r="C127" s="26">
        <v>16.7</v>
      </c>
      <c r="D127" s="26">
        <v>240.6</v>
      </c>
      <c r="E127" s="26">
        <f t="shared" si="34"/>
        <v>257.3</v>
      </c>
      <c r="F127" s="27" t="str">
        <f t="shared" si="35"/>
        <v>Yes</v>
      </c>
      <c r="G127" s="27" t="s">
        <v>651</v>
      </c>
      <c r="H127" s="11">
        <v>0</v>
      </c>
      <c r="I127" s="11">
        <v>0</v>
      </c>
      <c r="J127" s="35">
        <f t="shared" si="36"/>
        <v>257.3</v>
      </c>
      <c r="K127" s="35">
        <f t="shared" si="37"/>
        <v>261.75933941918288</v>
      </c>
      <c r="L127" s="35">
        <f t="shared" si="38"/>
        <v>264.79769073436171</v>
      </c>
      <c r="M127" s="35">
        <f t="shared" si="39"/>
        <v>261.27395866076199</v>
      </c>
      <c r="N127" s="35">
        <f t="shared" si="40"/>
        <v>263.88669824736962</v>
      </c>
      <c r="O127" s="25"/>
      <c r="P127" s="35">
        <f t="shared" si="41"/>
        <v>257.3</v>
      </c>
      <c r="Q127" s="35">
        <f t="shared" si="42"/>
        <v>261.76</v>
      </c>
      <c r="R127" s="35">
        <f t="shared" si="43"/>
        <v>264.8</v>
      </c>
      <c r="S127" s="35">
        <f t="shared" si="44"/>
        <v>261.27</v>
      </c>
      <c r="T127" s="35">
        <f t="shared" si="45"/>
        <v>263.89</v>
      </c>
      <c r="U127" s="25"/>
      <c r="V127" s="25">
        <f t="shared" si="46"/>
        <v>257.3</v>
      </c>
      <c r="W127" s="25">
        <f t="shared" si="47"/>
        <v>0</v>
      </c>
    </row>
    <row r="128" spans="1:23">
      <c r="A128" s="28" t="s">
        <v>231</v>
      </c>
      <c r="B128" s="28" t="s">
        <v>773</v>
      </c>
      <c r="C128" s="26">
        <v>34.78</v>
      </c>
      <c r="D128" s="26">
        <v>3234.7</v>
      </c>
      <c r="E128" s="26">
        <f t="shared" si="34"/>
        <v>3269.48</v>
      </c>
      <c r="F128" s="27" t="str">
        <f t="shared" si="35"/>
        <v>Yes</v>
      </c>
      <c r="G128" s="27" t="s">
        <v>651</v>
      </c>
      <c r="H128" s="11">
        <v>45</v>
      </c>
      <c r="I128" s="11">
        <v>0</v>
      </c>
      <c r="J128" s="35">
        <f t="shared" si="36"/>
        <v>3269.48</v>
      </c>
      <c r="K128" s="35">
        <f t="shared" si="37"/>
        <v>3326.1442869966186</v>
      </c>
      <c r="L128" s="35">
        <f t="shared" si="38"/>
        <v>3364.7522499113129</v>
      </c>
      <c r="M128" s="35">
        <f t="shared" si="39"/>
        <v>3319.9766123676177</v>
      </c>
      <c r="N128" s="35">
        <f t="shared" si="40"/>
        <v>3353.1763784912937</v>
      </c>
      <c r="O128" s="25"/>
      <c r="P128" s="35">
        <f t="shared" si="41"/>
        <v>3224.48</v>
      </c>
      <c r="Q128" s="35">
        <f t="shared" si="42"/>
        <v>3281.14</v>
      </c>
      <c r="R128" s="35">
        <f t="shared" si="43"/>
        <v>3319.75</v>
      </c>
      <c r="S128" s="35">
        <f t="shared" si="44"/>
        <v>3274.98</v>
      </c>
      <c r="T128" s="35">
        <f t="shared" si="45"/>
        <v>3308.18</v>
      </c>
      <c r="U128" s="25"/>
      <c r="V128" s="25">
        <f t="shared" si="46"/>
        <v>3269.48</v>
      </c>
      <c r="W128" s="25">
        <f t="shared" si="47"/>
        <v>-45</v>
      </c>
    </row>
    <row r="129" spans="1:23">
      <c r="A129" s="28" t="s">
        <v>233</v>
      </c>
      <c r="B129" s="28" t="s">
        <v>774</v>
      </c>
      <c r="C129" s="26">
        <v>18</v>
      </c>
      <c r="D129" s="26">
        <v>550.25</v>
      </c>
      <c r="E129" s="26">
        <f t="shared" si="34"/>
        <v>568.25</v>
      </c>
      <c r="F129" s="27" t="str">
        <f t="shared" si="35"/>
        <v>Yes</v>
      </c>
      <c r="G129" s="27" t="s">
        <v>651</v>
      </c>
      <c r="H129" s="11">
        <v>0</v>
      </c>
      <c r="I129" s="11">
        <v>0</v>
      </c>
      <c r="J129" s="35">
        <f t="shared" si="36"/>
        <v>568.25</v>
      </c>
      <c r="K129" s="35">
        <f t="shared" si="37"/>
        <v>578.09850223455362</v>
      </c>
      <c r="L129" s="35">
        <f t="shared" si="38"/>
        <v>584.80873594947934</v>
      </c>
      <c r="M129" s="35">
        <f t="shared" si="39"/>
        <v>577.02653326458608</v>
      </c>
      <c r="N129" s="35">
        <f t="shared" si="40"/>
        <v>582.79679859723194</v>
      </c>
      <c r="O129" s="25"/>
      <c r="P129" s="35">
        <f t="shared" si="41"/>
        <v>568.25</v>
      </c>
      <c r="Q129" s="35">
        <f t="shared" si="42"/>
        <v>578.1</v>
      </c>
      <c r="R129" s="35">
        <f t="shared" si="43"/>
        <v>584.80999999999995</v>
      </c>
      <c r="S129" s="35">
        <f t="shared" si="44"/>
        <v>577.03</v>
      </c>
      <c r="T129" s="35">
        <f t="shared" si="45"/>
        <v>582.79999999999995</v>
      </c>
      <c r="U129" s="25"/>
      <c r="V129" s="25">
        <f t="shared" si="46"/>
        <v>568.25</v>
      </c>
      <c r="W129" s="25">
        <f t="shared" si="47"/>
        <v>0</v>
      </c>
    </row>
    <row r="130" spans="1:23">
      <c r="A130" s="28" t="s">
        <v>235</v>
      </c>
      <c r="B130" s="28" t="s">
        <v>775</v>
      </c>
      <c r="C130" s="26">
        <v>35.9</v>
      </c>
      <c r="D130" s="26">
        <v>904.82</v>
      </c>
      <c r="E130" s="26">
        <f t="shared" si="34"/>
        <v>940.72</v>
      </c>
      <c r="F130" s="27" t="str">
        <f t="shared" si="35"/>
        <v>Yes</v>
      </c>
      <c r="G130" s="27" t="s">
        <v>651</v>
      </c>
      <c r="H130" s="11">
        <v>0</v>
      </c>
      <c r="I130" s="11">
        <v>0</v>
      </c>
      <c r="J130" s="35">
        <f t="shared" si="36"/>
        <v>940.72</v>
      </c>
      <c r="K130" s="35">
        <f t="shared" si="37"/>
        <v>957.02388565259889</v>
      </c>
      <c r="L130" s="35">
        <f t="shared" si="38"/>
        <v>968.1324664890351</v>
      </c>
      <c r="M130" s="35">
        <f t="shared" si="39"/>
        <v>955.24927474291485</v>
      </c>
      <c r="N130" s="35">
        <f t="shared" si="40"/>
        <v>964.80176749034399</v>
      </c>
      <c r="O130" s="25"/>
      <c r="P130" s="35">
        <f t="shared" si="41"/>
        <v>940.72</v>
      </c>
      <c r="Q130" s="35">
        <f t="shared" si="42"/>
        <v>957.02</v>
      </c>
      <c r="R130" s="35">
        <f t="shared" si="43"/>
        <v>968.13</v>
      </c>
      <c r="S130" s="35">
        <f t="shared" si="44"/>
        <v>955.25</v>
      </c>
      <c r="T130" s="35">
        <f t="shared" si="45"/>
        <v>964.8</v>
      </c>
      <c r="U130" s="25"/>
      <c r="V130" s="25">
        <f t="shared" si="46"/>
        <v>940.72</v>
      </c>
      <c r="W130" s="25">
        <f t="shared" si="47"/>
        <v>0</v>
      </c>
    </row>
    <row r="131" spans="1:23">
      <c r="A131" s="28" t="s">
        <v>237</v>
      </c>
      <c r="B131" s="28" t="s">
        <v>776</v>
      </c>
      <c r="C131" s="26">
        <v>0</v>
      </c>
      <c r="D131" s="26">
        <v>100.43</v>
      </c>
      <c r="E131" s="26">
        <f t="shared" si="34"/>
        <v>100.43</v>
      </c>
      <c r="F131" s="27" t="str">
        <f t="shared" si="35"/>
        <v>Yes</v>
      </c>
      <c r="G131" s="27" t="s">
        <v>651</v>
      </c>
      <c r="H131" s="11">
        <v>0</v>
      </c>
      <c r="I131" s="11">
        <v>0</v>
      </c>
      <c r="J131" s="35">
        <f t="shared" si="36"/>
        <v>100.43</v>
      </c>
      <c r="K131" s="35">
        <f t="shared" si="37"/>
        <v>102.17058087006815</v>
      </c>
      <c r="L131" s="35">
        <f t="shared" si="38"/>
        <v>103.35651799631538</v>
      </c>
      <c r="M131" s="35">
        <f t="shared" si="39"/>
        <v>101.98112579984581</v>
      </c>
      <c r="N131" s="35">
        <f t="shared" si="40"/>
        <v>103.00093705784427</v>
      </c>
      <c r="O131" s="25"/>
      <c r="P131" s="35">
        <f t="shared" si="41"/>
        <v>100.43</v>
      </c>
      <c r="Q131" s="35">
        <f t="shared" si="42"/>
        <v>102.17</v>
      </c>
      <c r="R131" s="35">
        <f t="shared" si="43"/>
        <v>103.36</v>
      </c>
      <c r="S131" s="35">
        <f t="shared" si="44"/>
        <v>101.98</v>
      </c>
      <c r="T131" s="35">
        <f t="shared" si="45"/>
        <v>103</v>
      </c>
      <c r="U131" s="25"/>
      <c r="V131" s="25">
        <f t="shared" si="46"/>
        <v>100.43</v>
      </c>
      <c r="W131" s="25">
        <f t="shared" si="47"/>
        <v>0</v>
      </c>
    </row>
    <row r="132" spans="1:23">
      <c r="A132" s="28" t="s">
        <v>239</v>
      </c>
      <c r="B132" s="28" t="s">
        <v>777</v>
      </c>
      <c r="C132" s="26">
        <v>0</v>
      </c>
      <c r="D132" s="26">
        <v>99</v>
      </c>
      <c r="E132" s="26">
        <f t="shared" si="34"/>
        <v>99</v>
      </c>
      <c r="F132" s="27" t="str">
        <f t="shared" si="35"/>
        <v>No</v>
      </c>
      <c r="G132" s="27" t="s">
        <v>651</v>
      </c>
      <c r="H132" s="11">
        <v>2</v>
      </c>
      <c r="I132" s="11">
        <v>0</v>
      </c>
      <c r="J132" s="35">
        <f t="shared" si="36"/>
        <v>99</v>
      </c>
      <c r="K132" s="35">
        <f t="shared" si="37"/>
        <v>99</v>
      </c>
      <c r="L132" s="35">
        <f t="shared" si="38"/>
        <v>99</v>
      </c>
      <c r="M132" s="35">
        <f t="shared" si="39"/>
        <v>99</v>
      </c>
      <c r="N132" s="35">
        <f t="shared" si="40"/>
        <v>99</v>
      </c>
      <c r="O132" s="25"/>
      <c r="P132" s="35">
        <f t="shared" si="41"/>
        <v>97</v>
      </c>
      <c r="Q132" s="35">
        <f t="shared" si="42"/>
        <v>97</v>
      </c>
      <c r="R132" s="35">
        <f t="shared" si="43"/>
        <v>97</v>
      </c>
      <c r="S132" s="35">
        <f t="shared" si="44"/>
        <v>97</v>
      </c>
      <c r="T132" s="35">
        <f t="shared" si="45"/>
        <v>97</v>
      </c>
      <c r="U132" s="25"/>
      <c r="V132" s="25">
        <f t="shared" si="46"/>
        <v>99</v>
      </c>
      <c r="W132" s="25">
        <f t="shared" si="47"/>
        <v>-2</v>
      </c>
    </row>
    <row r="133" spans="1:23">
      <c r="A133" s="28" t="s">
        <v>241</v>
      </c>
      <c r="B133" s="28" t="s">
        <v>778</v>
      </c>
      <c r="C133" s="26">
        <v>0</v>
      </c>
      <c r="D133" s="26">
        <v>90.3</v>
      </c>
      <c r="E133" s="26">
        <f t="shared" si="34"/>
        <v>90.3</v>
      </c>
      <c r="F133" s="27" t="str">
        <f t="shared" si="35"/>
        <v>No</v>
      </c>
      <c r="G133" s="27" t="s">
        <v>653</v>
      </c>
      <c r="H133" s="11">
        <v>0</v>
      </c>
      <c r="I133" s="11">
        <v>29</v>
      </c>
      <c r="J133" s="35">
        <f t="shared" si="36"/>
        <v>90.3</v>
      </c>
      <c r="K133" s="35">
        <f t="shared" si="37"/>
        <v>90.3</v>
      </c>
      <c r="L133" s="35">
        <f t="shared" si="38"/>
        <v>90.3</v>
      </c>
      <c r="M133" s="35">
        <f t="shared" si="39"/>
        <v>90.3</v>
      </c>
      <c r="N133" s="35">
        <f t="shared" si="40"/>
        <v>90.3</v>
      </c>
      <c r="O133" s="25"/>
      <c r="P133" s="35">
        <f t="shared" si="41"/>
        <v>119.3</v>
      </c>
      <c r="Q133" s="35">
        <f t="shared" si="42"/>
        <v>119.3</v>
      </c>
      <c r="R133" s="35">
        <f t="shared" si="43"/>
        <v>119.3</v>
      </c>
      <c r="S133" s="35">
        <f t="shared" si="44"/>
        <v>119.3</v>
      </c>
      <c r="T133" s="35">
        <f t="shared" si="45"/>
        <v>119.3</v>
      </c>
      <c r="U133" s="25"/>
      <c r="V133" s="25">
        <f t="shared" si="46"/>
        <v>90.3</v>
      </c>
      <c r="W133" s="25">
        <f t="shared" si="47"/>
        <v>29</v>
      </c>
    </row>
    <row r="134" spans="1:23">
      <c r="A134" s="28" t="s">
        <v>243</v>
      </c>
      <c r="B134" s="28" t="s">
        <v>779</v>
      </c>
      <c r="C134" s="26">
        <v>0</v>
      </c>
      <c r="D134" s="26">
        <v>205.1</v>
      </c>
      <c r="E134" s="26">
        <f t="shared" si="34"/>
        <v>205.1</v>
      </c>
      <c r="F134" s="27" t="str">
        <f t="shared" si="35"/>
        <v>Yes</v>
      </c>
      <c r="G134" s="27" t="s">
        <v>651</v>
      </c>
      <c r="H134" s="11">
        <v>0</v>
      </c>
      <c r="I134" s="11">
        <v>0</v>
      </c>
      <c r="J134" s="35">
        <f t="shared" si="36"/>
        <v>205.1</v>
      </c>
      <c r="K134" s="35">
        <f t="shared" si="37"/>
        <v>208.65464638505404</v>
      </c>
      <c r="L134" s="35">
        <f t="shared" si="38"/>
        <v>211.07658907740995</v>
      </c>
      <c r="M134" s="35">
        <f t="shared" si="39"/>
        <v>208.26773774318801</v>
      </c>
      <c r="N134" s="35">
        <f t="shared" si="40"/>
        <v>210.35041512061989</v>
      </c>
      <c r="O134" s="25"/>
      <c r="P134" s="35">
        <f t="shared" si="41"/>
        <v>205.1</v>
      </c>
      <c r="Q134" s="35">
        <f t="shared" si="42"/>
        <v>208.65</v>
      </c>
      <c r="R134" s="35">
        <f t="shared" si="43"/>
        <v>211.08</v>
      </c>
      <c r="S134" s="35">
        <f t="shared" si="44"/>
        <v>208.27</v>
      </c>
      <c r="T134" s="35">
        <f t="shared" si="45"/>
        <v>210.35</v>
      </c>
      <c r="U134" s="25"/>
      <c r="V134" s="25">
        <f t="shared" si="46"/>
        <v>205.1</v>
      </c>
      <c r="W134" s="25">
        <f t="shared" si="47"/>
        <v>0</v>
      </c>
    </row>
    <row r="135" spans="1:23">
      <c r="A135" s="28" t="s">
        <v>245</v>
      </c>
      <c r="B135" s="28" t="s">
        <v>780</v>
      </c>
      <c r="C135" s="26">
        <v>0</v>
      </c>
      <c r="D135" s="26">
        <v>61.6</v>
      </c>
      <c r="E135" s="26">
        <f t="shared" si="34"/>
        <v>61.6</v>
      </c>
      <c r="F135" s="27" t="str">
        <f t="shared" si="35"/>
        <v>No</v>
      </c>
      <c r="G135" s="27" t="s">
        <v>651</v>
      </c>
      <c r="H135" s="11">
        <v>0</v>
      </c>
      <c r="I135" s="11">
        <v>0</v>
      </c>
      <c r="J135" s="35">
        <f t="shared" si="36"/>
        <v>61.6</v>
      </c>
      <c r="K135" s="35">
        <f t="shared" si="37"/>
        <v>61.6</v>
      </c>
      <c r="L135" s="35">
        <f t="shared" si="38"/>
        <v>61.6</v>
      </c>
      <c r="M135" s="35">
        <f t="shared" si="39"/>
        <v>61.6</v>
      </c>
      <c r="N135" s="35">
        <f t="shared" si="40"/>
        <v>61.6</v>
      </c>
      <c r="O135" s="25"/>
      <c r="P135" s="35">
        <f t="shared" si="41"/>
        <v>61.6</v>
      </c>
      <c r="Q135" s="35">
        <f t="shared" si="42"/>
        <v>61.6</v>
      </c>
      <c r="R135" s="35">
        <f t="shared" si="43"/>
        <v>61.6</v>
      </c>
      <c r="S135" s="35">
        <f t="shared" si="44"/>
        <v>61.6</v>
      </c>
      <c r="T135" s="35">
        <f t="shared" si="45"/>
        <v>61.6</v>
      </c>
      <c r="U135" s="25"/>
      <c r="V135" s="25">
        <f t="shared" si="46"/>
        <v>61.6</v>
      </c>
      <c r="W135" s="25">
        <f t="shared" si="47"/>
        <v>0</v>
      </c>
    </row>
    <row r="136" spans="1:23">
      <c r="A136" s="28" t="s">
        <v>247</v>
      </c>
      <c r="B136" s="28" t="s">
        <v>781</v>
      </c>
      <c r="C136" s="26">
        <v>0</v>
      </c>
      <c r="D136" s="26">
        <v>85.85</v>
      </c>
      <c r="E136" s="26">
        <f t="shared" si="34"/>
        <v>85.85</v>
      </c>
      <c r="F136" s="27" t="str">
        <f t="shared" si="35"/>
        <v>No</v>
      </c>
      <c r="G136" s="27" t="s">
        <v>651</v>
      </c>
      <c r="H136" s="11">
        <v>0</v>
      </c>
      <c r="I136" s="11">
        <v>0</v>
      </c>
      <c r="J136" s="35">
        <f t="shared" si="36"/>
        <v>85.85</v>
      </c>
      <c r="K136" s="35">
        <f t="shared" si="37"/>
        <v>85.85</v>
      </c>
      <c r="L136" s="35">
        <f t="shared" si="38"/>
        <v>85.85</v>
      </c>
      <c r="M136" s="35">
        <f t="shared" si="39"/>
        <v>85.85</v>
      </c>
      <c r="N136" s="35">
        <f t="shared" si="40"/>
        <v>85.85</v>
      </c>
      <c r="O136" s="25"/>
      <c r="P136" s="35">
        <f t="shared" si="41"/>
        <v>85.85</v>
      </c>
      <c r="Q136" s="35">
        <f t="shared" si="42"/>
        <v>85.85</v>
      </c>
      <c r="R136" s="35">
        <f t="shared" si="43"/>
        <v>85.85</v>
      </c>
      <c r="S136" s="35">
        <f t="shared" si="44"/>
        <v>85.85</v>
      </c>
      <c r="T136" s="35">
        <f t="shared" si="45"/>
        <v>85.85</v>
      </c>
      <c r="U136" s="25"/>
      <c r="V136" s="25">
        <f t="shared" si="46"/>
        <v>85.85</v>
      </c>
      <c r="W136" s="25">
        <f t="shared" si="47"/>
        <v>0</v>
      </c>
    </row>
    <row r="137" spans="1:23">
      <c r="A137" s="28" t="s">
        <v>249</v>
      </c>
      <c r="B137" s="28" t="s">
        <v>782</v>
      </c>
      <c r="C137" s="26">
        <v>0</v>
      </c>
      <c r="D137" s="26">
        <v>27.1</v>
      </c>
      <c r="E137" s="26">
        <f t="shared" si="34"/>
        <v>27.1</v>
      </c>
      <c r="F137" s="27" t="str">
        <f t="shared" si="35"/>
        <v>No</v>
      </c>
      <c r="G137" s="27" t="s">
        <v>653</v>
      </c>
      <c r="H137" s="11">
        <v>0</v>
      </c>
      <c r="I137" s="11">
        <v>7</v>
      </c>
      <c r="J137" s="35">
        <f t="shared" si="36"/>
        <v>27.1</v>
      </c>
      <c r="K137" s="35">
        <f t="shared" si="37"/>
        <v>27.1</v>
      </c>
      <c r="L137" s="35">
        <f t="shared" si="38"/>
        <v>27.1</v>
      </c>
      <c r="M137" s="35">
        <f t="shared" si="39"/>
        <v>27.1</v>
      </c>
      <c r="N137" s="35">
        <f t="shared" si="40"/>
        <v>27.1</v>
      </c>
      <c r="O137" s="25"/>
      <c r="P137" s="35">
        <f t="shared" si="41"/>
        <v>34.1</v>
      </c>
      <c r="Q137" s="35">
        <f t="shared" si="42"/>
        <v>34.1</v>
      </c>
      <c r="R137" s="35">
        <f t="shared" si="43"/>
        <v>34.1</v>
      </c>
      <c r="S137" s="35">
        <f t="shared" si="44"/>
        <v>34.1</v>
      </c>
      <c r="T137" s="35">
        <f t="shared" si="45"/>
        <v>34.1</v>
      </c>
      <c r="U137" s="25"/>
      <c r="V137" s="25">
        <f t="shared" si="46"/>
        <v>27.1</v>
      </c>
      <c r="W137" s="25">
        <f t="shared" si="47"/>
        <v>7</v>
      </c>
    </row>
    <row r="138" spans="1:23">
      <c r="A138" s="28" t="s">
        <v>251</v>
      </c>
      <c r="B138" s="28" t="s">
        <v>783</v>
      </c>
      <c r="C138" s="26">
        <v>0</v>
      </c>
      <c r="D138" s="26">
        <v>2934.26</v>
      </c>
      <c r="E138" s="26">
        <f t="shared" ref="E138:E201" si="48">SUM(C138:D138)</f>
        <v>2934.26</v>
      </c>
      <c r="F138" s="27" t="str">
        <f t="shared" ref="F138:F201" si="49">IF(E138&gt;100,"Yes","No")</f>
        <v>Yes</v>
      </c>
      <c r="G138" s="27" t="s">
        <v>651</v>
      </c>
      <c r="H138" s="11">
        <v>34</v>
      </c>
      <c r="I138" s="11">
        <v>0</v>
      </c>
      <c r="J138" s="35">
        <f t="shared" ref="J138:J201" si="50">(IF($F138="Yes",($E138*(1+J$4)),$E138))</f>
        <v>2934.26</v>
      </c>
      <c r="K138" s="35">
        <f t="shared" ref="K138:K201" si="51">(IF($F138="Yes",(($E138*(1+J$4))*(1+K$4)),$E138))</f>
        <v>2985.1144939142305</v>
      </c>
      <c r="L138" s="35">
        <f t="shared" ref="L138:L201" si="52">(IF($F138="Yes",((($E138*(1+J$4))*(1+K$4))*(1+L$4)),$E138))</f>
        <v>3019.7639798453483</v>
      </c>
      <c r="M138" s="35">
        <f t="shared" ref="M138:M201" si="53">(IF($F138="Yes",(((($E138*(1+J$4))*(1+K$4))*(1+L$4))*(1+M$4)),$E138))</f>
        <v>2979.5791913716571</v>
      </c>
      <c r="N138" s="35">
        <f t="shared" ref="N138:N201" si="54">(IF($F138="Yes",((((($E138*(1+J$4))*(1+K$4))*(1+L$4))*(1+M$4))*(1+N$4)),$E138))</f>
        <v>3009.3749832853737</v>
      </c>
      <c r="O138" s="25"/>
      <c r="P138" s="35">
        <f t="shared" ref="P138:P201" si="55">ROUND(J138-$H138+$I138,2)</f>
        <v>2900.26</v>
      </c>
      <c r="Q138" s="35">
        <f t="shared" ref="Q138:Q201" si="56">ROUND(K138-$H138+$I138,2)</f>
        <v>2951.11</v>
      </c>
      <c r="R138" s="35">
        <f t="shared" ref="R138:R201" si="57">ROUND(L138-$H138+$I138,2)</f>
        <v>2985.76</v>
      </c>
      <c r="S138" s="35">
        <f t="shared" ref="S138:S201" si="58">ROUND(M138-$H138+$I138,2)</f>
        <v>2945.58</v>
      </c>
      <c r="T138" s="35">
        <f t="shared" ref="T138:T201" si="59">ROUND(N138-$H138+$I138,2)</f>
        <v>2975.37</v>
      </c>
      <c r="U138" s="25"/>
      <c r="V138" s="25">
        <f t="shared" ref="V138:V201" si="60">J138</f>
        <v>2934.26</v>
      </c>
      <c r="W138" s="25">
        <f t="shared" ref="W138:W201" si="61">P138-V138</f>
        <v>-34</v>
      </c>
    </row>
    <row r="139" spans="1:23">
      <c r="A139" s="28" t="s">
        <v>253</v>
      </c>
      <c r="B139" s="28" t="s">
        <v>784</v>
      </c>
      <c r="C139" s="26">
        <v>0</v>
      </c>
      <c r="D139" s="26">
        <v>1084.27</v>
      </c>
      <c r="E139" s="26">
        <f t="shared" si="48"/>
        <v>1084.27</v>
      </c>
      <c r="F139" s="27" t="str">
        <f t="shared" si="49"/>
        <v>Yes</v>
      </c>
      <c r="G139" s="27" t="s">
        <v>651</v>
      </c>
      <c r="H139" s="11">
        <v>0</v>
      </c>
      <c r="I139" s="11">
        <v>5</v>
      </c>
      <c r="J139" s="35">
        <f t="shared" si="50"/>
        <v>1084.27</v>
      </c>
      <c r="K139" s="35">
        <f t="shared" si="51"/>
        <v>1103.0617914964532</v>
      </c>
      <c r="L139" s="35">
        <f t="shared" si="52"/>
        <v>1115.8654960456524</v>
      </c>
      <c r="M139" s="35">
        <f t="shared" si="53"/>
        <v>1101.0163822662432</v>
      </c>
      <c r="N139" s="35">
        <f t="shared" si="54"/>
        <v>1112.0265460889057</v>
      </c>
      <c r="O139" s="25"/>
      <c r="P139" s="35">
        <f t="shared" si="55"/>
        <v>1089.27</v>
      </c>
      <c r="Q139" s="35">
        <f t="shared" si="56"/>
        <v>1108.06</v>
      </c>
      <c r="R139" s="35">
        <f t="shared" si="57"/>
        <v>1120.8699999999999</v>
      </c>
      <c r="S139" s="35">
        <f t="shared" si="58"/>
        <v>1106.02</v>
      </c>
      <c r="T139" s="35">
        <f t="shared" si="59"/>
        <v>1117.03</v>
      </c>
      <c r="U139" s="25"/>
      <c r="V139" s="25">
        <f t="shared" si="60"/>
        <v>1084.27</v>
      </c>
      <c r="W139" s="25">
        <f t="shared" si="61"/>
        <v>5</v>
      </c>
    </row>
    <row r="140" spans="1:23">
      <c r="A140" s="28" t="s">
        <v>255</v>
      </c>
      <c r="B140" s="28" t="s">
        <v>785</v>
      </c>
      <c r="C140" s="26">
        <v>4.8</v>
      </c>
      <c r="D140" s="26">
        <v>195.53</v>
      </c>
      <c r="E140" s="26">
        <f t="shared" si="48"/>
        <v>200.33</v>
      </c>
      <c r="F140" s="27" t="str">
        <f t="shared" si="49"/>
        <v>Yes</v>
      </c>
      <c r="G140" s="27" t="s">
        <v>651</v>
      </c>
      <c r="H140" s="11">
        <v>0</v>
      </c>
      <c r="I140" s="11">
        <v>0</v>
      </c>
      <c r="J140" s="35">
        <f t="shared" si="50"/>
        <v>200.33</v>
      </c>
      <c r="K140" s="35">
        <f t="shared" si="51"/>
        <v>203.80197615952159</v>
      </c>
      <c r="L140" s="35">
        <f t="shared" si="52"/>
        <v>206.16759185703336</v>
      </c>
      <c r="M140" s="35">
        <f t="shared" si="53"/>
        <v>203.42406583175458</v>
      </c>
      <c r="N140" s="35">
        <f t="shared" si="54"/>
        <v>205.45830649007212</v>
      </c>
      <c r="O140" s="25"/>
      <c r="P140" s="35">
        <f t="shared" si="55"/>
        <v>200.33</v>
      </c>
      <c r="Q140" s="35">
        <f t="shared" si="56"/>
        <v>203.8</v>
      </c>
      <c r="R140" s="35">
        <f t="shared" si="57"/>
        <v>206.17</v>
      </c>
      <c r="S140" s="35">
        <f t="shared" si="58"/>
        <v>203.42</v>
      </c>
      <c r="T140" s="35">
        <f t="shared" si="59"/>
        <v>205.46</v>
      </c>
      <c r="U140" s="25"/>
      <c r="V140" s="25">
        <f t="shared" si="60"/>
        <v>200.33</v>
      </c>
      <c r="W140" s="25">
        <f t="shared" si="61"/>
        <v>0</v>
      </c>
    </row>
    <row r="141" spans="1:23">
      <c r="A141" s="28" t="s">
        <v>257</v>
      </c>
      <c r="B141" s="28" t="s">
        <v>786</v>
      </c>
      <c r="C141" s="26">
        <v>0</v>
      </c>
      <c r="D141" s="26">
        <v>809.51</v>
      </c>
      <c r="E141" s="26">
        <f t="shared" si="48"/>
        <v>809.51</v>
      </c>
      <c r="F141" s="27" t="str">
        <f t="shared" si="49"/>
        <v>Yes</v>
      </c>
      <c r="G141" s="27" t="s">
        <v>651</v>
      </c>
      <c r="H141" s="11">
        <v>35.31</v>
      </c>
      <c r="I141" s="11">
        <v>0</v>
      </c>
      <c r="J141" s="35">
        <f t="shared" si="50"/>
        <v>809.51</v>
      </c>
      <c r="K141" s="35">
        <f t="shared" si="51"/>
        <v>823.53984785550995</v>
      </c>
      <c r="L141" s="35">
        <f t="shared" si="52"/>
        <v>833.09902303293097</v>
      </c>
      <c r="M141" s="35">
        <f t="shared" si="53"/>
        <v>822.01275660891349</v>
      </c>
      <c r="N141" s="35">
        <f t="shared" si="54"/>
        <v>830.2328841750026</v>
      </c>
      <c r="O141" s="25"/>
      <c r="P141" s="35">
        <f t="shared" si="55"/>
        <v>774.2</v>
      </c>
      <c r="Q141" s="35">
        <f t="shared" si="56"/>
        <v>788.23</v>
      </c>
      <c r="R141" s="35">
        <f t="shared" si="57"/>
        <v>797.79</v>
      </c>
      <c r="S141" s="35">
        <f t="shared" si="58"/>
        <v>786.7</v>
      </c>
      <c r="T141" s="35">
        <f t="shared" si="59"/>
        <v>794.92</v>
      </c>
      <c r="U141" s="25"/>
      <c r="V141" s="25">
        <f t="shared" si="60"/>
        <v>809.51</v>
      </c>
      <c r="W141" s="25">
        <f t="shared" si="61"/>
        <v>-35.309999999999945</v>
      </c>
    </row>
    <row r="142" spans="1:23">
      <c r="A142" s="28" t="s">
        <v>259</v>
      </c>
      <c r="B142" s="28" t="s">
        <v>787</v>
      </c>
      <c r="C142" s="26">
        <v>3.5</v>
      </c>
      <c r="D142" s="26">
        <v>55.4</v>
      </c>
      <c r="E142" s="26">
        <f t="shared" si="48"/>
        <v>58.9</v>
      </c>
      <c r="F142" s="27" t="str">
        <f t="shared" si="49"/>
        <v>No</v>
      </c>
      <c r="G142" s="27" t="s">
        <v>653</v>
      </c>
      <c r="H142" s="11">
        <v>0</v>
      </c>
      <c r="I142" s="11">
        <v>57.21</v>
      </c>
      <c r="J142" s="35">
        <f t="shared" si="50"/>
        <v>58.9</v>
      </c>
      <c r="K142" s="35">
        <f t="shared" si="51"/>
        <v>58.9</v>
      </c>
      <c r="L142" s="35">
        <f t="shared" si="52"/>
        <v>58.9</v>
      </c>
      <c r="M142" s="35">
        <f t="shared" si="53"/>
        <v>58.9</v>
      </c>
      <c r="N142" s="35">
        <f t="shared" si="54"/>
        <v>58.9</v>
      </c>
      <c r="O142" s="25"/>
      <c r="P142" s="35">
        <f t="shared" si="55"/>
        <v>116.11</v>
      </c>
      <c r="Q142" s="35">
        <f t="shared" si="56"/>
        <v>116.11</v>
      </c>
      <c r="R142" s="35">
        <f t="shared" si="57"/>
        <v>116.11</v>
      </c>
      <c r="S142" s="35">
        <f t="shared" si="58"/>
        <v>116.11</v>
      </c>
      <c r="T142" s="35">
        <f t="shared" si="59"/>
        <v>116.11</v>
      </c>
      <c r="U142" s="25"/>
      <c r="V142" s="25">
        <f t="shared" si="60"/>
        <v>58.9</v>
      </c>
      <c r="W142" s="25">
        <f t="shared" si="61"/>
        <v>57.21</v>
      </c>
    </row>
    <row r="143" spans="1:23">
      <c r="A143" s="28" t="s">
        <v>261</v>
      </c>
      <c r="B143" s="28" t="s">
        <v>788</v>
      </c>
      <c r="C143" s="26">
        <v>0</v>
      </c>
      <c r="D143" s="26">
        <v>620.04</v>
      </c>
      <c r="E143" s="26">
        <f t="shared" si="48"/>
        <v>620.04</v>
      </c>
      <c r="F143" s="27" t="str">
        <f t="shared" si="49"/>
        <v>Yes</v>
      </c>
      <c r="G143" s="27" t="s">
        <v>651</v>
      </c>
      <c r="H143" s="11">
        <v>0</v>
      </c>
      <c r="I143" s="11">
        <v>0</v>
      </c>
      <c r="J143" s="35">
        <f t="shared" si="50"/>
        <v>620.04</v>
      </c>
      <c r="K143" s="35">
        <f t="shared" si="51"/>
        <v>630.78608944216921</v>
      </c>
      <c r="L143" s="35">
        <f t="shared" si="52"/>
        <v>638.10789025625195</v>
      </c>
      <c r="M143" s="35">
        <f t="shared" si="53"/>
        <v>629.61642179564262</v>
      </c>
      <c r="N143" s="35">
        <f t="shared" si="54"/>
        <v>635.91258601359903</v>
      </c>
      <c r="O143" s="25"/>
      <c r="P143" s="35">
        <f t="shared" si="55"/>
        <v>620.04</v>
      </c>
      <c r="Q143" s="35">
        <f t="shared" si="56"/>
        <v>630.79</v>
      </c>
      <c r="R143" s="35">
        <f t="shared" si="57"/>
        <v>638.11</v>
      </c>
      <c r="S143" s="35">
        <f t="shared" si="58"/>
        <v>629.62</v>
      </c>
      <c r="T143" s="35">
        <f t="shared" si="59"/>
        <v>635.91</v>
      </c>
      <c r="U143" s="25"/>
      <c r="V143" s="25">
        <f t="shared" si="60"/>
        <v>620.04</v>
      </c>
      <c r="W143" s="25">
        <f t="shared" si="61"/>
        <v>0</v>
      </c>
    </row>
    <row r="144" spans="1:23">
      <c r="A144" s="28" t="s">
        <v>263</v>
      </c>
      <c r="B144" s="28" t="s">
        <v>789</v>
      </c>
      <c r="C144" s="26">
        <v>34.200000000000003</v>
      </c>
      <c r="D144" s="26">
        <v>400.6</v>
      </c>
      <c r="E144" s="26">
        <f t="shared" si="48"/>
        <v>434.8</v>
      </c>
      <c r="F144" s="27" t="str">
        <f t="shared" si="49"/>
        <v>Yes</v>
      </c>
      <c r="G144" s="27" t="s">
        <v>651</v>
      </c>
      <c r="H144" s="11">
        <v>0</v>
      </c>
      <c r="I144" s="11">
        <v>0</v>
      </c>
      <c r="J144" s="35">
        <f t="shared" si="50"/>
        <v>434.8</v>
      </c>
      <c r="K144" s="35">
        <f t="shared" si="51"/>
        <v>442.33564236090444</v>
      </c>
      <c r="L144" s="35">
        <f t="shared" si="52"/>
        <v>447.47001916556729</v>
      </c>
      <c r="M144" s="35">
        <f t="shared" si="53"/>
        <v>441.51541867741668</v>
      </c>
      <c r="N144" s="35">
        <f t="shared" si="54"/>
        <v>445.93057286419082</v>
      </c>
      <c r="O144" s="25"/>
      <c r="P144" s="35">
        <f t="shared" si="55"/>
        <v>434.8</v>
      </c>
      <c r="Q144" s="35">
        <f t="shared" si="56"/>
        <v>442.34</v>
      </c>
      <c r="R144" s="35">
        <f t="shared" si="57"/>
        <v>447.47</v>
      </c>
      <c r="S144" s="35">
        <f t="shared" si="58"/>
        <v>441.52</v>
      </c>
      <c r="T144" s="35">
        <f t="shared" si="59"/>
        <v>445.93</v>
      </c>
      <c r="U144" s="25"/>
      <c r="V144" s="25">
        <f t="shared" si="60"/>
        <v>434.8</v>
      </c>
      <c r="W144" s="25">
        <f t="shared" si="61"/>
        <v>0</v>
      </c>
    </row>
    <row r="145" spans="1:23">
      <c r="A145" s="28" t="s">
        <v>265</v>
      </c>
      <c r="B145" s="28" t="s">
        <v>790</v>
      </c>
      <c r="C145" s="26">
        <v>0</v>
      </c>
      <c r="D145" s="26">
        <v>626.54</v>
      </c>
      <c r="E145" s="26">
        <f t="shared" si="48"/>
        <v>626.54</v>
      </c>
      <c r="F145" s="27" t="str">
        <f t="shared" si="49"/>
        <v>Yes</v>
      </c>
      <c r="G145" s="27" t="s">
        <v>651</v>
      </c>
      <c r="H145" s="11">
        <v>0</v>
      </c>
      <c r="I145" s="11">
        <v>0</v>
      </c>
      <c r="J145" s="35">
        <f t="shared" si="50"/>
        <v>626.54</v>
      </c>
      <c r="K145" s="35">
        <f t="shared" si="51"/>
        <v>637.39874278933075</v>
      </c>
      <c r="L145" s="35">
        <f t="shared" si="52"/>
        <v>644.79729946640862</v>
      </c>
      <c r="M145" s="35">
        <f t="shared" si="53"/>
        <v>636.21681328921011</v>
      </c>
      <c r="N145" s="35">
        <f t="shared" si="54"/>
        <v>642.57898142210217</v>
      </c>
      <c r="O145" s="25"/>
      <c r="P145" s="35">
        <f t="shared" si="55"/>
        <v>626.54</v>
      </c>
      <c r="Q145" s="35">
        <f t="shared" si="56"/>
        <v>637.4</v>
      </c>
      <c r="R145" s="35">
        <f t="shared" si="57"/>
        <v>644.79999999999995</v>
      </c>
      <c r="S145" s="35">
        <f t="shared" si="58"/>
        <v>636.22</v>
      </c>
      <c r="T145" s="35">
        <f t="shared" si="59"/>
        <v>642.58000000000004</v>
      </c>
      <c r="U145" s="25"/>
      <c r="V145" s="25">
        <f t="shared" si="60"/>
        <v>626.54</v>
      </c>
      <c r="W145" s="25">
        <f t="shared" si="61"/>
        <v>0</v>
      </c>
    </row>
    <row r="146" spans="1:23">
      <c r="A146" s="28" t="s">
        <v>267</v>
      </c>
      <c r="B146" s="28" t="s">
        <v>791</v>
      </c>
      <c r="C146" s="26">
        <v>39.9</v>
      </c>
      <c r="D146" s="26">
        <v>763.04</v>
      </c>
      <c r="E146" s="26">
        <f t="shared" si="48"/>
        <v>802.93999999999994</v>
      </c>
      <c r="F146" s="27" t="str">
        <f t="shared" si="49"/>
        <v>Yes</v>
      </c>
      <c r="G146" s="27" t="s">
        <v>651</v>
      </c>
      <c r="H146" s="11">
        <v>15.9</v>
      </c>
      <c r="I146" s="11">
        <v>0</v>
      </c>
      <c r="J146" s="35">
        <f t="shared" si="50"/>
        <v>802.93999999999994</v>
      </c>
      <c r="K146" s="35">
        <f t="shared" si="51"/>
        <v>816.85598131845575</v>
      </c>
      <c r="L146" s="35">
        <f t="shared" si="52"/>
        <v>826.33757403128004</v>
      </c>
      <c r="M146" s="35">
        <f t="shared" si="53"/>
        <v>815.34128397618417</v>
      </c>
      <c r="N146" s="35">
        <f t="shared" si="54"/>
        <v>823.49469681594599</v>
      </c>
      <c r="O146" s="25"/>
      <c r="P146" s="35">
        <f t="shared" si="55"/>
        <v>787.04</v>
      </c>
      <c r="Q146" s="35">
        <f t="shared" si="56"/>
        <v>800.96</v>
      </c>
      <c r="R146" s="35">
        <f t="shared" si="57"/>
        <v>810.44</v>
      </c>
      <c r="S146" s="35">
        <f t="shared" si="58"/>
        <v>799.44</v>
      </c>
      <c r="T146" s="35">
        <f t="shared" si="59"/>
        <v>807.59</v>
      </c>
      <c r="U146" s="25"/>
      <c r="V146" s="25">
        <f t="shared" si="60"/>
        <v>802.93999999999994</v>
      </c>
      <c r="W146" s="25">
        <f t="shared" si="61"/>
        <v>-15.899999999999977</v>
      </c>
    </row>
    <row r="147" spans="1:23">
      <c r="A147" s="28" t="s">
        <v>269</v>
      </c>
      <c r="B147" s="28" t="s">
        <v>792</v>
      </c>
      <c r="C147" s="26">
        <v>6</v>
      </c>
      <c r="D147" s="26">
        <v>322.76</v>
      </c>
      <c r="E147" s="26">
        <f t="shared" si="48"/>
        <v>328.76</v>
      </c>
      <c r="F147" s="27" t="str">
        <f t="shared" si="49"/>
        <v>Yes</v>
      </c>
      <c r="G147" s="27" t="s">
        <v>651</v>
      </c>
      <c r="H147" s="11">
        <v>0</v>
      </c>
      <c r="I147" s="11">
        <v>0</v>
      </c>
      <c r="J147" s="35">
        <f t="shared" si="50"/>
        <v>328.76</v>
      </c>
      <c r="K147" s="35">
        <f t="shared" si="51"/>
        <v>334.4578329865937</v>
      </c>
      <c r="L147" s="35">
        <f t="shared" si="52"/>
        <v>338.34002645094733</v>
      </c>
      <c r="M147" s="35">
        <f t="shared" si="53"/>
        <v>333.83764729619941</v>
      </c>
      <c r="N147" s="35">
        <f t="shared" si="54"/>
        <v>337.17602376916142</v>
      </c>
      <c r="O147" s="25"/>
      <c r="P147" s="35">
        <f t="shared" si="55"/>
        <v>328.76</v>
      </c>
      <c r="Q147" s="35">
        <f t="shared" si="56"/>
        <v>334.46</v>
      </c>
      <c r="R147" s="35">
        <f t="shared" si="57"/>
        <v>338.34</v>
      </c>
      <c r="S147" s="35">
        <f t="shared" si="58"/>
        <v>333.84</v>
      </c>
      <c r="T147" s="35">
        <f t="shared" si="59"/>
        <v>337.18</v>
      </c>
      <c r="U147" s="25"/>
      <c r="V147" s="25">
        <f t="shared" si="60"/>
        <v>328.76</v>
      </c>
      <c r="W147" s="25">
        <f t="shared" si="61"/>
        <v>0</v>
      </c>
    </row>
    <row r="148" spans="1:23">
      <c r="A148" s="28" t="s">
        <v>271</v>
      </c>
      <c r="B148" s="28" t="s">
        <v>793</v>
      </c>
      <c r="C148" s="26">
        <v>0</v>
      </c>
      <c r="D148" s="26">
        <v>851.32</v>
      </c>
      <c r="E148" s="26">
        <f t="shared" si="48"/>
        <v>851.32</v>
      </c>
      <c r="F148" s="27" t="str">
        <f t="shared" si="49"/>
        <v>Yes</v>
      </c>
      <c r="G148" s="27" t="s">
        <v>651</v>
      </c>
      <c r="H148" s="11">
        <v>0</v>
      </c>
      <c r="I148" s="11">
        <v>0</v>
      </c>
      <c r="J148" s="35">
        <f t="shared" si="50"/>
        <v>851.32</v>
      </c>
      <c r="K148" s="35">
        <f t="shared" si="51"/>
        <v>866.07446884702199</v>
      </c>
      <c r="L148" s="35">
        <f t="shared" si="52"/>
        <v>876.12736135241664</v>
      </c>
      <c r="M148" s="35">
        <f t="shared" si="53"/>
        <v>864.46850558523079</v>
      </c>
      <c r="N148" s="35">
        <f t="shared" si="54"/>
        <v>873.11319064108307</v>
      </c>
      <c r="O148" s="25"/>
      <c r="P148" s="35">
        <f t="shared" si="55"/>
        <v>851.32</v>
      </c>
      <c r="Q148" s="35">
        <f t="shared" si="56"/>
        <v>866.07</v>
      </c>
      <c r="R148" s="35">
        <f t="shared" si="57"/>
        <v>876.13</v>
      </c>
      <c r="S148" s="35">
        <f t="shared" si="58"/>
        <v>864.47</v>
      </c>
      <c r="T148" s="35">
        <f t="shared" si="59"/>
        <v>873.11</v>
      </c>
      <c r="U148" s="25"/>
      <c r="V148" s="25">
        <f t="shared" si="60"/>
        <v>851.32</v>
      </c>
      <c r="W148" s="25">
        <f t="shared" si="61"/>
        <v>0</v>
      </c>
    </row>
    <row r="149" spans="1:23">
      <c r="A149" s="28" t="s">
        <v>273</v>
      </c>
      <c r="B149" s="28" t="s">
        <v>794</v>
      </c>
      <c r="C149" s="26">
        <v>15.4</v>
      </c>
      <c r="D149" s="26">
        <v>832.73</v>
      </c>
      <c r="E149" s="26">
        <f t="shared" si="48"/>
        <v>848.13</v>
      </c>
      <c r="F149" s="27" t="str">
        <f t="shared" si="49"/>
        <v>Yes</v>
      </c>
      <c r="G149" s="27" t="s">
        <v>651</v>
      </c>
      <c r="H149" s="11">
        <v>0</v>
      </c>
      <c r="I149" s="11">
        <v>0</v>
      </c>
      <c r="J149" s="35">
        <f t="shared" si="50"/>
        <v>848.13</v>
      </c>
      <c r="K149" s="35">
        <f t="shared" si="51"/>
        <v>862.8291820504918</v>
      </c>
      <c r="L149" s="35">
        <f t="shared" si="52"/>
        <v>872.84440514004723</v>
      </c>
      <c r="M149" s="35">
        <f t="shared" si="53"/>
        <v>861.22923652915665</v>
      </c>
      <c r="N149" s="35">
        <f t="shared" si="54"/>
        <v>869.84152889444817</v>
      </c>
      <c r="O149" s="25"/>
      <c r="P149" s="35">
        <f t="shared" si="55"/>
        <v>848.13</v>
      </c>
      <c r="Q149" s="35">
        <f t="shared" si="56"/>
        <v>862.83</v>
      </c>
      <c r="R149" s="35">
        <f t="shared" si="57"/>
        <v>872.84</v>
      </c>
      <c r="S149" s="35">
        <f t="shared" si="58"/>
        <v>861.23</v>
      </c>
      <c r="T149" s="35">
        <f t="shared" si="59"/>
        <v>869.84</v>
      </c>
      <c r="U149" s="25"/>
      <c r="V149" s="25">
        <f t="shared" si="60"/>
        <v>848.13</v>
      </c>
      <c r="W149" s="25">
        <f t="shared" si="61"/>
        <v>0</v>
      </c>
    </row>
    <row r="150" spans="1:23">
      <c r="A150" s="28" t="s">
        <v>275</v>
      </c>
      <c r="B150" s="28" t="s">
        <v>795</v>
      </c>
      <c r="C150" s="26">
        <v>17.600000000000001</v>
      </c>
      <c r="D150" s="26">
        <v>253.34</v>
      </c>
      <c r="E150" s="26">
        <f t="shared" si="48"/>
        <v>270.94</v>
      </c>
      <c r="F150" s="27" t="str">
        <f t="shared" si="49"/>
        <v>Yes</v>
      </c>
      <c r="G150" s="27" t="s">
        <v>651</v>
      </c>
      <c r="H150" s="11">
        <v>0</v>
      </c>
      <c r="I150" s="11">
        <v>0</v>
      </c>
      <c r="J150" s="35">
        <f t="shared" si="50"/>
        <v>270.94</v>
      </c>
      <c r="K150" s="35">
        <f t="shared" si="51"/>
        <v>275.63573813538051</v>
      </c>
      <c r="L150" s="35">
        <f t="shared" si="52"/>
        <v>278.83515867690619</v>
      </c>
      <c r="M150" s="35">
        <f t="shared" si="53"/>
        <v>275.12462634880239</v>
      </c>
      <c r="N150" s="35">
        <f t="shared" si="54"/>
        <v>277.87587261229044</v>
      </c>
      <c r="O150" s="25"/>
      <c r="P150" s="35">
        <f t="shared" si="55"/>
        <v>270.94</v>
      </c>
      <c r="Q150" s="35">
        <f t="shared" si="56"/>
        <v>275.64</v>
      </c>
      <c r="R150" s="35">
        <f t="shared" si="57"/>
        <v>278.83999999999997</v>
      </c>
      <c r="S150" s="35">
        <f t="shared" si="58"/>
        <v>275.12</v>
      </c>
      <c r="T150" s="35">
        <f t="shared" si="59"/>
        <v>277.88</v>
      </c>
      <c r="U150" s="25"/>
      <c r="V150" s="25">
        <f t="shared" si="60"/>
        <v>270.94</v>
      </c>
      <c r="W150" s="25">
        <f t="shared" si="61"/>
        <v>0</v>
      </c>
    </row>
    <row r="151" spans="1:23">
      <c r="A151" s="28" t="s">
        <v>277</v>
      </c>
      <c r="B151" s="28" t="s">
        <v>796</v>
      </c>
      <c r="C151" s="26">
        <v>0</v>
      </c>
      <c r="D151" s="26">
        <v>2930.79</v>
      </c>
      <c r="E151" s="26">
        <f t="shared" si="48"/>
        <v>2930.79</v>
      </c>
      <c r="F151" s="27" t="str">
        <f t="shared" si="49"/>
        <v>Yes</v>
      </c>
      <c r="G151" s="27" t="s">
        <v>651</v>
      </c>
      <c r="H151" s="11">
        <v>3</v>
      </c>
      <c r="I151" s="11">
        <v>0</v>
      </c>
      <c r="J151" s="35">
        <f t="shared" si="50"/>
        <v>2930.79</v>
      </c>
      <c r="K151" s="35">
        <f t="shared" si="51"/>
        <v>2981.58435435813</v>
      </c>
      <c r="L151" s="35">
        <f t="shared" si="52"/>
        <v>3016.1928644670029</v>
      </c>
      <c r="M151" s="35">
        <f t="shared" si="53"/>
        <v>2976.055597758937</v>
      </c>
      <c r="N151" s="35">
        <f t="shared" si="54"/>
        <v>3005.8161537365263</v>
      </c>
      <c r="O151" s="25"/>
      <c r="P151" s="35">
        <f t="shared" si="55"/>
        <v>2927.79</v>
      </c>
      <c r="Q151" s="35">
        <f t="shared" si="56"/>
        <v>2978.58</v>
      </c>
      <c r="R151" s="35">
        <f t="shared" si="57"/>
        <v>3013.19</v>
      </c>
      <c r="S151" s="35">
        <f t="shared" si="58"/>
        <v>2973.06</v>
      </c>
      <c r="T151" s="35">
        <f t="shared" si="59"/>
        <v>3002.82</v>
      </c>
      <c r="U151" s="25"/>
      <c r="V151" s="25">
        <f t="shared" si="60"/>
        <v>2930.79</v>
      </c>
      <c r="W151" s="25">
        <f t="shared" si="61"/>
        <v>-3</v>
      </c>
    </row>
    <row r="152" spans="1:23">
      <c r="A152" s="28" t="s">
        <v>279</v>
      </c>
      <c r="B152" s="28" t="s">
        <v>797</v>
      </c>
      <c r="C152" s="26">
        <v>0</v>
      </c>
      <c r="D152" s="26">
        <v>335.42</v>
      </c>
      <c r="E152" s="26">
        <f t="shared" si="48"/>
        <v>335.42</v>
      </c>
      <c r="F152" s="27" t="str">
        <f t="shared" si="49"/>
        <v>Yes</v>
      </c>
      <c r="G152" s="27" t="s">
        <v>651</v>
      </c>
      <c r="H152" s="11">
        <v>0</v>
      </c>
      <c r="I152" s="11">
        <v>0</v>
      </c>
      <c r="J152" s="35">
        <f t="shared" si="50"/>
        <v>335.42</v>
      </c>
      <c r="K152" s="35">
        <f t="shared" si="51"/>
        <v>341.23325933922393</v>
      </c>
      <c r="L152" s="35">
        <f t="shared" si="52"/>
        <v>345.1940980416619</v>
      </c>
      <c r="M152" s="35">
        <f t="shared" si="53"/>
        <v>340.60050996499336</v>
      </c>
      <c r="N152" s="35">
        <f t="shared" si="54"/>
        <v>344.00651506464328</v>
      </c>
      <c r="O152" s="25"/>
      <c r="P152" s="35">
        <f t="shared" si="55"/>
        <v>335.42</v>
      </c>
      <c r="Q152" s="35">
        <f t="shared" si="56"/>
        <v>341.23</v>
      </c>
      <c r="R152" s="35">
        <f t="shared" si="57"/>
        <v>345.19</v>
      </c>
      <c r="S152" s="35">
        <f t="shared" si="58"/>
        <v>340.6</v>
      </c>
      <c r="T152" s="35">
        <f t="shared" si="59"/>
        <v>344.01</v>
      </c>
      <c r="U152" s="25"/>
      <c r="V152" s="25">
        <f t="shared" si="60"/>
        <v>335.42</v>
      </c>
      <c r="W152" s="25">
        <f t="shared" si="61"/>
        <v>0</v>
      </c>
    </row>
    <row r="153" spans="1:23">
      <c r="A153" s="28" t="s">
        <v>281</v>
      </c>
      <c r="B153" s="28" t="s">
        <v>798</v>
      </c>
      <c r="C153" s="26">
        <v>0</v>
      </c>
      <c r="D153" s="26">
        <v>3340.25</v>
      </c>
      <c r="E153" s="26">
        <f t="shared" si="48"/>
        <v>3340.25</v>
      </c>
      <c r="F153" s="27" t="str">
        <f t="shared" si="49"/>
        <v>Yes</v>
      </c>
      <c r="G153" s="27" t="s">
        <v>651</v>
      </c>
      <c r="H153" s="11">
        <v>3</v>
      </c>
      <c r="I153" s="11">
        <v>0</v>
      </c>
      <c r="J153" s="35">
        <f t="shared" si="50"/>
        <v>3340.25</v>
      </c>
      <c r="K153" s="35">
        <f t="shared" si="51"/>
        <v>3398.140821977946</v>
      </c>
      <c r="L153" s="35">
        <f t="shared" si="52"/>
        <v>3437.5844791117433</v>
      </c>
      <c r="M153" s="35">
        <f t="shared" si="53"/>
        <v>3391.8396440598917</v>
      </c>
      <c r="N153" s="35">
        <f t="shared" si="54"/>
        <v>3425.7580405004906</v>
      </c>
      <c r="O153" s="25"/>
      <c r="P153" s="35">
        <f t="shared" si="55"/>
        <v>3337.25</v>
      </c>
      <c r="Q153" s="35">
        <f t="shared" si="56"/>
        <v>3395.14</v>
      </c>
      <c r="R153" s="35">
        <f t="shared" si="57"/>
        <v>3434.58</v>
      </c>
      <c r="S153" s="35">
        <f t="shared" si="58"/>
        <v>3388.84</v>
      </c>
      <c r="T153" s="35">
        <f t="shared" si="59"/>
        <v>3422.76</v>
      </c>
      <c r="U153" s="25"/>
      <c r="V153" s="25">
        <f t="shared" si="60"/>
        <v>3340.25</v>
      </c>
      <c r="W153" s="25">
        <f t="shared" si="61"/>
        <v>-3</v>
      </c>
    </row>
    <row r="154" spans="1:23">
      <c r="A154" s="28" t="s">
        <v>283</v>
      </c>
      <c r="B154" s="28" t="s">
        <v>799</v>
      </c>
      <c r="C154" s="26">
        <v>0</v>
      </c>
      <c r="D154" s="26">
        <v>61.3</v>
      </c>
      <c r="E154" s="26">
        <f t="shared" si="48"/>
        <v>61.3</v>
      </c>
      <c r="F154" s="27" t="str">
        <f t="shared" si="49"/>
        <v>No</v>
      </c>
      <c r="G154" s="27" t="s">
        <v>651</v>
      </c>
      <c r="H154" s="11">
        <v>1</v>
      </c>
      <c r="I154" s="11">
        <v>0</v>
      </c>
      <c r="J154" s="35">
        <f t="shared" si="50"/>
        <v>61.3</v>
      </c>
      <c r="K154" s="35">
        <f t="shared" si="51"/>
        <v>61.3</v>
      </c>
      <c r="L154" s="35">
        <f t="shared" si="52"/>
        <v>61.3</v>
      </c>
      <c r="M154" s="35">
        <f t="shared" si="53"/>
        <v>61.3</v>
      </c>
      <c r="N154" s="35">
        <f t="shared" si="54"/>
        <v>61.3</v>
      </c>
      <c r="O154" s="25"/>
      <c r="P154" s="35">
        <f t="shared" si="55"/>
        <v>60.3</v>
      </c>
      <c r="Q154" s="35">
        <f t="shared" si="56"/>
        <v>60.3</v>
      </c>
      <c r="R154" s="35">
        <f t="shared" si="57"/>
        <v>60.3</v>
      </c>
      <c r="S154" s="35">
        <f t="shared" si="58"/>
        <v>60.3</v>
      </c>
      <c r="T154" s="35">
        <f t="shared" si="59"/>
        <v>60.3</v>
      </c>
      <c r="U154" s="25"/>
      <c r="V154" s="25">
        <f t="shared" si="60"/>
        <v>61.3</v>
      </c>
      <c r="W154" s="25">
        <f t="shared" si="61"/>
        <v>-1</v>
      </c>
    </row>
    <row r="155" spans="1:23">
      <c r="A155" s="28" t="s">
        <v>285</v>
      </c>
      <c r="B155" s="28" t="s">
        <v>800</v>
      </c>
      <c r="C155" s="26">
        <v>16.27</v>
      </c>
      <c r="D155" s="26">
        <v>712.3</v>
      </c>
      <c r="E155" s="26">
        <f t="shared" si="48"/>
        <v>728.56999999999994</v>
      </c>
      <c r="F155" s="27" t="str">
        <f t="shared" si="49"/>
        <v>Yes</v>
      </c>
      <c r="G155" s="27" t="s">
        <v>651</v>
      </c>
      <c r="H155" s="11">
        <v>0</v>
      </c>
      <c r="I155" s="11">
        <v>0</v>
      </c>
      <c r="J155" s="35">
        <f t="shared" si="50"/>
        <v>728.56999999999994</v>
      </c>
      <c r="K155" s="35">
        <f t="shared" si="51"/>
        <v>741.19705371408486</v>
      </c>
      <c r="L155" s="35">
        <f t="shared" si="52"/>
        <v>749.80044126830114</v>
      </c>
      <c r="M155" s="35">
        <f t="shared" si="53"/>
        <v>739.82265084131882</v>
      </c>
      <c r="N155" s="35">
        <f t="shared" si="54"/>
        <v>747.22087734973206</v>
      </c>
      <c r="O155" s="25"/>
      <c r="P155" s="35">
        <f t="shared" si="55"/>
        <v>728.57</v>
      </c>
      <c r="Q155" s="35">
        <f t="shared" si="56"/>
        <v>741.2</v>
      </c>
      <c r="R155" s="35">
        <f t="shared" si="57"/>
        <v>749.8</v>
      </c>
      <c r="S155" s="35">
        <f t="shared" si="58"/>
        <v>739.82</v>
      </c>
      <c r="T155" s="35">
        <f t="shared" si="59"/>
        <v>747.22</v>
      </c>
      <c r="U155" s="25"/>
      <c r="V155" s="25">
        <f t="shared" si="60"/>
        <v>728.56999999999994</v>
      </c>
      <c r="W155" s="25">
        <f t="shared" si="61"/>
        <v>0</v>
      </c>
    </row>
    <row r="156" spans="1:23">
      <c r="A156" s="28" t="s">
        <v>287</v>
      </c>
      <c r="B156" s="28" t="s">
        <v>801</v>
      </c>
      <c r="C156" s="26">
        <v>0</v>
      </c>
      <c r="D156" s="26">
        <v>102.34</v>
      </c>
      <c r="E156" s="26">
        <f t="shared" si="48"/>
        <v>102.34</v>
      </c>
      <c r="F156" s="27" t="str">
        <f t="shared" si="49"/>
        <v>Yes</v>
      </c>
      <c r="G156" s="27" t="s">
        <v>651</v>
      </c>
      <c r="H156" s="11">
        <v>0</v>
      </c>
      <c r="I156" s="11">
        <v>0</v>
      </c>
      <c r="J156" s="35">
        <f t="shared" si="50"/>
        <v>102.34</v>
      </c>
      <c r="K156" s="35">
        <f t="shared" si="51"/>
        <v>104.11368362284949</v>
      </c>
      <c r="L156" s="35">
        <f t="shared" si="52"/>
        <v>105.322175164223</v>
      </c>
      <c r="M156" s="35">
        <f t="shared" si="53"/>
        <v>103.92062545410953</v>
      </c>
      <c r="N156" s="35">
        <f t="shared" si="54"/>
        <v>104.95983170865063</v>
      </c>
      <c r="O156" s="25"/>
      <c r="P156" s="35">
        <f t="shared" si="55"/>
        <v>102.34</v>
      </c>
      <c r="Q156" s="35">
        <f t="shared" si="56"/>
        <v>104.11</v>
      </c>
      <c r="R156" s="35">
        <f t="shared" si="57"/>
        <v>105.32</v>
      </c>
      <c r="S156" s="35">
        <f t="shared" si="58"/>
        <v>103.92</v>
      </c>
      <c r="T156" s="35">
        <f t="shared" si="59"/>
        <v>104.96</v>
      </c>
      <c r="U156" s="25"/>
      <c r="V156" s="25">
        <f t="shared" si="60"/>
        <v>102.34</v>
      </c>
      <c r="W156" s="25">
        <f t="shared" si="61"/>
        <v>0</v>
      </c>
    </row>
    <row r="157" spans="1:23">
      <c r="A157" s="28" t="s">
        <v>289</v>
      </c>
      <c r="B157" s="28" t="s">
        <v>802</v>
      </c>
      <c r="C157" s="26">
        <v>0</v>
      </c>
      <c r="D157" s="26">
        <v>86.38</v>
      </c>
      <c r="E157" s="26">
        <f t="shared" si="48"/>
        <v>86.38</v>
      </c>
      <c r="F157" s="27" t="str">
        <f t="shared" si="49"/>
        <v>No</v>
      </c>
      <c r="G157" s="27" t="s">
        <v>651</v>
      </c>
      <c r="H157" s="11">
        <v>0</v>
      </c>
      <c r="I157" s="11">
        <v>0</v>
      </c>
      <c r="J157" s="35">
        <f t="shared" si="50"/>
        <v>86.38</v>
      </c>
      <c r="K157" s="35">
        <f t="shared" si="51"/>
        <v>86.38</v>
      </c>
      <c r="L157" s="35">
        <f t="shared" si="52"/>
        <v>86.38</v>
      </c>
      <c r="M157" s="35">
        <f t="shared" si="53"/>
        <v>86.38</v>
      </c>
      <c r="N157" s="35">
        <f t="shared" si="54"/>
        <v>86.38</v>
      </c>
      <c r="O157" s="25"/>
      <c r="P157" s="35">
        <f t="shared" si="55"/>
        <v>86.38</v>
      </c>
      <c r="Q157" s="35">
        <f t="shared" si="56"/>
        <v>86.38</v>
      </c>
      <c r="R157" s="35">
        <f t="shared" si="57"/>
        <v>86.38</v>
      </c>
      <c r="S157" s="35">
        <f t="shared" si="58"/>
        <v>86.38</v>
      </c>
      <c r="T157" s="35">
        <f t="shared" si="59"/>
        <v>86.38</v>
      </c>
      <c r="U157" s="25"/>
      <c r="V157" s="25">
        <f t="shared" si="60"/>
        <v>86.38</v>
      </c>
      <c r="W157" s="25">
        <f t="shared" si="61"/>
        <v>0</v>
      </c>
    </row>
    <row r="158" spans="1:23">
      <c r="A158" s="28" t="s">
        <v>291</v>
      </c>
      <c r="B158" s="28" t="s">
        <v>803</v>
      </c>
      <c r="C158" s="26">
        <v>0</v>
      </c>
      <c r="D158" s="26">
        <v>212.21</v>
      </c>
      <c r="E158" s="26">
        <f t="shared" si="48"/>
        <v>212.21</v>
      </c>
      <c r="F158" s="27" t="str">
        <f t="shared" si="49"/>
        <v>Yes</v>
      </c>
      <c r="G158" s="27" t="s">
        <v>651</v>
      </c>
      <c r="H158" s="11">
        <v>0</v>
      </c>
      <c r="I158" s="11">
        <v>0</v>
      </c>
      <c r="J158" s="35">
        <f t="shared" si="50"/>
        <v>212.21</v>
      </c>
      <c r="K158" s="35">
        <f t="shared" si="51"/>
        <v>215.88787181556469</v>
      </c>
      <c r="L158" s="35">
        <f t="shared" si="52"/>
        <v>218.39377361344305</v>
      </c>
      <c r="M158" s="35">
        <f t="shared" si="53"/>
        <v>215.48755059230587</v>
      </c>
      <c r="N158" s="35">
        <f t="shared" si="54"/>
        <v>217.64242609822892</v>
      </c>
      <c r="O158" s="25"/>
      <c r="P158" s="35">
        <f t="shared" si="55"/>
        <v>212.21</v>
      </c>
      <c r="Q158" s="35">
        <f t="shared" si="56"/>
        <v>215.89</v>
      </c>
      <c r="R158" s="35">
        <f t="shared" si="57"/>
        <v>218.39</v>
      </c>
      <c r="S158" s="35">
        <f t="shared" si="58"/>
        <v>215.49</v>
      </c>
      <c r="T158" s="35">
        <f t="shared" si="59"/>
        <v>217.64</v>
      </c>
      <c r="U158" s="25"/>
      <c r="V158" s="25">
        <f t="shared" si="60"/>
        <v>212.21</v>
      </c>
      <c r="W158" s="25">
        <f t="shared" si="61"/>
        <v>0</v>
      </c>
    </row>
    <row r="159" spans="1:23">
      <c r="A159" s="28" t="s">
        <v>293</v>
      </c>
      <c r="B159" s="28" t="s">
        <v>804</v>
      </c>
      <c r="C159" s="26">
        <v>14.9</v>
      </c>
      <c r="D159" s="26">
        <v>210.75</v>
      </c>
      <c r="E159" s="26">
        <f t="shared" si="48"/>
        <v>225.65</v>
      </c>
      <c r="F159" s="27" t="str">
        <f t="shared" si="49"/>
        <v>Yes</v>
      </c>
      <c r="G159" s="27" t="s">
        <v>651</v>
      </c>
      <c r="H159" s="11">
        <v>22</v>
      </c>
      <c r="I159" s="11">
        <v>0</v>
      </c>
      <c r="J159" s="35">
        <f t="shared" si="50"/>
        <v>225.65</v>
      </c>
      <c r="K159" s="35">
        <f t="shared" si="51"/>
        <v>229.5608042749266</v>
      </c>
      <c r="L159" s="35">
        <f t="shared" si="52"/>
        <v>232.22541358029039</v>
      </c>
      <c r="M159" s="35">
        <f t="shared" si="53"/>
        <v>229.13512931131342</v>
      </c>
      <c r="N159" s="35">
        <f t="shared" si="54"/>
        <v>231.42648060442656</v>
      </c>
      <c r="O159" s="25"/>
      <c r="P159" s="35">
        <f t="shared" si="55"/>
        <v>203.65</v>
      </c>
      <c r="Q159" s="35">
        <f t="shared" si="56"/>
        <v>207.56</v>
      </c>
      <c r="R159" s="35">
        <f t="shared" si="57"/>
        <v>210.23</v>
      </c>
      <c r="S159" s="35">
        <f t="shared" si="58"/>
        <v>207.14</v>
      </c>
      <c r="T159" s="35">
        <f t="shared" si="59"/>
        <v>209.43</v>
      </c>
      <c r="U159" s="25"/>
      <c r="V159" s="25">
        <f t="shared" si="60"/>
        <v>225.65</v>
      </c>
      <c r="W159" s="25">
        <f t="shared" si="61"/>
        <v>-22</v>
      </c>
    </row>
    <row r="160" spans="1:23">
      <c r="A160" s="28" t="s">
        <v>295</v>
      </c>
      <c r="B160" s="28" t="s">
        <v>805</v>
      </c>
      <c r="C160" s="26">
        <v>0</v>
      </c>
      <c r="D160" s="26">
        <v>111.28</v>
      </c>
      <c r="E160" s="26">
        <f t="shared" si="48"/>
        <v>111.28</v>
      </c>
      <c r="F160" s="27" t="str">
        <f t="shared" si="49"/>
        <v>Yes</v>
      </c>
      <c r="G160" s="27" t="s">
        <v>651</v>
      </c>
      <c r="H160" s="11">
        <v>0</v>
      </c>
      <c r="I160" s="11">
        <v>0</v>
      </c>
      <c r="J160" s="35">
        <f t="shared" si="50"/>
        <v>111.28</v>
      </c>
      <c r="K160" s="35">
        <f t="shared" si="51"/>
        <v>113.20862530340719</v>
      </c>
      <c r="L160" s="35">
        <f t="shared" si="52"/>
        <v>114.52268567788485</v>
      </c>
      <c r="M160" s="35">
        <f t="shared" si="53"/>
        <v>112.99870236987795</v>
      </c>
      <c r="N160" s="35">
        <f t="shared" si="54"/>
        <v>114.12868939357672</v>
      </c>
      <c r="O160" s="25"/>
      <c r="P160" s="35">
        <f t="shared" si="55"/>
        <v>111.28</v>
      </c>
      <c r="Q160" s="35">
        <f t="shared" si="56"/>
        <v>113.21</v>
      </c>
      <c r="R160" s="35">
        <f t="shared" si="57"/>
        <v>114.52</v>
      </c>
      <c r="S160" s="35">
        <f t="shared" si="58"/>
        <v>113</v>
      </c>
      <c r="T160" s="35">
        <f t="shared" si="59"/>
        <v>114.13</v>
      </c>
      <c r="U160" s="25"/>
      <c r="V160" s="25">
        <f t="shared" si="60"/>
        <v>111.28</v>
      </c>
      <c r="W160" s="25">
        <f t="shared" si="61"/>
        <v>0</v>
      </c>
    </row>
    <row r="161" spans="1:23">
      <c r="A161" s="28" t="s">
        <v>297</v>
      </c>
      <c r="B161" s="28" t="s">
        <v>806</v>
      </c>
      <c r="C161" s="26">
        <v>15</v>
      </c>
      <c r="D161" s="26">
        <v>623.16999999999996</v>
      </c>
      <c r="E161" s="26">
        <f t="shared" si="48"/>
        <v>638.16999999999996</v>
      </c>
      <c r="F161" s="27" t="str">
        <f t="shared" si="49"/>
        <v>Yes</v>
      </c>
      <c r="G161" s="27" t="s">
        <v>651</v>
      </c>
      <c r="H161" s="11">
        <v>0</v>
      </c>
      <c r="I161" s="11">
        <v>0</v>
      </c>
      <c r="J161" s="35">
        <f t="shared" si="50"/>
        <v>638.16999999999996</v>
      </c>
      <c r="K161" s="35">
        <f t="shared" si="51"/>
        <v>649.23030562432928</v>
      </c>
      <c r="L161" s="35">
        <f t="shared" si="52"/>
        <v>656.76619625319699</v>
      </c>
      <c r="M161" s="35">
        <f t="shared" si="53"/>
        <v>648.02643683847043</v>
      </c>
      <c r="N161" s="35">
        <f t="shared" si="54"/>
        <v>654.50670120685515</v>
      </c>
      <c r="O161" s="25"/>
      <c r="P161" s="35">
        <f t="shared" si="55"/>
        <v>638.16999999999996</v>
      </c>
      <c r="Q161" s="35">
        <f t="shared" si="56"/>
        <v>649.23</v>
      </c>
      <c r="R161" s="35">
        <f t="shared" si="57"/>
        <v>656.77</v>
      </c>
      <c r="S161" s="35">
        <f t="shared" si="58"/>
        <v>648.03</v>
      </c>
      <c r="T161" s="35">
        <f t="shared" si="59"/>
        <v>654.51</v>
      </c>
      <c r="U161" s="25"/>
      <c r="V161" s="25">
        <f t="shared" si="60"/>
        <v>638.16999999999996</v>
      </c>
      <c r="W161" s="25">
        <f t="shared" si="61"/>
        <v>0</v>
      </c>
    </row>
    <row r="162" spans="1:23">
      <c r="A162" s="28" t="s">
        <v>299</v>
      </c>
      <c r="B162" s="28" t="s">
        <v>807</v>
      </c>
      <c r="C162" s="26">
        <v>0</v>
      </c>
      <c r="D162" s="26">
        <v>213.4</v>
      </c>
      <c r="E162" s="26">
        <f t="shared" si="48"/>
        <v>213.4</v>
      </c>
      <c r="F162" s="27" t="str">
        <f t="shared" si="49"/>
        <v>Yes</v>
      </c>
      <c r="G162" s="27" t="s">
        <v>653</v>
      </c>
      <c r="H162" s="11">
        <v>0</v>
      </c>
      <c r="I162" s="11">
        <v>99.18</v>
      </c>
      <c r="J162" s="35">
        <f t="shared" si="50"/>
        <v>213.4</v>
      </c>
      <c r="K162" s="35">
        <f t="shared" si="51"/>
        <v>217.09849604373736</v>
      </c>
      <c r="L162" s="35">
        <f t="shared" si="52"/>
        <v>219.61845006884099</v>
      </c>
      <c r="M162" s="35">
        <f t="shared" si="53"/>
        <v>216.69592995805132</v>
      </c>
      <c r="N162" s="35">
        <f t="shared" si="54"/>
        <v>218.86288925763185</v>
      </c>
      <c r="O162" s="25"/>
      <c r="P162" s="35">
        <f t="shared" si="55"/>
        <v>312.58</v>
      </c>
      <c r="Q162" s="35">
        <f t="shared" si="56"/>
        <v>316.27999999999997</v>
      </c>
      <c r="R162" s="35">
        <f t="shared" si="57"/>
        <v>318.8</v>
      </c>
      <c r="S162" s="35">
        <f t="shared" si="58"/>
        <v>315.88</v>
      </c>
      <c r="T162" s="35">
        <f t="shared" si="59"/>
        <v>318.04000000000002</v>
      </c>
      <c r="U162" s="25"/>
      <c r="V162" s="25">
        <f t="shared" si="60"/>
        <v>213.4</v>
      </c>
      <c r="W162" s="25">
        <f t="shared" si="61"/>
        <v>99.179999999999978</v>
      </c>
    </row>
    <row r="163" spans="1:23">
      <c r="A163" s="28" t="s">
        <v>301</v>
      </c>
      <c r="B163" s="28" t="s">
        <v>808</v>
      </c>
      <c r="C163" s="26">
        <v>13.95</v>
      </c>
      <c r="D163" s="26">
        <v>219.25</v>
      </c>
      <c r="E163" s="26">
        <f t="shared" si="48"/>
        <v>233.2</v>
      </c>
      <c r="F163" s="27" t="str">
        <f t="shared" si="49"/>
        <v>Yes</v>
      </c>
      <c r="G163" s="27" t="s">
        <v>653</v>
      </c>
      <c r="H163" s="11">
        <v>0</v>
      </c>
      <c r="I163" s="11">
        <v>65.28</v>
      </c>
      <c r="J163" s="35">
        <f t="shared" si="50"/>
        <v>233.2</v>
      </c>
      <c r="K163" s="35">
        <f t="shared" si="51"/>
        <v>237.24165547047585</v>
      </c>
      <c r="L163" s="35">
        <f t="shared" si="52"/>
        <v>239.99541966285713</v>
      </c>
      <c r="M163" s="35">
        <f t="shared" si="53"/>
        <v>236.80173789230346</v>
      </c>
      <c r="N163" s="35">
        <f t="shared" si="54"/>
        <v>239.16975527122651</v>
      </c>
      <c r="O163" s="25"/>
      <c r="P163" s="35">
        <f t="shared" si="55"/>
        <v>298.48</v>
      </c>
      <c r="Q163" s="35">
        <f t="shared" si="56"/>
        <v>302.52</v>
      </c>
      <c r="R163" s="35">
        <f t="shared" si="57"/>
        <v>305.27999999999997</v>
      </c>
      <c r="S163" s="35">
        <f t="shared" si="58"/>
        <v>302.08</v>
      </c>
      <c r="T163" s="35">
        <f t="shared" si="59"/>
        <v>304.45</v>
      </c>
      <c r="U163" s="25"/>
      <c r="V163" s="25">
        <f t="shared" si="60"/>
        <v>233.2</v>
      </c>
      <c r="W163" s="25">
        <f t="shared" si="61"/>
        <v>65.28000000000003</v>
      </c>
    </row>
    <row r="164" spans="1:23">
      <c r="A164" s="28" t="s">
        <v>303</v>
      </c>
      <c r="B164" s="28" t="s">
        <v>809</v>
      </c>
      <c r="C164" s="26">
        <v>0</v>
      </c>
      <c r="D164" s="26">
        <v>4413.6099999999997</v>
      </c>
      <c r="E164" s="26">
        <f t="shared" si="48"/>
        <v>4413.6099999999997</v>
      </c>
      <c r="F164" s="27" t="str">
        <f t="shared" si="49"/>
        <v>Yes</v>
      </c>
      <c r="G164" s="27" t="s">
        <v>651</v>
      </c>
      <c r="H164" s="11">
        <v>560.02</v>
      </c>
      <c r="I164" s="11">
        <v>0</v>
      </c>
      <c r="J164" s="35">
        <f t="shared" si="50"/>
        <v>4413.6099999999997</v>
      </c>
      <c r="K164" s="35">
        <f t="shared" si="51"/>
        <v>4490.1035291640092</v>
      </c>
      <c r="L164" s="35">
        <f t="shared" si="52"/>
        <v>4542.2220590831175</v>
      </c>
      <c r="M164" s="35">
        <f t="shared" si="53"/>
        <v>4481.7775230653933</v>
      </c>
      <c r="N164" s="35">
        <f t="shared" si="54"/>
        <v>4526.5952982960471</v>
      </c>
      <c r="O164" s="25"/>
      <c r="P164" s="35">
        <f t="shared" si="55"/>
        <v>3853.59</v>
      </c>
      <c r="Q164" s="35">
        <f t="shared" si="56"/>
        <v>3930.08</v>
      </c>
      <c r="R164" s="35">
        <f t="shared" si="57"/>
        <v>3982.2</v>
      </c>
      <c r="S164" s="35">
        <f t="shared" si="58"/>
        <v>3921.76</v>
      </c>
      <c r="T164" s="35">
        <f t="shared" si="59"/>
        <v>3966.58</v>
      </c>
      <c r="U164" s="25"/>
      <c r="V164" s="25">
        <f t="shared" si="60"/>
        <v>4413.6099999999997</v>
      </c>
      <c r="W164" s="25">
        <f t="shared" si="61"/>
        <v>-560.01999999999953</v>
      </c>
    </row>
    <row r="165" spans="1:23">
      <c r="A165" s="28" t="s">
        <v>305</v>
      </c>
      <c r="B165" s="28" t="s">
        <v>810</v>
      </c>
      <c r="C165" s="26">
        <v>0</v>
      </c>
      <c r="D165" s="26">
        <v>876.1</v>
      </c>
      <c r="E165" s="26">
        <f t="shared" si="48"/>
        <v>876.1</v>
      </c>
      <c r="F165" s="27" t="str">
        <f t="shared" si="49"/>
        <v>Yes</v>
      </c>
      <c r="G165" s="27" t="s">
        <v>651</v>
      </c>
      <c r="H165" s="11">
        <v>2</v>
      </c>
      <c r="I165" s="11">
        <v>0</v>
      </c>
      <c r="J165" s="35">
        <f t="shared" si="50"/>
        <v>876.1</v>
      </c>
      <c r="K165" s="35">
        <f t="shared" si="51"/>
        <v>891.28393806897043</v>
      </c>
      <c r="L165" s="35">
        <f t="shared" si="52"/>
        <v>901.62944754129137</v>
      </c>
      <c r="M165" s="35">
        <f t="shared" si="53"/>
        <v>889.63122884840095</v>
      </c>
      <c r="N165" s="35">
        <f t="shared" si="54"/>
        <v>898.52754113688502</v>
      </c>
      <c r="O165" s="25"/>
      <c r="P165" s="35">
        <f t="shared" si="55"/>
        <v>874.1</v>
      </c>
      <c r="Q165" s="35">
        <f t="shared" si="56"/>
        <v>889.28</v>
      </c>
      <c r="R165" s="35">
        <f t="shared" si="57"/>
        <v>899.63</v>
      </c>
      <c r="S165" s="35">
        <f t="shared" si="58"/>
        <v>887.63</v>
      </c>
      <c r="T165" s="35">
        <f t="shared" si="59"/>
        <v>896.53</v>
      </c>
      <c r="U165" s="25"/>
      <c r="V165" s="25">
        <f t="shared" si="60"/>
        <v>876.1</v>
      </c>
      <c r="W165" s="25">
        <f t="shared" si="61"/>
        <v>-2</v>
      </c>
    </row>
    <row r="166" spans="1:23">
      <c r="A166" s="28" t="s">
        <v>307</v>
      </c>
      <c r="B166" s="28" t="s">
        <v>811</v>
      </c>
      <c r="C166" s="26">
        <v>0</v>
      </c>
      <c r="D166" s="26">
        <v>736.84</v>
      </c>
      <c r="E166" s="26">
        <f t="shared" si="48"/>
        <v>736.84</v>
      </c>
      <c r="F166" s="27" t="str">
        <f t="shared" si="49"/>
        <v>Yes</v>
      </c>
      <c r="G166" s="27" t="s">
        <v>653</v>
      </c>
      <c r="H166" s="11">
        <v>0</v>
      </c>
      <c r="I166" s="11">
        <v>322.75</v>
      </c>
      <c r="J166" s="35">
        <f t="shared" si="50"/>
        <v>736.84</v>
      </c>
      <c r="K166" s="35">
        <f t="shared" si="51"/>
        <v>749.61038343424286</v>
      </c>
      <c r="L166" s="35">
        <f t="shared" si="52"/>
        <v>758.31142806337766</v>
      </c>
      <c r="M166" s="35">
        <f t="shared" si="53"/>
        <v>748.22037971082727</v>
      </c>
      <c r="N166" s="35">
        <f t="shared" si="54"/>
        <v>755.70258350793551</v>
      </c>
      <c r="O166" s="25"/>
      <c r="P166" s="35">
        <f t="shared" si="55"/>
        <v>1059.5899999999999</v>
      </c>
      <c r="Q166" s="35">
        <f t="shared" si="56"/>
        <v>1072.3599999999999</v>
      </c>
      <c r="R166" s="35">
        <f t="shared" si="57"/>
        <v>1081.06</v>
      </c>
      <c r="S166" s="35">
        <f t="shared" si="58"/>
        <v>1070.97</v>
      </c>
      <c r="T166" s="35">
        <f t="shared" si="59"/>
        <v>1078.45</v>
      </c>
      <c r="U166" s="25"/>
      <c r="V166" s="25">
        <f t="shared" si="60"/>
        <v>736.84</v>
      </c>
      <c r="W166" s="25">
        <f t="shared" si="61"/>
        <v>322.74999999999989</v>
      </c>
    </row>
    <row r="167" spans="1:23">
      <c r="A167" s="28" t="s">
        <v>309</v>
      </c>
      <c r="B167" s="28" t="s">
        <v>812</v>
      </c>
      <c r="C167" s="26">
        <v>31.25</v>
      </c>
      <c r="D167" s="26">
        <v>2267.8000000000002</v>
      </c>
      <c r="E167" s="26">
        <f t="shared" si="48"/>
        <v>2299.0500000000002</v>
      </c>
      <c r="F167" s="27" t="str">
        <f t="shared" si="49"/>
        <v>Yes</v>
      </c>
      <c r="G167" s="27" t="s">
        <v>651</v>
      </c>
      <c r="H167" s="11">
        <v>75.5</v>
      </c>
      <c r="I167" s="11">
        <v>0</v>
      </c>
      <c r="J167" s="35">
        <f t="shared" si="50"/>
        <v>2299.0500000000002</v>
      </c>
      <c r="K167" s="35">
        <f t="shared" si="51"/>
        <v>2338.8954888910703</v>
      </c>
      <c r="L167" s="35">
        <f t="shared" si="52"/>
        <v>2366.0440376324691</v>
      </c>
      <c r="M167" s="35">
        <f t="shared" si="53"/>
        <v>2334.5584712748732</v>
      </c>
      <c r="N167" s="35">
        <f t="shared" si="54"/>
        <v>2357.9040559876221</v>
      </c>
      <c r="O167" s="25"/>
      <c r="P167" s="35">
        <f t="shared" si="55"/>
        <v>2223.5500000000002</v>
      </c>
      <c r="Q167" s="35">
        <f t="shared" si="56"/>
        <v>2263.4</v>
      </c>
      <c r="R167" s="35">
        <f t="shared" si="57"/>
        <v>2290.54</v>
      </c>
      <c r="S167" s="35">
        <f t="shared" si="58"/>
        <v>2259.06</v>
      </c>
      <c r="T167" s="35">
        <f t="shared" si="59"/>
        <v>2282.4</v>
      </c>
      <c r="U167" s="25"/>
      <c r="V167" s="25">
        <f t="shared" si="60"/>
        <v>2299.0500000000002</v>
      </c>
      <c r="W167" s="25">
        <f t="shared" si="61"/>
        <v>-75.5</v>
      </c>
    </row>
    <row r="168" spans="1:23">
      <c r="A168" s="28" t="s">
        <v>311</v>
      </c>
      <c r="B168" s="28" t="s">
        <v>813</v>
      </c>
      <c r="C168" s="26">
        <v>12.6</v>
      </c>
      <c r="D168" s="26">
        <v>309.18</v>
      </c>
      <c r="E168" s="26">
        <f t="shared" si="48"/>
        <v>321.78000000000003</v>
      </c>
      <c r="F168" s="27" t="str">
        <f t="shared" si="49"/>
        <v>Yes</v>
      </c>
      <c r="G168" s="27" t="s">
        <v>653</v>
      </c>
      <c r="H168" s="11">
        <v>0</v>
      </c>
      <c r="I168" s="11">
        <v>149.31</v>
      </c>
      <c r="J168" s="35">
        <f t="shared" si="50"/>
        <v>321.78000000000003</v>
      </c>
      <c r="K168" s="35">
        <f t="shared" si="51"/>
        <v>327.35686062302631</v>
      </c>
      <c r="L168" s="35">
        <f t="shared" si="52"/>
        <v>331.15663009911742</v>
      </c>
      <c r="M168" s="35">
        <f t="shared" si="53"/>
        <v>326.74984227695296</v>
      </c>
      <c r="N168" s="35">
        <f t="shared" si="54"/>
        <v>330.01734069972247</v>
      </c>
      <c r="O168" s="25"/>
      <c r="P168" s="35">
        <f t="shared" si="55"/>
        <v>471.09</v>
      </c>
      <c r="Q168" s="35">
        <f t="shared" si="56"/>
        <v>476.67</v>
      </c>
      <c r="R168" s="35">
        <f t="shared" si="57"/>
        <v>480.47</v>
      </c>
      <c r="S168" s="35">
        <f t="shared" si="58"/>
        <v>476.06</v>
      </c>
      <c r="T168" s="35">
        <f t="shared" si="59"/>
        <v>479.33</v>
      </c>
      <c r="U168" s="25"/>
      <c r="V168" s="25">
        <f t="shared" si="60"/>
        <v>321.78000000000003</v>
      </c>
      <c r="W168" s="25">
        <f t="shared" si="61"/>
        <v>149.30999999999995</v>
      </c>
    </row>
    <row r="169" spans="1:23">
      <c r="A169" s="28" t="s">
        <v>313</v>
      </c>
      <c r="B169" s="28" t="s">
        <v>986</v>
      </c>
      <c r="C169" s="26">
        <v>7.2</v>
      </c>
      <c r="D169" s="26">
        <v>118.4</v>
      </c>
      <c r="E169" s="26">
        <f t="shared" si="48"/>
        <v>125.60000000000001</v>
      </c>
      <c r="F169" s="27" t="str">
        <f t="shared" si="49"/>
        <v>Yes</v>
      </c>
      <c r="G169" s="27" t="s">
        <v>653</v>
      </c>
      <c r="H169" s="11">
        <v>0</v>
      </c>
      <c r="I169" s="11">
        <v>25</v>
      </c>
      <c r="J169" s="35">
        <f t="shared" si="50"/>
        <v>125.60000000000001</v>
      </c>
      <c r="K169" s="35">
        <f t="shared" si="51"/>
        <v>127.77680929284637</v>
      </c>
      <c r="L169" s="35">
        <f t="shared" si="52"/>
        <v>129.25996873779957</v>
      </c>
      <c r="M169" s="35">
        <f t="shared" si="53"/>
        <v>127.53987255263002</v>
      </c>
      <c r="N169" s="35">
        <f t="shared" si="54"/>
        <v>128.81527127815633</v>
      </c>
      <c r="O169" s="25"/>
      <c r="P169" s="35">
        <f t="shared" si="55"/>
        <v>150.6</v>
      </c>
      <c r="Q169" s="35">
        <f t="shared" si="56"/>
        <v>152.78</v>
      </c>
      <c r="R169" s="35">
        <f t="shared" si="57"/>
        <v>154.26</v>
      </c>
      <c r="S169" s="35">
        <f t="shared" si="58"/>
        <v>152.54</v>
      </c>
      <c r="T169" s="35">
        <f t="shared" si="59"/>
        <v>153.82</v>
      </c>
      <c r="U169" s="25"/>
      <c r="V169" s="25">
        <f t="shared" si="60"/>
        <v>125.60000000000001</v>
      </c>
      <c r="W169" s="25">
        <f t="shared" si="61"/>
        <v>24.999999999999986</v>
      </c>
    </row>
    <row r="170" spans="1:23">
      <c r="A170" s="28" t="s">
        <v>315</v>
      </c>
      <c r="B170" s="28" t="s">
        <v>814</v>
      </c>
      <c r="C170" s="26">
        <v>0</v>
      </c>
      <c r="D170" s="26">
        <v>5823.67</v>
      </c>
      <c r="E170" s="26">
        <f t="shared" si="48"/>
        <v>5823.67</v>
      </c>
      <c r="F170" s="27" t="str">
        <f t="shared" si="49"/>
        <v>Yes</v>
      </c>
      <c r="G170" s="27" t="s">
        <v>651</v>
      </c>
      <c r="H170" s="11">
        <v>0</v>
      </c>
      <c r="I170" s="11">
        <v>0</v>
      </c>
      <c r="J170" s="35">
        <f t="shared" si="50"/>
        <v>5823.67</v>
      </c>
      <c r="K170" s="35">
        <f t="shared" si="51"/>
        <v>5924.6016797330458</v>
      </c>
      <c r="L170" s="35">
        <f t="shared" si="52"/>
        <v>5993.3710361406147</v>
      </c>
      <c r="M170" s="35">
        <f t="shared" si="53"/>
        <v>5913.6156814376982</v>
      </c>
      <c r="N170" s="35">
        <f t="shared" si="54"/>
        <v>5972.7518382520748</v>
      </c>
      <c r="O170" s="25"/>
      <c r="P170" s="35">
        <f t="shared" si="55"/>
        <v>5823.67</v>
      </c>
      <c r="Q170" s="35">
        <f t="shared" si="56"/>
        <v>5924.6</v>
      </c>
      <c r="R170" s="35">
        <f t="shared" si="57"/>
        <v>5993.37</v>
      </c>
      <c r="S170" s="35">
        <f t="shared" si="58"/>
        <v>5913.62</v>
      </c>
      <c r="T170" s="35">
        <f t="shared" si="59"/>
        <v>5972.75</v>
      </c>
      <c r="U170" s="25"/>
      <c r="V170" s="25">
        <f t="shared" si="60"/>
        <v>5823.67</v>
      </c>
      <c r="W170" s="25">
        <f t="shared" si="61"/>
        <v>0</v>
      </c>
    </row>
    <row r="171" spans="1:23">
      <c r="A171" s="28" t="s">
        <v>317</v>
      </c>
      <c r="B171" s="28" t="s">
        <v>815</v>
      </c>
      <c r="C171" s="26">
        <v>0</v>
      </c>
      <c r="D171" s="26">
        <v>1053.81</v>
      </c>
      <c r="E171" s="26">
        <f t="shared" si="48"/>
        <v>1053.81</v>
      </c>
      <c r="F171" s="27" t="str">
        <f t="shared" si="49"/>
        <v>Yes</v>
      </c>
      <c r="G171" s="27" t="s">
        <v>651</v>
      </c>
      <c r="H171" s="11">
        <v>0</v>
      </c>
      <c r="I171" s="11">
        <v>0</v>
      </c>
      <c r="J171" s="35">
        <f t="shared" si="50"/>
        <v>1053.81</v>
      </c>
      <c r="K171" s="35">
        <f t="shared" si="51"/>
        <v>1072.0738805803694</v>
      </c>
      <c r="L171" s="35">
        <f t="shared" si="52"/>
        <v>1084.5178953469788</v>
      </c>
      <c r="M171" s="35">
        <f t="shared" si="53"/>
        <v>1070.0859322825399</v>
      </c>
      <c r="N171" s="35">
        <f t="shared" si="54"/>
        <v>1080.7867916053654</v>
      </c>
      <c r="O171" s="25"/>
      <c r="P171" s="35">
        <f t="shared" si="55"/>
        <v>1053.81</v>
      </c>
      <c r="Q171" s="35">
        <f t="shared" si="56"/>
        <v>1072.07</v>
      </c>
      <c r="R171" s="35">
        <f t="shared" si="57"/>
        <v>1084.52</v>
      </c>
      <c r="S171" s="35">
        <f t="shared" si="58"/>
        <v>1070.0899999999999</v>
      </c>
      <c r="T171" s="35">
        <f t="shared" si="59"/>
        <v>1080.79</v>
      </c>
      <c r="U171" s="25"/>
      <c r="V171" s="25">
        <f t="shared" si="60"/>
        <v>1053.81</v>
      </c>
      <c r="W171" s="25">
        <f t="shared" si="61"/>
        <v>0</v>
      </c>
    </row>
    <row r="172" spans="1:23">
      <c r="A172" s="28" t="s">
        <v>319</v>
      </c>
      <c r="B172" s="28" t="s">
        <v>816</v>
      </c>
      <c r="C172" s="26">
        <v>45.6</v>
      </c>
      <c r="D172" s="26">
        <v>963.82</v>
      </c>
      <c r="E172" s="26">
        <f t="shared" si="48"/>
        <v>1009.4200000000001</v>
      </c>
      <c r="F172" s="27" t="str">
        <f t="shared" si="49"/>
        <v>Yes</v>
      </c>
      <c r="G172" s="27" t="s">
        <v>651</v>
      </c>
      <c r="H172" s="11">
        <v>0</v>
      </c>
      <c r="I172" s="11">
        <v>0</v>
      </c>
      <c r="J172" s="35">
        <f t="shared" si="50"/>
        <v>1009.4200000000001</v>
      </c>
      <c r="K172" s="35">
        <f t="shared" si="51"/>
        <v>1026.9145448756765</v>
      </c>
      <c r="L172" s="35">
        <f t="shared" si="52"/>
        <v>1038.8343761410003</v>
      </c>
      <c r="M172" s="35">
        <f t="shared" si="53"/>
        <v>1025.0103356056991</v>
      </c>
      <c r="N172" s="35">
        <f t="shared" si="54"/>
        <v>1035.2604389617561</v>
      </c>
      <c r="O172" s="25"/>
      <c r="P172" s="35">
        <f t="shared" si="55"/>
        <v>1009.42</v>
      </c>
      <c r="Q172" s="35">
        <f t="shared" si="56"/>
        <v>1026.9100000000001</v>
      </c>
      <c r="R172" s="35">
        <f t="shared" si="57"/>
        <v>1038.83</v>
      </c>
      <c r="S172" s="35">
        <f t="shared" si="58"/>
        <v>1025.01</v>
      </c>
      <c r="T172" s="35">
        <f t="shared" si="59"/>
        <v>1035.26</v>
      </c>
      <c r="U172" s="25"/>
      <c r="V172" s="25">
        <f t="shared" si="60"/>
        <v>1009.4200000000001</v>
      </c>
      <c r="W172" s="25">
        <f t="shared" si="61"/>
        <v>0</v>
      </c>
    </row>
    <row r="173" spans="1:23">
      <c r="A173" s="28" t="s">
        <v>321</v>
      </c>
      <c r="B173" s="28" t="s">
        <v>817</v>
      </c>
      <c r="C173" s="26">
        <v>12</v>
      </c>
      <c r="D173" s="26">
        <v>222.34</v>
      </c>
      <c r="E173" s="26">
        <f t="shared" si="48"/>
        <v>234.34</v>
      </c>
      <c r="F173" s="27" t="str">
        <f t="shared" si="49"/>
        <v>Yes</v>
      </c>
      <c r="G173" s="27" t="s">
        <v>651</v>
      </c>
      <c r="H173" s="11">
        <v>0</v>
      </c>
      <c r="I173" s="11">
        <v>0</v>
      </c>
      <c r="J173" s="35">
        <f t="shared" si="50"/>
        <v>234.34</v>
      </c>
      <c r="K173" s="35">
        <f t="shared" si="51"/>
        <v>238.40141313443959</v>
      </c>
      <c r="L173" s="35">
        <f t="shared" si="52"/>
        <v>241.16863912433081</v>
      </c>
      <c r="M173" s="35">
        <f t="shared" si="53"/>
        <v>237.95934501579075</v>
      </c>
      <c r="N173" s="35">
        <f t="shared" si="54"/>
        <v>240.33893846594864</v>
      </c>
      <c r="O173" s="25"/>
      <c r="P173" s="35">
        <f t="shared" si="55"/>
        <v>234.34</v>
      </c>
      <c r="Q173" s="35">
        <f t="shared" si="56"/>
        <v>238.4</v>
      </c>
      <c r="R173" s="35">
        <f t="shared" si="57"/>
        <v>241.17</v>
      </c>
      <c r="S173" s="35">
        <f t="shared" si="58"/>
        <v>237.96</v>
      </c>
      <c r="T173" s="35">
        <f t="shared" si="59"/>
        <v>240.34</v>
      </c>
      <c r="U173" s="25"/>
      <c r="V173" s="25">
        <f t="shared" si="60"/>
        <v>234.34</v>
      </c>
      <c r="W173" s="25">
        <f t="shared" si="61"/>
        <v>0</v>
      </c>
    </row>
    <row r="174" spans="1:23">
      <c r="A174" s="28" t="s">
        <v>323</v>
      </c>
      <c r="B174" s="28" t="s">
        <v>818</v>
      </c>
      <c r="C174" s="26">
        <v>0</v>
      </c>
      <c r="D174" s="26">
        <v>751.97</v>
      </c>
      <c r="E174" s="26">
        <f t="shared" si="48"/>
        <v>751.97</v>
      </c>
      <c r="F174" s="27" t="str">
        <f t="shared" si="49"/>
        <v>Yes</v>
      </c>
      <c r="G174" s="27" t="s">
        <v>651</v>
      </c>
      <c r="H174" s="11">
        <v>0</v>
      </c>
      <c r="I174" s="11">
        <v>0</v>
      </c>
      <c r="J174" s="35">
        <f t="shared" si="50"/>
        <v>751.97</v>
      </c>
      <c r="K174" s="35">
        <f t="shared" si="51"/>
        <v>765.00260576386688</v>
      </c>
      <c r="L174" s="35">
        <f t="shared" si="52"/>
        <v>773.88231442486585</v>
      </c>
      <c r="M174" s="35">
        <f t="shared" si="53"/>
        <v>763.58406021816245</v>
      </c>
      <c r="N174" s="35">
        <f t="shared" si="54"/>
        <v>771.21990082034404</v>
      </c>
      <c r="O174" s="25"/>
      <c r="P174" s="35">
        <f t="shared" si="55"/>
        <v>751.97</v>
      </c>
      <c r="Q174" s="35">
        <f t="shared" si="56"/>
        <v>765</v>
      </c>
      <c r="R174" s="35">
        <f t="shared" si="57"/>
        <v>773.88</v>
      </c>
      <c r="S174" s="35">
        <f t="shared" si="58"/>
        <v>763.58</v>
      </c>
      <c r="T174" s="35">
        <f t="shared" si="59"/>
        <v>771.22</v>
      </c>
      <c r="U174" s="25"/>
      <c r="V174" s="25">
        <f t="shared" si="60"/>
        <v>751.97</v>
      </c>
      <c r="W174" s="25">
        <f t="shared" si="61"/>
        <v>0</v>
      </c>
    </row>
    <row r="175" spans="1:23">
      <c r="A175" s="28" t="s">
        <v>325</v>
      </c>
      <c r="B175" s="28" t="s">
        <v>819</v>
      </c>
      <c r="C175" s="26">
        <v>0</v>
      </c>
      <c r="D175" s="26">
        <v>1096.45</v>
      </c>
      <c r="E175" s="26">
        <f t="shared" si="48"/>
        <v>1096.45</v>
      </c>
      <c r="F175" s="27" t="str">
        <f t="shared" si="49"/>
        <v>Yes</v>
      </c>
      <c r="G175" s="27" t="s">
        <v>651</v>
      </c>
      <c r="H175" s="11">
        <v>0</v>
      </c>
      <c r="I175" s="11">
        <v>0</v>
      </c>
      <c r="J175" s="35">
        <f t="shared" si="50"/>
        <v>1096.45</v>
      </c>
      <c r="K175" s="35">
        <f t="shared" si="51"/>
        <v>1115.4528865377499</v>
      </c>
      <c r="L175" s="35">
        <f t="shared" si="52"/>
        <v>1128.4004197656079</v>
      </c>
      <c r="M175" s="35">
        <f t="shared" si="53"/>
        <v>1113.3845004803441</v>
      </c>
      <c r="N175" s="35">
        <f t="shared" si="54"/>
        <v>1124.5183454851476</v>
      </c>
      <c r="O175" s="25"/>
      <c r="P175" s="35">
        <f t="shared" si="55"/>
        <v>1096.45</v>
      </c>
      <c r="Q175" s="35">
        <f t="shared" si="56"/>
        <v>1115.45</v>
      </c>
      <c r="R175" s="35">
        <f t="shared" si="57"/>
        <v>1128.4000000000001</v>
      </c>
      <c r="S175" s="35">
        <f t="shared" si="58"/>
        <v>1113.3800000000001</v>
      </c>
      <c r="T175" s="35">
        <f t="shared" si="59"/>
        <v>1124.52</v>
      </c>
      <c r="U175" s="25"/>
      <c r="V175" s="25">
        <f t="shared" si="60"/>
        <v>1096.45</v>
      </c>
      <c r="W175" s="25">
        <f t="shared" si="61"/>
        <v>0</v>
      </c>
    </row>
    <row r="176" spans="1:23">
      <c r="A176" s="28" t="s">
        <v>327</v>
      </c>
      <c r="B176" s="28" t="s">
        <v>820</v>
      </c>
      <c r="C176" s="26">
        <v>0</v>
      </c>
      <c r="D176" s="26">
        <v>477.73</v>
      </c>
      <c r="E176" s="26">
        <f t="shared" si="48"/>
        <v>477.73</v>
      </c>
      <c r="F176" s="27" t="str">
        <f t="shared" si="49"/>
        <v>Yes</v>
      </c>
      <c r="G176" s="27" t="s">
        <v>651</v>
      </c>
      <c r="H176" s="11">
        <v>0</v>
      </c>
      <c r="I176" s="11">
        <v>0</v>
      </c>
      <c r="J176" s="35">
        <f t="shared" si="50"/>
        <v>477.73</v>
      </c>
      <c r="K176" s="35">
        <f t="shared" si="51"/>
        <v>486.0096743906966</v>
      </c>
      <c r="L176" s="35">
        <f t="shared" si="52"/>
        <v>491.65099414895695</v>
      </c>
      <c r="M176" s="35">
        <f t="shared" si="53"/>
        <v>485.10846588031802</v>
      </c>
      <c r="N176" s="35">
        <f t="shared" si="54"/>
        <v>489.95955053912121</v>
      </c>
      <c r="O176" s="25"/>
      <c r="P176" s="35">
        <f t="shared" si="55"/>
        <v>477.73</v>
      </c>
      <c r="Q176" s="35">
        <f t="shared" si="56"/>
        <v>486.01</v>
      </c>
      <c r="R176" s="35">
        <f t="shared" si="57"/>
        <v>491.65</v>
      </c>
      <c r="S176" s="35">
        <f t="shared" si="58"/>
        <v>485.11</v>
      </c>
      <c r="T176" s="35">
        <f t="shared" si="59"/>
        <v>489.96</v>
      </c>
      <c r="U176" s="25"/>
      <c r="V176" s="25">
        <f t="shared" si="60"/>
        <v>477.73</v>
      </c>
      <c r="W176" s="25">
        <f t="shared" si="61"/>
        <v>0</v>
      </c>
    </row>
    <row r="177" spans="1:23">
      <c r="A177" s="28" t="s">
        <v>1136</v>
      </c>
      <c r="B177" s="28" t="s">
        <v>1137</v>
      </c>
      <c r="C177" s="26">
        <v>0</v>
      </c>
      <c r="D177" s="26">
        <v>168</v>
      </c>
      <c r="E177" s="26">
        <f t="shared" si="48"/>
        <v>168</v>
      </c>
      <c r="F177" s="27" t="str">
        <f t="shared" si="49"/>
        <v>Yes</v>
      </c>
      <c r="G177" s="27" t="s">
        <v>651</v>
      </c>
      <c r="H177" s="11">
        <v>0</v>
      </c>
      <c r="I177" s="11">
        <v>0</v>
      </c>
      <c r="J177" s="35">
        <f t="shared" si="50"/>
        <v>168</v>
      </c>
      <c r="K177" s="35">
        <f t="shared" si="51"/>
        <v>170.91165574202378</v>
      </c>
      <c r="L177" s="35">
        <f t="shared" si="52"/>
        <v>172.89549958559178</v>
      </c>
      <c r="M177" s="35">
        <f t="shared" si="53"/>
        <v>170.59473398759428</v>
      </c>
      <c r="N177" s="35">
        <f t="shared" si="54"/>
        <v>172.30068132747022</v>
      </c>
      <c r="O177" s="25"/>
      <c r="P177" s="35">
        <f t="shared" si="55"/>
        <v>168</v>
      </c>
      <c r="Q177" s="35">
        <f t="shared" si="56"/>
        <v>170.91</v>
      </c>
      <c r="R177" s="35">
        <f t="shared" si="57"/>
        <v>172.9</v>
      </c>
      <c r="S177" s="35">
        <f t="shared" si="58"/>
        <v>170.59</v>
      </c>
      <c r="T177" s="35">
        <f t="shared" si="59"/>
        <v>172.3</v>
      </c>
      <c r="U177" s="25"/>
      <c r="V177" s="25">
        <f t="shared" si="60"/>
        <v>168</v>
      </c>
      <c r="W177" s="25">
        <f t="shared" si="61"/>
        <v>0</v>
      </c>
    </row>
    <row r="178" spans="1:23">
      <c r="A178" s="28" t="s">
        <v>329</v>
      </c>
      <c r="B178" s="28" t="s">
        <v>821</v>
      </c>
      <c r="C178" s="26">
        <v>13.9</v>
      </c>
      <c r="D178" s="26">
        <v>978.46</v>
      </c>
      <c r="E178" s="26">
        <f t="shared" si="48"/>
        <v>992.36</v>
      </c>
      <c r="F178" s="27" t="str">
        <f t="shared" si="49"/>
        <v>Yes</v>
      </c>
      <c r="G178" s="27" t="s">
        <v>651</v>
      </c>
      <c r="H178" s="11">
        <v>0</v>
      </c>
      <c r="I178" s="11">
        <v>0</v>
      </c>
      <c r="J178" s="35">
        <f t="shared" si="50"/>
        <v>992.36</v>
      </c>
      <c r="K178" s="35">
        <f t="shared" si="51"/>
        <v>1009.5588731675876</v>
      </c>
      <c r="L178" s="35">
        <f t="shared" si="52"/>
        <v>1021.2772498140349</v>
      </c>
      <c r="M178" s="35">
        <f t="shared" si="53"/>
        <v>1007.6868465471969</v>
      </c>
      <c r="N178" s="35">
        <f t="shared" si="54"/>
        <v>1017.7637150126689</v>
      </c>
      <c r="O178" s="25"/>
      <c r="P178" s="35">
        <f t="shared" si="55"/>
        <v>992.36</v>
      </c>
      <c r="Q178" s="35">
        <f t="shared" si="56"/>
        <v>1009.56</v>
      </c>
      <c r="R178" s="35">
        <f t="shared" si="57"/>
        <v>1021.28</v>
      </c>
      <c r="S178" s="35">
        <f t="shared" si="58"/>
        <v>1007.69</v>
      </c>
      <c r="T178" s="35">
        <f t="shared" si="59"/>
        <v>1017.76</v>
      </c>
      <c r="U178" s="25"/>
      <c r="V178" s="25">
        <f t="shared" si="60"/>
        <v>992.36</v>
      </c>
      <c r="W178" s="25">
        <f t="shared" si="61"/>
        <v>0</v>
      </c>
    </row>
    <row r="179" spans="1:23">
      <c r="A179" s="28" t="s">
        <v>331</v>
      </c>
      <c r="B179" s="28" t="s">
        <v>822</v>
      </c>
      <c r="C179" s="26">
        <v>18.5</v>
      </c>
      <c r="D179" s="26">
        <v>480.84</v>
      </c>
      <c r="E179" s="26">
        <f t="shared" si="48"/>
        <v>499.34</v>
      </c>
      <c r="F179" s="27" t="str">
        <f t="shared" si="49"/>
        <v>Yes</v>
      </c>
      <c r="G179" s="27" t="s">
        <v>651</v>
      </c>
      <c r="H179" s="11">
        <v>0</v>
      </c>
      <c r="I179" s="11">
        <v>0</v>
      </c>
      <c r="J179" s="35">
        <f t="shared" si="50"/>
        <v>499.34</v>
      </c>
      <c r="K179" s="35">
        <f t="shared" si="51"/>
        <v>507.9942034417985</v>
      </c>
      <c r="L179" s="35">
        <f t="shared" si="52"/>
        <v>513.8907069230321</v>
      </c>
      <c r="M179" s="35">
        <f t="shared" si="53"/>
        <v>507.05222898431742</v>
      </c>
      <c r="N179" s="35">
        <f t="shared" si="54"/>
        <v>512.12275127416058</v>
      </c>
      <c r="O179" s="25"/>
      <c r="P179" s="35">
        <f t="shared" si="55"/>
        <v>499.34</v>
      </c>
      <c r="Q179" s="35">
        <f t="shared" si="56"/>
        <v>507.99</v>
      </c>
      <c r="R179" s="35">
        <f t="shared" si="57"/>
        <v>513.89</v>
      </c>
      <c r="S179" s="35">
        <f t="shared" si="58"/>
        <v>507.05</v>
      </c>
      <c r="T179" s="35">
        <f t="shared" si="59"/>
        <v>512.12</v>
      </c>
      <c r="U179" s="25"/>
      <c r="V179" s="25">
        <f t="shared" si="60"/>
        <v>499.34</v>
      </c>
      <c r="W179" s="25">
        <f t="shared" si="61"/>
        <v>0</v>
      </c>
    </row>
    <row r="180" spans="1:23">
      <c r="A180" s="28" t="s">
        <v>333</v>
      </c>
      <c r="B180" s="28" t="s">
        <v>823</v>
      </c>
      <c r="C180" s="26">
        <v>5.0999999999999996</v>
      </c>
      <c r="D180" s="26">
        <v>534.41</v>
      </c>
      <c r="E180" s="26">
        <f t="shared" si="48"/>
        <v>539.51</v>
      </c>
      <c r="F180" s="27" t="str">
        <f t="shared" si="49"/>
        <v>Yes</v>
      </c>
      <c r="G180" s="27" t="s">
        <v>651</v>
      </c>
      <c r="H180" s="11">
        <v>0</v>
      </c>
      <c r="I180" s="11">
        <v>0</v>
      </c>
      <c r="J180" s="35">
        <f t="shared" si="50"/>
        <v>539.51</v>
      </c>
      <c r="K180" s="35">
        <f t="shared" si="51"/>
        <v>548.86040112725743</v>
      </c>
      <c r="L180" s="35">
        <f t="shared" si="52"/>
        <v>555.23125584180127</v>
      </c>
      <c r="M180" s="35">
        <f t="shared" si="53"/>
        <v>547.84264841456536</v>
      </c>
      <c r="N180" s="35">
        <f t="shared" si="54"/>
        <v>553.321074898711</v>
      </c>
      <c r="O180" s="25"/>
      <c r="P180" s="35">
        <f t="shared" si="55"/>
        <v>539.51</v>
      </c>
      <c r="Q180" s="35">
        <f t="shared" si="56"/>
        <v>548.86</v>
      </c>
      <c r="R180" s="35">
        <f t="shared" si="57"/>
        <v>555.23</v>
      </c>
      <c r="S180" s="35">
        <f t="shared" si="58"/>
        <v>547.84</v>
      </c>
      <c r="T180" s="35">
        <f t="shared" si="59"/>
        <v>553.32000000000005</v>
      </c>
      <c r="U180" s="25"/>
      <c r="V180" s="25">
        <f t="shared" si="60"/>
        <v>539.51</v>
      </c>
      <c r="W180" s="25">
        <f t="shared" si="61"/>
        <v>0</v>
      </c>
    </row>
    <row r="181" spans="1:23">
      <c r="A181" s="28" t="s">
        <v>335</v>
      </c>
      <c r="B181" s="28" t="s">
        <v>824</v>
      </c>
      <c r="C181" s="26">
        <v>0</v>
      </c>
      <c r="D181" s="26">
        <v>310.33</v>
      </c>
      <c r="E181" s="26">
        <f t="shared" si="48"/>
        <v>310.33</v>
      </c>
      <c r="F181" s="27" t="str">
        <f t="shared" si="49"/>
        <v>Yes</v>
      </c>
      <c r="G181" s="27" t="s">
        <v>651</v>
      </c>
      <c r="H181" s="11">
        <v>0</v>
      </c>
      <c r="I181" s="11">
        <v>0</v>
      </c>
      <c r="J181" s="35">
        <f t="shared" si="50"/>
        <v>310.33</v>
      </c>
      <c r="K181" s="35">
        <f t="shared" si="51"/>
        <v>315.70841741917997</v>
      </c>
      <c r="L181" s="35">
        <f t="shared" si="52"/>
        <v>319.37297849045649</v>
      </c>
      <c r="M181" s="35">
        <f t="shared" si="53"/>
        <v>315.1229987998222</v>
      </c>
      <c r="N181" s="35">
        <f t="shared" si="54"/>
        <v>318.27422878782045</v>
      </c>
      <c r="O181" s="25"/>
      <c r="P181" s="35">
        <f t="shared" si="55"/>
        <v>310.33</v>
      </c>
      <c r="Q181" s="35">
        <f t="shared" si="56"/>
        <v>315.70999999999998</v>
      </c>
      <c r="R181" s="35">
        <f t="shared" si="57"/>
        <v>319.37</v>
      </c>
      <c r="S181" s="35">
        <f t="shared" si="58"/>
        <v>315.12</v>
      </c>
      <c r="T181" s="35">
        <f t="shared" si="59"/>
        <v>318.27</v>
      </c>
      <c r="U181" s="25"/>
      <c r="V181" s="25">
        <f t="shared" si="60"/>
        <v>310.33</v>
      </c>
      <c r="W181" s="25">
        <f t="shared" si="61"/>
        <v>0</v>
      </c>
    </row>
    <row r="182" spans="1:23">
      <c r="A182" s="28" t="s">
        <v>337</v>
      </c>
      <c r="B182" s="28" t="s">
        <v>825</v>
      </c>
      <c r="C182" s="26">
        <v>0</v>
      </c>
      <c r="D182" s="26">
        <v>338.61</v>
      </c>
      <c r="E182" s="26">
        <f t="shared" si="48"/>
        <v>338.61</v>
      </c>
      <c r="F182" s="27" t="str">
        <f t="shared" si="49"/>
        <v>Yes</v>
      </c>
      <c r="G182" s="27" t="s">
        <v>651</v>
      </c>
      <c r="H182" s="11">
        <v>0</v>
      </c>
      <c r="I182" s="11">
        <v>0</v>
      </c>
      <c r="J182" s="35">
        <f t="shared" si="50"/>
        <v>338.61</v>
      </c>
      <c r="K182" s="35">
        <f t="shared" si="51"/>
        <v>344.47854613575402</v>
      </c>
      <c r="L182" s="35">
        <f t="shared" si="52"/>
        <v>348.47705425403115</v>
      </c>
      <c r="M182" s="35">
        <f t="shared" si="53"/>
        <v>343.83977902106727</v>
      </c>
      <c r="N182" s="35">
        <f t="shared" si="54"/>
        <v>347.27817681127794</v>
      </c>
      <c r="O182" s="25"/>
      <c r="P182" s="35">
        <f t="shared" si="55"/>
        <v>338.61</v>
      </c>
      <c r="Q182" s="35">
        <f t="shared" si="56"/>
        <v>344.48</v>
      </c>
      <c r="R182" s="35">
        <f t="shared" si="57"/>
        <v>348.48</v>
      </c>
      <c r="S182" s="35">
        <f t="shared" si="58"/>
        <v>343.84</v>
      </c>
      <c r="T182" s="35">
        <f t="shared" si="59"/>
        <v>347.28</v>
      </c>
      <c r="U182" s="25"/>
      <c r="V182" s="25">
        <f t="shared" si="60"/>
        <v>338.61</v>
      </c>
      <c r="W182" s="25">
        <f t="shared" si="61"/>
        <v>0</v>
      </c>
    </row>
    <row r="183" spans="1:23">
      <c r="A183" s="28" t="s">
        <v>339</v>
      </c>
      <c r="B183" s="28" t="s">
        <v>826</v>
      </c>
      <c r="C183" s="26">
        <v>1</v>
      </c>
      <c r="D183" s="26">
        <v>57.06</v>
      </c>
      <c r="E183" s="26">
        <f t="shared" si="48"/>
        <v>58.06</v>
      </c>
      <c r="F183" s="27" t="str">
        <f t="shared" si="49"/>
        <v>No</v>
      </c>
      <c r="G183" s="27" t="s">
        <v>651</v>
      </c>
      <c r="H183" s="11">
        <v>2</v>
      </c>
      <c r="I183" s="11">
        <v>0</v>
      </c>
      <c r="J183" s="35">
        <f t="shared" si="50"/>
        <v>58.06</v>
      </c>
      <c r="K183" s="35">
        <f t="shared" si="51"/>
        <v>58.06</v>
      </c>
      <c r="L183" s="35">
        <f t="shared" si="52"/>
        <v>58.06</v>
      </c>
      <c r="M183" s="35">
        <f t="shared" si="53"/>
        <v>58.06</v>
      </c>
      <c r="N183" s="35">
        <f t="shared" si="54"/>
        <v>58.06</v>
      </c>
      <c r="O183" s="25"/>
      <c r="P183" s="35">
        <f t="shared" si="55"/>
        <v>56.06</v>
      </c>
      <c r="Q183" s="35">
        <f t="shared" si="56"/>
        <v>56.06</v>
      </c>
      <c r="R183" s="35">
        <f t="shared" si="57"/>
        <v>56.06</v>
      </c>
      <c r="S183" s="35">
        <f t="shared" si="58"/>
        <v>56.06</v>
      </c>
      <c r="T183" s="35">
        <f t="shared" si="59"/>
        <v>56.06</v>
      </c>
      <c r="U183" s="25"/>
      <c r="V183" s="25">
        <f t="shared" si="60"/>
        <v>58.06</v>
      </c>
      <c r="W183" s="25">
        <f t="shared" si="61"/>
        <v>-2</v>
      </c>
    </row>
    <row r="184" spans="1:23">
      <c r="A184" s="28" t="s">
        <v>341</v>
      </c>
      <c r="B184" s="28" t="s">
        <v>827</v>
      </c>
      <c r="C184" s="26">
        <v>0</v>
      </c>
      <c r="D184" s="26">
        <v>1143.6600000000001</v>
      </c>
      <c r="E184" s="26">
        <f t="shared" si="48"/>
        <v>1143.6600000000001</v>
      </c>
      <c r="F184" s="27" t="str">
        <f t="shared" si="49"/>
        <v>Yes</v>
      </c>
      <c r="G184" s="27" t="s">
        <v>651</v>
      </c>
      <c r="H184" s="11">
        <v>0</v>
      </c>
      <c r="I184" s="11">
        <v>0</v>
      </c>
      <c r="J184" s="35">
        <f t="shared" si="50"/>
        <v>1143.6600000000001</v>
      </c>
      <c r="K184" s="35">
        <f t="shared" si="51"/>
        <v>1163.481096463827</v>
      </c>
      <c r="L184" s="35">
        <f t="shared" si="52"/>
        <v>1176.9861134289163</v>
      </c>
      <c r="M184" s="35">
        <f t="shared" si="53"/>
        <v>1161.3236516205484</v>
      </c>
      <c r="N184" s="35">
        <f t="shared" si="54"/>
        <v>1172.9368881367539</v>
      </c>
      <c r="O184" s="25"/>
      <c r="P184" s="35">
        <f t="shared" si="55"/>
        <v>1143.6600000000001</v>
      </c>
      <c r="Q184" s="35">
        <f t="shared" si="56"/>
        <v>1163.48</v>
      </c>
      <c r="R184" s="35">
        <f t="shared" si="57"/>
        <v>1176.99</v>
      </c>
      <c r="S184" s="35">
        <f t="shared" si="58"/>
        <v>1161.32</v>
      </c>
      <c r="T184" s="35">
        <f t="shared" si="59"/>
        <v>1172.94</v>
      </c>
      <c r="U184" s="25"/>
      <c r="V184" s="25">
        <f t="shared" si="60"/>
        <v>1143.6600000000001</v>
      </c>
      <c r="W184" s="25">
        <f t="shared" si="61"/>
        <v>0</v>
      </c>
    </row>
    <row r="185" spans="1:23">
      <c r="A185" s="28" t="s">
        <v>343</v>
      </c>
      <c r="B185" s="28" t="s">
        <v>828</v>
      </c>
      <c r="C185" s="26">
        <v>4</v>
      </c>
      <c r="D185" s="26">
        <v>359.99</v>
      </c>
      <c r="E185" s="26">
        <f t="shared" si="48"/>
        <v>363.99</v>
      </c>
      <c r="F185" s="27" t="str">
        <f t="shared" si="49"/>
        <v>Yes</v>
      </c>
      <c r="G185" s="27" t="s">
        <v>651</v>
      </c>
      <c r="H185" s="11">
        <v>0</v>
      </c>
      <c r="I185" s="11">
        <v>0</v>
      </c>
      <c r="J185" s="35">
        <f t="shared" si="50"/>
        <v>363.99</v>
      </c>
      <c r="K185" s="35">
        <f t="shared" si="51"/>
        <v>370.29841412820974</v>
      </c>
      <c r="L185" s="35">
        <f t="shared" si="52"/>
        <v>374.5966243699973</v>
      </c>
      <c r="M185" s="35">
        <f t="shared" si="53"/>
        <v>369.61176919133595</v>
      </c>
      <c r="N185" s="35">
        <f t="shared" si="54"/>
        <v>373.3078868832493</v>
      </c>
      <c r="O185" s="25"/>
      <c r="P185" s="35">
        <f t="shared" si="55"/>
        <v>363.99</v>
      </c>
      <c r="Q185" s="35">
        <f t="shared" si="56"/>
        <v>370.3</v>
      </c>
      <c r="R185" s="35">
        <f t="shared" si="57"/>
        <v>374.6</v>
      </c>
      <c r="S185" s="35">
        <f t="shared" si="58"/>
        <v>369.61</v>
      </c>
      <c r="T185" s="35">
        <f t="shared" si="59"/>
        <v>373.31</v>
      </c>
      <c r="U185" s="25"/>
      <c r="V185" s="25">
        <f t="shared" si="60"/>
        <v>363.99</v>
      </c>
      <c r="W185" s="25">
        <f t="shared" si="61"/>
        <v>0</v>
      </c>
    </row>
    <row r="186" spans="1:23">
      <c r="A186" s="28" t="s">
        <v>345</v>
      </c>
      <c r="B186" s="28" t="s">
        <v>829</v>
      </c>
      <c r="C186" s="26">
        <v>14.53</v>
      </c>
      <c r="D186" s="26">
        <v>241.27</v>
      </c>
      <c r="E186" s="26">
        <f t="shared" si="48"/>
        <v>255.8</v>
      </c>
      <c r="F186" s="27" t="str">
        <f t="shared" si="49"/>
        <v>Yes</v>
      </c>
      <c r="G186" s="27" t="s">
        <v>651</v>
      </c>
      <c r="H186" s="11">
        <v>0</v>
      </c>
      <c r="I186" s="11">
        <v>0</v>
      </c>
      <c r="J186" s="35">
        <f t="shared" si="50"/>
        <v>255.8</v>
      </c>
      <c r="K186" s="35">
        <f t="shared" si="51"/>
        <v>260.2333424929148</v>
      </c>
      <c r="L186" s="35">
        <f t="shared" si="52"/>
        <v>263.25398091663322</v>
      </c>
      <c r="M186" s="35">
        <f t="shared" si="53"/>
        <v>259.75079139301562</v>
      </c>
      <c r="N186" s="35">
        <f t="shared" si="54"/>
        <v>262.34829930694576</v>
      </c>
      <c r="O186" s="25"/>
      <c r="P186" s="35">
        <f t="shared" si="55"/>
        <v>255.8</v>
      </c>
      <c r="Q186" s="35">
        <f t="shared" si="56"/>
        <v>260.23</v>
      </c>
      <c r="R186" s="35">
        <f t="shared" si="57"/>
        <v>263.25</v>
      </c>
      <c r="S186" s="35">
        <f t="shared" si="58"/>
        <v>259.75</v>
      </c>
      <c r="T186" s="35">
        <f t="shared" si="59"/>
        <v>262.35000000000002</v>
      </c>
      <c r="U186" s="25"/>
      <c r="V186" s="25">
        <f t="shared" si="60"/>
        <v>255.8</v>
      </c>
      <c r="W186" s="25">
        <f t="shared" si="61"/>
        <v>0</v>
      </c>
    </row>
    <row r="187" spans="1:23">
      <c r="A187" s="28" t="s">
        <v>347</v>
      </c>
      <c r="B187" s="28" t="s">
        <v>830</v>
      </c>
      <c r="C187" s="26">
        <v>0</v>
      </c>
      <c r="D187" s="26">
        <v>3001.65</v>
      </c>
      <c r="E187" s="26">
        <f t="shared" si="48"/>
        <v>3001.65</v>
      </c>
      <c r="F187" s="27" t="str">
        <f t="shared" si="49"/>
        <v>Yes</v>
      </c>
      <c r="G187" s="27" t="s">
        <v>651</v>
      </c>
      <c r="H187" s="11">
        <v>0</v>
      </c>
      <c r="I187" s="11">
        <v>0</v>
      </c>
      <c r="J187" s="35">
        <f t="shared" si="50"/>
        <v>3001.65</v>
      </c>
      <c r="K187" s="35">
        <f t="shared" si="51"/>
        <v>3053.672449155034</v>
      </c>
      <c r="L187" s="35">
        <f t="shared" si="52"/>
        <v>3089.1177162564973</v>
      </c>
      <c r="M187" s="35">
        <f t="shared" si="53"/>
        <v>3048.0100194872762</v>
      </c>
      <c r="N187" s="35">
        <f t="shared" si="54"/>
        <v>3078.4901196821488</v>
      </c>
      <c r="O187" s="25"/>
      <c r="P187" s="35">
        <f t="shared" si="55"/>
        <v>3001.65</v>
      </c>
      <c r="Q187" s="35">
        <f t="shared" si="56"/>
        <v>3053.67</v>
      </c>
      <c r="R187" s="35">
        <f t="shared" si="57"/>
        <v>3089.12</v>
      </c>
      <c r="S187" s="35">
        <f t="shared" si="58"/>
        <v>3048.01</v>
      </c>
      <c r="T187" s="35">
        <f t="shared" si="59"/>
        <v>3078.49</v>
      </c>
      <c r="U187" s="25"/>
      <c r="V187" s="25">
        <f t="shared" si="60"/>
        <v>3001.65</v>
      </c>
      <c r="W187" s="25">
        <f t="shared" si="61"/>
        <v>0</v>
      </c>
    </row>
    <row r="188" spans="1:23">
      <c r="A188" s="28" t="s">
        <v>349</v>
      </c>
      <c r="B188" s="28" t="s">
        <v>831</v>
      </c>
      <c r="C188" s="26">
        <v>183.14</v>
      </c>
      <c r="D188" s="26">
        <v>22640.09</v>
      </c>
      <c r="E188" s="26">
        <f t="shared" si="48"/>
        <v>22823.23</v>
      </c>
      <c r="F188" s="27" t="str">
        <f t="shared" si="49"/>
        <v>Yes</v>
      </c>
      <c r="G188" s="27" t="s">
        <v>651</v>
      </c>
      <c r="H188" s="11">
        <v>0</v>
      </c>
      <c r="I188" s="11">
        <v>0</v>
      </c>
      <c r="J188" s="35">
        <f t="shared" si="50"/>
        <v>22823.23</v>
      </c>
      <c r="K188" s="35">
        <f t="shared" si="51"/>
        <v>23218.785885006128</v>
      </c>
      <c r="L188" s="35">
        <f t="shared" si="52"/>
        <v>23488.29614885039</v>
      </c>
      <c r="M188" s="35">
        <f t="shared" si="53"/>
        <v>23175.731253498103</v>
      </c>
      <c r="N188" s="35">
        <f t="shared" si="54"/>
        <v>23407.488566033084</v>
      </c>
      <c r="O188" s="25"/>
      <c r="P188" s="35">
        <f t="shared" si="55"/>
        <v>22823.23</v>
      </c>
      <c r="Q188" s="35">
        <f t="shared" si="56"/>
        <v>23218.79</v>
      </c>
      <c r="R188" s="35">
        <f t="shared" si="57"/>
        <v>23488.3</v>
      </c>
      <c r="S188" s="35">
        <f t="shared" si="58"/>
        <v>23175.73</v>
      </c>
      <c r="T188" s="35">
        <f t="shared" si="59"/>
        <v>23407.49</v>
      </c>
      <c r="U188" s="25"/>
      <c r="V188" s="25">
        <f t="shared" si="60"/>
        <v>22823.23</v>
      </c>
      <c r="W188" s="25">
        <f t="shared" si="61"/>
        <v>0</v>
      </c>
    </row>
    <row r="189" spans="1:23">
      <c r="A189" s="28" t="s">
        <v>351</v>
      </c>
      <c r="B189" s="28" t="s">
        <v>832</v>
      </c>
      <c r="C189" s="26">
        <v>225.1</v>
      </c>
      <c r="D189" s="26">
        <v>26860.21</v>
      </c>
      <c r="E189" s="26">
        <f t="shared" si="48"/>
        <v>27085.309999999998</v>
      </c>
      <c r="F189" s="27" t="str">
        <f t="shared" si="49"/>
        <v>Yes</v>
      </c>
      <c r="G189" s="27" t="s">
        <v>651</v>
      </c>
      <c r="H189" s="11">
        <v>0.99</v>
      </c>
      <c r="I189" s="11">
        <v>0</v>
      </c>
      <c r="J189" s="35">
        <f t="shared" si="50"/>
        <v>27085.309999999998</v>
      </c>
      <c r="K189" s="35">
        <f t="shared" si="51"/>
        <v>27554.733204678534</v>
      </c>
      <c r="L189" s="35">
        <f t="shared" si="52"/>
        <v>27874.572642146573</v>
      </c>
      <c r="M189" s="35">
        <f t="shared" si="53"/>
        <v>27503.638419175757</v>
      </c>
      <c r="N189" s="35">
        <f t="shared" si="54"/>
        <v>27778.674803367514</v>
      </c>
      <c r="O189" s="25"/>
      <c r="P189" s="35">
        <f t="shared" si="55"/>
        <v>27084.32</v>
      </c>
      <c r="Q189" s="35">
        <f t="shared" si="56"/>
        <v>27553.74</v>
      </c>
      <c r="R189" s="35">
        <f t="shared" si="57"/>
        <v>27873.58</v>
      </c>
      <c r="S189" s="35">
        <f t="shared" si="58"/>
        <v>27502.65</v>
      </c>
      <c r="T189" s="35">
        <f t="shared" si="59"/>
        <v>27777.68</v>
      </c>
      <c r="U189" s="25"/>
      <c r="V189" s="25">
        <f t="shared" si="60"/>
        <v>27085.309999999998</v>
      </c>
      <c r="W189" s="25">
        <f t="shared" si="61"/>
        <v>-0.98999999999796273</v>
      </c>
    </row>
    <row r="190" spans="1:23">
      <c r="A190" s="28" t="s">
        <v>353</v>
      </c>
      <c r="B190" s="28" t="s">
        <v>833</v>
      </c>
      <c r="C190" s="26">
        <v>0</v>
      </c>
      <c r="D190" s="26">
        <v>175.04</v>
      </c>
      <c r="E190" s="26">
        <f t="shared" si="48"/>
        <v>175.04</v>
      </c>
      <c r="F190" s="27" t="str">
        <f t="shared" si="49"/>
        <v>Yes</v>
      </c>
      <c r="G190" s="27" t="s">
        <v>653</v>
      </c>
      <c r="H190" s="11">
        <v>0</v>
      </c>
      <c r="I190" s="11">
        <v>49.9</v>
      </c>
      <c r="J190" s="35">
        <f t="shared" si="50"/>
        <v>175.04</v>
      </c>
      <c r="K190" s="35">
        <f t="shared" si="51"/>
        <v>178.07366798264192</v>
      </c>
      <c r="L190" s="35">
        <f t="shared" si="52"/>
        <v>180.14064433013087</v>
      </c>
      <c r="M190" s="35">
        <f t="shared" si="53"/>
        <v>177.74346569755062</v>
      </c>
      <c r="N190" s="35">
        <f t="shared" si="54"/>
        <v>179.52090035452613</v>
      </c>
      <c r="O190" s="25"/>
      <c r="P190" s="35">
        <f t="shared" si="55"/>
        <v>224.94</v>
      </c>
      <c r="Q190" s="35">
        <f t="shared" si="56"/>
        <v>227.97</v>
      </c>
      <c r="R190" s="35">
        <f t="shared" si="57"/>
        <v>230.04</v>
      </c>
      <c r="S190" s="35">
        <f t="shared" si="58"/>
        <v>227.64</v>
      </c>
      <c r="T190" s="35">
        <f t="shared" si="59"/>
        <v>229.42</v>
      </c>
      <c r="U190" s="25"/>
      <c r="V190" s="25">
        <f t="shared" si="60"/>
        <v>175.04</v>
      </c>
      <c r="W190" s="25">
        <f t="shared" si="61"/>
        <v>49.900000000000006</v>
      </c>
    </row>
    <row r="191" spans="1:23">
      <c r="A191" s="28" t="s">
        <v>355</v>
      </c>
      <c r="B191" s="28" t="s">
        <v>834</v>
      </c>
      <c r="C191" s="26">
        <v>0</v>
      </c>
      <c r="D191" s="26">
        <v>5497.2</v>
      </c>
      <c r="E191" s="26">
        <f t="shared" si="48"/>
        <v>5497.2</v>
      </c>
      <c r="F191" s="27" t="str">
        <f t="shared" si="49"/>
        <v>Yes</v>
      </c>
      <c r="G191" s="27" t="s">
        <v>651</v>
      </c>
      <c r="H191" s="11">
        <v>0</v>
      </c>
      <c r="I191" s="11">
        <v>0</v>
      </c>
      <c r="J191" s="35">
        <f t="shared" si="50"/>
        <v>5497.2</v>
      </c>
      <c r="K191" s="35">
        <f t="shared" si="51"/>
        <v>5592.4735353872211</v>
      </c>
      <c r="L191" s="35">
        <f t="shared" si="52"/>
        <v>5657.3877400113997</v>
      </c>
      <c r="M191" s="35">
        <f t="shared" si="53"/>
        <v>5582.1034028369249</v>
      </c>
      <c r="N191" s="35">
        <f t="shared" si="54"/>
        <v>5637.9244368652944</v>
      </c>
      <c r="O191" s="25"/>
      <c r="P191" s="35">
        <f t="shared" si="55"/>
        <v>5497.2</v>
      </c>
      <c r="Q191" s="35">
        <f t="shared" si="56"/>
        <v>5592.47</v>
      </c>
      <c r="R191" s="35">
        <f t="shared" si="57"/>
        <v>5657.39</v>
      </c>
      <c r="S191" s="35">
        <f t="shared" si="58"/>
        <v>5582.1</v>
      </c>
      <c r="T191" s="35">
        <f t="shared" si="59"/>
        <v>5637.92</v>
      </c>
      <c r="U191" s="25"/>
      <c r="V191" s="25">
        <f t="shared" si="60"/>
        <v>5497.2</v>
      </c>
      <c r="W191" s="25">
        <f t="shared" si="61"/>
        <v>0</v>
      </c>
    </row>
    <row r="192" spans="1:23">
      <c r="A192" s="28" t="s">
        <v>357</v>
      </c>
      <c r="B192" s="28" t="s">
        <v>835</v>
      </c>
      <c r="C192" s="26">
        <v>0</v>
      </c>
      <c r="D192" s="26">
        <v>10312.030000000001</v>
      </c>
      <c r="E192" s="26">
        <f t="shared" si="48"/>
        <v>10312.030000000001</v>
      </c>
      <c r="F192" s="27" t="str">
        <f t="shared" si="49"/>
        <v>Yes</v>
      </c>
      <c r="G192" s="27" t="s">
        <v>651</v>
      </c>
      <c r="H192" s="11">
        <v>394.3</v>
      </c>
      <c r="I192" s="11">
        <v>0</v>
      </c>
      <c r="J192" s="35">
        <f t="shared" si="50"/>
        <v>10312.030000000001</v>
      </c>
      <c r="K192" s="35">
        <f t="shared" si="51"/>
        <v>10490.750722389414</v>
      </c>
      <c r="L192" s="35">
        <f t="shared" si="52"/>
        <v>10612.521301140536</v>
      </c>
      <c r="M192" s="35">
        <f t="shared" si="53"/>
        <v>10471.297706679119</v>
      </c>
      <c r="N192" s="35">
        <f t="shared" si="54"/>
        <v>10576.01068374591</v>
      </c>
      <c r="O192" s="25"/>
      <c r="P192" s="35">
        <f t="shared" si="55"/>
        <v>9917.73</v>
      </c>
      <c r="Q192" s="35">
        <f t="shared" si="56"/>
        <v>10096.450000000001</v>
      </c>
      <c r="R192" s="35">
        <f t="shared" si="57"/>
        <v>10218.219999999999</v>
      </c>
      <c r="S192" s="35">
        <f t="shared" si="58"/>
        <v>10077</v>
      </c>
      <c r="T192" s="35">
        <f t="shared" si="59"/>
        <v>10181.709999999999</v>
      </c>
      <c r="U192" s="25"/>
      <c r="V192" s="25">
        <f t="shared" si="60"/>
        <v>10312.030000000001</v>
      </c>
      <c r="W192" s="25">
        <f t="shared" si="61"/>
        <v>-394.30000000000109</v>
      </c>
    </row>
    <row r="193" spans="1:23">
      <c r="A193" s="28" t="s">
        <v>359</v>
      </c>
      <c r="B193" s="28" t="s">
        <v>836</v>
      </c>
      <c r="C193" s="26">
        <v>0</v>
      </c>
      <c r="D193" s="26">
        <v>1401.59</v>
      </c>
      <c r="E193" s="26">
        <f t="shared" si="48"/>
        <v>1401.59</v>
      </c>
      <c r="F193" s="27" t="str">
        <f t="shared" si="49"/>
        <v>Yes</v>
      </c>
      <c r="G193" s="27" t="s">
        <v>653</v>
      </c>
      <c r="H193" s="11">
        <v>0</v>
      </c>
      <c r="I193" s="11">
        <v>614.49</v>
      </c>
      <c r="J193" s="35">
        <f t="shared" si="50"/>
        <v>1401.59</v>
      </c>
      <c r="K193" s="35">
        <f t="shared" si="51"/>
        <v>1425.8813545920423</v>
      </c>
      <c r="L193" s="35">
        <f t="shared" si="52"/>
        <v>1442.4321622867235</v>
      </c>
      <c r="M193" s="35">
        <f t="shared" si="53"/>
        <v>1423.2373405337635</v>
      </c>
      <c r="N193" s="35">
        <f t="shared" si="54"/>
        <v>1437.4697139391012</v>
      </c>
      <c r="O193" s="25"/>
      <c r="P193" s="35">
        <f t="shared" si="55"/>
        <v>2016.08</v>
      </c>
      <c r="Q193" s="35">
        <f t="shared" si="56"/>
        <v>2040.37</v>
      </c>
      <c r="R193" s="35">
        <f t="shared" si="57"/>
        <v>2056.92</v>
      </c>
      <c r="S193" s="35">
        <f t="shared" si="58"/>
        <v>2037.73</v>
      </c>
      <c r="T193" s="35">
        <f t="shared" si="59"/>
        <v>2051.96</v>
      </c>
      <c r="U193" s="25"/>
      <c r="V193" s="25">
        <f t="shared" si="60"/>
        <v>1401.59</v>
      </c>
      <c r="W193" s="25">
        <f t="shared" si="61"/>
        <v>614.49</v>
      </c>
    </row>
    <row r="194" spans="1:23">
      <c r="A194" s="28" t="s">
        <v>361</v>
      </c>
      <c r="B194" s="28" t="s">
        <v>837</v>
      </c>
      <c r="C194" s="26">
        <v>0</v>
      </c>
      <c r="D194" s="26">
        <v>2770.99</v>
      </c>
      <c r="E194" s="26">
        <f t="shared" si="48"/>
        <v>2770.99</v>
      </c>
      <c r="F194" s="27" t="str">
        <f t="shared" si="49"/>
        <v>Yes</v>
      </c>
      <c r="G194" s="27" t="s">
        <v>651</v>
      </c>
      <c r="H194" s="11">
        <v>0</v>
      </c>
      <c r="I194" s="11">
        <v>0</v>
      </c>
      <c r="J194" s="35">
        <f t="shared" si="50"/>
        <v>2770.99</v>
      </c>
      <c r="K194" s="35">
        <f t="shared" si="51"/>
        <v>2819.0148151463718</v>
      </c>
      <c r="L194" s="35">
        <f t="shared" si="52"/>
        <v>2851.7363118849935</v>
      </c>
      <c r="M194" s="35">
        <f t="shared" si="53"/>
        <v>2813.7875115016896</v>
      </c>
      <c r="N194" s="35">
        <f t="shared" si="54"/>
        <v>2841.9253866167064</v>
      </c>
      <c r="O194" s="25"/>
      <c r="P194" s="35">
        <f t="shared" si="55"/>
        <v>2770.99</v>
      </c>
      <c r="Q194" s="35">
        <f t="shared" si="56"/>
        <v>2819.01</v>
      </c>
      <c r="R194" s="35">
        <f t="shared" si="57"/>
        <v>2851.74</v>
      </c>
      <c r="S194" s="35">
        <f t="shared" si="58"/>
        <v>2813.79</v>
      </c>
      <c r="T194" s="35">
        <f t="shared" si="59"/>
        <v>2841.93</v>
      </c>
      <c r="U194" s="25"/>
      <c r="V194" s="25">
        <f t="shared" si="60"/>
        <v>2770.99</v>
      </c>
      <c r="W194" s="25">
        <f t="shared" si="61"/>
        <v>0</v>
      </c>
    </row>
    <row r="195" spans="1:23">
      <c r="A195" s="28" t="s">
        <v>363</v>
      </c>
      <c r="B195" s="28" t="s">
        <v>838</v>
      </c>
      <c r="C195" s="26">
        <v>0</v>
      </c>
      <c r="D195" s="26">
        <v>11721.44</v>
      </c>
      <c r="E195" s="26">
        <f t="shared" si="48"/>
        <v>11721.44</v>
      </c>
      <c r="F195" s="27" t="str">
        <f t="shared" si="49"/>
        <v>Yes</v>
      </c>
      <c r="G195" s="27" t="s">
        <v>651</v>
      </c>
      <c r="H195" s="11">
        <v>0</v>
      </c>
      <c r="I195" s="11">
        <v>0</v>
      </c>
      <c r="J195" s="35">
        <f t="shared" si="50"/>
        <v>11721.44</v>
      </c>
      <c r="K195" s="35">
        <f t="shared" si="51"/>
        <v>11924.587607623735</v>
      </c>
      <c r="L195" s="35">
        <f t="shared" si="52"/>
        <v>12063.001337277017</v>
      </c>
      <c r="M195" s="35">
        <f t="shared" si="53"/>
        <v>11902.475825902067</v>
      </c>
      <c r="N195" s="35">
        <f t="shared" si="54"/>
        <v>12021.500584161087</v>
      </c>
      <c r="O195" s="25"/>
      <c r="P195" s="35">
        <f t="shared" si="55"/>
        <v>11721.44</v>
      </c>
      <c r="Q195" s="35">
        <f t="shared" si="56"/>
        <v>11924.59</v>
      </c>
      <c r="R195" s="35">
        <f t="shared" si="57"/>
        <v>12063</v>
      </c>
      <c r="S195" s="35">
        <f t="shared" si="58"/>
        <v>11902.48</v>
      </c>
      <c r="T195" s="35">
        <f t="shared" si="59"/>
        <v>12021.5</v>
      </c>
      <c r="U195" s="25"/>
      <c r="V195" s="25">
        <f t="shared" si="60"/>
        <v>11721.44</v>
      </c>
      <c r="W195" s="25">
        <f t="shared" si="61"/>
        <v>0</v>
      </c>
    </row>
    <row r="196" spans="1:23">
      <c r="A196" s="28" t="s">
        <v>365</v>
      </c>
      <c r="B196" s="28" t="s">
        <v>839</v>
      </c>
      <c r="C196" s="26">
        <v>89</v>
      </c>
      <c r="D196" s="26">
        <v>8720.2099999999991</v>
      </c>
      <c r="E196" s="26">
        <f t="shared" si="48"/>
        <v>8809.2099999999991</v>
      </c>
      <c r="F196" s="27" t="str">
        <f t="shared" si="49"/>
        <v>Yes</v>
      </c>
      <c r="G196" s="27" t="s">
        <v>651</v>
      </c>
      <c r="H196" s="11">
        <v>0</v>
      </c>
      <c r="I196" s="11">
        <v>0</v>
      </c>
      <c r="J196" s="35">
        <f t="shared" si="50"/>
        <v>8809.2099999999991</v>
      </c>
      <c r="K196" s="35">
        <f t="shared" si="51"/>
        <v>8961.8849218999585</v>
      </c>
      <c r="L196" s="35">
        <f t="shared" si="52"/>
        <v>9065.9093089547059</v>
      </c>
      <c r="M196" s="35">
        <f t="shared" si="53"/>
        <v>8945.2668844693762</v>
      </c>
      <c r="N196" s="35">
        <f t="shared" si="54"/>
        <v>9034.7195533140693</v>
      </c>
      <c r="O196" s="25"/>
      <c r="P196" s="35">
        <f t="shared" si="55"/>
        <v>8809.2099999999991</v>
      </c>
      <c r="Q196" s="35">
        <f t="shared" si="56"/>
        <v>8961.8799999999992</v>
      </c>
      <c r="R196" s="35">
        <f t="shared" si="57"/>
        <v>9065.91</v>
      </c>
      <c r="S196" s="35">
        <f t="shared" si="58"/>
        <v>8945.27</v>
      </c>
      <c r="T196" s="35">
        <f t="shared" si="59"/>
        <v>9034.7199999999993</v>
      </c>
      <c r="U196" s="25"/>
      <c r="V196" s="25">
        <f t="shared" si="60"/>
        <v>8809.2099999999991</v>
      </c>
      <c r="W196" s="25">
        <f t="shared" si="61"/>
        <v>0</v>
      </c>
    </row>
    <row r="197" spans="1:23">
      <c r="A197" s="28" t="s">
        <v>367</v>
      </c>
      <c r="B197" s="28" t="s">
        <v>840</v>
      </c>
      <c r="C197" s="26">
        <v>0</v>
      </c>
      <c r="D197" s="26">
        <v>7050.76</v>
      </c>
      <c r="E197" s="26">
        <f t="shared" si="48"/>
        <v>7050.76</v>
      </c>
      <c r="F197" s="27" t="str">
        <f t="shared" si="49"/>
        <v>Yes</v>
      </c>
      <c r="G197" s="27" t="s">
        <v>651</v>
      </c>
      <c r="H197" s="11">
        <v>0</v>
      </c>
      <c r="I197" s="11">
        <v>0</v>
      </c>
      <c r="J197" s="35">
        <f t="shared" si="50"/>
        <v>7050.76</v>
      </c>
      <c r="K197" s="35">
        <f t="shared" si="51"/>
        <v>7172.9587252359024</v>
      </c>
      <c r="L197" s="35">
        <f t="shared" si="52"/>
        <v>7256.2182896315899</v>
      </c>
      <c r="M197" s="35">
        <f t="shared" si="53"/>
        <v>7159.6578964902992</v>
      </c>
      <c r="N197" s="35">
        <f t="shared" si="54"/>
        <v>7231.2544754552018</v>
      </c>
      <c r="O197" s="25"/>
      <c r="P197" s="35">
        <f t="shared" si="55"/>
        <v>7050.76</v>
      </c>
      <c r="Q197" s="35">
        <f t="shared" si="56"/>
        <v>7172.96</v>
      </c>
      <c r="R197" s="35">
        <f t="shared" si="57"/>
        <v>7256.22</v>
      </c>
      <c r="S197" s="35">
        <f t="shared" si="58"/>
        <v>7159.66</v>
      </c>
      <c r="T197" s="35">
        <f t="shared" si="59"/>
        <v>7231.25</v>
      </c>
      <c r="U197" s="25"/>
      <c r="V197" s="25">
        <f t="shared" si="60"/>
        <v>7050.76</v>
      </c>
      <c r="W197" s="25">
        <f t="shared" si="61"/>
        <v>0</v>
      </c>
    </row>
    <row r="198" spans="1:23">
      <c r="A198" s="28" t="s">
        <v>369</v>
      </c>
      <c r="B198" s="28" t="s">
        <v>841</v>
      </c>
      <c r="C198" s="26">
        <v>95.2</v>
      </c>
      <c r="D198" s="26">
        <v>20705.759999999998</v>
      </c>
      <c r="E198" s="26">
        <f t="shared" si="48"/>
        <v>20800.96</v>
      </c>
      <c r="F198" s="27" t="str">
        <f t="shared" si="49"/>
        <v>Yes</v>
      </c>
      <c r="G198" s="27" t="s">
        <v>651</v>
      </c>
      <c r="H198" s="11">
        <v>0</v>
      </c>
      <c r="I198" s="11">
        <v>0</v>
      </c>
      <c r="J198" s="35">
        <f t="shared" si="50"/>
        <v>20800.96</v>
      </c>
      <c r="K198" s="35">
        <f t="shared" si="51"/>
        <v>21161.467348950042</v>
      </c>
      <c r="L198" s="35">
        <f t="shared" si="52"/>
        <v>21407.097446785185</v>
      </c>
      <c r="M198" s="35">
        <f t="shared" si="53"/>
        <v>21122.227606467794</v>
      </c>
      <c r="N198" s="35">
        <f t="shared" si="54"/>
        <v>21333.44988253247</v>
      </c>
      <c r="O198" s="25"/>
      <c r="P198" s="35">
        <f t="shared" si="55"/>
        <v>20800.96</v>
      </c>
      <c r="Q198" s="35">
        <f t="shared" si="56"/>
        <v>21161.47</v>
      </c>
      <c r="R198" s="35">
        <f t="shared" si="57"/>
        <v>21407.1</v>
      </c>
      <c r="S198" s="35">
        <f t="shared" si="58"/>
        <v>21122.23</v>
      </c>
      <c r="T198" s="35">
        <f t="shared" si="59"/>
        <v>21333.45</v>
      </c>
      <c r="U198" s="25"/>
      <c r="V198" s="25">
        <f t="shared" si="60"/>
        <v>20800.96</v>
      </c>
      <c r="W198" s="25">
        <f t="shared" si="61"/>
        <v>0</v>
      </c>
    </row>
    <row r="199" spans="1:23">
      <c r="A199" s="28" t="s">
        <v>371</v>
      </c>
      <c r="B199" s="28" t="s">
        <v>842</v>
      </c>
      <c r="C199" s="26">
        <v>16.5</v>
      </c>
      <c r="D199" s="26">
        <v>1941.89</v>
      </c>
      <c r="E199" s="26">
        <f t="shared" si="48"/>
        <v>1958.39</v>
      </c>
      <c r="F199" s="27" t="str">
        <f t="shared" si="49"/>
        <v>Yes</v>
      </c>
      <c r="G199" s="27" t="s">
        <v>651</v>
      </c>
      <c r="H199" s="11">
        <v>0</v>
      </c>
      <c r="I199" s="11">
        <v>0</v>
      </c>
      <c r="J199" s="35">
        <f t="shared" si="50"/>
        <v>1958.39</v>
      </c>
      <c r="K199" s="35">
        <f t="shared" si="51"/>
        <v>1992.3314136227498</v>
      </c>
      <c r="L199" s="35">
        <f t="shared" si="52"/>
        <v>2015.4572466275422</v>
      </c>
      <c r="M199" s="35">
        <f t="shared" si="53"/>
        <v>1988.6370303212191</v>
      </c>
      <c r="N199" s="35">
        <f t="shared" si="54"/>
        <v>2008.5234006244314</v>
      </c>
      <c r="O199" s="25"/>
      <c r="P199" s="35">
        <f t="shared" si="55"/>
        <v>1958.39</v>
      </c>
      <c r="Q199" s="35">
        <f t="shared" si="56"/>
        <v>1992.33</v>
      </c>
      <c r="R199" s="35">
        <f t="shared" si="57"/>
        <v>2015.46</v>
      </c>
      <c r="S199" s="35">
        <f t="shared" si="58"/>
        <v>1988.64</v>
      </c>
      <c r="T199" s="35">
        <f t="shared" si="59"/>
        <v>2008.52</v>
      </c>
      <c r="U199" s="25"/>
      <c r="V199" s="25">
        <f t="shared" si="60"/>
        <v>1958.39</v>
      </c>
      <c r="W199" s="25">
        <f t="shared" si="61"/>
        <v>0</v>
      </c>
    </row>
    <row r="200" spans="1:23">
      <c r="A200" s="30" t="s">
        <v>373</v>
      </c>
      <c r="B200" s="28" t="s">
        <v>843</v>
      </c>
      <c r="C200" s="26">
        <v>0</v>
      </c>
      <c r="D200" s="26">
        <v>4302.08</v>
      </c>
      <c r="E200" s="26">
        <f t="shared" si="48"/>
        <v>4302.08</v>
      </c>
      <c r="F200" s="27" t="str">
        <f t="shared" si="49"/>
        <v>Yes</v>
      </c>
      <c r="G200" s="27" t="s">
        <v>651</v>
      </c>
      <c r="H200" s="11">
        <v>62.9</v>
      </c>
      <c r="I200" s="11">
        <v>0</v>
      </c>
      <c r="J200" s="35">
        <f t="shared" si="50"/>
        <v>4302.08</v>
      </c>
      <c r="K200" s="35">
        <f t="shared" si="51"/>
        <v>4376.6405710395575</v>
      </c>
      <c r="L200" s="35">
        <f t="shared" si="52"/>
        <v>4427.4420884356114</v>
      </c>
      <c r="M200" s="35">
        <f t="shared" si="53"/>
        <v>4368.5249594842244</v>
      </c>
      <c r="N200" s="35">
        <f t="shared" si="54"/>
        <v>4412.2102090790668</v>
      </c>
      <c r="O200" s="25"/>
      <c r="P200" s="35">
        <f t="shared" si="55"/>
        <v>4239.18</v>
      </c>
      <c r="Q200" s="35">
        <f t="shared" si="56"/>
        <v>4313.74</v>
      </c>
      <c r="R200" s="35">
        <f t="shared" si="57"/>
        <v>4364.54</v>
      </c>
      <c r="S200" s="35">
        <f t="shared" si="58"/>
        <v>4305.62</v>
      </c>
      <c r="T200" s="35">
        <f t="shared" si="59"/>
        <v>4349.3100000000004</v>
      </c>
      <c r="U200" s="25"/>
      <c r="V200" s="25">
        <f t="shared" si="60"/>
        <v>4302.08</v>
      </c>
      <c r="W200" s="25">
        <f t="shared" si="61"/>
        <v>-62.899999999999636</v>
      </c>
    </row>
    <row r="201" spans="1:23">
      <c r="A201" s="30" t="s">
        <v>375</v>
      </c>
      <c r="B201" s="28" t="s">
        <v>844</v>
      </c>
      <c r="C201" s="26">
        <v>0</v>
      </c>
      <c r="D201" s="26">
        <v>3873.29</v>
      </c>
      <c r="E201" s="26">
        <f t="shared" si="48"/>
        <v>3873.29</v>
      </c>
      <c r="F201" s="27" t="str">
        <f t="shared" si="49"/>
        <v>Yes</v>
      </c>
      <c r="G201" s="27" t="s">
        <v>651</v>
      </c>
      <c r="H201" s="11">
        <v>0</v>
      </c>
      <c r="I201" s="11">
        <v>0</v>
      </c>
      <c r="J201" s="35">
        <f t="shared" si="50"/>
        <v>3873.29</v>
      </c>
      <c r="K201" s="35">
        <f t="shared" si="51"/>
        <v>3940.4190896965674</v>
      </c>
      <c r="L201" s="35">
        <f t="shared" si="52"/>
        <v>3986.1571999397429</v>
      </c>
      <c r="M201" s="35">
        <f t="shared" si="53"/>
        <v>3933.1123643262449</v>
      </c>
      <c r="N201" s="35">
        <f t="shared" si="54"/>
        <v>3972.4434879695073</v>
      </c>
      <c r="O201" s="25"/>
      <c r="P201" s="35">
        <f t="shared" si="55"/>
        <v>3873.29</v>
      </c>
      <c r="Q201" s="35">
        <f t="shared" si="56"/>
        <v>3940.42</v>
      </c>
      <c r="R201" s="35">
        <f t="shared" si="57"/>
        <v>3986.16</v>
      </c>
      <c r="S201" s="35">
        <f t="shared" si="58"/>
        <v>3933.11</v>
      </c>
      <c r="T201" s="35">
        <f t="shared" si="59"/>
        <v>3972.44</v>
      </c>
      <c r="U201" s="25"/>
      <c r="V201" s="25">
        <f t="shared" si="60"/>
        <v>3873.29</v>
      </c>
      <c r="W201" s="25">
        <f t="shared" si="61"/>
        <v>0</v>
      </c>
    </row>
    <row r="202" spans="1:23">
      <c r="A202" s="30" t="s">
        <v>959</v>
      </c>
      <c r="B202" s="28" t="s">
        <v>987</v>
      </c>
      <c r="C202" s="26">
        <v>9.1999999999999993</v>
      </c>
      <c r="D202" s="26">
        <v>635.75</v>
      </c>
      <c r="E202" s="26">
        <f t="shared" ref="E202:E265" si="62">SUM(C202:D202)</f>
        <v>644.95000000000005</v>
      </c>
      <c r="F202" s="27" t="str">
        <f t="shared" ref="F202:F265" si="63">IF(E202&gt;100,"Yes","No")</f>
        <v>Yes</v>
      </c>
      <c r="G202" s="27" t="s">
        <v>651</v>
      </c>
      <c r="H202" s="11">
        <v>0</v>
      </c>
      <c r="I202" s="11">
        <v>0</v>
      </c>
      <c r="J202" s="35">
        <f t="shared" ref="J202:J265" si="64">(IF($F202="Yes",($E202*(1+J$4)),$E202))</f>
        <v>644.95000000000005</v>
      </c>
      <c r="K202" s="35">
        <f t="shared" ref="K202:K265" si="65">(IF($F202="Yes",(($E202*(1+J$4))*(1+K$4)),$E202))</f>
        <v>656.127811731061</v>
      </c>
      <c r="L202" s="35">
        <f t="shared" ref="L202:L265" si="66">(IF($F202="Yes",((($E202*(1+J$4))*(1+K$4))*(1+L$4)),$E202))</f>
        <v>663.74376462932992</v>
      </c>
      <c r="M202" s="35">
        <f t="shared" ref="M202:M265" si="67">(IF($F202="Yes",(((($E202*(1+J$4))*(1+K$4))*(1+L$4))*(1+M$4)),$E202))</f>
        <v>654.91115288868423</v>
      </c>
      <c r="N202" s="35">
        <f t="shared" ref="N202:N265" si="68">(IF($F202="Yes",((((($E202*(1+J$4))*(1+K$4))*(1+L$4))*(1+M$4))*(1+N$4)),$E202))</f>
        <v>661.46026441757112</v>
      </c>
      <c r="O202" s="25"/>
      <c r="P202" s="35">
        <f t="shared" ref="P202:P265" si="69">ROUND(J202-$H202+$I202,2)</f>
        <v>644.95000000000005</v>
      </c>
      <c r="Q202" s="35">
        <f t="shared" ref="Q202:Q266" si="70">ROUND(K202-$H202+$I202,2)</f>
        <v>656.13</v>
      </c>
      <c r="R202" s="35">
        <f t="shared" ref="R202:R266" si="71">ROUND(L202-$H202+$I202,2)</f>
        <v>663.74</v>
      </c>
      <c r="S202" s="35">
        <f t="shared" ref="S202:S266" si="72">ROUND(M202-$H202+$I202,2)</f>
        <v>654.91</v>
      </c>
      <c r="T202" s="35">
        <f t="shared" ref="T202:T266" si="73">ROUND(N202-$H202+$I202,2)</f>
        <v>661.46</v>
      </c>
      <c r="U202" s="25"/>
      <c r="V202" s="25">
        <f t="shared" ref="V202:V265" si="74">J202</f>
        <v>644.95000000000005</v>
      </c>
      <c r="W202" s="25">
        <f t="shared" ref="W202:W265" si="75">P202-V202</f>
        <v>0</v>
      </c>
    </row>
    <row r="203" spans="1:23">
      <c r="A203" s="28" t="s">
        <v>377</v>
      </c>
      <c r="B203" s="28" t="s">
        <v>845</v>
      </c>
      <c r="C203" s="26">
        <v>0.97</v>
      </c>
      <c r="D203" s="26">
        <v>9</v>
      </c>
      <c r="E203" s="26">
        <f t="shared" si="62"/>
        <v>9.9700000000000006</v>
      </c>
      <c r="F203" s="27" t="str">
        <f t="shared" si="63"/>
        <v>No</v>
      </c>
      <c r="G203" s="27" t="s">
        <v>653</v>
      </c>
      <c r="H203" s="11">
        <v>0</v>
      </c>
      <c r="I203" s="11">
        <v>1</v>
      </c>
      <c r="J203" s="35">
        <f t="shared" si="64"/>
        <v>9.9700000000000006</v>
      </c>
      <c r="K203" s="35">
        <f t="shared" si="65"/>
        <v>9.9700000000000006</v>
      </c>
      <c r="L203" s="35">
        <f t="shared" si="66"/>
        <v>9.9700000000000006</v>
      </c>
      <c r="M203" s="35">
        <f t="shared" si="67"/>
        <v>9.9700000000000006</v>
      </c>
      <c r="N203" s="35">
        <f t="shared" si="68"/>
        <v>9.9700000000000006</v>
      </c>
      <c r="O203" s="25"/>
      <c r="P203" s="35">
        <f t="shared" si="69"/>
        <v>10.97</v>
      </c>
      <c r="Q203" s="35">
        <f t="shared" si="70"/>
        <v>10.97</v>
      </c>
      <c r="R203" s="35">
        <f t="shared" si="71"/>
        <v>10.97</v>
      </c>
      <c r="S203" s="35">
        <f t="shared" si="72"/>
        <v>10.97</v>
      </c>
      <c r="T203" s="35">
        <f t="shared" si="73"/>
        <v>10.97</v>
      </c>
      <c r="U203" s="25"/>
      <c r="V203" s="25">
        <f t="shared" si="74"/>
        <v>9.9700000000000006</v>
      </c>
      <c r="W203" s="25">
        <f t="shared" si="75"/>
        <v>1</v>
      </c>
    </row>
    <row r="204" spans="1:23">
      <c r="A204" s="28" t="s">
        <v>379</v>
      </c>
      <c r="B204" s="28" t="s">
        <v>846</v>
      </c>
      <c r="C204" s="26">
        <v>1.2</v>
      </c>
      <c r="D204" s="26">
        <v>754.2</v>
      </c>
      <c r="E204" s="26">
        <f t="shared" si="62"/>
        <v>755.40000000000009</v>
      </c>
      <c r="F204" s="27" t="str">
        <f t="shared" si="63"/>
        <v>Yes</v>
      </c>
      <c r="G204" s="27" t="s">
        <v>651</v>
      </c>
      <c r="H204" s="11">
        <v>0</v>
      </c>
      <c r="I204" s="11">
        <v>0</v>
      </c>
      <c r="J204" s="35">
        <f t="shared" si="64"/>
        <v>755.40000000000009</v>
      </c>
      <c r="K204" s="35">
        <f t="shared" si="65"/>
        <v>768.49205206859983</v>
      </c>
      <c r="L204" s="35">
        <f t="shared" si="66"/>
        <v>777.41226420807163</v>
      </c>
      <c r="M204" s="35">
        <f t="shared" si="67"/>
        <v>767.06703603707581</v>
      </c>
      <c r="N204" s="35">
        <f t="shared" si="68"/>
        <v>774.73770639744657</v>
      </c>
      <c r="O204" s="25"/>
      <c r="P204" s="35">
        <f t="shared" si="69"/>
        <v>755.4</v>
      </c>
      <c r="Q204" s="35">
        <f t="shared" si="70"/>
        <v>768.49</v>
      </c>
      <c r="R204" s="35">
        <f t="shared" si="71"/>
        <v>777.41</v>
      </c>
      <c r="S204" s="35">
        <f t="shared" si="72"/>
        <v>767.07</v>
      </c>
      <c r="T204" s="35">
        <f t="shared" si="73"/>
        <v>774.74</v>
      </c>
      <c r="U204" s="25"/>
      <c r="V204" s="25">
        <f t="shared" si="74"/>
        <v>755.40000000000009</v>
      </c>
      <c r="W204" s="25">
        <f t="shared" si="75"/>
        <v>0</v>
      </c>
    </row>
    <row r="205" spans="1:23">
      <c r="A205" s="28" t="s">
        <v>381</v>
      </c>
      <c r="B205" s="28" t="s">
        <v>847</v>
      </c>
      <c r="C205" s="26">
        <v>0</v>
      </c>
      <c r="D205" s="26">
        <v>219.49</v>
      </c>
      <c r="E205" s="26">
        <f t="shared" si="62"/>
        <v>219.49</v>
      </c>
      <c r="F205" s="27" t="str">
        <f t="shared" si="63"/>
        <v>Yes</v>
      </c>
      <c r="G205" s="27" t="s">
        <v>651</v>
      </c>
      <c r="H205" s="11">
        <v>0</v>
      </c>
      <c r="I205" s="11">
        <v>0</v>
      </c>
      <c r="J205" s="35">
        <f t="shared" si="64"/>
        <v>219.49</v>
      </c>
      <c r="K205" s="35">
        <f t="shared" si="65"/>
        <v>223.29404356438573</v>
      </c>
      <c r="L205" s="35">
        <f t="shared" si="66"/>
        <v>225.8859119288187</v>
      </c>
      <c r="M205" s="35">
        <f t="shared" si="67"/>
        <v>222.87998906510163</v>
      </c>
      <c r="N205" s="35">
        <f t="shared" si="68"/>
        <v>225.10878895575263</v>
      </c>
      <c r="O205" s="25"/>
      <c r="P205" s="35">
        <f t="shared" si="69"/>
        <v>219.49</v>
      </c>
      <c r="Q205" s="35">
        <f t="shared" si="70"/>
        <v>223.29</v>
      </c>
      <c r="R205" s="35">
        <f t="shared" si="71"/>
        <v>225.89</v>
      </c>
      <c r="S205" s="35">
        <f t="shared" si="72"/>
        <v>222.88</v>
      </c>
      <c r="T205" s="35">
        <f t="shared" si="73"/>
        <v>225.11</v>
      </c>
      <c r="U205" s="25"/>
      <c r="V205" s="25">
        <f t="shared" si="74"/>
        <v>219.49</v>
      </c>
      <c r="W205" s="25">
        <f t="shared" si="75"/>
        <v>0</v>
      </c>
    </row>
    <row r="206" spans="1:23">
      <c r="A206" s="28" t="s">
        <v>383</v>
      </c>
      <c r="B206" s="28" t="s">
        <v>848</v>
      </c>
      <c r="C206" s="26">
        <v>0</v>
      </c>
      <c r="D206" s="26">
        <v>783.32</v>
      </c>
      <c r="E206" s="26">
        <f t="shared" si="62"/>
        <v>783.32</v>
      </c>
      <c r="F206" s="27" t="str">
        <f t="shared" si="63"/>
        <v>Yes</v>
      </c>
      <c r="G206" s="27" t="s">
        <v>651</v>
      </c>
      <c r="H206" s="11">
        <v>1</v>
      </c>
      <c r="I206" s="11">
        <v>0</v>
      </c>
      <c r="J206" s="35">
        <f t="shared" si="64"/>
        <v>783.32</v>
      </c>
      <c r="K206" s="35">
        <f t="shared" si="65"/>
        <v>796.89594152286952</v>
      </c>
      <c r="L206" s="35">
        <f t="shared" si="66"/>
        <v>806.1458496153914</v>
      </c>
      <c r="M206" s="35">
        <f t="shared" si="67"/>
        <v>795.41825611406171</v>
      </c>
      <c r="N206" s="35">
        <f t="shared" si="68"/>
        <v>803.37243867520237</v>
      </c>
      <c r="O206" s="25"/>
      <c r="P206" s="35">
        <f t="shared" si="69"/>
        <v>782.32</v>
      </c>
      <c r="Q206" s="35">
        <f t="shared" si="70"/>
        <v>795.9</v>
      </c>
      <c r="R206" s="35">
        <f t="shared" si="71"/>
        <v>805.15</v>
      </c>
      <c r="S206" s="35">
        <f t="shared" si="72"/>
        <v>794.42</v>
      </c>
      <c r="T206" s="35">
        <f t="shared" si="73"/>
        <v>802.37</v>
      </c>
      <c r="U206" s="25"/>
      <c r="V206" s="25">
        <f t="shared" si="74"/>
        <v>783.32</v>
      </c>
      <c r="W206" s="25">
        <f t="shared" si="75"/>
        <v>-1</v>
      </c>
    </row>
    <row r="207" spans="1:23">
      <c r="A207" s="28" t="s">
        <v>385</v>
      </c>
      <c r="B207" s="28" t="s">
        <v>849</v>
      </c>
      <c r="C207" s="26">
        <v>27.6</v>
      </c>
      <c r="D207" s="26">
        <v>502</v>
      </c>
      <c r="E207" s="26">
        <f t="shared" si="62"/>
        <v>529.6</v>
      </c>
      <c r="F207" s="27" t="str">
        <f t="shared" si="63"/>
        <v>Yes</v>
      </c>
      <c r="G207" s="27" t="s">
        <v>651</v>
      </c>
      <c r="H207" s="11">
        <v>0</v>
      </c>
      <c r="I207" s="11">
        <v>0</v>
      </c>
      <c r="J207" s="35">
        <f t="shared" si="64"/>
        <v>529.6</v>
      </c>
      <c r="K207" s="35">
        <f t="shared" si="65"/>
        <v>538.77864810104643</v>
      </c>
      <c r="L207" s="35">
        <f t="shared" si="66"/>
        <v>545.03247964600837</v>
      </c>
      <c r="M207" s="35">
        <f t="shared" si="67"/>
        <v>537.77958999898772</v>
      </c>
      <c r="N207" s="35">
        <f t="shared" si="68"/>
        <v>543.15738589897762</v>
      </c>
      <c r="O207" s="25"/>
      <c r="P207" s="35">
        <f t="shared" si="69"/>
        <v>529.6</v>
      </c>
      <c r="Q207" s="35">
        <f t="shared" si="70"/>
        <v>538.78</v>
      </c>
      <c r="R207" s="35">
        <f t="shared" si="71"/>
        <v>545.03</v>
      </c>
      <c r="S207" s="35">
        <f t="shared" si="72"/>
        <v>537.78</v>
      </c>
      <c r="T207" s="35">
        <f t="shared" si="73"/>
        <v>543.16</v>
      </c>
      <c r="U207" s="25"/>
      <c r="V207" s="25">
        <f t="shared" si="74"/>
        <v>529.6</v>
      </c>
      <c r="W207" s="25">
        <f t="shared" si="75"/>
        <v>0</v>
      </c>
    </row>
    <row r="208" spans="1:23">
      <c r="A208" s="28" t="s">
        <v>387</v>
      </c>
      <c r="B208" s="28" t="s">
        <v>850</v>
      </c>
      <c r="C208" s="26">
        <v>7.6</v>
      </c>
      <c r="D208" s="26">
        <v>3262.31</v>
      </c>
      <c r="E208" s="26">
        <f t="shared" si="62"/>
        <v>3269.91</v>
      </c>
      <c r="F208" s="27" t="str">
        <f t="shared" si="63"/>
        <v>Yes</v>
      </c>
      <c r="G208" s="27" t="s">
        <v>651</v>
      </c>
      <c r="H208" s="11">
        <v>5</v>
      </c>
      <c r="I208" s="11">
        <v>0</v>
      </c>
      <c r="J208" s="35">
        <f t="shared" si="64"/>
        <v>3269.91</v>
      </c>
      <c r="K208" s="35">
        <f t="shared" si="65"/>
        <v>3326.5817394488154</v>
      </c>
      <c r="L208" s="35">
        <f t="shared" si="66"/>
        <v>3365.1947800590619</v>
      </c>
      <c r="M208" s="35">
        <f t="shared" si="67"/>
        <v>3320.4132536510383</v>
      </c>
      <c r="N208" s="35">
        <f t="shared" si="68"/>
        <v>3353.6173861875486</v>
      </c>
      <c r="O208" s="25"/>
      <c r="P208" s="35">
        <f t="shared" si="69"/>
        <v>3264.91</v>
      </c>
      <c r="Q208" s="35">
        <f t="shared" si="70"/>
        <v>3321.58</v>
      </c>
      <c r="R208" s="35">
        <f t="shared" si="71"/>
        <v>3360.19</v>
      </c>
      <c r="S208" s="35">
        <f t="shared" si="72"/>
        <v>3315.41</v>
      </c>
      <c r="T208" s="35">
        <f t="shared" si="73"/>
        <v>3348.62</v>
      </c>
      <c r="U208" s="25"/>
      <c r="V208" s="25">
        <f t="shared" si="74"/>
        <v>3269.91</v>
      </c>
      <c r="W208" s="25">
        <f t="shared" si="75"/>
        <v>-5</v>
      </c>
    </row>
    <row r="209" spans="1:23">
      <c r="A209" s="28" t="s">
        <v>389</v>
      </c>
      <c r="B209" s="28" t="s">
        <v>851</v>
      </c>
      <c r="C209" s="26">
        <v>54.85</v>
      </c>
      <c r="D209" s="26">
        <v>4256.2</v>
      </c>
      <c r="E209" s="26">
        <f t="shared" si="62"/>
        <v>4311.05</v>
      </c>
      <c r="F209" s="27" t="str">
        <f t="shared" si="63"/>
        <v>Yes</v>
      </c>
      <c r="G209" s="27" t="s">
        <v>651</v>
      </c>
      <c r="H209" s="11">
        <v>1</v>
      </c>
      <c r="I209" s="11">
        <v>0</v>
      </c>
      <c r="J209" s="35">
        <f t="shared" si="64"/>
        <v>4311.05</v>
      </c>
      <c r="K209" s="35">
        <f t="shared" si="65"/>
        <v>4385.7660326586411</v>
      </c>
      <c r="L209" s="35">
        <f t="shared" si="66"/>
        <v>4436.6734731456281</v>
      </c>
      <c r="M209" s="35">
        <f t="shared" si="67"/>
        <v>4377.6334997453478</v>
      </c>
      <c r="N209" s="35">
        <f t="shared" si="68"/>
        <v>4421.4098347428016</v>
      </c>
      <c r="O209" s="25"/>
      <c r="P209" s="35">
        <f t="shared" si="69"/>
        <v>4310.05</v>
      </c>
      <c r="Q209" s="35">
        <f t="shared" si="70"/>
        <v>4384.7700000000004</v>
      </c>
      <c r="R209" s="35">
        <f t="shared" si="71"/>
        <v>4435.67</v>
      </c>
      <c r="S209" s="35">
        <f t="shared" si="72"/>
        <v>4376.63</v>
      </c>
      <c r="T209" s="35">
        <f t="shared" si="73"/>
        <v>4420.41</v>
      </c>
      <c r="U209" s="25"/>
      <c r="V209" s="25">
        <f t="shared" si="74"/>
        <v>4311.05</v>
      </c>
      <c r="W209" s="25">
        <f t="shared" si="75"/>
        <v>-1</v>
      </c>
    </row>
    <row r="210" spans="1:23">
      <c r="A210" s="28" t="s">
        <v>391</v>
      </c>
      <c r="B210" s="28" t="s">
        <v>852</v>
      </c>
      <c r="C210" s="26">
        <v>0</v>
      </c>
      <c r="D210" s="26">
        <v>2542.36</v>
      </c>
      <c r="E210" s="26">
        <f t="shared" si="62"/>
        <v>2542.36</v>
      </c>
      <c r="F210" s="27" t="str">
        <f t="shared" si="63"/>
        <v>Yes</v>
      </c>
      <c r="G210" s="27" t="s">
        <v>651</v>
      </c>
      <c r="H210" s="11">
        <v>0</v>
      </c>
      <c r="I210" s="11">
        <v>0</v>
      </c>
      <c r="J210" s="35">
        <f t="shared" si="64"/>
        <v>2542.36</v>
      </c>
      <c r="K210" s="35">
        <f t="shared" si="65"/>
        <v>2586.4223636445927</v>
      </c>
      <c r="L210" s="35">
        <f t="shared" si="66"/>
        <v>2616.444061466816</v>
      </c>
      <c r="M210" s="35">
        <f t="shared" si="67"/>
        <v>2581.626356551787</v>
      </c>
      <c r="N210" s="35">
        <f t="shared" si="68"/>
        <v>2607.4426201173051</v>
      </c>
      <c r="O210" s="25"/>
      <c r="P210" s="35">
        <f t="shared" si="69"/>
        <v>2542.36</v>
      </c>
      <c r="Q210" s="35">
        <f t="shared" si="70"/>
        <v>2586.42</v>
      </c>
      <c r="R210" s="35">
        <f t="shared" si="71"/>
        <v>2616.44</v>
      </c>
      <c r="S210" s="35">
        <f t="shared" si="72"/>
        <v>2581.63</v>
      </c>
      <c r="T210" s="35">
        <f t="shared" si="73"/>
        <v>2607.44</v>
      </c>
      <c r="U210" s="25"/>
      <c r="V210" s="25">
        <f t="shared" si="74"/>
        <v>2542.36</v>
      </c>
      <c r="W210" s="25">
        <f t="shared" si="75"/>
        <v>0</v>
      </c>
    </row>
    <row r="211" spans="1:23">
      <c r="A211" s="28" t="s">
        <v>393</v>
      </c>
      <c r="B211" s="28" t="s">
        <v>853</v>
      </c>
      <c r="C211" s="26">
        <v>0</v>
      </c>
      <c r="D211" s="26">
        <v>502.44</v>
      </c>
      <c r="E211" s="26">
        <f t="shared" si="62"/>
        <v>502.44</v>
      </c>
      <c r="F211" s="27" t="str">
        <f t="shared" si="63"/>
        <v>Yes</v>
      </c>
      <c r="G211" s="27" t="s">
        <v>651</v>
      </c>
      <c r="H211" s="11">
        <v>9</v>
      </c>
      <c r="I211" s="11">
        <v>0</v>
      </c>
      <c r="J211" s="35">
        <f t="shared" si="64"/>
        <v>502.44</v>
      </c>
      <c r="K211" s="35">
        <f t="shared" si="65"/>
        <v>511.14793042275255</v>
      </c>
      <c r="L211" s="35">
        <f t="shared" si="66"/>
        <v>517.0810405463377</v>
      </c>
      <c r="M211" s="35">
        <f t="shared" si="67"/>
        <v>510.20010800432664</v>
      </c>
      <c r="N211" s="35">
        <f t="shared" si="68"/>
        <v>515.30210908436993</v>
      </c>
      <c r="O211" s="25"/>
      <c r="P211" s="35">
        <f t="shared" si="69"/>
        <v>493.44</v>
      </c>
      <c r="Q211" s="35">
        <f t="shared" si="70"/>
        <v>502.15</v>
      </c>
      <c r="R211" s="35">
        <f t="shared" si="71"/>
        <v>508.08</v>
      </c>
      <c r="S211" s="35">
        <f t="shared" si="72"/>
        <v>501.2</v>
      </c>
      <c r="T211" s="35">
        <f t="shared" si="73"/>
        <v>506.3</v>
      </c>
      <c r="U211" s="25"/>
      <c r="V211" s="25">
        <f t="shared" si="74"/>
        <v>502.44</v>
      </c>
      <c r="W211" s="25">
        <f t="shared" si="75"/>
        <v>-9</v>
      </c>
    </row>
    <row r="212" spans="1:23">
      <c r="A212" s="28" t="s">
        <v>395</v>
      </c>
      <c r="B212" s="28" t="s">
        <v>854</v>
      </c>
      <c r="C212" s="26">
        <v>0</v>
      </c>
      <c r="D212" s="26">
        <v>420.2</v>
      </c>
      <c r="E212" s="26">
        <f t="shared" si="62"/>
        <v>420.2</v>
      </c>
      <c r="F212" s="27" t="str">
        <f t="shared" si="63"/>
        <v>Yes</v>
      </c>
      <c r="G212" s="27" t="s">
        <v>653</v>
      </c>
      <c r="H212" s="11">
        <v>0</v>
      </c>
      <c r="I212" s="11">
        <v>126.97</v>
      </c>
      <c r="J212" s="35">
        <f t="shared" si="64"/>
        <v>420.2</v>
      </c>
      <c r="K212" s="35">
        <f t="shared" si="65"/>
        <v>427.48260561189517</v>
      </c>
      <c r="L212" s="35">
        <f t="shared" si="66"/>
        <v>432.44457693967655</v>
      </c>
      <c r="M212" s="35">
        <f t="shared" si="67"/>
        <v>426.68992393801852</v>
      </c>
      <c r="N212" s="35">
        <f t="shared" si="68"/>
        <v>430.95682317739869</v>
      </c>
      <c r="O212" s="25"/>
      <c r="P212" s="35">
        <f t="shared" si="69"/>
        <v>547.16999999999996</v>
      </c>
      <c r="Q212" s="35">
        <f t="shared" si="70"/>
        <v>554.45000000000005</v>
      </c>
      <c r="R212" s="35">
        <f t="shared" si="71"/>
        <v>559.41</v>
      </c>
      <c r="S212" s="35">
        <f t="shared" si="72"/>
        <v>553.66</v>
      </c>
      <c r="T212" s="35">
        <f t="shared" si="73"/>
        <v>557.92999999999995</v>
      </c>
      <c r="U212" s="25"/>
      <c r="V212" s="25">
        <f t="shared" si="74"/>
        <v>420.2</v>
      </c>
      <c r="W212" s="25">
        <f t="shared" si="75"/>
        <v>126.96999999999997</v>
      </c>
    </row>
    <row r="213" spans="1:23">
      <c r="A213" s="28" t="s">
        <v>397</v>
      </c>
      <c r="B213" s="28" t="s">
        <v>855</v>
      </c>
      <c r="C213" s="26">
        <v>105.9</v>
      </c>
      <c r="D213" s="26">
        <v>6512.13</v>
      </c>
      <c r="E213" s="26">
        <f t="shared" si="62"/>
        <v>6618.03</v>
      </c>
      <c r="F213" s="27" t="str">
        <f t="shared" si="63"/>
        <v>Yes</v>
      </c>
      <c r="G213" s="27" t="s">
        <v>651</v>
      </c>
      <c r="H213" s="11">
        <v>97.07</v>
      </c>
      <c r="I213" s="11">
        <v>0</v>
      </c>
      <c r="J213" s="35">
        <f t="shared" si="64"/>
        <v>6618.03</v>
      </c>
      <c r="K213" s="35">
        <f t="shared" si="65"/>
        <v>6732.7289586332481</v>
      </c>
      <c r="L213" s="35">
        <f t="shared" si="66"/>
        <v>6810.8785900144876</v>
      </c>
      <c r="M213" s="35">
        <f t="shared" si="67"/>
        <v>6720.2444486423728</v>
      </c>
      <c r="N213" s="35">
        <f t="shared" si="68"/>
        <v>6787.4468931287965</v>
      </c>
      <c r="O213" s="25"/>
      <c r="P213" s="35">
        <f t="shared" si="69"/>
        <v>6520.96</v>
      </c>
      <c r="Q213" s="35">
        <f t="shared" si="70"/>
        <v>6635.66</v>
      </c>
      <c r="R213" s="35">
        <f t="shared" si="71"/>
        <v>6713.81</v>
      </c>
      <c r="S213" s="35">
        <f t="shared" si="72"/>
        <v>6623.17</v>
      </c>
      <c r="T213" s="35">
        <f t="shared" si="73"/>
        <v>6690.38</v>
      </c>
      <c r="U213" s="25"/>
      <c r="V213" s="25">
        <f t="shared" si="74"/>
        <v>6618.03</v>
      </c>
      <c r="W213" s="25">
        <f t="shared" si="75"/>
        <v>-97.069999999999709</v>
      </c>
    </row>
    <row r="214" spans="1:23">
      <c r="A214" s="28" t="s">
        <v>399</v>
      </c>
      <c r="B214" s="28" t="s">
        <v>856</v>
      </c>
      <c r="C214" s="26">
        <v>6.14</v>
      </c>
      <c r="D214" s="26">
        <v>76</v>
      </c>
      <c r="E214" s="26">
        <f t="shared" si="62"/>
        <v>82.14</v>
      </c>
      <c r="F214" s="27" t="str">
        <f t="shared" si="63"/>
        <v>No</v>
      </c>
      <c r="G214" s="27" t="s">
        <v>653</v>
      </c>
      <c r="H214" s="11">
        <v>0</v>
      </c>
      <c r="I214" s="11">
        <v>8</v>
      </c>
      <c r="J214" s="35">
        <f t="shared" si="64"/>
        <v>82.14</v>
      </c>
      <c r="K214" s="35">
        <f t="shared" si="65"/>
        <v>82.14</v>
      </c>
      <c r="L214" s="35">
        <f t="shared" si="66"/>
        <v>82.14</v>
      </c>
      <c r="M214" s="35">
        <f t="shared" si="67"/>
        <v>82.14</v>
      </c>
      <c r="N214" s="35">
        <f t="shared" si="68"/>
        <v>82.14</v>
      </c>
      <c r="O214" s="25"/>
      <c r="P214" s="35">
        <f t="shared" si="69"/>
        <v>90.14</v>
      </c>
      <c r="Q214" s="35">
        <f t="shared" si="70"/>
        <v>90.14</v>
      </c>
      <c r="R214" s="35">
        <f t="shared" si="71"/>
        <v>90.14</v>
      </c>
      <c r="S214" s="35">
        <f t="shared" si="72"/>
        <v>90.14</v>
      </c>
      <c r="T214" s="35">
        <f t="shared" si="73"/>
        <v>90.14</v>
      </c>
      <c r="U214" s="25"/>
      <c r="V214" s="25">
        <f t="shared" si="74"/>
        <v>82.14</v>
      </c>
      <c r="W214" s="25">
        <f t="shared" si="75"/>
        <v>8</v>
      </c>
    </row>
    <row r="215" spans="1:23">
      <c r="A215" s="28" t="s">
        <v>401</v>
      </c>
      <c r="B215" s="28" t="s">
        <v>857</v>
      </c>
      <c r="C215" s="26">
        <v>0</v>
      </c>
      <c r="D215" s="26">
        <v>66</v>
      </c>
      <c r="E215" s="26">
        <f t="shared" si="62"/>
        <v>66</v>
      </c>
      <c r="F215" s="27" t="str">
        <f t="shared" si="63"/>
        <v>No</v>
      </c>
      <c r="G215" s="27" t="s">
        <v>653</v>
      </c>
      <c r="H215" s="11">
        <v>0</v>
      </c>
      <c r="I215" s="11">
        <v>8</v>
      </c>
      <c r="J215" s="35">
        <f t="shared" si="64"/>
        <v>66</v>
      </c>
      <c r="K215" s="35">
        <f t="shared" si="65"/>
        <v>66</v>
      </c>
      <c r="L215" s="35">
        <f t="shared" si="66"/>
        <v>66</v>
      </c>
      <c r="M215" s="35">
        <f t="shared" si="67"/>
        <v>66</v>
      </c>
      <c r="N215" s="35">
        <f t="shared" si="68"/>
        <v>66</v>
      </c>
      <c r="O215" s="25"/>
      <c r="P215" s="35">
        <f t="shared" si="69"/>
        <v>74</v>
      </c>
      <c r="Q215" s="35">
        <f t="shared" si="70"/>
        <v>74</v>
      </c>
      <c r="R215" s="35">
        <f t="shared" si="71"/>
        <v>74</v>
      </c>
      <c r="S215" s="35">
        <f t="shared" si="72"/>
        <v>74</v>
      </c>
      <c r="T215" s="35">
        <f t="shared" si="73"/>
        <v>74</v>
      </c>
      <c r="U215" s="25"/>
      <c r="V215" s="25">
        <f t="shared" si="74"/>
        <v>66</v>
      </c>
      <c r="W215" s="25">
        <f t="shared" si="75"/>
        <v>8</v>
      </c>
    </row>
    <row r="216" spans="1:23">
      <c r="A216" s="28" t="s">
        <v>403</v>
      </c>
      <c r="B216" s="28" t="s">
        <v>858</v>
      </c>
      <c r="C216" s="26">
        <v>0</v>
      </c>
      <c r="D216" s="26">
        <v>67.739999999999995</v>
      </c>
      <c r="E216" s="26">
        <f t="shared" si="62"/>
        <v>67.739999999999995</v>
      </c>
      <c r="F216" s="27" t="str">
        <f t="shared" si="63"/>
        <v>No</v>
      </c>
      <c r="G216" s="27" t="s">
        <v>653</v>
      </c>
      <c r="H216" s="11">
        <v>21</v>
      </c>
      <c r="I216" s="11">
        <v>1</v>
      </c>
      <c r="J216" s="35">
        <f t="shared" si="64"/>
        <v>67.739999999999995</v>
      </c>
      <c r="K216" s="35">
        <f t="shared" si="65"/>
        <v>67.739999999999995</v>
      </c>
      <c r="L216" s="35">
        <f t="shared" si="66"/>
        <v>67.739999999999995</v>
      </c>
      <c r="M216" s="35">
        <f t="shared" si="67"/>
        <v>67.739999999999995</v>
      </c>
      <c r="N216" s="35">
        <f t="shared" si="68"/>
        <v>67.739999999999995</v>
      </c>
      <c r="O216" s="25"/>
      <c r="P216" s="35">
        <f t="shared" si="69"/>
        <v>47.74</v>
      </c>
      <c r="Q216" s="35">
        <f t="shared" si="70"/>
        <v>47.74</v>
      </c>
      <c r="R216" s="35">
        <f t="shared" si="71"/>
        <v>47.74</v>
      </c>
      <c r="S216" s="35">
        <f t="shared" si="72"/>
        <v>47.74</v>
      </c>
      <c r="T216" s="35">
        <f t="shared" si="73"/>
        <v>47.74</v>
      </c>
      <c r="U216" s="25"/>
      <c r="V216" s="25">
        <f t="shared" si="74"/>
        <v>67.739999999999995</v>
      </c>
      <c r="W216" s="25">
        <f t="shared" si="75"/>
        <v>-19.999999999999993</v>
      </c>
    </row>
    <row r="217" spans="1:23">
      <c r="A217" s="28" t="s">
        <v>405</v>
      </c>
      <c r="B217" s="28" t="s">
        <v>859</v>
      </c>
      <c r="C217" s="26">
        <v>27.5</v>
      </c>
      <c r="D217" s="26">
        <v>767.49</v>
      </c>
      <c r="E217" s="26">
        <f t="shared" si="62"/>
        <v>794.99</v>
      </c>
      <c r="F217" s="27" t="str">
        <f t="shared" si="63"/>
        <v>Yes</v>
      </c>
      <c r="G217" s="27" t="s">
        <v>651</v>
      </c>
      <c r="H217" s="11">
        <v>5</v>
      </c>
      <c r="I217" s="11">
        <v>15</v>
      </c>
      <c r="J217" s="35">
        <f t="shared" si="64"/>
        <v>794.99</v>
      </c>
      <c r="K217" s="35">
        <f t="shared" si="65"/>
        <v>808.76819760923502</v>
      </c>
      <c r="L217" s="35">
        <f t="shared" si="66"/>
        <v>818.15591199731909</v>
      </c>
      <c r="M217" s="35">
        <f t="shared" si="67"/>
        <v>807.26849745712843</v>
      </c>
      <c r="N217" s="35">
        <f t="shared" si="68"/>
        <v>815.34118243169974</v>
      </c>
      <c r="O217" s="25"/>
      <c r="P217" s="35">
        <f t="shared" si="69"/>
        <v>804.99</v>
      </c>
      <c r="Q217" s="35">
        <f t="shared" si="70"/>
        <v>818.77</v>
      </c>
      <c r="R217" s="35">
        <f t="shared" si="71"/>
        <v>828.16</v>
      </c>
      <c r="S217" s="35">
        <f t="shared" si="72"/>
        <v>817.27</v>
      </c>
      <c r="T217" s="35">
        <f t="shared" si="73"/>
        <v>825.34</v>
      </c>
      <c r="U217" s="25"/>
      <c r="V217" s="25">
        <f t="shared" si="74"/>
        <v>794.99</v>
      </c>
      <c r="W217" s="25">
        <f t="shared" si="75"/>
        <v>10</v>
      </c>
    </row>
    <row r="218" spans="1:23">
      <c r="A218" s="28" t="s">
        <v>407</v>
      </c>
      <c r="B218" s="28" t="s">
        <v>860</v>
      </c>
      <c r="C218" s="26">
        <v>47.12</v>
      </c>
      <c r="D218" s="26">
        <v>19747.259999999998</v>
      </c>
      <c r="E218" s="26">
        <f t="shared" si="62"/>
        <v>19794.379999999997</v>
      </c>
      <c r="F218" s="27" t="str">
        <f t="shared" si="63"/>
        <v>Yes</v>
      </c>
      <c r="G218" s="27" t="s">
        <v>651</v>
      </c>
      <c r="H218" s="11">
        <v>0</v>
      </c>
      <c r="I218" s="11">
        <v>0</v>
      </c>
      <c r="J218" s="35">
        <f t="shared" si="64"/>
        <v>19794.379999999997</v>
      </c>
      <c r="K218" s="35">
        <f t="shared" si="65"/>
        <v>20137.442024921431</v>
      </c>
      <c r="L218" s="35">
        <f t="shared" si="66"/>
        <v>20371.18582789908</v>
      </c>
      <c r="M218" s="35">
        <f t="shared" si="67"/>
        <v>20100.101134222357</v>
      </c>
      <c r="N218" s="35">
        <f t="shared" si="68"/>
        <v>20301.102145564582</v>
      </c>
      <c r="O218" s="25"/>
      <c r="P218" s="35">
        <f t="shared" si="69"/>
        <v>19794.38</v>
      </c>
      <c r="Q218" s="35">
        <f t="shared" si="70"/>
        <v>20137.439999999999</v>
      </c>
      <c r="R218" s="35">
        <f t="shared" si="71"/>
        <v>20371.189999999999</v>
      </c>
      <c r="S218" s="35">
        <f t="shared" si="72"/>
        <v>20100.099999999999</v>
      </c>
      <c r="T218" s="35">
        <f t="shared" si="73"/>
        <v>20301.099999999999</v>
      </c>
      <c r="U218" s="25"/>
      <c r="V218" s="25">
        <f t="shared" si="74"/>
        <v>19794.379999999997</v>
      </c>
      <c r="W218" s="25">
        <f t="shared" si="75"/>
        <v>0</v>
      </c>
    </row>
    <row r="219" spans="1:23">
      <c r="A219" s="28" t="s">
        <v>409</v>
      </c>
      <c r="B219" s="28" t="s">
        <v>861</v>
      </c>
      <c r="C219" s="26">
        <v>0</v>
      </c>
      <c r="D219" s="26">
        <v>9427.9</v>
      </c>
      <c r="E219" s="26">
        <f t="shared" si="62"/>
        <v>9427.9</v>
      </c>
      <c r="F219" s="27" t="str">
        <f t="shared" si="63"/>
        <v>Yes</v>
      </c>
      <c r="G219" s="27" t="s">
        <v>651</v>
      </c>
      <c r="H219" s="11">
        <v>0</v>
      </c>
      <c r="I219" s="11">
        <v>0</v>
      </c>
      <c r="J219" s="35">
        <f t="shared" si="64"/>
        <v>9427.9</v>
      </c>
      <c r="K219" s="35">
        <f t="shared" si="65"/>
        <v>9591.2976141084873</v>
      </c>
      <c r="L219" s="35">
        <f t="shared" si="66"/>
        <v>9702.6278603750034</v>
      </c>
      <c r="M219" s="35">
        <f t="shared" si="67"/>
        <v>9573.5124557240488</v>
      </c>
      <c r="N219" s="35">
        <f t="shared" si="68"/>
        <v>9669.2475802812896</v>
      </c>
      <c r="O219" s="25"/>
      <c r="P219" s="35">
        <f t="shared" si="69"/>
        <v>9427.9</v>
      </c>
      <c r="Q219" s="35">
        <f t="shared" si="70"/>
        <v>9591.2999999999993</v>
      </c>
      <c r="R219" s="35">
        <f t="shared" si="71"/>
        <v>9702.6299999999992</v>
      </c>
      <c r="S219" s="35">
        <f t="shared" si="72"/>
        <v>9573.51</v>
      </c>
      <c r="T219" s="35">
        <f t="shared" si="73"/>
        <v>9669.25</v>
      </c>
      <c r="U219" s="25"/>
      <c r="V219" s="25">
        <f t="shared" si="74"/>
        <v>9427.9</v>
      </c>
      <c r="W219" s="25">
        <f t="shared" si="75"/>
        <v>0</v>
      </c>
    </row>
    <row r="220" spans="1:23">
      <c r="A220" s="28" t="s">
        <v>411</v>
      </c>
      <c r="B220" s="28" t="s">
        <v>862</v>
      </c>
      <c r="C220" s="26">
        <v>0</v>
      </c>
      <c r="D220" s="26">
        <v>15264.46</v>
      </c>
      <c r="E220" s="26">
        <f t="shared" si="62"/>
        <v>15264.46</v>
      </c>
      <c r="F220" s="27" t="str">
        <f t="shared" si="63"/>
        <v>Yes</v>
      </c>
      <c r="G220" s="27" t="s">
        <v>651</v>
      </c>
      <c r="H220" s="11">
        <v>0</v>
      </c>
      <c r="I220" s="11">
        <v>0</v>
      </c>
      <c r="J220" s="35">
        <f t="shared" si="64"/>
        <v>15264.46</v>
      </c>
      <c r="K220" s="35">
        <f t="shared" si="65"/>
        <v>15529.012694094596</v>
      </c>
      <c r="L220" s="35">
        <f t="shared" si="66"/>
        <v>15709.264509549297</v>
      </c>
      <c r="M220" s="35">
        <f t="shared" si="67"/>
        <v>15500.217221215911</v>
      </c>
      <c r="N220" s="35">
        <f t="shared" si="68"/>
        <v>15655.219393428071</v>
      </c>
      <c r="O220" s="25"/>
      <c r="P220" s="35">
        <f t="shared" si="69"/>
        <v>15264.46</v>
      </c>
      <c r="Q220" s="35">
        <f t="shared" si="70"/>
        <v>15529.01</v>
      </c>
      <c r="R220" s="35">
        <f t="shared" si="71"/>
        <v>15709.26</v>
      </c>
      <c r="S220" s="35">
        <f t="shared" si="72"/>
        <v>15500.22</v>
      </c>
      <c r="T220" s="35">
        <f t="shared" si="73"/>
        <v>15655.22</v>
      </c>
      <c r="U220" s="25"/>
      <c r="V220" s="25">
        <f t="shared" si="74"/>
        <v>15264.46</v>
      </c>
      <c r="W220" s="25">
        <f t="shared" si="75"/>
        <v>0</v>
      </c>
    </row>
    <row r="221" spans="1:23">
      <c r="A221" s="28" t="s">
        <v>413</v>
      </c>
      <c r="B221" s="28" t="s">
        <v>863</v>
      </c>
      <c r="C221" s="26">
        <v>0</v>
      </c>
      <c r="D221" s="26">
        <v>20099.099999999999</v>
      </c>
      <c r="E221" s="26">
        <f t="shared" si="62"/>
        <v>20099.099999999999</v>
      </c>
      <c r="F221" s="27" t="str">
        <f t="shared" si="63"/>
        <v>Yes</v>
      </c>
      <c r="G221" s="27" t="s">
        <v>651</v>
      </c>
      <c r="H221" s="11">
        <v>0</v>
      </c>
      <c r="I221" s="11">
        <v>0</v>
      </c>
      <c r="J221" s="35">
        <f t="shared" si="64"/>
        <v>20099.099999999999</v>
      </c>
      <c r="K221" s="35">
        <f t="shared" si="65"/>
        <v>20447.44321383637</v>
      </c>
      <c r="L221" s="35">
        <f t="shared" si="66"/>
        <v>20684.785331671235</v>
      </c>
      <c r="M221" s="35">
        <f t="shared" si="67"/>
        <v>20409.52748744081</v>
      </c>
      <c r="N221" s="35">
        <f t="shared" si="68"/>
        <v>20613.622762315219</v>
      </c>
      <c r="O221" s="25"/>
      <c r="P221" s="35">
        <f t="shared" si="69"/>
        <v>20099.099999999999</v>
      </c>
      <c r="Q221" s="35">
        <f t="shared" si="70"/>
        <v>20447.439999999999</v>
      </c>
      <c r="R221" s="35">
        <f t="shared" si="71"/>
        <v>20684.79</v>
      </c>
      <c r="S221" s="35">
        <f t="shared" si="72"/>
        <v>20409.53</v>
      </c>
      <c r="T221" s="35">
        <f t="shared" si="73"/>
        <v>20613.62</v>
      </c>
      <c r="U221" s="25"/>
      <c r="V221" s="25">
        <f t="shared" si="74"/>
        <v>20099.099999999999</v>
      </c>
      <c r="W221" s="25">
        <f t="shared" si="75"/>
        <v>0</v>
      </c>
    </row>
    <row r="222" spans="1:23">
      <c r="A222" s="28" t="s">
        <v>415</v>
      </c>
      <c r="B222" s="28" t="s">
        <v>864</v>
      </c>
      <c r="C222" s="26">
        <v>0</v>
      </c>
      <c r="D222" s="26">
        <v>5470.11</v>
      </c>
      <c r="E222" s="26">
        <f t="shared" si="62"/>
        <v>5470.11</v>
      </c>
      <c r="F222" s="27" t="str">
        <f t="shared" si="63"/>
        <v>Yes</v>
      </c>
      <c r="G222" s="27" t="s">
        <v>651</v>
      </c>
      <c r="H222" s="11">
        <v>0</v>
      </c>
      <c r="I222" s="11">
        <v>0</v>
      </c>
      <c r="J222" s="35">
        <f t="shared" si="64"/>
        <v>5470.11</v>
      </c>
      <c r="K222" s="35">
        <f t="shared" si="65"/>
        <v>5564.914030898819</v>
      </c>
      <c r="L222" s="35">
        <f t="shared" si="66"/>
        <v>5629.5083407032216</v>
      </c>
      <c r="M222" s="35">
        <f t="shared" si="67"/>
        <v>5554.5950019814236</v>
      </c>
      <c r="N222" s="35">
        <f t="shared" si="68"/>
        <v>5610.1409520012376</v>
      </c>
      <c r="O222" s="25"/>
      <c r="P222" s="35">
        <f t="shared" si="69"/>
        <v>5470.11</v>
      </c>
      <c r="Q222" s="35">
        <f t="shared" si="70"/>
        <v>5564.91</v>
      </c>
      <c r="R222" s="35">
        <f t="shared" si="71"/>
        <v>5629.51</v>
      </c>
      <c r="S222" s="35">
        <f t="shared" si="72"/>
        <v>5554.6</v>
      </c>
      <c r="T222" s="35">
        <f t="shared" si="73"/>
        <v>5610.14</v>
      </c>
      <c r="U222" s="25"/>
      <c r="V222" s="25">
        <f t="shared" si="74"/>
        <v>5470.11</v>
      </c>
      <c r="W222" s="25">
        <f t="shared" si="75"/>
        <v>0</v>
      </c>
    </row>
    <row r="223" spans="1:23">
      <c r="A223" s="28" t="s">
        <v>417</v>
      </c>
      <c r="B223" s="28" t="s">
        <v>865</v>
      </c>
      <c r="C223" s="26">
        <v>0</v>
      </c>
      <c r="D223" s="26">
        <v>9449.11</v>
      </c>
      <c r="E223" s="26">
        <f t="shared" si="62"/>
        <v>9449.11</v>
      </c>
      <c r="F223" s="27" t="str">
        <f t="shared" si="63"/>
        <v>Yes</v>
      </c>
      <c r="G223" s="27" t="s">
        <v>651</v>
      </c>
      <c r="H223" s="11">
        <v>0</v>
      </c>
      <c r="I223" s="11">
        <v>0</v>
      </c>
      <c r="J223" s="35">
        <f t="shared" si="64"/>
        <v>9449.11</v>
      </c>
      <c r="K223" s="35">
        <f t="shared" si="65"/>
        <v>9612.8752106459197</v>
      </c>
      <c r="L223" s="35">
        <f t="shared" si="66"/>
        <v>9724.4559171976853</v>
      </c>
      <c r="M223" s="35">
        <f t="shared" si="67"/>
        <v>9595.0500408899825</v>
      </c>
      <c r="N223" s="35">
        <f t="shared" si="68"/>
        <v>9691.000541298883</v>
      </c>
      <c r="O223" s="25"/>
      <c r="P223" s="35">
        <f t="shared" si="69"/>
        <v>9449.11</v>
      </c>
      <c r="Q223" s="35">
        <f t="shared" si="70"/>
        <v>9612.8799999999992</v>
      </c>
      <c r="R223" s="35">
        <f t="shared" si="71"/>
        <v>9724.4599999999991</v>
      </c>
      <c r="S223" s="35">
        <f t="shared" si="72"/>
        <v>9595.0499999999993</v>
      </c>
      <c r="T223" s="35">
        <f t="shared" si="73"/>
        <v>9691</v>
      </c>
      <c r="U223" s="25"/>
      <c r="V223" s="25">
        <f t="shared" si="74"/>
        <v>9449.11</v>
      </c>
      <c r="W223" s="25">
        <f t="shared" si="75"/>
        <v>0</v>
      </c>
    </row>
    <row r="224" spans="1:23">
      <c r="A224" s="28" t="s">
        <v>419</v>
      </c>
      <c r="B224" s="28" t="s">
        <v>866</v>
      </c>
      <c r="C224" s="26">
        <v>0</v>
      </c>
      <c r="D224" s="26">
        <v>23.98</v>
      </c>
      <c r="E224" s="26">
        <f t="shared" si="62"/>
        <v>23.98</v>
      </c>
      <c r="F224" s="27" t="str">
        <f t="shared" si="63"/>
        <v>No</v>
      </c>
      <c r="G224" s="27" t="s">
        <v>653</v>
      </c>
      <c r="H224" s="11">
        <v>0</v>
      </c>
      <c r="I224" s="11">
        <v>7.2</v>
      </c>
      <c r="J224" s="35">
        <f t="shared" si="64"/>
        <v>23.98</v>
      </c>
      <c r="K224" s="35">
        <f t="shared" si="65"/>
        <v>23.98</v>
      </c>
      <c r="L224" s="35">
        <f t="shared" si="66"/>
        <v>23.98</v>
      </c>
      <c r="M224" s="35">
        <f t="shared" si="67"/>
        <v>23.98</v>
      </c>
      <c r="N224" s="35">
        <f t="shared" si="68"/>
        <v>23.98</v>
      </c>
      <c r="O224" s="25"/>
      <c r="P224" s="35">
        <f t="shared" si="69"/>
        <v>31.18</v>
      </c>
      <c r="Q224" s="35">
        <f t="shared" si="70"/>
        <v>31.18</v>
      </c>
      <c r="R224" s="35">
        <f t="shared" si="71"/>
        <v>31.18</v>
      </c>
      <c r="S224" s="35">
        <f t="shared" si="72"/>
        <v>31.18</v>
      </c>
      <c r="T224" s="35">
        <f t="shared" si="73"/>
        <v>31.18</v>
      </c>
      <c r="U224" s="25"/>
      <c r="V224" s="25">
        <f t="shared" si="74"/>
        <v>23.98</v>
      </c>
      <c r="W224" s="25">
        <f t="shared" si="75"/>
        <v>7.1999999999999993</v>
      </c>
    </row>
    <row r="225" spans="1:23">
      <c r="A225" s="28" t="s">
        <v>421</v>
      </c>
      <c r="B225" s="28" t="s">
        <v>867</v>
      </c>
      <c r="C225" s="26">
        <v>34.6</v>
      </c>
      <c r="D225" s="26">
        <v>5450.92</v>
      </c>
      <c r="E225" s="26">
        <f t="shared" si="62"/>
        <v>5485.52</v>
      </c>
      <c r="F225" s="27" t="str">
        <f t="shared" si="63"/>
        <v>Yes</v>
      </c>
      <c r="G225" s="27" t="s">
        <v>651</v>
      </c>
      <c r="H225" s="11">
        <v>0</v>
      </c>
      <c r="I225" s="11">
        <v>0</v>
      </c>
      <c r="J225" s="35">
        <f t="shared" si="64"/>
        <v>5485.52</v>
      </c>
      <c r="K225" s="35">
        <f t="shared" si="65"/>
        <v>5580.5911059880145</v>
      </c>
      <c r="L225" s="35">
        <f t="shared" si="66"/>
        <v>5645.3673862306878</v>
      </c>
      <c r="M225" s="35">
        <f t="shared" si="67"/>
        <v>5570.2430070454066</v>
      </c>
      <c r="N225" s="35">
        <f t="shared" si="68"/>
        <v>5625.9454371158608</v>
      </c>
      <c r="O225" s="25"/>
      <c r="P225" s="35">
        <f t="shared" si="69"/>
        <v>5485.52</v>
      </c>
      <c r="Q225" s="35">
        <f t="shared" si="70"/>
        <v>5580.59</v>
      </c>
      <c r="R225" s="35">
        <f t="shared" si="71"/>
        <v>5645.37</v>
      </c>
      <c r="S225" s="35">
        <f t="shared" si="72"/>
        <v>5570.24</v>
      </c>
      <c r="T225" s="35">
        <f t="shared" si="73"/>
        <v>5625.95</v>
      </c>
      <c r="U225" s="25"/>
      <c r="V225" s="25">
        <f t="shared" si="74"/>
        <v>5485.52</v>
      </c>
      <c r="W225" s="25">
        <f t="shared" si="75"/>
        <v>0</v>
      </c>
    </row>
    <row r="226" spans="1:23">
      <c r="A226" s="28" t="s">
        <v>423</v>
      </c>
      <c r="B226" s="28" t="s">
        <v>868</v>
      </c>
      <c r="C226" s="26">
        <v>32.200000000000003</v>
      </c>
      <c r="D226" s="26">
        <v>9387.49</v>
      </c>
      <c r="E226" s="26">
        <f t="shared" si="62"/>
        <v>9419.69</v>
      </c>
      <c r="F226" s="27" t="str">
        <f t="shared" si="63"/>
        <v>Yes</v>
      </c>
      <c r="G226" s="27" t="s">
        <v>651</v>
      </c>
      <c r="H226" s="11">
        <v>0</v>
      </c>
      <c r="I226" s="11">
        <v>0</v>
      </c>
      <c r="J226" s="35">
        <f t="shared" si="64"/>
        <v>9419.69</v>
      </c>
      <c r="K226" s="35">
        <f t="shared" si="65"/>
        <v>9582.9453242653817</v>
      </c>
      <c r="L226" s="35">
        <f t="shared" si="66"/>
        <v>9694.1786219726382</v>
      </c>
      <c r="M226" s="35">
        <f t="shared" si="67"/>
        <v>9565.1756535452514</v>
      </c>
      <c r="N226" s="35">
        <f t="shared" si="68"/>
        <v>9660.8274100807048</v>
      </c>
      <c r="O226" s="25"/>
      <c r="P226" s="35">
        <f t="shared" si="69"/>
        <v>9419.69</v>
      </c>
      <c r="Q226" s="35">
        <f t="shared" si="70"/>
        <v>9582.9500000000007</v>
      </c>
      <c r="R226" s="35">
        <f t="shared" si="71"/>
        <v>9694.18</v>
      </c>
      <c r="S226" s="35">
        <f t="shared" si="72"/>
        <v>9565.18</v>
      </c>
      <c r="T226" s="35">
        <f t="shared" si="73"/>
        <v>9660.83</v>
      </c>
      <c r="U226" s="25"/>
      <c r="V226" s="25">
        <f t="shared" si="74"/>
        <v>9419.69</v>
      </c>
      <c r="W226" s="25">
        <f t="shared" si="75"/>
        <v>0</v>
      </c>
    </row>
    <row r="227" spans="1:23">
      <c r="A227" s="28" t="s">
        <v>425</v>
      </c>
      <c r="B227" s="28" t="s">
        <v>869</v>
      </c>
      <c r="C227" s="26">
        <v>8.1999999999999993</v>
      </c>
      <c r="D227" s="26">
        <v>2571.87</v>
      </c>
      <c r="E227" s="26">
        <f t="shared" si="62"/>
        <v>2580.0699999999997</v>
      </c>
      <c r="F227" s="27" t="str">
        <f t="shared" si="63"/>
        <v>Yes</v>
      </c>
      <c r="G227" s="27" t="s">
        <v>651</v>
      </c>
      <c r="H227" s="11">
        <v>0</v>
      </c>
      <c r="I227" s="11">
        <v>0</v>
      </c>
      <c r="J227" s="35">
        <f t="shared" si="64"/>
        <v>2580.0699999999997</v>
      </c>
      <c r="K227" s="35">
        <f t="shared" si="65"/>
        <v>2624.7859263709715</v>
      </c>
      <c r="L227" s="35">
        <f t="shared" si="66"/>
        <v>2655.2529262845101</v>
      </c>
      <c r="M227" s="35">
        <f t="shared" si="67"/>
        <v>2619.9187816629305</v>
      </c>
      <c r="N227" s="35">
        <f t="shared" si="68"/>
        <v>2646.1179694795601</v>
      </c>
      <c r="O227" s="25"/>
      <c r="P227" s="35">
        <f t="shared" si="69"/>
        <v>2580.0700000000002</v>
      </c>
      <c r="Q227" s="35">
        <f t="shared" si="70"/>
        <v>2624.79</v>
      </c>
      <c r="R227" s="35">
        <f t="shared" si="71"/>
        <v>2655.25</v>
      </c>
      <c r="S227" s="35">
        <f t="shared" si="72"/>
        <v>2619.92</v>
      </c>
      <c r="T227" s="35">
        <f t="shared" si="73"/>
        <v>2646.12</v>
      </c>
      <c r="U227" s="25"/>
      <c r="V227" s="25">
        <f t="shared" si="74"/>
        <v>2580.0699999999997</v>
      </c>
      <c r="W227" s="25">
        <f t="shared" si="75"/>
        <v>0</v>
      </c>
    </row>
    <row r="228" spans="1:23">
      <c r="A228" s="28" t="s">
        <v>427</v>
      </c>
      <c r="B228" s="28" t="s">
        <v>870</v>
      </c>
      <c r="C228" s="26">
        <v>17</v>
      </c>
      <c r="D228" s="26">
        <v>2027.5</v>
      </c>
      <c r="E228" s="26">
        <f t="shared" si="62"/>
        <v>2044.5</v>
      </c>
      <c r="F228" s="27" t="str">
        <f t="shared" si="63"/>
        <v>Yes</v>
      </c>
      <c r="G228" s="27" t="s">
        <v>651</v>
      </c>
      <c r="H228" s="11">
        <v>7.2</v>
      </c>
      <c r="I228" s="11">
        <v>0</v>
      </c>
      <c r="J228" s="35">
        <f t="shared" si="64"/>
        <v>2044.5</v>
      </c>
      <c r="K228" s="35">
        <f t="shared" si="65"/>
        <v>2079.9338105033789</v>
      </c>
      <c r="L228" s="35">
        <f t="shared" si="66"/>
        <v>2104.0764815639432</v>
      </c>
      <c r="M228" s="35">
        <f t="shared" si="67"/>
        <v>2076.0769859383131</v>
      </c>
      <c r="N228" s="35">
        <f t="shared" si="68"/>
        <v>2096.8377557976964</v>
      </c>
      <c r="O228" s="25"/>
      <c r="P228" s="35">
        <f t="shared" si="69"/>
        <v>2037.3</v>
      </c>
      <c r="Q228" s="35">
        <f t="shared" si="70"/>
        <v>2072.73</v>
      </c>
      <c r="R228" s="35">
        <f t="shared" si="71"/>
        <v>2096.88</v>
      </c>
      <c r="S228" s="35">
        <f t="shared" si="72"/>
        <v>2068.88</v>
      </c>
      <c r="T228" s="35">
        <f t="shared" si="73"/>
        <v>2089.64</v>
      </c>
      <c r="U228" s="25"/>
      <c r="V228" s="25">
        <f t="shared" si="74"/>
        <v>2044.5</v>
      </c>
      <c r="W228" s="25">
        <f t="shared" si="75"/>
        <v>-7.2000000000000455</v>
      </c>
    </row>
    <row r="229" spans="1:23">
      <c r="A229" s="28" t="s">
        <v>429</v>
      </c>
      <c r="B229" s="28" t="s">
        <v>871</v>
      </c>
      <c r="C229" s="26">
        <v>14.44</v>
      </c>
      <c r="D229" s="26">
        <v>423.71</v>
      </c>
      <c r="E229" s="26">
        <f t="shared" si="62"/>
        <v>438.15</v>
      </c>
      <c r="F229" s="27" t="str">
        <f t="shared" si="63"/>
        <v>Yes</v>
      </c>
      <c r="G229" s="27" t="s">
        <v>651</v>
      </c>
      <c r="H229" s="11">
        <v>0</v>
      </c>
      <c r="I229" s="11">
        <v>0</v>
      </c>
      <c r="J229" s="35">
        <f t="shared" si="64"/>
        <v>438.15</v>
      </c>
      <c r="K229" s="35">
        <f t="shared" si="65"/>
        <v>445.74370216290305</v>
      </c>
      <c r="L229" s="35">
        <f t="shared" si="66"/>
        <v>450.91763775849421</v>
      </c>
      <c r="M229" s="35">
        <f t="shared" si="67"/>
        <v>444.91715890871683</v>
      </c>
      <c r="N229" s="35">
        <f t="shared" si="68"/>
        <v>449.36633049780403</v>
      </c>
      <c r="O229" s="25"/>
      <c r="P229" s="35">
        <f t="shared" si="69"/>
        <v>438.15</v>
      </c>
      <c r="Q229" s="35">
        <f t="shared" si="70"/>
        <v>445.74</v>
      </c>
      <c r="R229" s="35">
        <f t="shared" si="71"/>
        <v>450.92</v>
      </c>
      <c r="S229" s="35">
        <f t="shared" si="72"/>
        <v>444.92</v>
      </c>
      <c r="T229" s="35">
        <f t="shared" si="73"/>
        <v>449.37</v>
      </c>
      <c r="U229" s="25"/>
      <c r="V229" s="25">
        <f t="shared" si="74"/>
        <v>438.15</v>
      </c>
      <c r="W229" s="25">
        <f t="shared" si="75"/>
        <v>0</v>
      </c>
    </row>
    <row r="230" spans="1:23">
      <c r="A230" s="28" t="s">
        <v>431</v>
      </c>
      <c r="B230" s="28" t="s">
        <v>872</v>
      </c>
      <c r="C230" s="26">
        <v>0</v>
      </c>
      <c r="D230" s="26">
        <v>2249.64</v>
      </c>
      <c r="E230" s="26">
        <f t="shared" si="62"/>
        <v>2249.64</v>
      </c>
      <c r="F230" s="27" t="str">
        <f t="shared" si="63"/>
        <v>Yes</v>
      </c>
      <c r="G230" s="27" t="s">
        <v>651</v>
      </c>
      <c r="H230" s="11">
        <v>0</v>
      </c>
      <c r="I230" s="11">
        <v>0</v>
      </c>
      <c r="J230" s="35">
        <f t="shared" si="64"/>
        <v>2249.64</v>
      </c>
      <c r="K230" s="35">
        <f t="shared" si="65"/>
        <v>2288.6291501397995</v>
      </c>
      <c r="L230" s="35">
        <f t="shared" si="66"/>
        <v>2315.1942362364916</v>
      </c>
      <c r="M230" s="35">
        <f t="shared" si="67"/>
        <v>2284.3853414753066</v>
      </c>
      <c r="N230" s="35">
        <f t="shared" si="68"/>
        <v>2307.2291948900597</v>
      </c>
      <c r="O230" s="25"/>
      <c r="P230" s="35">
        <f t="shared" si="69"/>
        <v>2249.64</v>
      </c>
      <c r="Q230" s="35">
        <f t="shared" si="70"/>
        <v>2288.63</v>
      </c>
      <c r="R230" s="35">
        <f t="shared" si="71"/>
        <v>2315.19</v>
      </c>
      <c r="S230" s="35">
        <f t="shared" si="72"/>
        <v>2284.39</v>
      </c>
      <c r="T230" s="35">
        <f t="shared" si="73"/>
        <v>2307.23</v>
      </c>
      <c r="U230" s="25"/>
      <c r="V230" s="25">
        <f t="shared" si="74"/>
        <v>2249.64</v>
      </c>
      <c r="W230" s="25">
        <f t="shared" si="75"/>
        <v>0</v>
      </c>
    </row>
    <row r="231" spans="1:23">
      <c r="A231" s="28" t="s">
        <v>433</v>
      </c>
      <c r="B231" s="28" t="s">
        <v>873</v>
      </c>
      <c r="C231" s="26">
        <v>34.299999999999997</v>
      </c>
      <c r="D231" s="26">
        <v>4705.2299999999996</v>
      </c>
      <c r="E231" s="26">
        <f t="shared" si="62"/>
        <v>4739.53</v>
      </c>
      <c r="F231" s="27" t="str">
        <f t="shared" si="63"/>
        <v>Yes</v>
      </c>
      <c r="G231" s="27" t="s">
        <v>651</v>
      </c>
      <c r="H231" s="11">
        <v>14.9</v>
      </c>
      <c r="I231" s="11">
        <v>0</v>
      </c>
      <c r="J231" s="35">
        <f t="shared" si="64"/>
        <v>4739.53</v>
      </c>
      <c r="K231" s="35">
        <f t="shared" si="65"/>
        <v>4821.6721413035357</v>
      </c>
      <c r="L231" s="35">
        <f t="shared" si="66"/>
        <v>4877.6393282791651</v>
      </c>
      <c r="M231" s="35">
        <f t="shared" si="67"/>
        <v>4812.7313070013261</v>
      </c>
      <c r="N231" s="35">
        <f t="shared" si="68"/>
        <v>4860.8586200713389</v>
      </c>
      <c r="O231" s="25"/>
      <c r="P231" s="35">
        <f t="shared" si="69"/>
        <v>4724.63</v>
      </c>
      <c r="Q231" s="35">
        <f t="shared" si="70"/>
        <v>4806.7700000000004</v>
      </c>
      <c r="R231" s="35">
        <f t="shared" si="71"/>
        <v>4862.74</v>
      </c>
      <c r="S231" s="35">
        <f t="shared" si="72"/>
        <v>4797.83</v>
      </c>
      <c r="T231" s="35">
        <f t="shared" si="73"/>
        <v>4845.96</v>
      </c>
      <c r="U231" s="25"/>
      <c r="V231" s="25">
        <f t="shared" si="74"/>
        <v>4739.53</v>
      </c>
      <c r="W231" s="25">
        <f t="shared" si="75"/>
        <v>-14.899999999999636</v>
      </c>
    </row>
    <row r="232" spans="1:23">
      <c r="A232" s="28" t="s">
        <v>435</v>
      </c>
      <c r="B232" s="28" t="s">
        <v>874</v>
      </c>
      <c r="C232" s="26">
        <v>28.3</v>
      </c>
      <c r="D232" s="26">
        <v>28598.21</v>
      </c>
      <c r="E232" s="26">
        <f t="shared" si="62"/>
        <v>28626.51</v>
      </c>
      <c r="F232" s="27" t="str">
        <f t="shared" si="63"/>
        <v>Yes</v>
      </c>
      <c r="G232" s="27" t="s">
        <v>651</v>
      </c>
      <c r="H232" s="11">
        <v>7</v>
      </c>
      <c r="I232" s="11">
        <v>0</v>
      </c>
      <c r="J232" s="35">
        <f t="shared" si="64"/>
        <v>28626.51</v>
      </c>
      <c r="K232" s="35">
        <f t="shared" si="65"/>
        <v>29122.644179854768</v>
      </c>
      <c r="L232" s="35">
        <f t="shared" si="66"/>
        <v>29460.683022868681</v>
      </c>
      <c r="M232" s="35">
        <f t="shared" si="67"/>
        <v>29068.6420145429</v>
      </c>
      <c r="N232" s="35">
        <f t="shared" si="68"/>
        <v>29359.32843468833</v>
      </c>
      <c r="O232" s="25"/>
      <c r="P232" s="35">
        <f t="shared" si="69"/>
        <v>28619.51</v>
      </c>
      <c r="Q232" s="35">
        <f t="shared" si="70"/>
        <v>29115.64</v>
      </c>
      <c r="R232" s="35">
        <f t="shared" si="71"/>
        <v>29453.68</v>
      </c>
      <c r="S232" s="35">
        <f t="shared" si="72"/>
        <v>29061.64</v>
      </c>
      <c r="T232" s="35">
        <f t="shared" si="73"/>
        <v>29352.33</v>
      </c>
      <c r="U232" s="25"/>
      <c r="V232" s="25">
        <f t="shared" si="74"/>
        <v>28626.51</v>
      </c>
      <c r="W232" s="25">
        <f t="shared" si="75"/>
        <v>-7</v>
      </c>
    </row>
    <row r="233" spans="1:23">
      <c r="A233" s="28" t="s">
        <v>437</v>
      </c>
      <c r="B233" s="28" t="s">
        <v>875</v>
      </c>
      <c r="C233" s="26">
        <v>0</v>
      </c>
      <c r="D233" s="26">
        <v>72.599999999999994</v>
      </c>
      <c r="E233" s="26">
        <f t="shared" si="62"/>
        <v>72.599999999999994</v>
      </c>
      <c r="F233" s="27" t="str">
        <f t="shared" si="63"/>
        <v>No</v>
      </c>
      <c r="G233" s="27" t="s">
        <v>653</v>
      </c>
      <c r="H233" s="11">
        <v>0</v>
      </c>
      <c r="I233" s="11">
        <v>36.71</v>
      </c>
      <c r="J233" s="35">
        <f t="shared" si="64"/>
        <v>72.599999999999994</v>
      </c>
      <c r="K233" s="35">
        <f t="shared" si="65"/>
        <v>72.599999999999994</v>
      </c>
      <c r="L233" s="35">
        <f t="shared" si="66"/>
        <v>72.599999999999994</v>
      </c>
      <c r="M233" s="35">
        <f t="shared" si="67"/>
        <v>72.599999999999994</v>
      </c>
      <c r="N233" s="35">
        <f t="shared" si="68"/>
        <v>72.599999999999994</v>
      </c>
      <c r="O233" s="25"/>
      <c r="P233" s="35">
        <f t="shared" si="69"/>
        <v>109.31</v>
      </c>
      <c r="Q233" s="35">
        <f t="shared" si="70"/>
        <v>109.31</v>
      </c>
      <c r="R233" s="35">
        <f t="shared" si="71"/>
        <v>109.31</v>
      </c>
      <c r="S233" s="35">
        <f t="shared" si="72"/>
        <v>109.31</v>
      </c>
      <c r="T233" s="35">
        <f t="shared" si="73"/>
        <v>109.31</v>
      </c>
      <c r="U233" s="25"/>
      <c r="V233" s="25">
        <f t="shared" si="74"/>
        <v>72.599999999999994</v>
      </c>
      <c r="W233" s="25">
        <f t="shared" si="75"/>
        <v>36.710000000000008</v>
      </c>
    </row>
    <row r="234" spans="1:23">
      <c r="A234" s="28" t="s">
        <v>439</v>
      </c>
      <c r="B234" s="28" t="s">
        <v>876</v>
      </c>
      <c r="C234" s="26">
        <v>0</v>
      </c>
      <c r="D234" s="26">
        <v>37.6</v>
      </c>
      <c r="E234" s="26">
        <f t="shared" si="62"/>
        <v>37.6</v>
      </c>
      <c r="F234" s="27" t="str">
        <f t="shared" si="63"/>
        <v>No</v>
      </c>
      <c r="G234" s="27" t="s">
        <v>653</v>
      </c>
      <c r="H234" s="11">
        <v>0</v>
      </c>
      <c r="I234" s="11">
        <v>31.37</v>
      </c>
      <c r="J234" s="35">
        <f t="shared" si="64"/>
        <v>37.6</v>
      </c>
      <c r="K234" s="35">
        <f t="shared" si="65"/>
        <v>37.6</v>
      </c>
      <c r="L234" s="35">
        <f t="shared" si="66"/>
        <v>37.6</v>
      </c>
      <c r="M234" s="35">
        <f t="shared" si="67"/>
        <v>37.6</v>
      </c>
      <c r="N234" s="35">
        <f t="shared" si="68"/>
        <v>37.6</v>
      </c>
      <c r="O234" s="25"/>
      <c r="P234" s="35">
        <f t="shared" si="69"/>
        <v>68.97</v>
      </c>
      <c r="Q234" s="35">
        <f t="shared" si="70"/>
        <v>68.97</v>
      </c>
      <c r="R234" s="35">
        <f t="shared" si="71"/>
        <v>68.97</v>
      </c>
      <c r="S234" s="35">
        <f t="shared" si="72"/>
        <v>68.97</v>
      </c>
      <c r="T234" s="35">
        <f t="shared" si="73"/>
        <v>68.97</v>
      </c>
      <c r="U234" s="25"/>
      <c r="V234" s="25">
        <f t="shared" si="74"/>
        <v>37.6</v>
      </c>
      <c r="W234" s="25">
        <f t="shared" si="75"/>
        <v>31.369999999999997</v>
      </c>
    </row>
    <row r="235" spans="1:23">
      <c r="A235" s="28" t="s">
        <v>441</v>
      </c>
      <c r="B235" s="28" t="s">
        <v>877</v>
      </c>
      <c r="C235" s="26">
        <v>0</v>
      </c>
      <c r="D235" s="26">
        <v>1410.03</v>
      </c>
      <c r="E235" s="26">
        <f t="shared" si="62"/>
        <v>1410.03</v>
      </c>
      <c r="F235" s="27" t="str">
        <f t="shared" si="63"/>
        <v>Yes</v>
      </c>
      <c r="G235" s="27" t="s">
        <v>651</v>
      </c>
      <c r="H235" s="11">
        <v>0</v>
      </c>
      <c r="I235" s="11">
        <v>0</v>
      </c>
      <c r="J235" s="35">
        <f t="shared" si="64"/>
        <v>1410.03</v>
      </c>
      <c r="K235" s="35">
        <f t="shared" si="65"/>
        <v>1434.4676306305107</v>
      </c>
      <c r="L235" s="35">
        <f t="shared" si="66"/>
        <v>1451.1181028611427</v>
      </c>
      <c r="M235" s="35">
        <f t="shared" si="67"/>
        <v>1431.8076950269499</v>
      </c>
      <c r="N235" s="35">
        <f t="shared" si="68"/>
        <v>1446.1257719772193</v>
      </c>
      <c r="O235" s="25"/>
      <c r="P235" s="35">
        <f t="shared" si="69"/>
        <v>1410.03</v>
      </c>
      <c r="Q235" s="35">
        <f t="shared" si="70"/>
        <v>1434.47</v>
      </c>
      <c r="R235" s="35">
        <f t="shared" si="71"/>
        <v>1451.12</v>
      </c>
      <c r="S235" s="35">
        <f t="shared" si="72"/>
        <v>1431.81</v>
      </c>
      <c r="T235" s="35">
        <f t="shared" si="73"/>
        <v>1446.13</v>
      </c>
      <c r="U235" s="25"/>
      <c r="V235" s="25">
        <f t="shared" si="74"/>
        <v>1410.03</v>
      </c>
      <c r="W235" s="25">
        <f t="shared" si="75"/>
        <v>0</v>
      </c>
    </row>
    <row r="236" spans="1:23">
      <c r="A236" s="28" t="s">
        <v>443</v>
      </c>
      <c r="B236" s="28" t="s">
        <v>878</v>
      </c>
      <c r="C236" s="26">
        <v>16.2</v>
      </c>
      <c r="D236" s="26">
        <v>1710.27</v>
      </c>
      <c r="E236" s="26">
        <f t="shared" si="62"/>
        <v>1726.47</v>
      </c>
      <c r="F236" s="27" t="str">
        <f t="shared" si="63"/>
        <v>Yes</v>
      </c>
      <c r="G236" s="27" t="s">
        <v>651</v>
      </c>
      <c r="H236" s="11">
        <v>0</v>
      </c>
      <c r="I236" s="11">
        <v>0</v>
      </c>
      <c r="J236" s="35">
        <f t="shared" si="64"/>
        <v>1726.47</v>
      </c>
      <c r="K236" s="35">
        <f t="shared" si="65"/>
        <v>1756.3919421960227</v>
      </c>
      <c r="L236" s="35">
        <f t="shared" si="66"/>
        <v>1776.7791260091467</v>
      </c>
      <c r="M236" s="35">
        <f t="shared" si="67"/>
        <v>1753.1350618307258</v>
      </c>
      <c r="N236" s="35">
        <f t="shared" si="68"/>
        <v>1770.666412449033</v>
      </c>
      <c r="O236" s="25"/>
      <c r="P236" s="35">
        <f t="shared" si="69"/>
        <v>1726.47</v>
      </c>
      <c r="Q236" s="35">
        <f t="shared" si="70"/>
        <v>1756.39</v>
      </c>
      <c r="R236" s="35">
        <f t="shared" si="71"/>
        <v>1776.78</v>
      </c>
      <c r="S236" s="35">
        <f t="shared" si="72"/>
        <v>1753.14</v>
      </c>
      <c r="T236" s="35">
        <f t="shared" si="73"/>
        <v>1770.67</v>
      </c>
      <c r="U236" s="25"/>
      <c r="V236" s="25">
        <f t="shared" si="74"/>
        <v>1726.47</v>
      </c>
      <c r="W236" s="25">
        <f t="shared" si="75"/>
        <v>0</v>
      </c>
    </row>
    <row r="237" spans="1:23">
      <c r="A237" s="28" t="s">
        <v>445</v>
      </c>
      <c r="B237" s="28" t="s">
        <v>879</v>
      </c>
      <c r="C237" s="26">
        <v>130.30000000000001</v>
      </c>
      <c r="D237" s="26">
        <v>10132.57</v>
      </c>
      <c r="E237" s="26">
        <f t="shared" si="62"/>
        <v>10262.869999999999</v>
      </c>
      <c r="F237" s="27" t="str">
        <f t="shared" si="63"/>
        <v>Yes</v>
      </c>
      <c r="G237" s="27" t="s">
        <v>651</v>
      </c>
      <c r="H237" s="11">
        <v>28.91</v>
      </c>
      <c r="I237" s="11">
        <v>0</v>
      </c>
      <c r="J237" s="35">
        <f t="shared" si="64"/>
        <v>10262.869999999999</v>
      </c>
      <c r="K237" s="35">
        <f t="shared" si="65"/>
        <v>10440.738716459187</v>
      </c>
      <c r="L237" s="35">
        <f t="shared" si="66"/>
        <v>10561.928784714179</v>
      </c>
      <c r="M237" s="35">
        <f t="shared" si="67"/>
        <v>10421.378438090842</v>
      </c>
      <c r="N237" s="35">
        <f t="shared" si="68"/>
        <v>10525.592222471751</v>
      </c>
      <c r="O237" s="25"/>
      <c r="P237" s="35">
        <f t="shared" si="69"/>
        <v>10233.959999999999</v>
      </c>
      <c r="Q237" s="35">
        <f t="shared" si="70"/>
        <v>10411.83</v>
      </c>
      <c r="R237" s="35">
        <f t="shared" si="71"/>
        <v>10533.02</v>
      </c>
      <c r="S237" s="35">
        <f t="shared" si="72"/>
        <v>10392.469999999999</v>
      </c>
      <c r="T237" s="35">
        <f t="shared" si="73"/>
        <v>10496.68</v>
      </c>
      <c r="U237" s="25"/>
      <c r="V237" s="25">
        <f t="shared" si="74"/>
        <v>10262.869999999999</v>
      </c>
      <c r="W237" s="25">
        <f t="shared" si="75"/>
        <v>-28.909999999999854</v>
      </c>
    </row>
    <row r="238" spans="1:23">
      <c r="A238" s="28" t="s">
        <v>447</v>
      </c>
      <c r="B238" s="28" t="s">
        <v>880</v>
      </c>
      <c r="C238" s="26">
        <v>0</v>
      </c>
      <c r="D238" s="26">
        <v>14186.68</v>
      </c>
      <c r="E238" s="26">
        <f t="shared" si="62"/>
        <v>14186.68</v>
      </c>
      <c r="F238" s="27" t="str">
        <f t="shared" si="63"/>
        <v>Yes</v>
      </c>
      <c r="G238" s="27" t="s">
        <v>651</v>
      </c>
      <c r="H238" s="11">
        <v>0</v>
      </c>
      <c r="I238" s="11">
        <v>0</v>
      </c>
      <c r="J238" s="35">
        <f t="shared" si="64"/>
        <v>14186.68</v>
      </c>
      <c r="K238" s="35">
        <f t="shared" si="65"/>
        <v>14432.553382632464</v>
      </c>
      <c r="L238" s="35">
        <f t="shared" si="66"/>
        <v>14600.078131315018</v>
      </c>
      <c r="M238" s="35">
        <f t="shared" si="67"/>
        <v>14405.791075994786</v>
      </c>
      <c r="N238" s="35">
        <f t="shared" si="68"/>
        <v>14549.848986754734</v>
      </c>
      <c r="O238" s="25"/>
      <c r="P238" s="35">
        <f t="shared" si="69"/>
        <v>14186.68</v>
      </c>
      <c r="Q238" s="35">
        <f t="shared" si="70"/>
        <v>14432.55</v>
      </c>
      <c r="R238" s="35">
        <f t="shared" si="71"/>
        <v>14600.08</v>
      </c>
      <c r="S238" s="35">
        <f t="shared" si="72"/>
        <v>14405.79</v>
      </c>
      <c r="T238" s="35">
        <f t="shared" si="73"/>
        <v>14549.85</v>
      </c>
      <c r="U238" s="25"/>
      <c r="V238" s="25">
        <f t="shared" si="74"/>
        <v>14186.68</v>
      </c>
      <c r="W238" s="25">
        <f t="shared" si="75"/>
        <v>0</v>
      </c>
    </row>
    <row r="239" spans="1:23">
      <c r="A239" s="28" t="s">
        <v>449</v>
      </c>
      <c r="B239" s="28" t="s">
        <v>881</v>
      </c>
      <c r="C239" s="26">
        <v>27.3</v>
      </c>
      <c r="D239" s="26">
        <v>841.73</v>
      </c>
      <c r="E239" s="26">
        <f t="shared" si="62"/>
        <v>869.03</v>
      </c>
      <c r="F239" s="27" t="str">
        <f t="shared" si="63"/>
        <v>Yes</v>
      </c>
      <c r="G239" s="27" t="s">
        <v>651</v>
      </c>
      <c r="H239" s="11">
        <v>0</v>
      </c>
      <c r="I239" s="11">
        <v>0</v>
      </c>
      <c r="J239" s="35">
        <f t="shared" si="64"/>
        <v>869.03</v>
      </c>
      <c r="K239" s="35">
        <f t="shared" si="65"/>
        <v>884.09140588982689</v>
      </c>
      <c r="L239" s="35">
        <f t="shared" si="66"/>
        <v>894.35342860039771</v>
      </c>
      <c r="M239" s="35">
        <f t="shared" si="67"/>
        <v>882.45203379308964</v>
      </c>
      <c r="N239" s="35">
        <f t="shared" si="68"/>
        <v>891.27655413102059</v>
      </c>
      <c r="O239" s="25"/>
      <c r="P239" s="35">
        <f t="shared" si="69"/>
        <v>869.03</v>
      </c>
      <c r="Q239" s="35">
        <f t="shared" si="70"/>
        <v>884.09</v>
      </c>
      <c r="R239" s="35">
        <f t="shared" si="71"/>
        <v>894.35</v>
      </c>
      <c r="S239" s="35">
        <f t="shared" si="72"/>
        <v>882.45</v>
      </c>
      <c r="T239" s="35">
        <f t="shared" si="73"/>
        <v>891.28</v>
      </c>
      <c r="U239" s="25"/>
      <c r="V239" s="25">
        <f t="shared" si="74"/>
        <v>869.03</v>
      </c>
      <c r="W239" s="25">
        <f t="shared" si="75"/>
        <v>0</v>
      </c>
    </row>
    <row r="240" spans="1:23">
      <c r="A240" s="28" t="s">
        <v>451</v>
      </c>
      <c r="B240" s="28" t="s">
        <v>882</v>
      </c>
      <c r="C240" s="26">
        <v>0</v>
      </c>
      <c r="D240" s="26">
        <v>5396.04</v>
      </c>
      <c r="E240" s="26">
        <f t="shared" si="62"/>
        <v>5396.04</v>
      </c>
      <c r="F240" s="27" t="str">
        <f t="shared" si="63"/>
        <v>Yes</v>
      </c>
      <c r="G240" s="27" t="s">
        <v>651</v>
      </c>
      <c r="H240" s="11">
        <v>23.17</v>
      </c>
      <c r="I240" s="11">
        <v>0</v>
      </c>
      <c r="J240" s="35">
        <f t="shared" si="64"/>
        <v>5396.04</v>
      </c>
      <c r="K240" s="35">
        <f t="shared" si="65"/>
        <v>5489.5603026797025</v>
      </c>
      <c r="L240" s="35">
        <f t="shared" si="66"/>
        <v>5553.2799499037892</v>
      </c>
      <c r="M240" s="35">
        <f t="shared" si="67"/>
        <v>5479.3810023001088</v>
      </c>
      <c r="N240" s="35">
        <f t="shared" si="68"/>
        <v>5534.17481232311</v>
      </c>
      <c r="O240" s="25"/>
      <c r="P240" s="35">
        <f t="shared" si="69"/>
        <v>5372.87</v>
      </c>
      <c r="Q240" s="35">
        <f t="shared" si="70"/>
        <v>5466.39</v>
      </c>
      <c r="R240" s="35">
        <f t="shared" si="71"/>
        <v>5530.11</v>
      </c>
      <c r="S240" s="35">
        <f t="shared" si="72"/>
        <v>5456.21</v>
      </c>
      <c r="T240" s="35">
        <f t="shared" si="73"/>
        <v>5511</v>
      </c>
      <c r="U240" s="25"/>
      <c r="V240" s="25">
        <f t="shared" si="74"/>
        <v>5396.04</v>
      </c>
      <c r="W240" s="25">
        <f t="shared" si="75"/>
        <v>-23.170000000000073</v>
      </c>
    </row>
    <row r="241" spans="1:23">
      <c r="A241" s="28" t="s">
        <v>453</v>
      </c>
      <c r="B241" s="28" t="s">
        <v>883</v>
      </c>
      <c r="C241" s="26">
        <v>0</v>
      </c>
      <c r="D241" s="26">
        <v>3430</v>
      </c>
      <c r="E241" s="26">
        <f t="shared" si="62"/>
        <v>3430</v>
      </c>
      <c r="F241" s="27" t="str">
        <f t="shared" si="63"/>
        <v>Yes</v>
      </c>
      <c r="G241" s="27" t="s">
        <v>651</v>
      </c>
      <c r="H241" s="11">
        <v>0</v>
      </c>
      <c r="I241" s="11">
        <v>0</v>
      </c>
      <c r="J241" s="35">
        <f t="shared" si="64"/>
        <v>3430</v>
      </c>
      <c r="K241" s="35">
        <f t="shared" si="65"/>
        <v>3489.4463047329855</v>
      </c>
      <c r="L241" s="35">
        <f t="shared" si="66"/>
        <v>3529.9497832058319</v>
      </c>
      <c r="M241" s="35">
        <f t="shared" si="67"/>
        <v>3482.9758189133831</v>
      </c>
      <c r="N241" s="35">
        <f t="shared" si="68"/>
        <v>3517.805577102517</v>
      </c>
      <c r="O241" s="25"/>
      <c r="P241" s="35">
        <f t="shared" si="69"/>
        <v>3430</v>
      </c>
      <c r="Q241" s="35">
        <f t="shared" si="70"/>
        <v>3489.45</v>
      </c>
      <c r="R241" s="35">
        <f t="shared" si="71"/>
        <v>3529.95</v>
      </c>
      <c r="S241" s="35">
        <f t="shared" si="72"/>
        <v>3482.98</v>
      </c>
      <c r="T241" s="35">
        <f t="shared" si="73"/>
        <v>3517.81</v>
      </c>
      <c r="U241" s="25"/>
      <c r="V241" s="25">
        <f t="shared" si="74"/>
        <v>3430</v>
      </c>
      <c r="W241" s="25">
        <f t="shared" si="75"/>
        <v>0</v>
      </c>
    </row>
    <row r="242" spans="1:23">
      <c r="A242" s="28" t="s">
        <v>455</v>
      </c>
      <c r="B242" s="28" t="s">
        <v>884</v>
      </c>
      <c r="C242" s="26">
        <v>0</v>
      </c>
      <c r="D242" s="26">
        <v>593.29</v>
      </c>
      <c r="E242" s="26">
        <f t="shared" si="62"/>
        <v>593.29</v>
      </c>
      <c r="F242" s="27" t="str">
        <f t="shared" si="63"/>
        <v>Yes</v>
      </c>
      <c r="G242" s="27" t="s">
        <v>651</v>
      </c>
      <c r="H242" s="11">
        <v>0</v>
      </c>
      <c r="I242" s="11">
        <v>0</v>
      </c>
      <c r="J242" s="35">
        <f t="shared" si="64"/>
        <v>593.29</v>
      </c>
      <c r="K242" s="35">
        <f t="shared" si="65"/>
        <v>603.57247759038864</v>
      </c>
      <c r="L242" s="35">
        <f t="shared" si="66"/>
        <v>610.57839850676044</v>
      </c>
      <c r="M242" s="35">
        <f t="shared" si="67"/>
        <v>602.45327218749901</v>
      </c>
      <c r="N242" s="35">
        <f t="shared" si="68"/>
        <v>608.47780490937396</v>
      </c>
      <c r="O242" s="25"/>
      <c r="P242" s="35">
        <f t="shared" si="69"/>
        <v>593.29</v>
      </c>
      <c r="Q242" s="35">
        <f t="shared" si="70"/>
        <v>603.57000000000005</v>
      </c>
      <c r="R242" s="35">
        <f t="shared" si="71"/>
        <v>610.58000000000004</v>
      </c>
      <c r="S242" s="35">
        <f t="shared" si="72"/>
        <v>602.45000000000005</v>
      </c>
      <c r="T242" s="35">
        <f t="shared" si="73"/>
        <v>608.48</v>
      </c>
      <c r="U242" s="25"/>
      <c r="V242" s="25">
        <f t="shared" si="74"/>
        <v>593.29</v>
      </c>
      <c r="W242" s="25">
        <f t="shared" si="75"/>
        <v>0</v>
      </c>
    </row>
    <row r="243" spans="1:23">
      <c r="A243" s="28" t="s">
        <v>457</v>
      </c>
      <c r="B243" s="28" t="s">
        <v>885</v>
      </c>
      <c r="C243" s="26">
        <v>0</v>
      </c>
      <c r="D243" s="26">
        <v>3363.49</v>
      </c>
      <c r="E243" s="26">
        <f t="shared" si="62"/>
        <v>3363.49</v>
      </c>
      <c r="F243" s="27" t="str">
        <f t="shared" si="63"/>
        <v>Yes</v>
      </c>
      <c r="G243" s="27" t="s">
        <v>651</v>
      </c>
      <c r="H243" s="11">
        <v>9</v>
      </c>
      <c r="I243" s="11">
        <v>0</v>
      </c>
      <c r="J243" s="35">
        <f t="shared" si="64"/>
        <v>3363.49</v>
      </c>
      <c r="K243" s="35">
        <f t="shared" si="65"/>
        <v>3421.7836010222591</v>
      </c>
      <c r="L243" s="35">
        <f t="shared" si="66"/>
        <v>3461.5016898877502</v>
      </c>
      <c r="M243" s="35">
        <f t="shared" si="67"/>
        <v>3415.4385822615086</v>
      </c>
      <c r="N243" s="35">
        <f t="shared" si="68"/>
        <v>3449.5929680841236</v>
      </c>
      <c r="O243" s="25"/>
      <c r="P243" s="35">
        <f t="shared" si="69"/>
        <v>3354.49</v>
      </c>
      <c r="Q243" s="35">
        <f t="shared" si="70"/>
        <v>3412.78</v>
      </c>
      <c r="R243" s="35">
        <f t="shared" si="71"/>
        <v>3452.5</v>
      </c>
      <c r="S243" s="35">
        <f t="shared" si="72"/>
        <v>3406.44</v>
      </c>
      <c r="T243" s="35">
        <f t="shared" si="73"/>
        <v>3440.59</v>
      </c>
      <c r="U243" s="25"/>
      <c r="V243" s="25">
        <f t="shared" si="74"/>
        <v>3363.49</v>
      </c>
      <c r="W243" s="25">
        <f t="shared" si="75"/>
        <v>-9</v>
      </c>
    </row>
    <row r="244" spans="1:23">
      <c r="A244" s="30" t="s">
        <v>459</v>
      </c>
      <c r="B244" s="28" t="s">
        <v>886</v>
      </c>
      <c r="C244" s="26">
        <v>0</v>
      </c>
      <c r="D244" s="26">
        <v>2639.26</v>
      </c>
      <c r="E244" s="26">
        <f t="shared" si="62"/>
        <v>2639.26</v>
      </c>
      <c r="F244" s="27" t="str">
        <f t="shared" si="63"/>
        <v>Yes</v>
      </c>
      <c r="G244" s="27" t="s">
        <v>651</v>
      </c>
      <c r="H244" s="11">
        <v>46</v>
      </c>
      <c r="I244" s="11">
        <v>0</v>
      </c>
      <c r="J244" s="35">
        <f t="shared" si="64"/>
        <v>2639.26</v>
      </c>
      <c r="K244" s="35">
        <f t="shared" si="65"/>
        <v>2685.0017650815103</v>
      </c>
      <c r="L244" s="35">
        <f t="shared" si="66"/>
        <v>2716.1677156920773</v>
      </c>
      <c r="M244" s="35">
        <f t="shared" si="67"/>
        <v>2680.0229620482032</v>
      </c>
      <c r="N244" s="35">
        <f t="shared" si="68"/>
        <v>2706.8231916686855</v>
      </c>
      <c r="O244" s="25"/>
      <c r="P244" s="35">
        <f t="shared" si="69"/>
        <v>2593.2600000000002</v>
      </c>
      <c r="Q244" s="35">
        <f t="shared" si="70"/>
        <v>2639</v>
      </c>
      <c r="R244" s="35">
        <f t="shared" si="71"/>
        <v>2670.17</v>
      </c>
      <c r="S244" s="35">
        <f t="shared" si="72"/>
        <v>2634.02</v>
      </c>
      <c r="T244" s="35">
        <f t="shared" si="73"/>
        <v>2660.82</v>
      </c>
      <c r="U244" s="25"/>
      <c r="V244" s="25">
        <f t="shared" si="74"/>
        <v>2639.26</v>
      </c>
      <c r="W244" s="25">
        <f t="shared" si="75"/>
        <v>-46</v>
      </c>
    </row>
    <row r="245" spans="1:23">
      <c r="A245" s="30" t="s">
        <v>461</v>
      </c>
      <c r="B245" s="28" t="s">
        <v>887</v>
      </c>
      <c r="C245" s="26">
        <v>0</v>
      </c>
      <c r="D245" s="26">
        <v>1503.99</v>
      </c>
      <c r="E245" s="26">
        <f t="shared" si="62"/>
        <v>1503.99</v>
      </c>
      <c r="F245" s="27" t="str">
        <f t="shared" si="63"/>
        <v>Yes</v>
      </c>
      <c r="G245" s="27" t="s">
        <v>651</v>
      </c>
      <c r="H245" s="11">
        <v>0</v>
      </c>
      <c r="I245" s="11">
        <v>0</v>
      </c>
      <c r="J245" s="35">
        <f t="shared" si="64"/>
        <v>1503.99</v>
      </c>
      <c r="K245" s="35">
        <f t="shared" si="65"/>
        <v>1530.0560780919425</v>
      </c>
      <c r="L245" s="35">
        <f t="shared" si="66"/>
        <v>1547.8160858436556</v>
      </c>
      <c r="M245" s="35">
        <f t="shared" si="67"/>
        <v>1527.2188926785827</v>
      </c>
      <c r="N245" s="35">
        <f t="shared" si="68"/>
        <v>1542.4910816053687</v>
      </c>
      <c r="O245" s="25"/>
      <c r="P245" s="35">
        <f t="shared" si="69"/>
        <v>1503.99</v>
      </c>
      <c r="Q245" s="35">
        <f t="shared" si="70"/>
        <v>1530.06</v>
      </c>
      <c r="R245" s="35">
        <f t="shared" si="71"/>
        <v>1547.82</v>
      </c>
      <c r="S245" s="35">
        <f t="shared" si="72"/>
        <v>1527.22</v>
      </c>
      <c r="T245" s="35">
        <f t="shared" si="73"/>
        <v>1542.49</v>
      </c>
      <c r="U245" s="25"/>
      <c r="V245" s="25">
        <f t="shared" si="74"/>
        <v>1503.99</v>
      </c>
      <c r="W245" s="25">
        <f t="shared" si="75"/>
        <v>0</v>
      </c>
    </row>
    <row r="246" spans="1:23">
      <c r="A246" s="28" t="s">
        <v>463</v>
      </c>
      <c r="B246" s="28" t="s">
        <v>888</v>
      </c>
      <c r="C246" s="26">
        <v>0</v>
      </c>
      <c r="D246" s="26">
        <v>39.5</v>
      </c>
      <c r="E246" s="26">
        <f t="shared" si="62"/>
        <v>39.5</v>
      </c>
      <c r="F246" s="27" t="str">
        <f t="shared" si="63"/>
        <v>No</v>
      </c>
      <c r="G246" s="27" t="s">
        <v>653</v>
      </c>
      <c r="H246" s="11">
        <v>0</v>
      </c>
      <c r="I246" s="11">
        <v>16.329999999999998</v>
      </c>
      <c r="J246" s="35">
        <f t="shared" si="64"/>
        <v>39.5</v>
      </c>
      <c r="K246" s="35">
        <f t="shared" si="65"/>
        <v>39.5</v>
      </c>
      <c r="L246" s="35">
        <f t="shared" si="66"/>
        <v>39.5</v>
      </c>
      <c r="M246" s="35">
        <f t="shared" si="67"/>
        <v>39.5</v>
      </c>
      <c r="N246" s="35">
        <f t="shared" si="68"/>
        <v>39.5</v>
      </c>
      <c r="O246" s="25"/>
      <c r="P246" s="35">
        <f t="shared" si="69"/>
        <v>55.83</v>
      </c>
      <c r="Q246" s="35">
        <f t="shared" si="70"/>
        <v>55.83</v>
      </c>
      <c r="R246" s="35">
        <f t="shared" si="71"/>
        <v>55.83</v>
      </c>
      <c r="S246" s="35">
        <f t="shared" si="72"/>
        <v>55.83</v>
      </c>
      <c r="T246" s="35">
        <f t="shared" si="73"/>
        <v>55.83</v>
      </c>
      <c r="U246" s="25"/>
      <c r="V246" s="25">
        <f t="shared" si="74"/>
        <v>39.5</v>
      </c>
      <c r="W246" s="25">
        <f t="shared" si="75"/>
        <v>16.329999999999998</v>
      </c>
    </row>
    <row r="247" spans="1:23">
      <c r="A247" s="28" t="s">
        <v>465</v>
      </c>
      <c r="B247" s="28" t="s">
        <v>889</v>
      </c>
      <c r="C247" s="26">
        <v>14.4</v>
      </c>
      <c r="D247" s="26">
        <v>817.86</v>
      </c>
      <c r="E247" s="26">
        <f t="shared" si="62"/>
        <v>832.26</v>
      </c>
      <c r="F247" s="27" t="str">
        <f t="shared" si="63"/>
        <v>Yes</v>
      </c>
      <c r="G247" s="27" t="s">
        <v>651</v>
      </c>
      <c r="H247" s="11">
        <v>51.849999999999994</v>
      </c>
      <c r="I247" s="11">
        <v>0</v>
      </c>
      <c r="J247" s="35">
        <f t="shared" si="64"/>
        <v>832.26</v>
      </c>
      <c r="K247" s="35">
        <f t="shared" si="65"/>
        <v>846.68413457057568</v>
      </c>
      <c r="L247" s="35">
        <f t="shared" si="66"/>
        <v>856.51195526847982</v>
      </c>
      <c r="M247" s="35">
        <f t="shared" si="67"/>
        <v>845.11412683640015</v>
      </c>
      <c r="N247" s="35">
        <f t="shared" si="68"/>
        <v>853.56526810476419</v>
      </c>
      <c r="O247" s="25"/>
      <c r="P247" s="35">
        <f t="shared" si="69"/>
        <v>780.41</v>
      </c>
      <c r="Q247" s="35">
        <f t="shared" si="70"/>
        <v>794.83</v>
      </c>
      <c r="R247" s="35">
        <f t="shared" si="71"/>
        <v>804.66</v>
      </c>
      <c r="S247" s="35">
        <f t="shared" si="72"/>
        <v>793.26</v>
      </c>
      <c r="T247" s="35">
        <f t="shared" si="73"/>
        <v>801.72</v>
      </c>
      <c r="U247" s="25"/>
      <c r="V247" s="25">
        <f t="shared" si="74"/>
        <v>832.26</v>
      </c>
      <c r="W247" s="25">
        <f t="shared" si="75"/>
        <v>-51.850000000000023</v>
      </c>
    </row>
    <row r="248" spans="1:23">
      <c r="A248" s="28" t="s">
        <v>467</v>
      </c>
      <c r="B248" s="28" t="s">
        <v>890</v>
      </c>
      <c r="C248" s="26">
        <v>0</v>
      </c>
      <c r="D248" s="26">
        <v>412.16</v>
      </c>
      <c r="E248" s="26">
        <f t="shared" si="62"/>
        <v>412.16</v>
      </c>
      <c r="F248" s="27" t="str">
        <f t="shared" si="63"/>
        <v>Yes</v>
      </c>
      <c r="G248" s="27" t="s">
        <v>651</v>
      </c>
      <c r="H248" s="11">
        <v>0</v>
      </c>
      <c r="I248" s="11">
        <v>0</v>
      </c>
      <c r="J248" s="35">
        <f t="shared" si="64"/>
        <v>412.16</v>
      </c>
      <c r="K248" s="35">
        <f t="shared" si="65"/>
        <v>419.30326208709835</v>
      </c>
      <c r="L248" s="35">
        <f t="shared" si="66"/>
        <v>424.1702923166518</v>
      </c>
      <c r="M248" s="35">
        <f t="shared" si="67"/>
        <v>418.52574738289798</v>
      </c>
      <c r="N248" s="35">
        <f t="shared" si="68"/>
        <v>422.71100485672696</v>
      </c>
      <c r="O248" s="25"/>
      <c r="P248" s="35">
        <f t="shared" si="69"/>
        <v>412.16</v>
      </c>
      <c r="Q248" s="35">
        <f t="shared" si="70"/>
        <v>419.3</v>
      </c>
      <c r="R248" s="35">
        <f t="shared" si="71"/>
        <v>424.17</v>
      </c>
      <c r="S248" s="35">
        <f t="shared" si="72"/>
        <v>418.53</v>
      </c>
      <c r="T248" s="35">
        <f t="shared" si="73"/>
        <v>422.71</v>
      </c>
      <c r="U248" s="25"/>
      <c r="V248" s="25">
        <f t="shared" si="74"/>
        <v>412.16</v>
      </c>
      <c r="W248" s="25">
        <f t="shared" si="75"/>
        <v>0</v>
      </c>
    </row>
    <row r="249" spans="1:23">
      <c r="A249" s="28" t="s">
        <v>469</v>
      </c>
      <c r="B249" s="28" t="s">
        <v>891</v>
      </c>
      <c r="C249" s="26">
        <v>13</v>
      </c>
      <c r="D249" s="26">
        <v>994.7</v>
      </c>
      <c r="E249" s="26">
        <f t="shared" si="62"/>
        <v>1007.7</v>
      </c>
      <c r="F249" s="27" t="str">
        <f t="shared" si="63"/>
        <v>Yes</v>
      </c>
      <c r="G249" s="27" t="s">
        <v>653</v>
      </c>
      <c r="H249" s="11">
        <v>3</v>
      </c>
      <c r="I249" s="11">
        <v>35.65</v>
      </c>
      <c r="J249" s="35">
        <f t="shared" si="64"/>
        <v>1007.7</v>
      </c>
      <c r="K249" s="35">
        <f t="shared" si="65"/>
        <v>1025.1647350668891</v>
      </c>
      <c r="L249" s="35">
        <f t="shared" si="66"/>
        <v>1037.0642555500049</v>
      </c>
      <c r="M249" s="35">
        <f t="shared" si="67"/>
        <v>1023.2637704720164</v>
      </c>
      <c r="N249" s="35">
        <f t="shared" si="68"/>
        <v>1033.4964081767366</v>
      </c>
      <c r="O249" s="25"/>
      <c r="P249" s="35">
        <f t="shared" si="69"/>
        <v>1040.3499999999999</v>
      </c>
      <c r="Q249" s="35">
        <f t="shared" si="70"/>
        <v>1057.81</v>
      </c>
      <c r="R249" s="35">
        <f t="shared" si="71"/>
        <v>1069.71</v>
      </c>
      <c r="S249" s="35">
        <f t="shared" si="72"/>
        <v>1055.9100000000001</v>
      </c>
      <c r="T249" s="35">
        <f t="shared" si="73"/>
        <v>1066.1500000000001</v>
      </c>
      <c r="U249" s="25"/>
      <c r="V249" s="25">
        <f t="shared" si="74"/>
        <v>1007.7</v>
      </c>
      <c r="W249" s="25">
        <f t="shared" si="75"/>
        <v>32.649999999999864</v>
      </c>
    </row>
    <row r="250" spans="1:23">
      <c r="A250" s="28" t="s">
        <v>471</v>
      </c>
      <c r="B250" s="28" t="s">
        <v>892</v>
      </c>
      <c r="C250" s="26">
        <v>55.7</v>
      </c>
      <c r="D250" s="26">
        <v>1635.97</v>
      </c>
      <c r="E250" s="26">
        <f t="shared" si="62"/>
        <v>1691.67</v>
      </c>
      <c r="F250" s="27" t="str">
        <f t="shared" si="63"/>
        <v>Yes</v>
      </c>
      <c r="G250" s="27" t="s">
        <v>651</v>
      </c>
      <c r="H250" s="11">
        <v>14.2</v>
      </c>
      <c r="I250" s="11">
        <v>0</v>
      </c>
      <c r="J250" s="35">
        <f t="shared" si="64"/>
        <v>1691.67</v>
      </c>
      <c r="K250" s="35">
        <f t="shared" si="65"/>
        <v>1720.9888135066035</v>
      </c>
      <c r="L250" s="35">
        <f t="shared" si="66"/>
        <v>1740.9650582378456</v>
      </c>
      <c r="M250" s="35">
        <f t="shared" si="67"/>
        <v>1717.7975812190098</v>
      </c>
      <c r="N250" s="35">
        <f t="shared" si="68"/>
        <v>1734.9755570312</v>
      </c>
      <c r="O250" s="25"/>
      <c r="P250" s="35">
        <f t="shared" si="69"/>
        <v>1677.47</v>
      </c>
      <c r="Q250" s="35">
        <f t="shared" si="70"/>
        <v>1706.79</v>
      </c>
      <c r="R250" s="35">
        <f t="shared" si="71"/>
        <v>1726.77</v>
      </c>
      <c r="S250" s="35">
        <f t="shared" si="72"/>
        <v>1703.6</v>
      </c>
      <c r="T250" s="35">
        <f t="shared" si="73"/>
        <v>1720.78</v>
      </c>
      <c r="U250" s="25"/>
      <c r="V250" s="25">
        <f t="shared" si="74"/>
        <v>1691.67</v>
      </c>
      <c r="W250" s="25">
        <f t="shared" si="75"/>
        <v>-14.200000000000045</v>
      </c>
    </row>
    <row r="251" spans="1:23">
      <c r="A251" s="28" t="s">
        <v>473</v>
      </c>
      <c r="B251" s="28" t="s">
        <v>893</v>
      </c>
      <c r="C251" s="26">
        <v>0</v>
      </c>
      <c r="D251" s="26">
        <v>246.01</v>
      </c>
      <c r="E251" s="26">
        <f t="shared" si="62"/>
        <v>246.01</v>
      </c>
      <c r="F251" s="27" t="str">
        <f t="shared" si="63"/>
        <v>Yes</v>
      </c>
      <c r="G251" s="27" t="s">
        <v>653</v>
      </c>
      <c r="H251" s="11">
        <v>0</v>
      </c>
      <c r="I251" s="11">
        <v>58.08</v>
      </c>
      <c r="J251" s="35">
        <f t="shared" si="64"/>
        <v>246.01</v>
      </c>
      <c r="K251" s="35">
        <f t="shared" si="65"/>
        <v>250.27366922080517</v>
      </c>
      <c r="L251" s="35">
        <f t="shared" si="66"/>
        <v>253.17870150625853</v>
      </c>
      <c r="M251" s="35">
        <f t="shared" si="67"/>
        <v>249.80958635885756</v>
      </c>
      <c r="N251" s="35">
        <f t="shared" si="68"/>
        <v>252.30768222244615</v>
      </c>
      <c r="O251" s="25"/>
      <c r="P251" s="35">
        <f t="shared" si="69"/>
        <v>304.08999999999997</v>
      </c>
      <c r="Q251" s="35">
        <f t="shared" si="70"/>
        <v>308.35000000000002</v>
      </c>
      <c r="R251" s="35">
        <f t="shared" si="71"/>
        <v>311.26</v>
      </c>
      <c r="S251" s="35">
        <f t="shared" si="72"/>
        <v>307.89</v>
      </c>
      <c r="T251" s="35">
        <f t="shared" si="73"/>
        <v>310.39</v>
      </c>
      <c r="U251" s="25"/>
      <c r="V251" s="25">
        <f t="shared" si="74"/>
        <v>246.01</v>
      </c>
      <c r="W251" s="25">
        <f t="shared" si="75"/>
        <v>58.079999999999984</v>
      </c>
    </row>
    <row r="252" spans="1:23">
      <c r="A252" s="28" t="s">
        <v>475</v>
      </c>
      <c r="B252" s="28" t="s">
        <v>894</v>
      </c>
      <c r="C252" s="26">
        <v>0</v>
      </c>
      <c r="D252" s="26">
        <v>82</v>
      </c>
      <c r="E252" s="26">
        <f t="shared" si="62"/>
        <v>82</v>
      </c>
      <c r="F252" s="27" t="str">
        <f t="shared" si="63"/>
        <v>No</v>
      </c>
      <c r="G252" s="27" t="s">
        <v>653</v>
      </c>
      <c r="H252" s="11">
        <v>0</v>
      </c>
      <c r="I252" s="11">
        <v>22.98</v>
      </c>
      <c r="J252" s="35">
        <f t="shared" si="64"/>
        <v>82</v>
      </c>
      <c r="K252" s="35">
        <f t="shared" si="65"/>
        <v>82</v>
      </c>
      <c r="L252" s="35">
        <f t="shared" si="66"/>
        <v>82</v>
      </c>
      <c r="M252" s="35">
        <f t="shared" si="67"/>
        <v>82</v>
      </c>
      <c r="N252" s="35">
        <f t="shared" si="68"/>
        <v>82</v>
      </c>
      <c r="O252" s="25"/>
      <c r="P252" s="35">
        <f t="shared" si="69"/>
        <v>104.98</v>
      </c>
      <c r="Q252" s="35">
        <f t="shared" si="70"/>
        <v>104.98</v>
      </c>
      <c r="R252" s="35">
        <f t="shared" si="71"/>
        <v>104.98</v>
      </c>
      <c r="S252" s="35">
        <f t="shared" si="72"/>
        <v>104.98</v>
      </c>
      <c r="T252" s="35">
        <f t="shared" si="73"/>
        <v>104.98</v>
      </c>
      <c r="U252" s="25"/>
      <c r="V252" s="25">
        <f t="shared" si="74"/>
        <v>82</v>
      </c>
      <c r="W252" s="25">
        <f t="shared" si="75"/>
        <v>22.980000000000004</v>
      </c>
    </row>
    <row r="253" spans="1:23">
      <c r="A253" s="28" t="s">
        <v>477</v>
      </c>
      <c r="B253" s="28" t="s">
        <v>895</v>
      </c>
      <c r="C253" s="26">
        <v>0</v>
      </c>
      <c r="D253" s="26">
        <v>34.799999999999997</v>
      </c>
      <c r="E253" s="26">
        <f t="shared" si="62"/>
        <v>34.799999999999997</v>
      </c>
      <c r="F253" s="27" t="str">
        <f t="shared" si="63"/>
        <v>No</v>
      </c>
      <c r="G253" s="27" t="s">
        <v>653</v>
      </c>
      <c r="H253" s="11">
        <v>0</v>
      </c>
      <c r="I253" s="11">
        <v>5.82</v>
      </c>
      <c r="J253" s="35">
        <f t="shared" si="64"/>
        <v>34.799999999999997</v>
      </c>
      <c r="K253" s="35">
        <f t="shared" si="65"/>
        <v>34.799999999999997</v>
      </c>
      <c r="L253" s="35">
        <f t="shared" si="66"/>
        <v>34.799999999999997</v>
      </c>
      <c r="M253" s="35">
        <f t="shared" si="67"/>
        <v>34.799999999999997</v>
      </c>
      <c r="N253" s="35">
        <f t="shared" si="68"/>
        <v>34.799999999999997</v>
      </c>
      <c r="O253" s="25"/>
      <c r="P253" s="35">
        <f t="shared" si="69"/>
        <v>40.619999999999997</v>
      </c>
      <c r="Q253" s="35">
        <f t="shared" si="70"/>
        <v>40.619999999999997</v>
      </c>
      <c r="R253" s="35">
        <f t="shared" si="71"/>
        <v>40.619999999999997</v>
      </c>
      <c r="S253" s="35">
        <f t="shared" si="72"/>
        <v>40.619999999999997</v>
      </c>
      <c r="T253" s="35">
        <f t="shared" si="73"/>
        <v>40.619999999999997</v>
      </c>
      <c r="U253" s="25"/>
      <c r="V253" s="25">
        <f t="shared" si="74"/>
        <v>34.799999999999997</v>
      </c>
      <c r="W253" s="25">
        <f t="shared" si="75"/>
        <v>5.82</v>
      </c>
    </row>
    <row r="254" spans="1:23">
      <c r="A254" s="28" t="s">
        <v>479</v>
      </c>
      <c r="B254" s="28" t="s">
        <v>896</v>
      </c>
      <c r="C254" s="26">
        <v>4.45</v>
      </c>
      <c r="D254" s="26">
        <v>107.7</v>
      </c>
      <c r="E254" s="26">
        <f t="shared" si="62"/>
        <v>112.15</v>
      </c>
      <c r="F254" s="27" t="str">
        <f t="shared" si="63"/>
        <v>Yes</v>
      </c>
      <c r="G254" s="27" t="s">
        <v>651</v>
      </c>
      <c r="H254" s="11">
        <v>1.7</v>
      </c>
      <c r="I254" s="11">
        <v>0</v>
      </c>
      <c r="J254" s="35">
        <f t="shared" si="64"/>
        <v>112.15</v>
      </c>
      <c r="K254" s="35">
        <f t="shared" si="65"/>
        <v>114.09370352064266</v>
      </c>
      <c r="L254" s="35">
        <f t="shared" si="66"/>
        <v>115.41803737216736</v>
      </c>
      <c r="M254" s="35">
        <f t="shared" si="67"/>
        <v>113.88213938517083</v>
      </c>
      <c r="N254" s="35">
        <f t="shared" si="68"/>
        <v>115.02096077902254</v>
      </c>
      <c r="O254" s="25"/>
      <c r="P254" s="35">
        <f t="shared" si="69"/>
        <v>110.45</v>
      </c>
      <c r="Q254" s="35">
        <f t="shared" si="70"/>
        <v>112.39</v>
      </c>
      <c r="R254" s="35">
        <f t="shared" si="71"/>
        <v>113.72</v>
      </c>
      <c r="S254" s="35">
        <f t="shared" si="72"/>
        <v>112.18</v>
      </c>
      <c r="T254" s="35">
        <f t="shared" si="73"/>
        <v>113.32</v>
      </c>
      <c r="U254" s="25"/>
      <c r="V254" s="25">
        <f t="shared" si="74"/>
        <v>112.15</v>
      </c>
      <c r="W254" s="25">
        <f t="shared" si="75"/>
        <v>-1.7000000000000028</v>
      </c>
    </row>
    <row r="255" spans="1:23">
      <c r="A255" s="28" t="s">
        <v>481</v>
      </c>
      <c r="B255" s="28" t="s">
        <v>897</v>
      </c>
      <c r="C255" s="26">
        <v>0</v>
      </c>
      <c r="D255" s="26">
        <v>497.3</v>
      </c>
      <c r="E255" s="26">
        <f t="shared" si="62"/>
        <v>497.3</v>
      </c>
      <c r="F255" s="27" t="str">
        <f t="shared" si="63"/>
        <v>Yes</v>
      </c>
      <c r="G255" s="27" t="s">
        <v>651</v>
      </c>
      <c r="H255" s="11">
        <v>13</v>
      </c>
      <c r="I255" s="11">
        <v>0</v>
      </c>
      <c r="J255" s="35">
        <f t="shared" si="64"/>
        <v>497.3</v>
      </c>
      <c r="K255" s="35">
        <f t="shared" si="65"/>
        <v>505.918847622074</v>
      </c>
      <c r="L255" s="35">
        <f t="shared" si="66"/>
        <v>511.79126157092139</v>
      </c>
      <c r="M255" s="35">
        <f t="shared" si="67"/>
        <v>504.98072150018243</v>
      </c>
      <c r="N255" s="35">
        <f t="shared" si="68"/>
        <v>510.03052871518423</v>
      </c>
      <c r="O255" s="25"/>
      <c r="P255" s="35">
        <f t="shared" si="69"/>
        <v>484.3</v>
      </c>
      <c r="Q255" s="35">
        <f t="shared" si="70"/>
        <v>492.92</v>
      </c>
      <c r="R255" s="35">
        <f t="shared" si="71"/>
        <v>498.79</v>
      </c>
      <c r="S255" s="35">
        <f t="shared" si="72"/>
        <v>491.98</v>
      </c>
      <c r="T255" s="35">
        <f t="shared" si="73"/>
        <v>497.03</v>
      </c>
      <c r="U255" s="25"/>
      <c r="V255" s="25">
        <f t="shared" si="74"/>
        <v>497.3</v>
      </c>
      <c r="W255" s="25">
        <f t="shared" si="75"/>
        <v>-13</v>
      </c>
    </row>
    <row r="256" spans="1:23">
      <c r="A256" s="28" t="s">
        <v>483</v>
      </c>
      <c r="B256" s="28" t="s">
        <v>898</v>
      </c>
      <c r="C256" s="26">
        <v>0</v>
      </c>
      <c r="D256" s="26">
        <v>263.49</v>
      </c>
      <c r="E256" s="26">
        <f t="shared" si="62"/>
        <v>263.49</v>
      </c>
      <c r="F256" s="27" t="str">
        <f t="shared" si="63"/>
        <v>Yes</v>
      </c>
      <c r="G256" s="27" t="s">
        <v>651</v>
      </c>
      <c r="H256" s="11">
        <v>6.29</v>
      </c>
      <c r="I256" s="11">
        <v>0</v>
      </c>
      <c r="J256" s="35">
        <f t="shared" si="64"/>
        <v>263.49</v>
      </c>
      <c r="K256" s="35">
        <f t="shared" si="65"/>
        <v>268.05662006824912</v>
      </c>
      <c r="L256" s="35">
        <f t="shared" si="66"/>
        <v>271.16806658218798</v>
      </c>
      <c r="M256" s="35">
        <f t="shared" si="67"/>
        <v>267.5595622523287</v>
      </c>
      <c r="N256" s="35">
        <f t="shared" si="68"/>
        <v>270.23515787485201</v>
      </c>
      <c r="O256" s="25"/>
      <c r="P256" s="35">
        <f t="shared" si="69"/>
        <v>257.2</v>
      </c>
      <c r="Q256" s="35">
        <f t="shared" si="70"/>
        <v>261.77</v>
      </c>
      <c r="R256" s="35">
        <f t="shared" si="71"/>
        <v>264.88</v>
      </c>
      <c r="S256" s="35">
        <f t="shared" si="72"/>
        <v>261.27</v>
      </c>
      <c r="T256" s="35">
        <f t="shared" si="73"/>
        <v>263.95</v>
      </c>
      <c r="U256" s="25"/>
      <c r="V256" s="25">
        <f t="shared" si="74"/>
        <v>263.49</v>
      </c>
      <c r="W256" s="25">
        <f t="shared" si="75"/>
        <v>-6.2900000000000205</v>
      </c>
    </row>
    <row r="257" spans="1:23">
      <c r="A257" s="28" t="s">
        <v>485</v>
      </c>
      <c r="B257" s="28" t="s">
        <v>899</v>
      </c>
      <c r="C257" s="26">
        <v>17.899999999999999</v>
      </c>
      <c r="D257" s="26">
        <v>1079.49</v>
      </c>
      <c r="E257" s="26">
        <f t="shared" si="62"/>
        <v>1097.3900000000001</v>
      </c>
      <c r="F257" s="27" t="str">
        <f t="shared" si="63"/>
        <v>Yes</v>
      </c>
      <c r="G257" s="27" t="s">
        <v>651</v>
      </c>
      <c r="H257" s="11">
        <v>24.22</v>
      </c>
      <c r="I257" s="11">
        <v>0</v>
      </c>
      <c r="J257" s="35">
        <f t="shared" si="64"/>
        <v>1097.3900000000001</v>
      </c>
      <c r="K257" s="35">
        <f t="shared" si="65"/>
        <v>1116.4091779448779</v>
      </c>
      <c r="L257" s="35">
        <f t="shared" si="66"/>
        <v>1129.3678112513844</v>
      </c>
      <c r="M257" s="35">
        <f t="shared" si="67"/>
        <v>1114.3390186347983</v>
      </c>
      <c r="N257" s="35">
        <f t="shared" si="68"/>
        <v>1125.4824088211462</v>
      </c>
      <c r="O257" s="25"/>
      <c r="P257" s="35">
        <f t="shared" si="69"/>
        <v>1073.17</v>
      </c>
      <c r="Q257" s="35">
        <f t="shared" si="70"/>
        <v>1092.19</v>
      </c>
      <c r="R257" s="35">
        <f t="shared" si="71"/>
        <v>1105.1500000000001</v>
      </c>
      <c r="S257" s="35">
        <f t="shared" si="72"/>
        <v>1090.1199999999999</v>
      </c>
      <c r="T257" s="35">
        <f t="shared" si="73"/>
        <v>1101.26</v>
      </c>
      <c r="U257" s="25"/>
      <c r="V257" s="25">
        <f t="shared" si="74"/>
        <v>1097.3900000000001</v>
      </c>
      <c r="W257" s="25">
        <f t="shared" si="75"/>
        <v>-24.220000000000027</v>
      </c>
    </row>
    <row r="258" spans="1:23">
      <c r="A258" s="28" t="s">
        <v>487</v>
      </c>
      <c r="B258" s="28" t="s">
        <v>900</v>
      </c>
      <c r="C258" s="26">
        <v>32.299999999999997</v>
      </c>
      <c r="D258" s="26">
        <v>5661.72</v>
      </c>
      <c r="E258" s="26">
        <f t="shared" si="62"/>
        <v>5694.02</v>
      </c>
      <c r="F258" s="27" t="str">
        <f t="shared" si="63"/>
        <v>Yes</v>
      </c>
      <c r="G258" s="27" t="s">
        <v>651</v>
      </c>
      <c r="H258" s="11">
        <v>0</v>
      </c>
      <c r="I258" s="11">
        <v>0</v>
      </c>
      <c r="J258" s="35">
        <f t="shared" si="64"/>
        <v>5694.02</v>
      </c>
      <c r="K258" s="35">
        <f t="shared" si="65"/>
        <v>5792.7046787392756</v>
      </c>
      <c r="L258" s="35">
        <f t="shared" si="66"/>
        <v>5859.9430508949481</v>
      </c>
      <c r="M258" s="35">
        <f t="shared" si="67"/>
        <v>5781.9632572621522</v>
      </c>
      <c r="N258" s="35">
        <f t="shared" si="68"/>
        <v>5839.7828898347734</v>
      </c>
      <c r="O258" s="25"/>
      <c r="P258" s="35">
        <f t="shared" si="69"/>
        <v>5694.02</v>
      </c>
      <c r="Q258" s="35">
        <f t="shared" si="70"/>
        <v>5792.7</v>
      </c>
      <c r="R258" s="35">
        <f t="shared" si="71"/>
        <v>5859.94</v>
      </c>
      <c r="S258" s="35">
        <f t="shared" si="72"/>
        <v>5781.96</v>
      </c>
      <c r="T258" s="35">
        <f t="shared" si="73"/>
        <v>5839.78</v>
      </c>
      <c r="U258" s="25"/>
      <c r="V258" s="25">
        <f t="shared" si="74"/>
        <v>5694.02</v>
      </c>
      <c r="W258" s="25">
        <f t="shared" si="75"/>
        <v>0</v>
      </c>
    </row>
    <row r="259" spans="1:23">
      <c r="A259" s="28" t="s">
        <v>489</v>
      </c>
      <c r="B259" s="28" t="s">
        <v>901</v>
      </c>
      <c r="C259" s="26">
        <v>68</v>
      </c>
      <c r="D259" s="26">
        <v>14715.17</v>
      </c>
      <c r="E259" s="26">
        <f t="shared" si="62"/>
        <v>14783.17</v>
      </c>
      <c r="F259" s="27" t="str">
        <f t="shared" si="63"/>
        <v>Yes</v>
      </c>
      <c r="G259" s="27" t="s">
        <v>651</v>
      </c>
      <c r="H259" s="11">
        <v>3</v>
      </c>
      <c r="I259" s="11">
        <v>0</v>
      </c>
      <c r="J259" s="35">
        <f t="shared" si="64"/>
        <v>14783.17</v>
      </c>
      <c r="K259" s="35">
        <f t="shared" si="65"/>
        <v>15039.381320332224</v>
      </c>
      <c r="L259" s="35">
        <f t="shared" si="66"/>
        <v>15213.949777432932</v>
      </c>
      <c r="M259" s="35">
        <f t="shared" si="67"/>
        <v>15011.49377168681</v>
      </c>
      <c r="N259" s="35">
        <f t="shared" si="68"/>
        <v>15161.608709403677</v>
      </c>
      <c r="O259" s="25"/>
      <c r="P259" s="35">
        <f t="shared" si="69"/>
        <v>14780.17</v>
      </c>
      <c r="Q259" s="35">
        <f t="shared" si="70"/>
        <v>15036.38</v>
      </c>
      <c r="R259" s="35">
        <f t="shared" si="71"/>
        <v>15210.95</v>
      </c>
      <c r="S259" s="35">
        <f t="shared" si="72"/>
        <v>15008.49</v>
      </c>
      <c r="T259" s="35">
        <f t="shared" si="73"/>
        <v>15158.61</v>
      </c>
      <c r="U259" s="25"/>
      <c r="V259" s="25">
        <f t="shared" si="74"/>
        <v>14783.17</v>
      </c>
      <c r="W259" s="25">
        <f t="shared" si="75"/>
        <v>-3</v>
      </c>
    </row>
    <row r="260" spans="1:23">
      <c r="A260" s="28" t="s">
        <v>491</v>
      </c>
      <c r="B260" s="28" t="s">
        <v>902</v>
      </c>
      <c r="C260" s="26">
        <v>0</v>
      </c>
      <c r="D260" s="26">
        <v>6597.27</v>
      </c>
      <c r="E260" s="26">
        <f t="shared" si="62"/>
        <v>6597.27</v>
      </c>
      <c r="F260" s="27" t="str">
        <f t="shared" si="63"/>
        <v>Yes</v>
      </c>
      <c r="G260" s="27" t="s">
        <v>651</v>
      </c>
      <c r="H260" s="11">
        <v>3.51</v>
      </c>
      <c r="I260" s="11">
        <v>0</v>
      </c>
      <c r="J260" s="35">
        <f t="shared" si="64"/>
        <v>6597.27</v>
      </c>
      <c r="K260" s="35">
        <f t="shared" si="65"/>
        <v>6711.6091611736983</v>
      </c>
      <c r="L260" s="35">
        <f t="shared" si="66"/>
        <v>6789.5136461371258</v>
      </c>
      <c r="M260" s="35">
        <f t="shared" si="67"/>
        <v>6699.1638136567635</v>
      </c>
      <c r="N260" s="35">
        <f t="shared" si="68"/>
        <v>6766.1554517933309</v>
      </c>
      <c r="O260" s="25"/>
      <c r="P260" s="35">
        <f t="shared" si="69"/>
        <v>6593.76</v>
      </c>
      <c r="Q260" s="35">
        <f t="shared" si="70"/>
        <v>6708.1</v>
      </c>
      <c r="R260" s="35">
        <f t="shared" si="71"/>
        <v>6786</v>
      </c>
      <c r="S260" s="35">
        <f t="shared" si="72"/>
        <v>6695.65</v>
      </c>
      <c r="T260" s="35">
        <f t="shared" si="73"/>
        <v>6762.65</v>
      </c>
      <c r="U260" s="25"/>
      <c r="V260" s="25">
        <f t="shared" si="74"/>
        <v>6597.27</v>
      </c>
      <c r="W260" s="25">
        <f t="shared" si="75"/>
        <v>-3.5100000000002183</v>
      </c>
    </row>
    <row r="261" spans="1:23">
      <c r="A261" s="28" t="s">
        <v>493</v>
      </c>
      <c r="B261" s="28" t="s">
        <v>903</v>
      </c>
      <c r="C261" s="26">
        <v>16.899999999999999</v>
      </c>
      <c r="D261" s="26">
        <v>9444.91</v>
      </c>
      <c r="E261" s="26">
        <f t="shared" si="62"/>
        <v>9461.81</v>
      </c>
      <c r="F261" s="27" t="str">
        <f t="shared" si="63"/>
        <v>Yes</v>
      </c>
      <c r="G261" s="27" t="s">
        <v>651</v>
      </c>
      <c r="H261" s="11">
        <v>254.74</v>
      </c>
      <c r="I261" s="11">
        <v>0</v>
      </c>
      <c r="J261" s="35">
        <f t="shared" si="64"/>
        <v>9461.81</v>
      </c>
      <c r="K261" s="35">
        <f t="shared" si="65"/>
        <v>9625.7953179549877</v>
      </c>
      <c r="L261" s="35">
        <f t="shared" si="66"/>
        <v>9737.5259936544517</v>
      </c>
      <c r="M261" s="35">
        <f t="shared" si="67"/>
        <v>9607.9461904235668</v>
      </c>
      <c r="N261" s="35">
        <f t="shared" si="68"/>
        <v>9704.0256523278022</v>
      </c>
      <c r="O261" s="25"/>
      <c r="P261" s="35">
        <f t="shared" si="69"/>
        <v>9207.07</v>
      </c>
      <c r="Q261" s="35">
        <f t="shared" si="70"/>
        <v>9371.06</v>
      </c>
      <c r="R261" s="35">
        <f t="shared" si="71"/>
        <v>9482.7900000000009</v>
      </c>
      <c r="S261" s="35">
        <f t="shared" si="72"/>
        <v>9353.2099999999991</v>
      </c>
      <c r="T261" s="35">
        <f t="shared" si="73"/>
        <v>9449.2900000000009</v>
      </c>
      <c r="U261" s="25"/>
      <c r="V261" s="25">
        <f t="shared" si="74"/>
        <v>9461.81</v>
      </c>
      <c r="W261" s="25">
        <f t="shared" si="75"/>
        <v>-254.73999999999978</v>
      </c>
    </row>
    <row r="262" spans="1:23">
      <c r="A262" s="28" t="s">
        <v>495</v>
      </c>
      <c r="B262" s="28" t="s">
        <v>904</v>
      </c>
      <c r="C262" s="26">
        <v>0</v>
      </c>
      <c r="D262" s="26">
        <v>929.61</v>
      </c>
      <c r="E262" s="26">
        <f t="shared" si="62"/>
        <v>929.61</v>
      </c>
      <c r="F262" s="27" t="str">
        <f t="shared" si="63"/>
        <v>Yes</v>
      </c>
      <c r="G262" s="27" t="s">
        <v>651</v>
      </c>
      <c r="H262" s="11">
        <v>0</v>
      </c>
      <c r="I262" s="11">
        <v>0</v>
      </c>
      <c r="J262" s="35">
        <f t="shared" si="64"/>
        <v>929.61</v>
      </c>
      <c r="K262" s="35">
        <f t="shared" si="65"/>
        <v>945.72133508537343</v>
      </c>
      <c r="L262" s="35">
        <f t="shared" si="66"/>
        <v>956.69872243905934</v>
      </c>
      <c r="M262" s="35">
        <f t="shared" si="67"/>
        <v>943.96768251314006</v>
      </c>
      <c r="N262" s="35">
        <f t="shared" si="68"/>
        <v>953.40735933827148</v>
      </c>
      <c r="O262" s="25"/>
      <c r="P262" s="35">
        <f t="shared" si="69"/>
        <v>929.61</v>
      </c>
      <c r="Q262" s="35">
        <f t="shared" si="70"/>
        <v>945.72</v>
      </c>
      <c r="R262" s="35">
        <f t="shared" si="71"/>
        <v>956.7</v>
      </c>
      <c r="S262" s="35">
        <f t="shared" si="72"/>
        <v>943.97</v>
      </c>
      <c r="T262" s="35">
        <f t="shared" si="73"/>
        <v>953.41</v>
      </c>
      <c r="U262" s="25"/>
      <c r="V262" s="25">
        <f t="shared" si="74"/>
        <v>929.61</v>
      </c>
      <c r="W262" s="25">
        <f t="shared" si="75"/>
        <v>0</v>
      </c>
    </row>
    <row r="263" spans="1:23">
      <c r="A263" s="28" t="s">
        <v>497</v>
      </c>
      <c r="B263" s="28" t="s">
        <v>905</v>
      </c>
      <c r="C263" s="26">
        <v>13.5</v>
      </c>
      <c r="D263" s="26">
        <v>553.72</v>
      </c>
      <c r="E263" s="26">
        <f t="shared" si="62"/>
        <v>567.22</v>
      </c>
      <c r="F263" s="27" t="str">
        <f t="shared" si="63"/>
        <v>Yes</v>
      </c>
      <c r="G263" s="27" t="s">
        <v>653</v>
      </c>
      <c r="H263" s="11">
        <v>0</v>
      </c>
      <c r="I263" s="11">
        <v>234.10999999999999</v>
      </c>
      <c r="J263" s="35">
        <f t="shared" si="64"/>
        <v>567.22</v>
      </c>
      <c r="K263" s="35">
        <f t="shared" si="65"/>
        <v>577.0506510118496</v>
      </c>
      <c r="L263" s="35">
        <f t="shared" si="66"/>
        <v>583.74872187463905</v>
      </c>
      <c r="M263" s="35">
        <f t="shared" si="67"/>
        <v>575.98062507406678</v>
      </c>
      <c r="N263" s="35">
        <f t="shared" si="68"/>
        <v>581.74043132480745</v>
      </c>
      <c r="O263" s="25"/>
      <c r="P263" s="35">
        <f t="shared" si="69"/>
        <v>801.33</v>
      </c>
      <c r="Q263" s="35">
        <f t="shared" si="70"/>
        <v>811.16</v>
      </c>
      <c r="R263" s="35">
        <f t="shared" si="71"/>
        <v>817.86</v>
      </c>
      <c r="S263" s="35">
        <f t="shared" si="72"/>
        <v>810.09</v>
      </c>
      <c r="T263" s="35">
        <f t="shared" si="73"/>
        <v>815.85</v>
      </c>
      <c r="U263" s="25"/>
      <c r="V263" s="25">
        <f t="shared" si="74"/>
        <v>567.22</v>
      </c>
      <c r="W263" s="25">
        <f t="shared" si="75"/>
        <v>234.11</v>
      </c>
    </row>
    <row r="264" spans="1:23">
      <c r="A264" s="28" t="s">
        <v>499</v>
      </c>
      <c r="B264" s="28" t="s">
        <v>906</v>
      </c>
      <c r="C264" s="26">
        <v>32.93</v>
      </c>
      <c r="D264" s="26">
        <v>2080.33</v>
      </c>
      <c r="E264" s="26">
        <f t="shared" si="62"/>
        <v>2113.2599999999998</v>
      </c>
      <c r="F264" s="27" t="str">
        <f t="shared" si="63"/>
        <v>Yes</v>
      </c>
      <c r="G264" s="27" t="s">
        <v>651</v>
      </c>
      <c r="H264" s="11">
        <v>0</v>
      </c>
      <c r="I264" s="11">
        <v>0</v>
      </c>
      <c r="J264" s="35">
        <f t="shared" si="64"/>
        <v>2113.2599999999998</v>
      </c>
      <c r="K264" s="35">
        <f t="shared" si="65"/>
        <v>2149.8855096035068</v>
      </c>
      <c r="L264" s="35">
        <f t="shared" si="66"/>
        <v>2174.8401396086169</v>
      </c>
      <c r="M264" s="35">
        <f t="shared" si="67"/>
        <v>2145.8989734918064</v>
      </c>
      <c r="N264" s="35">
        <f t="shared" si="68"/>
        <v>2167.3579632267247</v>
      </c>
      <c r="O264" s="25"/>
      <c r="P264" s="35">
        <f t="shared" si="69"/>
        <v>2113.2600000000002</v>
      </c>
      <c r="Q264" s="35">
        <f t="shared" si="70"/>
        <v>2149.89</v>
      </c>
      <c r="R264" s="35">
        <f t="shared" si="71"/>
        <v>2174.84</v>
      </c>
      <c r="S264" s="35">
        <f t="shared" si="72"/>
        <v>2145.9</v>
      </c>
      <c r="T264" s="35">
        <f t="shared" si="73"/>
        <v>2167.36</v>
      </c>
      <c r="U264" s="25"/>
      <c r="V264" s="25">
        <f t="shared" si="74"/>
        <v>2113.2599999999998</v>
      </c>
      <c r="W264" s="25">
        <f t="shared" si="75"/>
        <v>0</v>
      </c>
    </row>
    <row r="265" spans="1:23">
      <c r="A265" s="28" t="s">
        <v>501</v>
      </c>
      <c r="B265" s="28" t="s">
        <v>907</v>
      </c>
      <c r="C265" s="26">
        <v>0</v>
      </c>
      <c r="D265" s="26">
        <v>1250.43</v>
      </c>
      <c r="E265" s="26">
        <f t="shared" si="62"/>
        <v>1250.43</v>
      </c>
      <c r="F265" s="27" t="str">
        <f t="shared" si="63"/>
        <v>Yes</v>
      </c>
      <c r="G265" s="27" t="s">
        <v>651</v>
      </c>
      <c r="H265" s="11">
        <v>0</v>
      </c>
      <c r="I265" s="11">
        <v>0</v>
      </c>
      <c r="J265" s="35">
        <f t="shared" si="64"/>
        <v>1250.43</v>
      </c>
      <c r="K265" s="35">
        <f t="shared" si="65"/>
        <v>1272.1015576755881</v>
      </c>
      <c r="L265" s="35">
        <f t="shared" si="66"/>
        <v>1286.8673782548306</v>
      </c>
      <c r="M265" s="35">
        <f t="shared" si="67"/>
        <v>1269.7426977387354</v>
      </c>
      <c r="N265" s="35">
        <f t="shared" si="68"/>
        <v>1282.4401247161227</v>
      </c>
      <c r="O265" s="25"/>
      <c r="P265" s="35">
        <f t="shared" si="69"/>
        <v>1250.43</v>
      </c>
      <c r="Q265" s="35">
        <f t="shared" si="70"/>
        <v>1272.0999999999999</v>
      </c>
      <c r="R265" s="35">
        <f t="shared" si="71"/>
        <v>1286.8699999999999</v>
      </c>
      <c r="S265" s="35">
        <f t="shared" si="72"/>
        <v>1269.74</v>
      </c>
      <c r="T265" s="35">
        <f t="shared" si="73"/>
        <v>1282.44</v>
      </c>
      <c r="U265" s="25"/>
      <c r="V265" s="25">
        <f t="shared" si="74"/>
        <v>1250.43</v>
      </c>
      <c r="W265" s="25">
        <f t="shared" si="75"/>
        <v>0</v>
      </c>
    </row>
    <row r="266" spans="1:23">
      <c r="A266" s="28" t="s">
        <v>908</v>
      </c>
      <c r="B266" s="28" t="s">
        <v>909</v>
      </c>
      <c r="C266" s="26">
        <v>0</v>
      </c>
      <c r="D266" s="26">
        <v>131.4</v>
      </c>
      <c r="E266" s="26">
        <f t="shared" ref="E266:E311" si="76">SUM(C266:D266)</f>
        <v>131.4</v>
      </c>
      <c r="F266" s="27" t="str">
        <f t="shared" ref="F266:F311" si="77">IF(E266&gt;100,"Yes","No")</f>
        <v>Yes</v>
      </c>
      <c r="G266" s="27" t="s">
        <v>651</v>
      </c>
      <c r="H266" s="11">
        <v>0</v>
      </c>
      <c r="I266" s="11">
        <v>0</v>
      </c>
      <c r="J266" s="35">
        <f t="shared" ref="J266:J311" si="78">(IF($F266="Yes",($E266*(1+J$4)),$E266))</f>
        <v>131.4</v>
      </c>
      <c r="K266" s="35">
        <f t="shared" ref="K266:K311" si="79">(IF($F266="Yes",(($E266*(1+J$4))*(1+K$4)),$E266))</f>
        <v>133.6773307410829</v>
      </c>
      <c r="L266" s="35">
        <f t="shared" ref="L266:L311" si="80">(IF($F266="Yes",((($E266*(1+J$4))*(1+K$4))*(1+L$4)),$E266))</f>
        <v>135.22898003301643</v>
      </c>
      <c r="M266" s="35">
        <f t="shared" ref="M266:M311" si="81">(IF($F266="Yes",(((($E266*(1+J$4))*(1+K$4))*(1+L$4))*(1+M$4)),$E266))</f>
        <v>133.42945265458269</v>
      </c>
      <c r="N266" s="35">
        <f t="shared" ref="N266:N311" si="82">(IF($F266="Yes",((((($E266*(1+J$4))*(1+K$4))*(1+L$4))*(1+M$4))*(1+N$4)),$E266))</f>
        <v>134.76374718112851</v>
      </c>
      <c r="O266" s="25"/>
      <c r="P266" s="35">
        <f t="shared" ref="P266:P311" si="83">ROUND(J266-$H266+$I266,2)</f>
        <v>131.4</v>
      </c>
      <c r="Q266" s="35">
        <f t="shared" si="70"/>
        <v>133.68</v>
      </c>
      <c r="R266" s="35">
        <f t="shared" si="71"/>
        <v>135.22999999999999</v>
      </c>
      <c r="S266" s="35">
        <f t="shared" si="72"/>
        <v>133.43</v>
      </c>
      <c r="T266" s="35">
        <f t="shared" si="73"/>
        <v>134.76</v>
      </c>
      <c r="U266" s="25"/>
      <c r="V266" s="25">
        <f t="shared" ref="V266:V311" si="84">J266</f>
        <v>131.4</v>
      </c>
      <c r="W266" s="25">
        <f t="shared" ref="W266:W311" si="85">P266-V266</f>
        <v>0</v>
      </c>
    </row>
    <row r="267" spans="1:23">
      <c r="A267" s="28" t="s">
        <v>503</v>
      </c>
      <c r="B267" s="28" t="s">
        <v>910</v>
      </c>
      <c r="C267" s="26">
        <v>0</v>
      </c>
      <c r="D267" s="26">
        <v>410.06</v>
      </c>
      <c r="E267" s="26">
        <f t="shared" si="76"/>
        <v>410.06</v>
      </c>
      <c r="F267" s="27" t="str">
        <f t="shared" si="77"/>
        <v>Yes</v>
      </c>
      <c r="G267" s="27" t="s">
        <v>651</v>
      </c>
      <c r="H267" s="11">
        <v>0</v>
      </c>
      <c r="I267" s="11">
        <v>0</v>
      </c>
      <c r="J267" s="35">
        <f t="shared" si="78"/>
        <v>410.06</v>
      </c>
      <c r="K267" s="35">
        <f t="shared" si="79"/>
        <v>417.16686639032304</v>
      </c>
      <c r="L267" s="35">
        <f t="shared" si="80"/>
        <v>422.00909857183194</v>
      </c>
      <c r="M267" s="35">
        <f t="shared" si="81"/>
        <v>416.39331320805309</v>
      </c>
      <c r="N267" s="35">
        <f t="shared" si="82"/>
        <v>420.55724634013364</v>
      </c>
      <c r="O267" s="25"/>
      <c r="P267" s="35">
        <f t="shared" si="83"/>
        <v>410.06</v>
      </c>
      <c r="Q267" s="35">
        <f t="shared" ref="Q267:Q311" si="86">ROUND(K267-$H267+$I267,2)</f>
        <v>417.17</v>
      </c>
      <c r="R267" s="35">
        <f t="shared" ref="R267:R311" si="87">ROUND(L267-$H267+$I267,2)</f>
        <v>422.01</v>
      </c>
      <c r="S267" s="35">
        <f t="shared" ref="S267:S311" si="88">ROUND(M267-$H267+$I267,2)</f>
        <v>416.39</v>
      </c>
      <c r="T267" s="35">
        <f t="shared" ref="T267:T311" si="89">ROUND(N267-$H267+$I267,2)</f>
        <v>420.56</v>
      </c>
      <c r="U267" s="25"/>
      <c r="V267" s="25">
        <f t="shared" si="84"/>
        <v>410.06</v>
      </c>
      <c r="W267" s="25">
        <f t="shared" si="85"/>
        <v>0</v>
      </c>
    </row>
    <row r="268" spans="1:23">
      <c r="A268" s="28" t="s">
        <v>505</v>
      </c>
      <c r="B268" s="28" t="s">
        <v>911</v>
      </c>
      <c r="C268" s="26">
        <v>0</v>
      </c>
      <c r="D268" s="26">
        <v>19</v>
      </c>
      <c r="E268" s="26">
        <f t="shared" si="76"/>
        <v>19</v>
      </c>
      <c r="F268" s="27" t="str">
        <f t="shared" si="77"/>
        <v>No</v>
      </c>
      <c r="G268" s="27" t="s">
        <v>653</v>
      </c>
      <c r="H268" s="11">
        <v>0</v>
      </c>
      <c r="I268" s="11">
        <v>13</v>
      </c>
      <c r="J268" s="35">
        <f t="shared" si="78"/>
        <v>19</v>
      </c>
      <c r="K268" s="35">
        <f t="shared" si="79"/>
        <v>19</v>
      </c>
      <c r="L268" s="35">
        <f t="shared" si="80"/>
        <v>19</v>
      </c>
      <c r="M268" s="35">
        <f t="shared" si="81"/>
        <v>19</v>
      </c>
      <c r="N268" s="35">
        <f t="shared" si="82"/>
        <v>19</v>
      </c>
      <c r="O268" s="25"/>
      <c r="P268" s="35">
        <f t="shared" si="83"/>
        <v>32</v>
      </c>
      <c r="Q268" s="35">
        <f t="shared" si="86"/>
        <v>32</v>
      </c>
      <c r="R268" s="35">
        <f t="shared" si="87"/>
        <v>32</v>
      </c>
      <c r="S268" s="35">
        <f t="shared" si="88"/>
        <v>32</v>
      </c>
      <c r="T268" s="35">
        <f t="shared" si="89"/>
        <v>32</v>
      </c>
      <c r="U268" s="25"/>
      <c r="V268" s="25">
        <f t="shared" si="84"/>
        <v>19</v>
      </c>
      <c r="W268" s="25">
        <f t="shared" si="85"/>
        <v>13</v>
      </c>
    </row>
    <row r="269" spans="1:23">
      <c r="A269" s="28" t="s">
        <v>507</v>
      </c>
      <c r="B269" s="28" t="s">
        <v>912</v>
      </c>
      <c r="C269" s="26">
        <v>65.260000000000005</v>
      </c>
      <c r="D269" s="26">
        <v>5314.47</v>
      </c>
      <c r="E269" s="26">
        <f t="shared" si="76"/>
        <v>5379.7300000000005</v>
      </c>
      <c r="F269" s="27" t="str">
        <f t="shared" si="77"/>
        <v>Yes</v>
      </c>
      <c r="G269" s="27" t="s">
        <v>651</v>
      </c>
      <c r="H269" s="11">
        <v>5</v>
      </c>
      <c r="I269" s="11">
        <v>0</v>
      </c>
      <c r="J269" s="35">
        <f t="shared" si="78"/>
        <v>5379.7300000000005</v>
      </c>
      <c r="K269" s="35">
        <f t="shared" si="79"/>
        <v>5472.9676294347482</v>
      </c>
      <c r="L269" s="35">
        <f t="shared" si="80"/>
        <v>5536.4946784856893</v>
      </c>
      <c r="M269" s="35">
        <f t="shared" si="81"/>
        <v>5462.8190968754807</v>
      </c>
      <c r="N269" s="35">
        <f t="shared" si="82"/>
        <v>5517.4472878442357</v>
      </c>
      <c r="O269" s="25"/>
      <c r="P269" s="35">
        <f t="shared" si="83"/>
        <v>5374.73</v>
      </c>
      <c r="Q269" s="35">
        <f t="shared" si="86"/>
        <v>5467.97</v>
      </c>
      <c r="R269" s="35">
        <f t="shared" si="87"/>
        <v>5531.49</v>
      </c>
      <c r="S269" s="35">
        <f t="shared" si="88"/>
        <v>5457.82</v>
      </c>
      <c r="T269" s="35">
        <f t="shared" si="89"/>
        <v>5512.45</v>
      </c>
      <c r="U269" s="25"/>
      <c r="V269" s="25">
        <f t="shared" si="84"/>
        <v>5379.7300000000005</v>
      </c>
      <c r="W269" s="25">
        <f t="shared" si="85"/>
        <v>-5.0000000000009095</v>
      </c>
    </row>
    <row r="270" spans="1:23">
      <c r="A270" s="28" t="s">
        <v>509</v>
      </c>
      <c r="B270" s="28" t="s">
        <v>913</v>
      </c>
      <c r="C270" s="26">
        <v>15.3</v>
      </c>
      <c r="D270" s="26">
        <v>1479.96</v>
      </c>
      <c r="E270" s="26">
        <f t="shared" si="76"/>
        <v>1495.26</v>
      </c>
      <c r="F270" s="27" t="str">
        <f t="shared" si="77"/>
        <v>Yes</v>
      </c>
      <c r="G270" s="27" t="s">
        <v>651</v>
      </c>
      <c r="H270" s="11">
        <v>0</v>
      </c>
      <c r="I270" s="11">
        <v>0</v>
      </c>
      <c r="J270" s="35">
        <f t="shared" si="78"/>
        <v>1495.26</v>
      </c>
      <c r="K270" s="35">
        <f t="shared" si="79"/>
        <v>1521.1747759810623</v>
      </c>
      <c r="L270" s="35">
        <f t="shared" si="80"/>
        <v>1538.8316947044759</v>
      </c>
      <c r="M270" s="35">
        <f t="shared" si="81"/>
        <v>1518.3540591802989</v>
      </c>
      <c r="N270" s="35">
        <f t="shared" si="82"/>
        <v>1533.5375997721019</v>
      </c>
      <c r="O270" s="25"/>
      <c r="P270" s="35">
        <f t="shared" si="83"/>
        <v>1495.26</v>
      </c>
      <c r="Q270" s="35">
        <f t="shared" si="86"/>
        <v>1521.17</v>
      </c>
      <c r="R270" s="35">
        <f t="shared" si="87"/>
        <v>1538.83</v>
      </c>
      <c r="S270" s="35">
        <f t="shared" si="88"/>
        <v>1518.35</v>
      </c>
      <c r="T270" s="35">
        <f t="shared" si="89"/>
        <v>1533.54</v>
      </c>
      <c r="U270" s="25"/>
      <c r="V270" s="25">
        <f t="shared" si="84"/>
        <v>1495.26</v>
      </c>
      <c r="W270" s="25">
        <f t="shared" si="85"/>
        <v>0</v>
      </c>
    </row>
    <row r="271" spans="1:23">
      <c r="A271" s="28" t="s">
        <v>511</v>
      </c>
      <c r="B271" s="28" t="s">
        <v>914</v>
      </c>
      <c r="C271" s="26">
        <v>8.1999999999999993</v>
      </c>
      <c r="D271" s="26">
        <v>227.67</v>
      </c>
      <c r="E271" s="26">
        <f t="shared" si="76"/>
        <v>235.86999999999998</v>
      </c>
      <c r="F271" s="27" t="str">
        <f t="shared" si="77"/>
        <v>Yes</v>
      </c>
      <c r="G271" s="27" t="s">
        <v>651</v>
      </c>
      <c r="H271" s="11">
        <v>0</v>
      </c>
      <c r="I271" s="11">
        <v>0</v>
      </c>
      <c r="J271" s="35">
        <f t="shared" si="78"/>
        <v>235.86999999999998</v>
      </c>
      <c r="K271" s="35">
        <f t="shared" si="79"/>
        <v>239.95792999923302</v>
      </c>
      <c r="L271" s="35">
        <f t="shared" si="80"/>
        <v>242.74322313841387</v>
      </c>
      <c r="M271" s="35">
        <f t="shared" si="81"/>
        <v>239.51297562889204</v>
      </c>
      <c r="N271" s="35">
        <f t="shared" si="82"/>
        <v>241.90810538518096</v>
      </c>
      <c r="O271" s="25"/>
      <c r="P271" s="35">
        <f t="shared" si="83"/>
        <v>235.87</v>
      </c>
      <c r="Q271" s="35">
        <f t="shared" si="86"/>
        <v>239.96</v>
      </c>
      <c r="R271" s="35">
        <f t="shared" si="87"/>
        <v>242.74</v>
      </c>
      <c r="S271" s="35">
        <f t="shared" si="88"/>
        <v>239.51</v>
      </c>
      <c r="T271" s="35">
        <f t="shared" si="89"/>
        <v>241.91</v>
      </c>
      <c r="U271" s="25"/>
      <c r="V271" s="25">
        <f t="shared" si="84"/>
        <v>235.86999999999998</v>
      </c>
      <c r="W271" s="25">
        <f t="shared" si="85"/>
        <v>0</v>
      </c>
    </row>
    <row r="272" spans="1:23">
      <c r="A272" s="28" t="s">
        <v>513</v>
      </c>
      <c r="B272" s="28" t="s">
        <v>915</v>
      </c>
      <c r="C272" s="26">
        <v>15.4</v>
      </c>
      <c r="D272" s="26">
        <v>763.56</v>
      </c>
      <c r="E272" s="26">
        <f t="shared" si="76"/>
        <v>778.95999999999992</v>
      </c>
      <c r="F272" s="27" t="str">
        <f t="shared" si="77"/>
        <v>Yes</v>
      </c>
      <c r="G272" s="27" t="s">
        <v>651</v>
      </c>
      <c r="H272" s="11">
        <v>0</v>
      </c>
      <c r="I272" s="11">
        <v>0</v>
      </c>
      <c r="J272" s="35">
        <f t="shared" si="78"/>
        <v>778.95999999999992</v>
      </c>
      <c r="K272" s="35">
        <f t="shared" si="79"/>
        <v>792.46037712385021</v>
      </c>
      <c r="L272" s="35">
        <f t="shared" si="80"/>
        <v>801.65879974519385</v>
      </c>
      <c r="M272" s="35">
        <f t="shared" si="81"/>
        <v>790.99091658914551</v>
      </c>
      <c r="N272" s="35">
        <f t="shared" si="82"/>
        <v>798.90082575503698</v>
      </c>
      <c r="O272" s="25"/>
      <c r="P272" s="35">
        <f t="shared" si="83"/>
        <v>778.96</v>
      </c>
      <c r="Q272" s="35">
        <f t="shared" si="86"/>
        <v>792.46</v>
      </c>
      <c r="R272" s="35">
        <f t="shared" si="87"/>
        <v>801.66</v>
      </c>
      <c r="S272" s="35">
        <f t="shared" si="88"/>
        <v>790.99</v>
      </c>
      <c r="T272" s="35">
        <f t="shared" si="89"/>
        <v>798.9</v>
      </c>
      <c r="U272" s="25"/>
      <c r="V272" s="25">
        <f t="shared" si="84"/>
        <v>778.95999999999992</v>
      </c>
      <c r="W272" s="25">
        <f t="shared" si="85"/>
        <v>0</v>
      </c>
    </row>
    <row r="273" spans="1:23">
      <c r="A273" s="28" t="s">
        <v>515</v>
      </c>
      <c r="B273" s="28" t="s">
        <v>916</v>
      </c>
      <c r="C273" s="26">
        <v>0</v>
      </c>
      <c r="D273" s="26">
        <v>283.07</v>
      </c>
      <c r="E273" s="26">
        <f t="shared" si="76"/>
        <v>283.07</v>
      </c>
      <c r="F273" s="27" t="str">
        <f t="shared" si="77"/>
        <v>Yes</v>
      </c>
      <c r="G273" s="27" t="s">
        <v>651</v>
      </c>
      <c r="H273" s="11">
        <v>8</v>
      </c>
      <c r="I273" s="11">
        <v>0</v>
      </c>
      <c r="J273" s="35">
        <f t="shared" si="78"/>
        <v>283.07</v>
      </c>
      <c r="K273" s="35">
        <f t="shared" si="79"/>
        <v>287.97596661246826</v>
      </c>
      <c r="L273" s="35">
        <f t="shared" si="80"/>
        <v>291.31862540293724</v>
      </c>
      <c r="M273" s="35">
        <f t="shared" si="81"/>
        <v>287.44197232064471</v>
      </c>
      <c r="N273" s="35">
        <f t="shared" si="82"/>
        <v>290.31639204385118</v>
      </c>
      <c r="O273" s="25"/>
      <c r="P273" s="35">
        <f t="shared" si="83"/>
        <v>275.07</v>
      </c>
      <c r="Q273" s="35">
        <f t="shared" si="86"/>
        <v>279.98</v>
      </c>
      <c r="R273" s="35">
        <f t="shared" si="87"/>
        <v>283.32</v>
      </c>
      <c r="S273" s="35">
        <f t="shared" si="88"/>
        <v>279.44</v>
      </c>
      <c r="T273" s="35">
        <f t="shared" si="89"/>
        <v>282.32</v>
      </c>
      <c r="U273" s="25"/>
      <c r="V273" s="25">
        <f t="shared" si="84"/>
        <v>283.07</v>
      </c>
      <c r="W273" s="25">
        <f t="shared" si="85"/>
        <v>-8</v>
      </c>
    </row>
    <row r="274" spans="1:23">
      <c r="A274" s="28" t="s">
        <v>517</v>
      </c>
      <c r="B274" s="28" t="s">
        <v>917</v>
      </c>
      <c r="C274" s="26">
        <v>11.1</v>
      </c>
      <c r="D274" s="26">
        <v>254.48</v>
      </c>
      <c r="E274" s="26">
        <f t="shared" si="76"/>
        <v>265.58</v>
      </c>
      <c r="F274" s="27" t="str">
        <f t="shared" si="77"/>
        <v>Yes</v>
      </c>
      <c r="G274" s="27" t="s">
        <v>651</v>
      </c>
      <c r="H274" s="11">
        <v>0</v>
      </c>
      <c r="I274" s="11">
        <v>0</v>
      </c>
      <c r="J274" s="35">
        <f t="shared" si="78"/>
        <v>265.58</v>
      </c>
      <c r="K274" s="35">
        <f t="shared" si="79"/>
        <v>270.18284245218257</v>
      </c>
      <c r="L274" s="35">
        <f t="shared" si="80"/>
        <v>273.31896892822294</v>
      </c>
      <c r="M274" s="35">
        <f t="shared" si="81"/>
        <v>269.68184197872193</v>
      </c>
      <c r="N274" s="35">
        <f t="shared" si="82"/>
        <v>272.37866039850917</v>
      </c>
      <c r="O274" s="25"/>
      <c r="P274" s="35">
        <f t="shared" si="83"/>
        <v>265.58</v>
      </c>
      <c r="Q274" s="35">
        <f t="shared" si="86"/>
        <v>270.18</v>
      </c>
      <c r="R274" s="35">
        <f t="shared" si="87"/>
        <v>273.32</v>
      </c>
      <c r="S274" s="35">
        <f t="shared" si="88"/>
        <v>269.68</v>
      </c>
      <c r="T274" s="35">
        <f t="shared" si="89"/>
        <v>272.38</v>
      </c>
      <c r="U274" s="25"/>
      <c r="V274" s="25">
        <f t="shared" si="84"/>
        <v>265.58</v>
      </c>
      <c r="W274" s="25">
        <f t="shared" si="85"/>
        <v>0</v>
      </c>
    </row>
    <row r="275" spans="1:23">
      <c r="A275" s="28" t="s">
        <v>519</v>
      </c>
      <c r="B275" s="28" t="s">
        <v>918</v>
      </c>
      <c r="C275" s="26">
        <v>261.56</v>
      </c>
      <c r="D275" s="26">
        <v>10878.8</v>
      </c>
      <c r="E275" s="26">
        <f t="shared" si="76"/>
        <v>11140.359999999999</v>
      </c>
      <c r="F275" s="27" t="str">
        <f t="shared" si="77"/>
        <v>Yes</v>
      </c>
      <c r="G275" s="27" t="s">
        <v>651</v>
      </c>
      <c r="H275" s="11">
        <v>0</v>
      </c>
      <c r="I275" s="11">
        <v>0</v>
      </c>
      <c r="J275" s="35">
        <f t="shared" si="78"/>
        <v>11140.359999999999</v>
      </c>
      <c r="K275" s="35">
        <f t="shared" si="79"/>
        <v>11333.436745013165</v>
      </c>
      <c r="L275" s="35">
        <f t="shared" si="80"/>
        <v>11464.988736686564</v>
      </c>
      <c r="M275" s="35">
        <f t="shared" si="81"/>
        <v>11312.42113527402</v>
      </c>
      <c r="N275" s="35">
        <f t="shared" si="82"/>
        <v>11425.545346626761</v>
      </c>
      <c r="O275" s="25"/>
      <c r="P275" s="35">
        <f t="shared" si="83"/>
        <v>11140.36</v>
      </c>
      <c r="Q275" s="35">
        <f t="shared" si="86"/>
        <v>11333.44</v>
      </c>
      <c r="R275" s="35">
        <f t="shared" si="87"/>
        <v>11464.99</v>
      </c>
      <c r="S275" s="35">
        <f t="shared" si="88"/>
        <v>11312.42</v>
      </c>
      <c r="T275" s="35">
        <f t="shared" si="89"/>
        <v>11425.55</v>
      </c>
      <c r="U275" s="25"/>
      <c r="V275" s="25">
        <f t="shared" si="84"/>
        <v>11140.359999999999</v>
      </c>
      <c r="W275" s="25">
        <f t="shared" si="85"/>
        <v>0</v>
      </c>
    </row>
    <row r="276" spans="1:23">
      <c r="A276" s="28" t="s">
        <v>521</v>
      </c>
      <c r="B276" s="28" t="s">
        <v>919</v>
      </c>
      <c r="C276" s="26">
        <v>89.6</v>
      </c>
      <c r="D276" s="26">
        <v>4530.43</v>
      </c>
      <c r="E276" s="26">
        <f t="shared" si="76"/>
        <v>4620.0300000000007</v>
      </c>
      <c r="F276" s="27" t="str">
        <f t="shared" si="77"/>
        <v>Yes</v>
      </c>
      <c r="G276" s="27" t="s">
        <v>651</v>
      </c>
      <c r="H276" s="11">
        <v>0</v>
      </c>
      <c r="I276" s="11">
        <v>0</v>
      </c>
      <c r="J276" s="35">
        <f t="shared" si="78"/>
        <v>4620.0300000000007</v>
      </c>
      <c r="K276" s="35">
        <f t="shared" si="79"/>
        <v>4700.1010528441802</v>
      </c>
      <c r="L276" s="35">
        <f t="shared" si="80"/>
        <v>4754.6571128001297</v>
      </c>
      <c r="M276" s="35">
        <f t="shared" si="81"/>
        <v>4691.3856480041995</v>
      </c>
      <c r="N276" s="35">
        <f t="shared" si="82"/>
        <v>4738.2995044842419</v>
      </c>
      <c r="O276" s="25"/>
      <c r="P276" s="35">
        <f t="shared" si="83"/>
        <v>4620.03</v>
      </c>
      <c r="Q276" s="35">
        <f t="shared" si="86"/>
        <v>4700.1000000000004</v>
      </c>
      <c r="R276" s="35">
        <f t="shared" si="87"/>
        <v>4754.66</v>
      </c>
      <c r="S276" s="35">
        <f t="shared" si="88"/>
        <v>4691.3900000000003</v>
      </c>
      <c r="T276" s="35">
        <f t="shared" si="89"/>
        <v>4738.3</v>
      </c>
      <c r="U276" s="25"/>
      <c r="V276" s="25">
        <f t="shared" si="84"/>
        <v>4620.0300000000007</v>
      </c>
      <c r="W276" s="25">
        <f t="shared" si="85"/>
        <v>0</v>
      </c>
    </row>
    <row r="277" spans="1:23">
      <c r="A277" s="28" t="s">
        <v>523</v>
      </c>
      <c r="B277" s="28" t="s">
        <v>920</v>
      </c>
      <c r="C277" s="26">
        <v>48.2</v>
      </c>
      <c r="D277" s="26">
        <v>1976.4</v>
      </c>
      <c r="E277" s="26">
        <f t="shared" si="76"/>
        <v>2024.6000000000001</v>
      </c>
      <c r="F277" s="27" t="str">
        <f t="shared" si="77"/>
        <v>Yes</v>
      </c>
      <c r="G277" s="27" t="s">
        <v>651</v>
      </c>
      <c r="H277" s="11">
        <v>0</v>
      </c>
      <c r="I277" s="11">
        <v>0</v>
      </c>
      <c r="J277" s="35">
        <f t="shared" si="78"/>
        <v>2024.6000000000001</v>
      </c>
      <c r="K277" s="35">
        <f t="shared" si="79"/>
        <v>2059.6889179482223</v>
      </c>
      <c r="L277" s="35">
        <f t="shared" si="80"/>
        <v>2083.596597982078</v>
      </c>
      <c r="M277" s="35">
        <f t="shared" si="81"/>
        <v>2055.8696335195441</v>
      </c>
      <c r="N277" s="35">
        <f t="shared" si="82"/>
        <v>2076.4283298547393</v>
      </c>
      <c r="O277" s="25"/>
      <c r="P277" s="35">
        <f t="shared" si="83"/>
        <v>2024.6</v>
      </c>
      <c r="Q277" s="35">
        <f t="shared" si="86"/>
        <v>2059.69</v>
      </c>
      <c r="R277" s="35">
        <f t="shared" si="87"/>
        <v>2083.6</v>
      </c>
      <c r="S277" s="35">
        <f t="shared" si="88"/>
        <v>2055.87</v>
      </c>
      <c r="T277" s="35">
        <f t="shared" si="89"/>
        <v>2076.4299999999998</v>
      </c>
      <c r="U277" s="25"/>
      <c r="V277" s="25">
        <f t="shared" si="84"/>
        <v>2024.6000000000001</v>
      </c>
      <c r="W277" s="25">
        <f t="shared" si="85"/>
        <v>0</v>
      </c>
    </row>
    <row r="278" spans="1:23">
      <c r="A278" s="28" t="s">
        <v>525</v>
      </c>
      <c r="B278" s="28" t="s">
        <v>921</v>
      </c>
      <c r="C278" s="26">
        <v>61.1</v>
      </c>
      <c r="D278" s="26">
        <v>3435.22</v>
      </c>
      <c r="E278" s="26">
        <f t="shared" si="76"/>
        <v>3496.3199999999997</v>
      </c>
      <c r="F278" s="27" t="str">
        <f t="shared" si="77"/>
        <v>Yes</v>
      </c>
      <c r="G278" s="27" t="s">
        <v>651</v>
      </c>
      <c r="H278" s="11">
        <v>0</v>
      </c>
      <c r="I278" s="11">
        <v>0</v>
      </c>
      <c r="J278" s="35">
        <f t="shared" si="78"/>
        <v>3496.3199999999997</v>
      </c>
      <c r="K278" s="35">
        <f t="shared" si="79"/>
        <v>3556.9157154997174</v>
      </c>
      <c r="L278" s="35">
        <f t="shared" si="80"/>
        <v>3598.2023399470008</v>
      </c>
      <c r="M278" s="35">
        <f t="shared" si="81"/>
        <v>3550.3201210446759</v>
      </c>
      <c r="N278" s="35">
        <f t="shared" si="82"/>
        <v>3585.8233222551225</v>
      </c>
      <c r="O278" s="25"/>
      <c r="P278" s="35">
        <f t="shared" si="83"/>
        <v>3496.32</v>
      </c>
      <c r="Q278" s="35">
        <f t="shared" si="86"/>
        <v>3556.92</v>
      </c>
      <c r="R278" s="35">
        <f t="shared" si="87"/>
        <v>3598.2</v>
      </c>
      <c r="S278" s="35">
        <f t="shared" si="88"/>
        <v>3550.32</v>
      </c>
      <c r="T278" s="35">
        <f t="shared" si="89"/>
        <v>3585.82</v>
      </c>
      <c r="U278" s="25"/>
      <c r="V278" s="25">
        <f t="shared" si="84"/>
        <v>3496.3199999999997</v>
      </c>
      <c r="W278" s="25">
        <f t="shared" si="85"/>
        <v>0</v>
      </c>
    </row>
    <row r="279" spans="1:23">
      <c r="A279" s="31" t="s">
        <v>527</v>
      </c>
      <c r="B279" s="28" t="s">
        <v>922</v>
      </c>
      <c r="C279" s="26">
        <v>30</v>
      </c>
      <c r="D279" s="26">
        <v>1816.41</v>
      </c>
      <c r="E279" s="26">
        <f t="shared" si="76"/>
        <v>1846.41</v>
      </c>
      <c r="F279" s="27" t="str">
        <f t="shared" si="77"/>
        <v>Yes</v>
      </c>
      <c r="G279" s="27" t="s">
        <v>651</v>
      </c>
      <c r="H279" s="11">
        <v>0</v>
      </c>
      <c r="I279" s="11">
        <v>0</v>
      </c>
      <c r="J279" s="35">
        <f t="shared" si="78"/>
        <v>1846.41</v>
      </c>
      <c r="K279" s="35">
        <f t="shared" si="79"/>
        <v>1878.4106564204176</v>
      </c>
      <c r="L279" s="35">
        <f t="shared" si="80"/>
        <v>1900.2141630347176</v>
      </c>
      <c r="M279" s="35">
        <f t="shared" si="81"/>
        <v>1874.9275165597262</v>
      </c>
      <c r="N279" s="35">
        <f t="shared" si="82"/>
        <v>1893.6767917253235</v>
      </c>
      <c r="O279" s="25"/>
      <c r="P279" s="35">
        <f t="shared" si="83"/>
        <v>1846.41</v>
      </c>
      <c r="Q279" s="35">
        <f t="shared" si="86"/>
        <v>1878.41</v>
      </c>
      <c r="R279" s="35">
        <f t="shared" si="87"/>
        <v>1900.21</v>
      </c>
      <c r="S279" s="35">
        <f t="shared" si="88"/>
        <v>1874.93</v>
      </c>
      <c r="T279" s="35">
        <f t="shared" si="89"/>
        <v>1893.68</v>
      </c>
      <c r="U279" s="25"/>
      <c r="V279" s="25">
        <f t="shared" si="84"/>
        <v>1846.41</v>
      </c>
      <c r="W279" s="25">
        <f t="shared" si="85"/>
        <v>0</v>
      </c>
    </row>
    <row r="280" spans="1:23">
      <c r="A280" s="28" t="s">
        <v>529</v>
      </c>
      <c r="B280" s="28" t="s">
        <v>923</v>
      </c>
      <c r="C280" s="26">
        <v>43.4</v>
      </c>
      <c r="D280" s="26">
        <v>1884.01</v>
      </c>
      <c r="E280" s="26">
        <f t="shared" si="76"/>
        <v>1927.41</v>
      </c>
      <c r="F280" s="27" t="str">
        <f t="shared" si="77"/>
        <v>Yes</v>
      </c>
      <c r="G280" s="27" t="s">
        <v>651</v>
      </c>
      <c r="H280" s="11">
        <v>0</v>
      </c>
      <c r="I280" s="11">
        <v>0</v>
      </c>
      <c r="J280" s="35">
        <f t="shared" si="78"/>
        <v>1927.41</v>
      </c>
      <c r="K280" s="35">
        <f t="shared" si="79"/>
        <v>1960.8144904388932</v>
      </c>
      <c r="L280" s="35">
        <f t="shared" si="80"/>
        <v>1983.5744931920563</v>
      </c>
      <c r="M280" s="35">
        <f t="shared" si="81"/>
        <v>1957.1785490180305</v>
      </c>
      <c r="N280" s="35">
        <f t="shared" si="82"/>
        <v>1976.7503345082107</v>
      </c>
      <c r="O280" s="25"/>
      <c r="P280" s="35">
        <f t="shared" si="83"/>
        <v>1927.41</v>
      </c>
      <c r="Q280" s="35">
        <f t="shared" si="86"/>
        <v>1960.81</v>
      </c>
      <c r="R280" s="35">
        <f t="shared" si="87"/>
        <v>1983.57</v>
      </c>
      <c r="S280" s="35">
        <f t="shared" si="88"/>
        <v>1957.18</v>
      </c>
      <c r="T280" s="35">
        <f t="shared" si="89"/>
        <v>1976.75</v>
      </c>
      <c r="U280" s="25"/>
      <c r="V280" s="25">
        <f t="shared" si="84"/>
        <v>1927.41</v>
      </c>
      <c r="W280" s="25">
        <f t="shared" si="85"/>
        <v>0</v>
      </c>
    </row>
    <row r="281" spans="1:23">
      <c r="A281" s="28" t="s">
        <v>531</v>
      </c>
      <c r="B281" s="28" t="s">
        <v>924</v>
      </c>
      <c r="C281" s="26">
        <v>0</v>
      </c>
      <c r="D281" s="26">
        <v>1562.02</v>
      </c>
      <c r="E281" s="26">
        <f t="shared" si="76"/>
        <v>1562.02</v>
      </c>
      <c r="F281" s="27" t="str">
        <f t="shared" si="77"/>
        <v>Yes</v>
      </c>
      <c r="G281" s="27" t="s">
        <v>651</v>
      </c>
      <c r="H281" s="11">
        <v>0</v>
      </c>
      <c r="I281" s="11">
        <v>0</v>
      </c>
      <c r="J281" s="35">
        <f t="shared" si="78"/>
        <v>1562.02</v>
      </c>
      <c r="K281" s="35">
        <f t="shared" si="79"/>
        <v>1589.0918125128333</v>
      </c>
      <c r="L281" s="35">
        <f t="shared" si="80"/>
        <v>1607.537072992179</v>
      </c>
      <c r="M281" s="35">
        <f t="shared" si="81"/>
        <v>1586.1451570434645</v>
      </c>
      <c r="N281" s="35">
        <f t="shared" si="82"/>
        <v>1602.0066086138991</v>
      </c>
      <c r="O281" s="25"/>
      <c r="P281" s="35">
        <f t="shared" si="83"/>
        <v>1562.02</v>
      </c>
      <c r="Q281" s="35">
        <f t="shared" si="86"/>
        <v>1589.09</v>
      </c>
      <c r="R281" s="35">
        <f t="shared" si="87"/>
        <v>1607.54</v>
      </c>
      <c r="S281" s="35">
        <f t="shared" si="88"/>
        <v>1586.15</v>
      </c>
      <c r="T281" s="35">
        <f t="shared" si="89"/>
        <v>1602.01</v>
      </c>
      <c r="U281" s="25"/>
      <c r="V281" s="25">
        <f t="shared" si="84"/>
        <v>1562.02</v>
      </c>
      <c r="W281" s="25">
        <f t="shared" si="85"/>
        <v>0</v>
      </c>
    </row>
    <row r="282" spans="1:23">
      <c r="A282" s="28" t="s">
        <v>925</v>
      </c>
      <c r="B282" s="28" t="s">
        <v>926</v>
      </c>
      <c r="C282" s="26">
        <v>0</v>
      </c>
      <c r="D282" s="26">
        <v>399.28</v>
      </c>
      <c r="E282" s="26">
        <f t="shared" si="76"/>
        <v>399.28</v>
      </c>
      <c r="F282" s="27" t="str">
        <f t="shared" si="77"/>
        <v>Yes</v>
      </c>
      <c r="G282" s="27" t="s">
        <v>651</v>
      </c>
      <c r="H282" s="11">
        <v>0</v>
      </c>
      <c r="I282" s="11">
        <v>0</v>
      </c>
      <c r="J282" s="35">
        <f t="shared" si="78"/>
        <v>399.28</v>
      </c>
      <c r="K282" s="35">
        <f t="shared" si="79"/>
        <v>406.20003514687647</v>
      </c>
      <c r="L282" s="35">
        <f t="shared" si="80"/>
        <v>410.91497068175642</v>
      </c>
      <c r="M282" s="35">
        <f t="shared" si="81"/>
        <v>405.44681777718239</v>
      </c>
      <c r="N282" s="35">
        <f t="shared" si="82"/>
        <v>409.5012859549542</v>
      </c>
      <c r="O282" s="25"/>
      <c r="P282" s="35">
        <f t="shared" si="83"/>
        <v>399.28</v>
      </c>
      <c r="Q282" s="35">
        <f t="shared" si="86"/>
        <v>406.2</v>
      </c>
      <c r="R282" s="35">
        <f t="shared" si="87"/>
        <v>410.91</v>
      </c>
      <c r="S282" s="35">
        <f t="shared" si="88"/>
        <v>405.45</v>
      </c>
      <c r="T282" s="35">
        <f t="shared" si="89"/>
        <v>409.5</v>
      </c>
      <c r="U282" s="25"/>
      <c r="V282" s="25">
        <f t="shared" si="84"/>
        <v>399.28</v>
      </c>
      <c r="W282" s="25">
        <f t="shared" si="85"/>
        <v>0</v>
      </c>
    </row>
    <row r="283" spans="1:23">
      <c r="A283" s="28" t="s">
        <v>533</v>
      </c>
      <c r="B283" s="28" t="s">
        <v>956</v>
      </c>
      <c r="C283" s="26">
        <v>2.4300000000000002</v>
      </c>
      <c r="D283" s="26">
        <v>74.31</v>
      </c>
      <c r="E283" s="26">
        <f t="shared" si="76"/>
        <v>76.740000000000009</v>
      </c>
      <c r="F283" s="27" t="str">
        <f t="shared" si="77"/>
        <v>No</v>
      </c>
      <c r="G283" s="27" t="s">
        <v>651</v>
      </c>
      <c r="H283" s="11">
        <v>0</v>
      </c>
      <c r="I283" s="11">
        <v>0</v>
      </c>
      <c r="J283" s="35">
        <f t="shared" si="78"/>
        <v>76.740000000000009</v>
      </c>
      <c r="K283" s="35">
        <f t="shared" si="79"/>
        <v>76.740000000000009</v>
      </c>
      <c r="L283" s="35">
        <f t="shared" si="80"/>
        <v>76.740000000000009</v>
      </c>
      <c r="M283" s="35">
        <f t="shared" si="81"/>
        <v>76.740000000000009</v>
      </c>
      <c r="N283" s="35">
        <f t="shared" si="82"/>
        <v>76.740000000000009</v>
      </c>
      <c r="O283" s="25"/>
      <c r="P283" s="35">
        <f t="shared" si="83"/>
        <v>76.739999999999995</v>
      </c>
      <c r="Q283" s="35">
        <f t="shared" si="86"/>
        <v>76.739999999999995</v>
      </c>
      <c r="R283" s="35">
        <f t="shared" si="87"/>
        <v>76.739999999999995</v>
      </c>
      <c r="S283" s="35">
        <f t="shared" si="88"/>
        <v>76.739999999999995</v>
      </c>
      <c r="T283" s="35">
        <f t="shared" si="89"/>
        <v>76.739999999999995</v>
      </c>
      <c r="U283" s="25"/>
      <c r="V283" s="25">
        <f t="shared" si="84"/>
        <v>76.740000000000009</v>
      </c>
      <c r="W283" s="25">
        <f t="shared" si="85"/>
        <v>0</v>
      </c>
    </row>
    <row r="284" spans="1:23">
      <c r="A284" s="28" t="s">
        <v>535</v>
      </c>
      <c r="B284" s="28" t="s">
        <v>927</v>
      </c>
      <c r="C284" s="26">
        <v>0</v>
      </c>
      <c r="D284" s="26">
        <v>24.2</v>
      </c>
      <c r="E284" s="26">
        <f t="shared" si="76"/>
        <v>24.2</v>
      </c>
      <c r="F284" s="27" t="str">
        <f t="shared" si="77"/>
        <v>No</v>
      </c>
      <c r="G284" s="27" t="s">
        <v>653</v>
      </c>
      <c r="H284" s="11">
        <v>0</v>
      </c>
      <c r="I284" s="11">
        <v>1</v>
      </c>
      <c r="J284" s="35">
        <f t="shared" si="78"/>
        <v>24.2</v>
      </c>
      <c r="K284" s="35">
        <f t="shared" si="79"/>
        <v>24.2</v>
      </c>
      <c r="L284" s="35">
        <f t="shared" si="80"/>
        <v>24.2</v>
      </c>
      <c r="M284" s="35">
        <f t="shared" si="81"/>
        <v>24.2</v>
      </c>
      <c r="N284" s="35">
        <f t="shared" si="82"/>
        <v>24.2</v>
      </c>
      <c r="O284" s="25"/>
      <c r="P284" s="35">
        <f t="shared" si="83"/>
        <v>25.2</v>
      </c>
      <c r="Q284" s="35">
        <f t="shared" si="86"/>
        <v>25.2</v>
      </c>
      <c r="R284" s="35">
        <f t="shared" si="87"/>
        <v>25.2</v>
      </c>
      <c r="S284" s="35">
        <f t="shared" si="88"/>
        <v>25.2</v>
      </c>
      <c r="T284" s="35">
        <f t="shared" si="89"/>
        <v>25.2</v>
      </c>
      <c r="U284" s="25"/>
      <c r="V284" s="25">
        <f t="shared" si="84"/>
        <v>24.2</v>
      </c>
      <c r="W284" s="25">
        <f t="shared" si="85"/>
        <v>1</v>
      </c>
    </row>
    <row r="285" spans="1:23">
      <c r="A285" s="28" t="s">
        <v>537</v>
      </c>
      <c r="B285" s="28" t="s">
        <v>928</v>
      </c>
      <c r="C285" s="26">
        <v>5.9</v>
      </c>
      <c r="D285" s="26">
        <v>191.04</v>
      </c>
      <c r="E285" s="26">
        <f t="shared" si="76"/>
        <v>196.94</v>
      </c>
      <c r="F285" s="27" t="str">
        <f t="shared" si="77"/>
        <v>Yes</v>
      </c>
      <c r="G285" s="27" t="s">
        <v>651</v>
      </c>
      <c r="H285" s="11">
        <v>0</v>
      </c>
      <c r="I285" s="11">
        <v>0</v>
      </c>
      <c r="J285" s="35">
        <f t="shared" si="78"/>
        <v>196.94</v>
      </c>
      <c r="K285" s="35">
        <f t="shared" si="79"/>
        <v>200.35322310615572</v>
      </c>
      <c r="L285" s="35">
        <f t="shared" si="80"/>
        <v>202.67880766896693</v>
      </c>
      <c r="M285" s="35">
        <f t="shared" si="81"/>
        <v>199.98170780664773</v>
      </c>
      <c r="N285" s="35">
        <f t="shared" si="82"/>
        <v>201.98152488471422</v>
      </c>
      <c r="O285" s="25"/>
      <c r="P285" s="35">
        <f t="shared" si="83"/>
        <v>196.94</v>
      </c>
      <c r="Q285" s="35">
        <f t="shared" si="86"/>
        <v>200.35</v>
      </c>
      <c r="R285" s="35">
        <f t="shared" si="87"/>
        <v>202.68</v>
      </c>
      <c r="S285" s="35">
        <f t="shared" si="88"/>
        <v>199.98</v>
      </c>
      <c r="T285" s="35">
        <f t="shared" si="89"/>
        <v>201.98</v>
      </c>
      <c r="U285" s="25"/>
      <c r="V285" s="25">
        <f t="shared" si="84"/>
        <v>196.94</v>
      </c>
      <c r="W285" s="25">
        <f t="shared" si="85"/>
        <v>0</v>
      </c>
    </row>
    <row r="286" spans="1:23">
      <c r="A286" s="28" t="s">
        <v>539</v>
      </c>
      <c r="B286" s="28" t="s">
        <v>929</v>
      </c>
      <c r="C286" s="26">
        <v>0</v>
      </c>
      <c r="D286" s="26">
        <v>2620.7199999999998</v>
      </c>
      <c r="E286" s="26">
        <f t="shared" si="76"/>
        <v>2620.7199999999998</v>
      </c>
      <c r="F286" s="27" t="str">
        <f t="shared" si="77"/>
        <v>Yes</v>
      </c>
      <c r="G286" s="27" t="s">
        <v>651</v>
      </c>
      <c r="H286" s="11">
        <v>0</v>
      </c>
      <c r="I286" s="11">
        <v>0</v>
      </c>
      <c r="J286" s="35">
        <f t="shared" si="78"/>
        <v>2620.7199999999998</v>
      </c>
      <c r="K286" s="35">
        <f t="shared" si="79"/>
        <v>2666.1404430728367</v>
      </c>
      <c r="L286" s="35">
        <f t="shared" si="80"/>
        <v>2697.0874623449527</v>
      </c>
      <c r="M286" s="35">
        <f t="shared" si="81"/>
        <v>2661.1966146188574</v>
      </c>
      <c r="N286" s="35">
        <f t="shared" si="82"/>
        <v>2687.8085807650459</v>
      </c>
      <c r="O286" s="25"/>
      <c r="P286" s="35">
        <f t="shared" si="83"/>
        <v>2620.7199999999998</v>
      </c>
      <c r="Q286" s="35">
        <f t="shared" si="86"/>
        <v>2666.14</v>
      </c>
      <c r="R286" s="35">
        <f t="shared" si="87"/>
        <v>2697.09</v>
      </c>
      <c r="S286" s="35">
        <f t="shared" si="88"/>
        <v>2661.2</v>
      </c>
      <c r="T286" s="35">
        <f t="shared" si="89"/>
        <v>2687.81</v>
      </c>
      <c r="U286" s="25"/>
      <c r="V286" s="25">
        <f t="shared" si="84"/>
        <v>2620.7199999999998</v>
      </c>
      <c r="W286" s="25">
        <f t="shared" si="85"/>
        <v>0</v>
      </c>
    </row>
    <row r="287" spans="1:23">
      <c r="A287" s="28" t="s">
        <v>541</v>
      </c>
      <c r="B287" s="28" t="s">
        <v>930</v>
      </c>
      <c r="C287" s="26">
        <v>17.25</v>
      </c>
      <c r="D287" s="26">
        <v>511.34</v>
      </c>
      <c r="E287" s="26">
        <f t="shared" si="76"/>
        <v>528.58999999999992</v>
      </c>
      <c r="F287" s="27" t="str">
        <f t="shared" si="77"/>
        <v>Yes</v>
      </c>
      <c r="G287" s="27" t="s">
        <v>651</v>
      </c>
      <c r="H287" s="11">
        <v>10</v>
      </c>
      <c r="I287" s="11">
        <v>0</v>
      </c>
      <c r="J287" s="35">
        <f t="shared" si="78"/>
        <v>528.58999999999992</v>
      </c>
      <c r="K287" s="35">
        <f t="shared" si="79"/>
        <v>537.75114350402578</v>
      </c>
      <c r="L287" s="35">
        <f t="shared" si="80"/>
        <v>543.99304836873773</v>
      </c>
      <c r="M287" s="35">
        <f t="shared" si="81"/>
        <v>536.75399070537173</v>
      </c>
      <c r="N287" s="35">
        <f t="shared" si="82"/>
        <v>542.12153061242543</v>
      </c>
      <c r="O287" s="25"/>
      <c r="P287" s="35">
        <f t="shared" si="83"/>
        <v>518.59</v>
      </c>
      <c r="Q287" s="35">
        <f t="shared" si="86"/>
        <v>527.75</v>
      </c>
      <c r="R287" s="35">
        <f t="shared" si="87"/>
        <v>533.99</v>
      </c>
      <c r="S287" s="35">
        <f t="shared" si="88"/>
        <v>526.75</v>
      </c>
      <c r="T287" s="35">
        <f t="shared" si="89"/>
        <v>532.12</v>
      </c>
      <c r="U287" s="25"/>
      <c r="V287" s="25">
        <f t="shared" si="84"/>
        <v>528.58999999999992</v>
      </c>
      <c r="W287" s="25">
        <f t="shared" si="85"/>
        <v>-9.9999999999998863</v>
      </c>
    </row>
    <row r="288" spans="1:23">
      <c r="A288" s="28" t="s">
        <v>543</v>
      </c>
      <c r="B288" s="28" t="s">
        <v>931</v>
      </c>
      <c r="C288" s="26">
        <v>12.15</v>
      </c>
      <c r="D288" s="26">
        <v>159.27000000000001</v>
      </c>
      <c r="E288" s="26">
        <f t="shared" si="76"/>
        <v>171.42000000000002</v>
      </c>
      <c r="F288" s="27" t="str">
        <f t="shared" si="77"/>
        <v>Yes</v>
      </c>
      <c r="G288" s="27" t="s">
        <v>651</v>
      </c>
      <c r="H288" s="11">
        <v>0</v>
      </c>
      <c r="I288" s="11">
        <v>0</v>
      </c>
      <c r="J288" s="35">
        <f t="shared" si="78"/>
        <v>171.42000000000002</v>
      </c>
      <c r="K288" s="35">
        <f t="shared" si="79"/>
        <v>174.39092873391499</v>
      </c>
      <c r="L288" s="35">
        <f t="shared" si="80"/>
        <v>176.41515797001276</v>
      </c>
      <c r="M288" s="35">
        <f t="shared" si="81"/>
        <v>174.06755535805604</v>
      </c>
      <c r="N288" s="35">
        <f t="shared" si="82"/>
        <v>175.8082309116366</v>
      </c>
      <c r="O288" s="25"/>
      <c r="P288" s="35">
        <f t="shared" si="83"/>
        <v>171.42</v>
      </c>
      <c r="Q288" s="35">
        <f t="shared" si="86"/>
        <v>174.39</v>
      </c>
      <c r="R288" s="35">
        <f t="shared" si="87"/>
        <v>176.42</v>
      </c>
      <c r="S288" s="35">
        <f t="shared" si="88"/>
        <v>174.07</v>
      </c>
      <c r="T288" s="35">
        <f t="shared" si="89"/>
        <v>175.81</v>
      </c>
      <c r="U288" s="25"/>
      <c r="V288" s="25">
        <f t="shared" si="84"/>
        <v>171.42000000000002</v>
      </c>
      <c r="W288" s="25">
        <f t="shared" si="85"/>
        <v>0</v>
      </c>
    </row>
    <row r="289" spans="1:23">
      <c r="A289" s="28" t="s">
        <v>545</v>
      </c>
      <c r="B289" s="28" t="s">
        <v>932</v>
      </c>
      <c r="C289" s="26">
        <v>0</v>
      </c>
      <c r="D289" s="26">
        <v>111.18</v>
      </c>
      <c r="E289" s="26">
        <f t="shared" si="76"/>
        <v>111.18</v>
      </c>
      <c r="F289" s="27" t="str">
        <f t="shared" si="77"/>
        <v>Yes</v>
      </c>
      <c r="G289" s="27" t="s">
        <v>651</v>
      </c>
      <c r="H289" s="11">
        <v>0</v>
      </c>
      <c r="I289" s="11">
        <v>0</v>
      </c>
      <c r="J289" s="35">
        <f t="shared" si="78"/>
        <v>111.18</v>
      </c>
      <c r="K289" s="35">
        <f t="shared" si="79"/>
        <v>113.10689217498931</v>
      </c>
      <c r="L289" s="35">
        <f t="shared" si="80"/>
        <v>114.41977169003627</v>
      </c>
      <c r="M289" s="35">
        <f t="shared" si="81"/>
        <v>112.89715788536151</v>
      </c>
      <c r="N289" s="35">
        <f t="shared" si="82"/>
        <v>114.02612946421513</v>
      </c>
      <c r="O289" s="25"/>
      <c r="P289" s="35">
        <f t="shared" si="83"/>
        <v>111.18</v>
      </c>
      <c r="Q289" s="35">
        <f t="shared" si="86"/>
        <v>113.11</v>
      </c>
      <c r="R289" s="35">
        <f t="shared" si="87"/>
        <v>114.42</v>
      </c>
      <c r="S289" s="35">
        <f t="shared" si="88"/>
        <v>112.9</v>
      </c>
      <c r="T289" s="35">
        <f t="shared" si="89"/>
        <v>114.03</v>
      </c>
      <c r="U289" s="25"/>
      <c r="V289" s="25">
        <f t="shared" si="84"/>
        <v>111.18</v>
      </c>
      <c r="W289" s="25">
        <f t="shared" si="85"/>
        <v>0</v>
      </c>
    </row>
    <row r="290" spans="1:23">
      <c r="A290" s="28" t="s">
        <v>547</v>
      </c>
      <c r="B290" s="28" t="s">
        <v>933</v>
      </c>
      <c r="C290" s="26">
        <v>4</v>
      </c>
      <c r="D290" s="26">
        <v>26.3</v>
      </c>
      <c r="E290" s="26">
        <f t="shared" si="76"/>
        <v>30.3</v>
      </c>
      <c r="F290" s="27" t="str">
        <f t="shared" si="77"/>
        <v>No</v>
      </c>
      <c r="G290" s="27" t="s">
        <v>653</v>
      </c>
      <c r="H290" s="11">
        <v>0</v>
      </c>
      <c r="I290" s="11">
        <v>10</v>
      </c>
      <c r="J290" s="35">
        <f t="shared" si="78"/>
        <v>30.3</v>
      </c>
      <c r="K290" s="35">
        <f t="shared" si="79"/>
        <v>30.3</v>
      </c>
      <c r="L290" s="35">
        <f t="shared" si="80"/>
        <v>30.3</v>
      </c>
      <c r="M290" s="35">
        <f t="shared" si="81"/>
        <v>30.3</v>
      </c>
      <c r="N290" s="35">
        <f t="shared" si="82"/>
        <v>30.3</v>
      </c>
      <c r="O290" s="25"/>
      <c r="P290" s="35">
        <f t="shared" si="83"/>
        <v>40.299999999999997</v>
      </c>
      <c r="Q290" s="35">
        <f t="shared" si="86"/>
        <v>40.299999999999997</v>
      </c>
      <c r="R290" s="35">
        <f t="shared" si="87"/>
        <v>40.299999999999997</v>
      </c>
      <c r="S290" s="35">
        <f t="shared" si="88"/>
        <v>40.299999999999997</v>
      </c>
      <c r="T290" s="35">
        <f t="shared" si="89"/>
        <v>40.299999999999997</v>
      </c>
      <c r="U290" s="25"/>
      <c r="V290" s="25">
        <f t="shared" si="84"/>
        <v>30.3</v>
      </c>
      <c r="W290" s="25">
        <f t="shared" si="85"/>
        <v>9.9999999999999964</v>
      </c>
    </row>
    <row r="291" spans="1:23">
      <c r="A291" s="28" t="s">
        <v>549</v>
      </c>
      <c r="B291" s="28" t="s">
        <v>934</v>
      </c>
      <c r="C291" s="26">
        <v>14.7</v>
      </c>
      <c r="D291" s="26">
        <v>127.33</v>
      </c>
      <c r="E291" s="26">
        <f t="shared" si="76"/>
        <v>142.03</v>
      </c>
      <c r="F291" s="27" t="str">
        <f t="shared" si="77"/>
        <v>Yes</v>
      </c>
      <c r="G291" s="27" t="s">
        <v>651</v>
      </c>
      <c r="H291" s="11">
        <v>0</v>
      </c>
      <c r="I291" s="11">
        <v>0</v>
      </c>
      <c r="J291" s="35">
        <f t="shared" si="78"/>
        <v>142.03</v>
      </c>
      <c r="K291" s="35">
        <f t="shared" si="79"/>
        <v>144.4915622919026</v>
      </c>
      <c r="L291" s="35">
        <f t="shared" si="80"/>
        <v>146.16873694131903</v>
      </c>
      <c r="M291" s="35">
        <f t="shared" si="81"/>
        <v>144.22363135867866</v>
      </c>
      <c r="N291" s="35">
        <f t="shared" si="82"/>
        <v>145.66586767226545</v>
      </c>
      <c r="O291" s="25"/>
      <c r="P291" s="35">
        <f t="shared" si="83"/>
        <v>142.03</v>
      </c>
      <c r="Q291" s="35">
        <f t="shared" si="86"/>
        <v>144.49</v>
      </c>
      <c r="R291" s="35">
        <f t="shared" si="87"/>
        <v>146.16999999999999</v>
      </c>
      <c r="S291" s="35">
        <f t="shared" si="88"/>
        <v>144.22</v>
      </c>
      <c r="T291" s="35">
        <f t="shared" si="89"/>
        <v>145.66999999999999</v>
      </c>
      <c r="U291" s="25"/>
      <c r="V291" s="25">
        <f t="shared" si="84"/>
        <v>142.03</v>
      </c>
      <c r="W291" s="25">
        <f t="shared" si="85"/>
        <v>0</v>
      </c>
    </row>
    <row r="292" spans="1:23">
      <c r="A292" s="28" t="s">
        <v>551</v>
      </c>
      <c r="B292" s="28" t="s">
        <v>935</v>
      </c>
      <c r="C292" s="26">
        <v>0</v>
      </c>
      <c r="D292" s="26">
        <v>77.47</v>
      </c>
      <c r="E292" s="26">
        <f t="shared" si="76"/>
        <v>77.47</v>
      </c>
      <c r="F292" s="27" t="str">
        <f t="shared" si="77"/>
        <v>No</v>
      </c>
      <c r="G292" s="27" t="s">
        <v>651</v>
      </c>
      <c r="H292" s="11">
        <v>0</v>
      </c>
      <c r="I292" s="11">
        <v>0</v>
      </c>
      <c r="J292" s="35">
        <f t="shared" si="78"/>
        <v>77.47</v>
      </c>
      <c r="K292" s="35">
        <f t="shared" si="79"/>
        <v>77.47</v>
      </c>
      <c r="L292" s="35">
        <f t="shared" si="80"/>
        <v>77.47</v>
      </c>
      <c r="M292" s="35">
        <f t="shared" si="81"/>
        <v>77.47</v>
      </c>
      <c r="N292" s="35">
        <f t="shared" si="82"/>
        <v>77.47</v>
      </c>
      <c r="O292" s="25"/>
      <c r="P292" s="35">
        <f t="shared" si="83"/>
        <v>77.47</v>
      </c>
      <c r="Q292" s="35">
        <f t="shared" si="86"/>
        <v>77.47</v>
      </c>
      <c r="R292" s="35">
        <f t="shared" si="87"/>
        <v>77.47</v>
      </c>
      <c r="S292" s="35">
        <f t="shared" si="88"/>
        <v>77.47</v>
      </c>
      <c r="T292" s="35">
        <f t="shared" si="89"/>
        <v>77.47</v>
      </c>
      <c r="U292" s="25"/>
      <c r="V292" s="25">
        <f t="shared" si="84"/>
        <v>77.47</v>
      </c>
      <c r="W292" s="25">
        <f t="shared" si="85"/>
        <v>0</v>
      </c>
    </row>
    <row r="293" spans="1:23">
      <c r="A293" s="28" t="s">
        <v>553</v>
      </c>
      <c r="B293" s="28" t="s">
        <v>936</v>
      </c>
      <c r="C293" s="26">
        <v>0</v>
      </c>
      <c r="D293" s="26">
        <v>147.29</v>
      </c>
      <c r="E293" s="26">
        <f t="shared" si="76"/>
        <v>147.29</v>
      </c>
      <c r="F293" s="27" t="str">
        <f t="shared" si="77"/>
        <v>Yes</v>
      </c>
      <c r="G293" s="27" t="s">
        <v>651</v>
      </c>
      <c r="H293" s="11">
        <v>0</v>
      </c>
      <c r="I293" s="11">
        <v>0</v>
      </c>
      <c r="J293" s="35">
        <f t="shared" si="78"/>
        <v>147.29</v>
      </c>
      <c r="K293" s="35">
        <f t="shared" si="79"/>
        <v>149.84272484668261</v>
      </c>
      <c r="L293" s="35">
        <f t="shared" si="80"/>
        <v>151.58201270215363</v>
      </c>
      <c r="M293" s="35">
        <f t="shared" si="81"/>
        <v>149.56487124424262</v>
      </c>
      <c r="N293" s="35">
        <f t="shared" si="82"/>
        <v>151.06051995668506</v>
      </c>
      <c r="O293" s="25"/>
      <c r="P293" s="35">
        <f t="shared" si="83"/>
        <v>147.29</v>
      </c>
      <c r="Q293" s="35">
        <f t="shared" si="86"/>
        <v>149.84</v>
      </c>
      <c r="R293" s="35">
        <f t="shared" si="87"/>
        <v>151.58000000000001</v>
      </c>
      <c r="S293" s="35">
        <f t="shared" si="88"/>
        <v>149.56</v>
      </c>
      <c r="T293" s="35">
        <f t="shared" si="89"/>
        <v>151.06</v>
      </c>
      <c r="U293" s="25"/>
      <c r="V293" s="25">
        <f t="shared" si="84"/>
        <v>147.29</v>
      </c>
      <c r="W293" s="25">
        <f t="shared" si="85"/>
        <v>0</v>
      </c>
    </row>
    <row r="294" spans="1:23">
      <c r="A294" s="28" t="s">
        <v>555</v>
      </c>
      <c r="B294" s="28" t="s">
        <v>937</v>
      </c>
      <c r="C294" s="26">
        <v>0</v>
      </c>
      <c r="D294" s="26">
        <v>132.41</v>
      </c>
      <c r="E294" s="26">
        <f t="shared" si="76"/>
        <v>132.41</v>
      </c>
      <c r="F294" s="27" t="str">
        <f t="shared" si="77"/>
        <v>Yes</v>
      </c>
      <c r="G294" s="27" t="s">
        <v>651</v>
      </c>
      <c r="H294" s="11">
        <v>0</v>
      </c>
      <c r="I294" s="11">
        <v>0</v>
      </c>
      <c r="J294" s="35">
        <f t="shared" si="78"/>
        <v>132.41</v>
      </c>
      <c r="K294" s="35">
        <f t="shared" si="79"/>
        <v>134.70483533810338</v>
      </c>
      <c r="L294" s="35">
        <f t="shared" si="80"/>
        <v>136.26841131028695</v>
      </c>
      <c r="M294" s="35">
        <f t="shared" si="81"/>
        <v>134.45505194819859</v>
      </c>
      <c r="N294" s="35">
        <f t="shared" si="82"/>
        <v>135.79960246768059</v>
      </c>
      <c r="O294" s="25"/>
      <c r="P294" s="35">
        <f t="shared" si="83"/>
        <v>132.41</v>
      </c>
      <c r="Q294" s="35">
        <f t="shared" si="86"/>
        <v>134.69999999999999</v>
      </c>
      <c r="R294" s="35">
        <f t="shared" si="87"/>
        <v>136.27000000000001</v>
      </c>
      <c r="S294" s="35">
        <f t="shared" si="88"/>
        <v>134.46</v>
      </c>
      <c r="T294" s="35">
        <f t="shared" si="89"/>
        <v>135.80000000000001</v>
      </c>
      <c r="U294" s="25"/>
      <c r="V294" s="25">
        <f t="shared" si="84"/>
        <v>132.41</v>
      </c>
      <c r="W294" s="25">
        <f t="shared" si="85"/>
        <v>0</v>
      </c>
    </row>
    <row r="295" spans="1:23">
      <c r="A295" s="28" t="s">
        <v>557</v>
      </c>
      <c r="B295" s="28" t="s">
        <v>938</v>
      </c>
      <c r="C295" s="26">
        <v>0</v>
      </c>
      <c r="D295" s="26">
        <v>152.35</v>
      </c>
      <c r="E295" s="26">
        <f t="shared" si="76"/>
        <v>152.35</v>
      </c>
      <c r="F295" s="27" t="str">
        <f t="shared" si="77"/>
        <v>Yes</v>
      </c>
      <c r="G295" s="27" t="s">
        <v>651</v>
      </c>
      <c r="H295" s="11">
        <v>0</v>
      </c>
      <c r="I295" s="11">
        <v>0</v>
      </c>
      <c r="J295" s="35">
        <f t="shared" si="78"/>
        <v>152.35</v>
      </c>
      <c r="K295" s="35">
        <f t="shared" si="79"/>
        <v>154.99042114462691</v>
      </c>
      <c r="L295" s="35">
        <f t="shared" si="80"/>
        <v>156.78946048729111</v>
      </c>
      <c r="M295" s="35">
        <f t="shared" si="81"/>
        <v>154.70302216077374</v>
      </c>
      <c r="N295" s="35">
        <f t="shared" si="82"/>
        <v>156.25005238238148</v>
      </c>
      <c r="O295" s="25"/>
      <c r="P295" s="35">
        <f t="shared" si="83"/>
        <v>152.35</v>
      </c>
      <c r="Q295" s="35">
        <f t="shared" si="86"/>
        <v>154.99</v>
      </c>
      <c r="R295" s="35">
        <f t="shared" si="87"/>
        <v>156.79</v>
      </c>
      <c r="S295" s="35">
        <f t="shared" si="88"/>
        <v>154.69999999999999</v>
      </c>
      <c r="T295" s="35">
        <f t="shared" si="89"/>
        <v>156.25</v>
      </c>
      <c r="U295" s="25"/>
      <c r="V295" s="25">
        <f t="shared" si="84"/>
        <v>152.35</v>
      </c>
      <c r="W295" s="25">
        <f t="shared" si="85"/>
        <v>0</v>
      </c>
    </row>
    <row r="296" spans="1:23">
      <c r="A296" s="28" t="s">
        <v>559</v>
      </c>
      <c r="B296" s="28" t="s">
        <v>939</v>
      </c>
      <c r="C296" s="26">
        <v>17.100000000000001</v>
      </c>
      <c r="D296" s="26">
        <v>543.4</v>
      </c>
      <c r="E296" s="26">
        <f t="shared" si="76"/>
        <v>560.5</v>
      </c>
      <c r="F296" s="27" t="str">
        <f t="shared" si="77"/>
        <v>Yes</v>
      </c>
      <c r="G296" s="27" t="s">
        <v>653</v>
      </c>
      <c r="H296" s="11">
        <v>0</v>
      </c>
      <c r="I296" s="11">
        <v>201.38</v>
      </c>
      <c r="J296" s="35">
        <f t="shared" si="78"/>
        <v>560.5</v>
      </c>
      <c r="K296" s="35">
        <f t="shared" si="79"/>
        <v>570.21418478216867</v>
      </c>
      <c r="L296" s="35">
        <f t="shared" si="80"/>
        <v>576.83290189121544</v>
      </c>
      <c r="M296" s="35">
        <f t="shared" si="81"/>
        <v>569.15683571456316</v>
      </c>
      <c r="N296" s="35">
        <f t="shared" si="82"/>
        <v>574.84840407170884</v>
      </c>
      <c r="O296" s="25"/>
      <c r="P296" s="35">
        <f t="shared" si="83"/>
        <v>761.88</v>
      </c>
      <c r="Q296" s="35">
        <f t="shared" si="86"/>
        <v>771.59</v>
      </c>
      <c r="R296" s="35">
        <f t="shared" si="87"/>
        <v>778.21</v>
      </c>
      <c r="S296" s="35">
        <f t="shared" si="88"/>
        <v>770.54</v>
      </c>
      <c r="T296" s="35">
        <f t="shared" si="89"/>
        <v>776.23</v>
      </c>
      <c r="U296" s="25"/>
      <c r="V296" s="25">
        <f t="shared" si="84"/>
        <v>560.5</v>
      </c>
      <c r="W296" s="25">
        <f t="shared" si="85"/>
        <v>201.38</v>
      </c>
    </row>
    <row r="297" spans="1:23">
      <c r="A297" s="28" t="s">
        <v>561</v>
      </c>
      <c r="B297" s="28" t="s">
        <v>940</v>
      </c>
      <c r="C297" s="26">
        <v>16</v>
      </c>
      <c r="D297" s="26">
        <v>1279.3900000000001</v>
      </c>
      <c r="E297" s="26">
        <f t="shared" si="76"/>
        <v>1295.3900000000001</v>
      </c>
      <c r="F297" s="27" t="str">
        <f t="shared" si="77"/>
        <v>Yes</v>
      </c>
      <c r="G297" s="27" t="s">
        <v>651</v>
      </c>
      <c r="H297" s="11">
        <v>0</v>
      </c>
      <c r="I297" s="11">
        <v>0</v>
      </c>
      <c r="J297" s="35">
        <f t="shared" si="78"/>
        <v>1295.3900000000001</v>
      </c>
      <c r="K297" s="35">
        <f t="shared" si="79"/>
        <v>1317.8407722122631</v>
      </c>
      <c r="L297" s="35">
        <f t="shared" si="80"/>
        <v>1333.1375071915461</v>
      </c>
      <c r="M297" s="35">
        <f t="shared" si="81"/>
        <v>1315.3970979773201</v>
      </c>
      <c r="N297" s="35">
        <f t="shared" si="82"/>
        <v>1328.5510689570933</v>
      </c>
      <c r="O297" s="25"/>
      <c r="P297" s="35">
        <f t="shared" si="83"/>
        <v>1295.3900000000001</v>
      </c>
      <c r="Q297" s="35">
        <f t="shared" si="86"/>
        <v>1317.84</v>
      </c>
      <c r="R297" s="35">
        <f t="shared" si="87"/>
        <v>1333.14</v>
      </c>
      <c r="S297" s="35">
        <f t="shared" si="88"/>
        <v>1315.4</v>
      </c>
      <c r="T297" s="35">
        <f t="shared" si="89"/>
        <v>1328.55</v>
      </c>
      <c r="U297" s="25"/>
      <c r="V297" s="25">
        <f t="shared" si="84"/>
        <v>1295.3900000000001</v>
      </c>
      <c r="W297" s="25">
        <f t="shared" si="85"/>
        <v>0</v>
      </c>
    </row>
    <row r="298" spans="1:23">
      <c r="A298" s="28" t="s">
        <v>563</v>
      </c>
      <c r="B298" s="28" t="s">
        <v>941</v>
      </c>
      <c r="C298" s="26">
        <v>0</v>
      </c>
      <c r="D298" s="26">
        <v>15339.02</v>
      </c>
      <c r="E298" s="26">
        <f t="shared" si="76"/>
        <v>15339.02</v>
      </c>
      <c r="F298" s="27" t="str">
        <f t="shared" si="77"/>
        <v>Yes</v>
      </c>
      <c r="G298" s="27" t="s">
        <v>651</v>
      </c>
      <c r="H298" s="11">
        <v>200.38</v>
      </c>
      <c r="I298" s="11">
        <v>0</v>
      </c>
      <c r="J298" s="35">
        <f t="shared" si="78"/>
        <v>15339.02</v>
      </c>
      <c r="K298" s="35">
        <f t="shared" si="79"/>
        <v>15604.864914642963</v>
      </c>
      <c r="L298" s="35">
        <f t="shared" si="80"/>
        <v>15785.997178889191</v>
      </c>
      <c r="M298" s="35">
        <f t="shared" si="81"/>
        <v>15575.928788871361</v>
      </c>
      <c r="N298" s="35">
        <f t="shared" si="82"/>
        <v>15731.688076760074</v>
      </c>
      <c r="O298" s="25"/>
      <c r="P298" s="35">
        <f t="shared" si="83"/>
        <v>15138.64</v>
      </c>
      <c r="Q298" s="35">
        <f t="shared" si="86"/>
        <v>15404.48</v>
      </c>
      <c r="R298" s="35">
        <f t="shared" si="87"/>
        <v>15585.62</v>
      </c>
      <c r="S298" s="35">
        <f t="shared" si="88"/>
        <v>15375.55</v>
      </c>
      <c r="T298" s="35">
        <f t="shared" si="89"/>
        <v>15531.31</v>
      </c>
      <c r="U298" s="25"/>
      <c r="V298" s="25">
        <f t="shared" si="84"/>
        <v>15339.02</v>
      </c>
      <c r="W298" s="25">
        <f t="shared" si="85"/>
        <v>-200.38000000000102</v>
      </c>
    </row>
    <row r="299" spans="1:23">
      <c r="A299" s="28" t="s">
        <v>565</v>
      </c>
      <c r="B299" s="28" t="s">
        <v>942</v>
      </c>
      <c r="C299" s="26">
        <v>69.400000000000006</v>
      </c>
      <c r="D299" s="26">
        <v>3313.98</v>
      </c>
      <c r="E299" s="26">
        <f t="shared" si="76"/>
        <v>3383.38</v>
      </c>
      <c r="F299" s="27" t="str">
        <f t="shared" si="77"/>
        <v>Yes</v>
      </c>
      <c r="G299" s="27" t="s">
        <v>651</v>
      </c>
      <c r="H299" s="11">
        <v>1</v>
      </c>
      <c r="I299" s="11">
        <v>0</v>
      </c>
      <c r="J299" s="35">
        <f t="shared" si="78"/>
        <v>3383.38</v>
      </c>
      <c r="K299" s="35">
        <f t="shared" si="79"/>
        <v>3442.018320264574</v>
      </c>
      <c r="L299" s="35">
        <f t="shared" si="80"/>
        <v>3481.9712820708305</v>
      </c>
      <c r="M299" s="35">
        <f t="shared" si="81"/>
        <v>3435.6357802318262</v>
      </c>
      <c r="N299" s="35">
        <f t="shared" si="82"/>
        <v>3469.9921380341443</v>
      </c>
      <c r="O299" s="25"/>
      <c r="P299" s="35">
        <f t="shared" si="83"/>
        <v>3382.38</v>
      </c>
      <c r="Q299" s="35">
        <f t="shared" si="86"/>
        <v>3441.02</v>
      </c>
      <c r="R299" s="35">
        <f t="shared" si="87"/>
        <v>3480.97</v>
      </c>
      <c r="S299" s="35">
        <f t="shared" si="88"/>
        <v>3434.64</v>
      </c>
      <c r="T299" s="35">
        <f t="shared" si="89"/>
        <v>3468.99</v>
      </c>
      <c r="U299" s="25"/>
      <c r="V299" s="25">
        <f t="shared" si="84"/>
        <v>3383.38</v>
      </c>
      <c r="W299" s="25">
        <f t="shared" si="85"/>
        <v>-1</v>
      </c>
    </row>
    <row r="300" spans="1:23">
      <c r="A300" s="28" t="s">
        <v>567</v>
      </c>
      <c r="B300" s="28" t="s">
        <v>943</v>
      </c>
      <c r="C300" s="26">
        <v>17.3</v>
      </c>
      <c r="D300" s="26">
        <v>3674.23</v>
      </c>
      <c r="E300" s="26">
        <f t="shared" si="76"/>
        <v>3691.53</v>
      </c>
      <c r="F300" s="27" t="str">
        <f t="shared" si="77"/>
        <v>Yes</v>
      </c>
      <c r="G300" s="27" t="s">
        <v>651</v>
      </c>
      <c r="H300" s="11">
        <v>0</v>
      </c>
      <c r="I300" s="11">
        <v>0</v>
      </c>
      <c r="J300" s="35">
        <f t="shared" si="78"/>
        <v>3691.53</v>
      </c>
      <c r="K300" s="35">
        <f t="shared" si="79"/>
        <v>3755.5089554842448</v>
      </c>
      <c r="L300" s="35">
        <f t="shared" si="80"/>
        <v>3799.1007356261885</v>
      </c>
      <c r="M300" s="35">
        <f t="shared" si="81"/>
        <v>3748.5451092691906</v>
      </c>
      <c r="N300" s="35">
        <f t="shared" si="82"/>
        <v>3786.0305603618826</v>
      </c>
      <c r="O300" s="25"/>
      <c r="P300" s="35">
        <f t="shared" si="83"/>
        <v>3691.53</v>
      </c>
      <c r="Q300" s="35">
        <f t="shared" si="86"/>
        <v>3755.51</v>
      </c>
      <c r="R300" s="35">
        <f t="shared" si="87"/>
        <v>3799.1</v>
      </c>
      <c r="S300" s="35">
        <f t="shared" si="88"/>
        <v>3748.55</v>
      </c>
      <c r="T300" s="35">
        <f t="shared" si="89"/>
        <v>3786.03</v>
      </c>
      <c r="U300" s="25"/>
      <c r="V300" s="25">
        <f t="shared" si="84"/>
        <v>3691.53</v>
      </c>
      <c r="W300" s="25">
        <f t="shared" si="85"/>
        <v>0</v>
      </c>
    </row>
    <row r="301" spans="1:23">
      <c r="A301" s="28" t="s">
        <v>569</v>
      </c>
      <c r="B301" s="28" t="s">
        <v>944</v>
      </c>
      <c r="C301" s="26">
        <v>42.4</v>
      </c>
      <c r="D301" s="26">
        <v>714.71</v>
      </c>
      <c r="E301" s="26">
        <f t="shared" si="76"/>
        <v>757.11</v>
      </c>
      <c r="F301" s="27" t="str">
        <f t="shared" si="77"/>
        <v>Yes</v>
      </c>
      <c r="G301" s="27" t="s">
        <v>651</v>
      </c>
      <c r="H301" s="11">
        <v>0</v>
      </c>
      <c r="I301" s="11">
        <v>0</v>
      </c>
      <c r="J301" s="35">
        <f t="shared" si="78"/>
        <v>757.11</v>
      </c>
      <c r="K301" s="35">
        <f t="shared" si="79"/>
        <v>770.23168856454538</v>
      </c>
      <c r="L301" s="35">
        <f t="shared" si="80"/>
        <v>779.17209340028205</v>
      </c>
      <c r="M301" s="35">
        <f t="shared" si="81"/>
        <v>768.8034467223066</v>
      </c>
      <c r="N301" s="35">
        <f t="shared" si="82"/>
        <v>776.49148118952962</v>
      </c>
      <c r="O301" s="25"/>
      <c r="P301" s="35">
        <f t="shared" si="83"/>
        <v>757.11</v>
      </c>
      <c r="Q301" s="35">
        <f t="shared" si="86"/>
        <v>770.23</v>
      </c>
      <c r="R301" s="35">
        <f t="shared" si="87"/>
        <v>779.17</v>
      </c>
      <c r="S301" s="35">
        <f t="shared" si="88"/>
        <v>768.8</v>
      </c>
      <c r="T301" s="35">
        <f t="shared" si="89"/>
        <v>776.49</v>
      </c>
      <c r="U301" s="25"/>
      <c r="V301" s="25">
        <f t="shared" si="84"/>
        <v>757.11</v>
      </c>
      <c r="W301" s="25">
        <f t="shared" si="85"/>
        <v>0</v>
      </c>
    </row>
    <row r="302" spans="1:23">
      <c r="A302" s="28" t="s">
        <v>571</v>
      </c>
      <c r="B302" s="28" t="s">
        <v>945</v>
      </c>
      <c r="C302" s="26">
        <v>79.8</v>
      </c>
      <c r="D302" s="26">
        <v>3493.61</v>
      </c>
      <c r="E302" s="26">
        <f t="shared" si="76"/>
        <v>3573.4100000000003</v>
      </c>
      <c r="F302" s="27" t="str">
        <f t="shared" si="77"/>
        <v>Yes</v>
      </c>
      <c r="G302" s="27" t="s">
        <v>651</v>
      </c>
      <c r="H302" s="11">
        <v>0</v>
      </c>
      <c r="I302" s="11">
        <v>0</v>
      </c>
      <c r="J302" s="35">
        <f t="shared" si="78"/>
        <v>3573.4100000000003</v>
      </c>
      <c r="K302" s="35">
        <f t="shared" si="79"/>
        <v>3635.3417841970549</v>
      </c>
      <c r="L302" s="35">
        <f t="shared" si="80"/>
        <v>3677.5387331794614</v>
      </c>
      <c r="M302" s="35">
        <f t="shared" si="81"/>
        <v>3628.6007641583888</v>
      </c>
      <c r="N302" s="35">
        <f t="shared" si="82"/>
        <v>3664.8867717999728</v>
      </c>
      <c r="O302" s="25"/>
      <c r="P302" s="35">
        <f t="shared" si="83"/>
        <v>3573.41</v>
      </c>
      <c r="Q302" s="35">
        <f t="shared" si="86"/>
        <v>3635.34</v>
      </c>
      <c r="R302" s="35">
        <f t="shared" si="87"/>
        <v>3677.54</v>
      </c>
      <c r="S302" s="35">
        <f t="shared" si="88"/>
        <v>3628.6</v>
      </c>
      <c r="T302" s="35">
        <f t="shared" si="89"/>
        <v>3664.89</v>
      </c>
      <c r="U302" s="25"/>
      <c r="V302" s="25">
        <f t="shared" si="84"/>
        <v>3573.4100000000003</v>
      </c>
      <c r="W302" s="25">
        <f t="shared" si="85"/>
        <v>0</v>
      </c>
    </row>
    <row r="303" spans="1:23">
      <c r="A303" s="28" t="s">
        <v>573</v>
      </c>
      <c r="B303" s="28" t="s">
        <v>946</v>
      </c>
      <c r="C303" s="26">
        <v>34</v>
      </c>
      <c r="D303" s="26">
        <v>6092.41</v>
      </c>
      <c r="E303" s="26">
        <f t="shared" si="76"/>
        <v>6126.41</v>
      </c>
      <c r="F303" s="27" t="str">
        <f t="shared" si="77"/>
        <v>Yes</v>
      </c>
      <c r="G303" s="27" t="s">
        <v>651</v>
      </c>
      <c r="H303" s="11">
        <v>0</v>
      </c>
      <c r="I303" s="11">
        <v>0</v>
      </c>
      <c r="J303" s="35">
        <f t="shared" si="78"/>
        <v>6126.41</v>
      </c>
      <c r="K303" s="35">
        <f t="shared" si="79"/>
        <v>6232.5885527053088</v>
      </c>
      <c r="L303" s="35">
        <f t="shared" si="80"/>
        <v>6304.9328429533643</v>
      </c>
      <c r="M303" s="35">
        <f t="shared" si="81"/>
        <v>6221.0314538627226</v>
      </c>
      <c r="N303" s="35">
        <f t="shared" si="82"/>
        <v>6283.2417684013499</v>
      </c>
      <c r="O303" s="25"/>
      <c r="P303" s="35">
        <f t="shared" si="83"/>
        <v>6126.41</v>
      </c>
      <c r="Q303" s="35">
        <f t="shared" si="86"/>
        <v>6232.59</v>
      </c>
      <c r="R303" s="35">
        <f t="shared" si="87"/>
        <v>6304.93</v>
      </c>
      <c r="S303" s="35">
        <f t="shared" si="88"/>
        <v>6221.03</v>
      </c>
      <c r="T303" s="35">
        <f t="shared" si="89"/>
        <v>6283.24</v>
      </c>
      <c r="U303" s="25"/>
      <c r="V303" s="25">
        <f t="shared" si="84"/>
        <v>6126.41</v>
      </c>
      <c r="W303" s="25">
        <f t="shared" si="85"/>
        <v>0</v>
      </c>
    </row>
    <row r="304" spans="1:23">
      <c r="A304" s="32" t="s">
        <v>575</v>
      </c>
      <c r="B304" s="28" t="s">
        <v>947</v>
      </c>
      <c r="C304" s="26">
        <v>0</v>
      </c>
      <c r="D304" s="26">
        <v>3939.46</v>
      </c>
      <c r="E304" s="26">
        <f t="shared" si="76"/>
        <v>3939.46</v>
      </c>
      <c r="F304" s="27" t="str">
        <f t="shared" si="77"/>
        <v>Yes</v>
      </c>
      <c r="G304" s="27" t="s">
        <v>651</v>
      </c>
      <c r="H304" s="11">
        <v>0</v>
      </c>
      <c r="I304" s="11">
        <v>0</v>
      </c>
      <c r="J304" s="35">
        <f t="shared" si="78"/>
        <v>3939.46</v>
      </c>
      <c r="K304" s="35">
        <f t="shared" si="79"/>
        <v>4007.7359007706727</v>
      </c>
      <c r="L304" s="35">
        <f t="shared" si="80"/>
        <v>4054.2553856991394</v>
      </c>
      <c r="M304" s="35">
        <f t="shared" si="81"/>
        <v>4000.3043497307635</v>
      </c>
      <c r="N304" s="35">
        <f t="shared" si="82"/>
        <v>4040.3073932280713</v>
      </c>
      <c r="O304" s="25"/>
      <c r="P304" s="35">
        <f t="shared" si="83"/>
        <v>3939.46</v>
      </c>
      <c r="Q304" s="35">
        <f t="shared" si="86"/>
        <v>4007.74</v>
      </c>
      <c r="R304" s="35">
        <f t="shared" si="87"/>
        <v>4054.26</v>
      </c>
      <c r="S304" s="35">
        <f t="shared" si="88"/>
        <v>4000.3</v>
      </c>
      <c r="T304" s="35">
        <f t="shared" si="89"/>
        <v>4040.31</v>
      </c>
      <c r="U304" s="25"/>
      <c r="V304" s="25">
        <f t="shared" si="84"/>
        <v>3939.46</v>
      </c>
      <c r="W304" s="25">
        <f t="shared" si="85"/>
        <v>0</v>
      </c>
    </row>
    <row r="305" spans="1:23">
      <c r="A305" s="32" t="s">
        <v>577</v>
      </c>
      <c r="B305" s="28" t="s">
        <v>948</v>
      </c>
      <c r="C305" s="26">
        <v>30.1</v>
      </c>
      <c r="D305" s="26">
        <v>1051.78</v>
      </c>
      <c r="E305" s="26">
        <f t="shared" si="76"/>
        <v>1081.8799999999999</v>
      </c>
      <c r="F305" s="27" t="str">
        <f t="shared" si="77"/>
        <v>Yes</v>
      </c>
      <c r="G305" s="27" t="s">
        <v>651</v>
      </c>
      <c r="H305" s="11">
        <v>0</v>
      </c>
      <c r="I305" s="11">
        <v>0</v>
      </c>
      <c r="J305" s="35">
        <f t="shared" si="78"/>
        <v>1081.8799999999999</v>
      </c>
      <c r="K305" s="35">
        <f t="shared" si="79"/>
        <v>1100.6303697272658</v>
      </c>
      <c r="L305" s="35">
        <f t="shared" si="80"/>
        <v>1113.4058517360713</v>
      </c>
      <c r="M305" s="35">
        <f t="shared" si="81"/>
        <v>1098.5894690863004</v>
      </c>
      <c r="N305" s="35">
        <f t="shared" si="82"/>
        <v>1109.5753637771634</v>
      </c>
      <c r="O305" s="25"/>
      <c r="P305" s="35">
        <f t="shared" si="83"/>
        <v>1081.8800000000001</v>
      </c>
      <c r="Q305" s="35">
        <f t="shared" si="86"/>
        <v>1100.6300000000001</v>
      </c>
      <c r="R305" s="35">
        <f t="shared" si="87"/>
        <v>1113.4100000000001</v>
      </c>
      <c r="S305" s="35">
        <f t="shared" si="88"/>
        <v>1098.5899999999999</v>
      </c>
      <c r="T305" s="35">
        <f t="shared" si="89"/>
        <v>1109.58</v>
      </c>
      <c r="U305" s="25"/>
      <c r="V305" s="25">
        <f t="shared" si="84"/>
        <v>1081.8799999999999</v>
      </c>
      <c r="W305" s="25">
        <f t="shared" si="85"/>
        <v>0</v>
      </c>
    </row>
    <row r="306" spans="1:23">
      <c r="A306" s="32" t="s">
        <v>579</v>
      </c>
      <c r="B306" s="28" t="s">
        <v>949</v>
      </c>
      <c r="C306" s="26">
        <v>0</v>
      </c>
      <c r="D306" s="26">
        <v>1363.02</v>
      </c>
      <c r="E306" s="26">
        <f t="shared" si="76"/>
        <v>1363.02</v>
      </c>
      <c r="F306" s="27" t="str">
        <f t="shared" si="77"/>
        <v>Yes</v>
      </c>
      <c r="G306" s="27" t="s">
        <v>651</v>
      </c>
      <c r="H306" s="11">
        <v>0</v>
      </c>
      <c r="I306" s="11">
        <v>0</v>
      </c>
      <c r="J306" s="35">
        <f t="shared" si="78"/>
        <v>1363.02</v>
      </c>
      <c r="K306" s="35">
        <f t="shared" si="79"/>
        <v>1386.6428869612694</v>
      </c>
      <c r="L306" s="35">
        <f t="shared" si="80"/>
        <v>1402.7382371735316</v>
      </c>
      <c r="M306" s="35">
        <f t="shared" si="81"/>
        <v>1384.0716328557785</v>
      </c>
      <c r="N306" s="35">
        <f t="shared" si="82"/>
        <v>1397.9123491843363</v>
      </c>
      <c r="O306" s="25"/>
      <c r="P306" s="35">
        <f t="shared" si="83"/>
        <v>1363.02</v>
      </c>
      <c r="Q306" s="35">
        <f t="shared" si="86"/>
        <v>1386.64</v>
      </c>
      <c r="R306" s="35">
        <f t="shared" si="87"/>
        <v>1402.74</v>
      </c>
      <c r="S306" s="35">
        <f t="shared" si="88"/>
        <v>1384.07</v>
      </c>
      <c r="T306" s="35">
        <f t="shared" si="89"/>
        <v>1397.91</v>
      </c>
      <c r="U306" s="25"/>
      <c r="V306" s="25">
        <f t="shared" si="84"/>
        <v>1363.02</v>
      </c>
      <c r="W306" s="25">
        <f t="shared" si="85"/>
        <v>0</v>
      </c>
    </row>
    <row r="307" spans="1:23">
      <c r="A307" s="32" t="s">
        <v>581</v>
      </c>
      <c r="B307" s="28" t="s">
        <v>950</v>
      </c>
      <c r="C307" s="26">
        <v>47.79</v>
      </c>
      <c r="D307" s="26">
        <v>1288.48</v>
      </c>
      <c r="E307" s="26">
        <f t="shared" si="76"/>
        <v>1336.27</v>
      </c>
      <c r="F307" s="27" t="str">
        <f t="shared" si="77"/>
        <v>Yes</v>
      </c>
      <c r="G307" s="27" t="s">
        <v>651</v>
      </c>
      <c r="H307" s="11">
        <v>0</v>
      </c>
      <c r="I307" s="11">
        <v>0</v>
      </c>
      <c r="J307" s="35">
        <f t="shared" si="78"/>
        <v>1336.27</v>
      </c>
      <c r="K307" s="35">
        <f t="shared" si="79"/>
        <v>1359.4292751094888</v>
      </c>
      <c r="L307" s="35">
        <f t="shared" si="80"/>
        <v>1375.20874542404</v>
      </c>
      <c r="M307" s="35">
        <f t="shared" si="81"/>
        <v>1356.9084832476346</v>
      </c>
      <c r="N307" s="35">
        <f t="shared" si="82"/>
        <v>1370.477568080111</v>
      </c>
      <c r="O307" s="25"/>
      <c r="P307" s="35">
        <f t="shared" si="83"/>
        <v>1336.27</v>
      </c>
      <c r="Q307" s="35">
        <f t="shared" si="86"/>
        <v>1359.43</v>
      </c>
      <c r="R307" s="35">
        <f t="shared" si="87"/>
        <v>1375.21</v>
      </c>
      <c r="S307" s="35">
        <f t="shared" si="88"/>
        <v>1356.91</v>
      </c>
      <c r="T307" s="35">
        <f t="shared" si="89"/>
        <v>1370.48</v>
      </c>
      <c r="U307" s="25"/>
      <c r="V307" s="25">
        <f t="shared" si="84"/>
        <v>1336.27</v>
      </c>
      <c r="W307" s="25">
        <f t="shared" si="85"/>
        <v>0</v>
      </c>
    </row>
    <row r="308" spans="1:23">
      <c r="A308" t="s">
        <v>583</v>
      </c>
      <c r="B308" t="s">
        <v>951</v>
      </c>
      <c r="C308" s="26">
        <v>85.1</v>
      </c>
      <c r="D308" s="26">
        <v>3055.99</v>
      </c>
      <c r="E308" s="26">
        <f t="shared" si="76"/>
        <v>3141.0899999999997</v>
      </c>
      <c r="F308" s="27" t="str">
        <f t="shared" si="77"/>
        <v>Yes</v>
      </c>
      <c r="G308" s="27" t="s">
        <v>651</v>
      </c>
      <c r="H308" s="11">
        <v>0</v>
      </c>
      <c r="I308" s="11">
        <v>0</v>
      </c>
      <c r="J308" s="35">
        <f t="shared" si="78"/>
        <v>3141.0899999999997</v>
      </c>
      <c r="K308" s="35">
        <f t="shared" si="79"/>
        <v>3195.5291234209135</v>
      </c>
      <c r="L308" s="35">
        <f t="shared" si="80"/>
        <v>3232.6209809125385</v>
      </c>
      <c r="M308" s="35">
        <f t="shared" si="81"/>
        <v>3189.6036486969792</v>
      </c>
      <c r="N308" s="35">
        <f t="shared" si="82"/>
        <v>3221.4996851839492</v>
      </c>
      <c r="O308" s="25"/>
      <c r="P308" s="35">
        <f t="shared" si="83"/>
        <v>3141.09</v>
      </c>
      <c r="Q308" s="35">
        <f t="shared" si="86"/>
        <v>3195.53</v>
      </c>
      <c r="R308" s="35">
        <f t="shared" si="87"/>
        <v>3232.62</v>
      </c>
      <c r="S308" s="35">
        <f t="shared" si="88"/>
        <v>3189.6</v>
      </c>
      <c r="T308" s="35">
        <f t="shared" si="89"/>
        <v>3221.5</v>
      </c>
      <c r="U308" s="25"/>
      <c r="V308" s="25">
        <f t="shared" si="84"/>
        <v>3141.0899999999997</v>
      </c>
      <c r="W308" s="25">
        <f t="shared" si="85"/>
        <v>0</v>
      </c>
    </row>
    <row r="309" spans="1:23">
      <c r="A309" t="s">
        <v>585</v>
      </c>
      <c r="B309" t="s">
        <v>952</v>
      </c>
      <c r="C309" s="26">
        <v>45.91</v>
      </c>
      <c r="D309" s="26">
        <v>5366.26</v>
      </c>
      <c r="E309" s="26">
        <f t="shared" si="76"/>
        <v>5412.17</v>
      </c>
      <c r="F309" s="27" t="str">
        <f t="shared" si="77"/>
        <v>Yes</v>
      </c>
      <c r="G309" s="27" t="s">
        <v>651</v>
      </c>
      <c r="H309" s="11">
        <v>0</v>
      </c>
      <c r="I309" s="11">
        <v>0</v>
      </c>
      <c r="J309" s="35">
        <f t="shared" si="78"/>
        <v>5412.17</v>
      </c>
      <c r="K309" s="35">
        <f t="shared" si="79"/>
        <v>5505.9698562935055</v>
      </c>
      <c r="L309" s="35">
        <f t="shared" si="80"/>
        <v>5569.879976143764</v>
      </c>
      <c r="M309" s="35">
        <f t="shared" si="81"/>
        <v>5495.7601276526093</v>
      </c>
      <c r="N309" s="35">
        <f t="shared" si="82"/>
        <v>5550.7177289291358</v>
      </c>
      <c r="O309" s="25"/>
      <c r="P309" s="35">
        <f t="shared" si="83"/>
        <v>5412.17</v>
      </c>
      <c r="Q309" s="35">
        <f t="shared" si="86"/>
        <v>5505.97</v>
      </c>
      <c r="R309" s="35">
        <f t="shared" si="87"/>
        <v>5569.88</v>
      </c>
      <c r="S309" s="35">
        <f t="shared" si="88"/>
        <v>5495.76</v>
      </c>
      <c r="T309" s="35">
        <f t="shared" si="89"/>
        <v>5550.72</v>
      </c>
      <c r="U309" s="25"/>
      <c r="V309" s="25">
        <f t="shared" si="84"/>
        <v>5412.17</v>
      </c>
      <c r="W309" s="25">
        <f t="shared" si="85"/>
        <v>0</v>
      </c>
    </row>
    <row r="310" spans="1:23">
      <c r="A310" t="s">
        <v>587</v>
      </c>
      <c r="B310" t="s">
        <v>953</v>
      </c>
      <c r="C310" s="26">
        <v>0</v>
      </c>
      <c r="D310" s="26">
        <v>870.59</v>
      </c>
      <c r="E310" s="26">
        <f t="shared" si="76"/>
        <v>870.59</v>
      </c>
      <c r="F310" s="27" t="str">
        <f t="shared" si="77"/>
        <v>Yes</v>
      </c>
      <c r="G310" s="27" t="s">
        <v>651</v>
      </c>
      <c r="H310" s="11">
        <v>0</v>
      </c>
      <c r="I310" s="11">
        <v>0</v>
      </c>
      <c r="J310" s="35">
        <f t="shared" si="78"/>
        <v>870.59</v>
      </c>
      <c r="K310" s="35">
        <f t="shared" si="79"/>
        <v>885.67844269314583</v>
      </c>
      <c r="L310" s="35">
        <f t="shared" si="80"/>
        <v>895.95888681083545</v>
      </c>
      <c r="M310" s="35">
        <f t="shared" si="81"/>
        <v>884.03612775154602</v>
      </c>
      <c r="N310" s="35">
        <f t="shared" si="82"/>
        <v>892.87648902906153</v>
      </c>
      <c r="O310" s="25"/>
      <c r="P310" s="35">
        <f t="shared" si="83"/>
        <v>870.59</v>
      </c>
      <c r="Q310" s="35">
        <f t="shared" si="86"/>
        <v>885.68</v>
      </c>
      <c r="R310" s="35">
        <f t="shared" si="87"/>
        <v>895.96</v>
      </c>
      <c r="S310" s="35">
        <f t="shared" si="88"/>
        <v>884.04</v>
      </c>
      <c r="T310" s="35">
        <f t="shared" si="89"/>
        <v>892.88</v>
      </c>
      <c r="U310" s="25"/>
      <c r="V310" s="25">
        <f t="shared" si="84"/>
        <v>870.59</v>
      </c>
      <c r="W310" s="25">
        <f t="shared" si="85"/>
        <v>0</v>
      </c>
    </row>
    <row r="311" spans="1:23">
      <c r="A311" t="s">
        <v>961</v>
      </c>
      <c r="B311" t="s">
        <v>962</v>
      </c>
      <c r="C311" s="26">
        <v>0</v>
      </c>
      <c r="D311" s="26">
        <v>138.6</v>
      </c>
      <c r="E311" s="26">
        <f t="shared" si="76"/>
        <v>138.6</v>
      </c>
      <c r="F311" s="27" t="str">
        <f t="shared" si="77"/>
        <v>Yes</v>
      </c>
      <c r="G311" s="27" t="s">
        <v>651</v>
      </c>
      <c r="H311" s="11">
        <v>0</v>
      </c>
      <c r="I311" s="11">
        <v>0</v>
      </c>
      <c r="J311" s="35">
        <f t="shared" si="78"/>
        <v>138.6</v>
      </c>
      <c r="K311" s="35">
        <f t="shared" si="79"/>
        <v>141.00211598716962</v>
      </c>
      <c r="L311" s="35">
        <f t="shared" si="80"/>
        <v>142.63878715811322</v>
      </c>
      <c r="M311" s="35">
        <f t="shared" si="81"/>
        <v>140.7406555397653</v>
      </c>
      <c r="N311" s="35">
        <f t="shared" si="82"/>
        <v>142.14806209516294</v>
      </c>
      <c r="O311" s="25"/>
      <c r="P311" s="35">
        <f t="shared" si="83"/>
        <v>138.6</v>
      </c>
      <c r="Q311" s="35">
        <f t="shared" si="86"/>
        <v>141</v>
      </c>
      <c r="R311" s="35">
        <f t="shared" si="87"/>
        <v>142.63999999999999</v>
      </c>
      <c r="S311" s="35">
        <f t="shared" si="88"/>
        <v>140.74</v>
      </c>
      <c r="T311" s="35">
        <f t="shared" si="89"/>
        <v>142.15</v>
      </c>
      <c r="U311" s="25"/>
      <c r="V311" s="25">
        <f t="shared" si="84"/>
        <v>138.6</v>
      </c>
      <c r="W311" s="25">
        <f t="shared" si="85"/>
        <v>0</v>
      </c>
    </row>
    <row r="312" spans="1:23">
      <c r="A312" s="129" t="s">
        <v>48</v>
      </c>
      <c r="B312" s="130" t="s">
        <v>973</v>
      </c>
      <c r="C312" s="131" t="s">
        <v>677</v>
      </c>
      <c r="D312" s="132" t="s">
        <v>982</v>
      </c>
      <c r="E312" s="26"/>
      <c r="G312" s="27"/>
      <c r="H312" s="11"/>
      <c r="I312" s="11"/>
      <c r="J312" s="25"/>
      <c r="K312" s="25"/>
      <c r="L312" s="25"/>
      <c r="O312" s="25"/>
      <c r="P312" s="25"/>
      <c r="Q312" s="25"/>
      <c r="R312" s="25"/>
      <c r="U312" s="25"/>
    </row>
    <row r="313" spans="1:23">
      <c r="A313" s="129" t="s">
        <v>182</v>
      </c>
      <c r="B313" s="130" t="s">
        <v>975</v>
      </c>
      <c r="C313" s="131" t="s">
        <v>761</v>
      </c>
      <c r="D313" s="133" t="s">
        <v>974</v>
      </c>
      <c r="E313" s="26"/>
      <c r="G313" s="27"/>
      <c r="H313" s="11"/>
      <c r="I313" s="11"/>
      <c r="J313" s="25"/>
      <c r="K313" s="25"/>
      <c r="L313" s="25"/>
      <c r="O313" s="25"/>
      <c r="P313" s="25"/>
      <c r="Q313" s="25"/>
      <c r="R313" s="25"/>
      <c r="U313" s="25"/>
    </row>
    <row r="314" spans="1:23">
      <c r="A314" s="129" t="s">
        <v>219</v>
      </c>
      <c r="B314" s="130" t="s">
        <v>977</v>
      </c>
      <c r="C314" s="131" t="s">
        <v>768</v>
      </c>
      <c r="D314" s="133" t="s">
        <v>976</v>
      </c>
      <c r="E314" s="26"/>
      <c r="G314" s="27"/>
      <c r="H314" s="11"/>
      <c r="I314" s="11"/>
      <c r="J314" s="25"/>
      <c r="K314" s="25"/>
      <c r="L314" s="25"/>
      <c r="O314" s="25"/>
      <c r="P314" s="25"/>
      <c r="Q314" s="25"/>
      <c r="R314" s="25"/>
      <c r="U314" s="25"/>
    </row>
    <row r="315" spans="1:23">
      <c r="A315" s="129" t="s">
        <v>315</v>
      </c>
      <c r="B315" s="133" t="s">
        <v>814</v>
      </c>
      <c r="C315" s="131" t="s">
        <v>1136</v>
      </c>
      <c r="D315" s="133" t="s">
        <v>1158</v>
      </c>
      <c r="E315" s="26"/>
    </row>
    <row r="316" spans="1:23">
      <c r="A316" s="129" t="s">
        <v>349</v>
      </c>
      <c r="B316" s="130" t="s">
        <v>970</v>
      </c>
      <c r="C316" s="131" t="s">
        <v>959</v>
      </c>
      <c r="D316" s="132" t="s">
        <v>981</v>
      </c>
      <c r="E316" s="26"/>
      <c r="G316" s="27"/>
      <c r="H316" s="11"/>
      <c r="I316" s="11"/>
      <c r="J316" s="25"/>
      <c r="K316" s="25"/>
      <c r="L316" s="25"/>
      <c r="O316" s="25"/>
      <c r="P316" s="25"/>
      <c r="Q316" s="25"/>
      <c r="R316" s="25"/>
      <c r="U316" s="25"/>
    </row>
    <row r="317" spans="1:23">
      <c r="A317" s="129" t="s">
        <v>489</v>
      </c>
      <c r="B317" s="130" t="s">
        <v>972</v>
      </c>
      <c r="C317" s="131" t="s">
        <v>908</v>
      </c>
      <c r="D317" s="132" t="s">
        <v>971</v>
      </c>
      <c r="E317" s="26"/>
      <c r="G317" s="27"/>
      <c r="H317" s="11"/>
      <c r="I317" s="11"/>
      <c r="J317" s="25"/>
      <c r="K317" s="25"/>
      <c r="L317" s="25"/>
      <c r="O317" s="25"/>
      <c r="P317" s="25"/>
      <c r="Q317" s="25"/>
      <c r="R317" s="25"/>
      <c r="U317" s="25"/>
    </row>
    <row r="318" spans="1:23">
      <c r="A318" s="129" t="s">
        <v>521</v>
      </c>
      <c r="B318" s="130" t="s">
        <v>979</v>
      </c>
      <c r="C318" s="131" t="s">
        <v>925</v>
      </c>
      <c r="D318" s="133" t="s">
        <v>978</v>
      </c>
      <c r="E318" s="26"/>
      <c r="G318" s="27"/>
      <c r="H318" s="11"/>
      <c r="I318" s="11"/>
      <c r="J318" s="25"/>
      <c r="K318" s="25"/>
      <c r="L318" s="25"/>
      <c r="O318" s="25"/>
      <c r="P318" s="25"/>
      <c r="Q318" s="25"/>
      <c r="R318" s="25"/>
      <c r="U318" s="25"/>
    </row>
    <row r="319" spans="1:23">
      <c r="A319" s="129" t="s">
        <v>575</v>
      </c>
      <c r="B319" s="130" t="s">
        <v>969</v>
      </c>
      <c r="C319" s="131" t="s">
        <v>961</v>
      </c>
      <c r="D319" s="132" t="s">
        <v>980</v>
      </c>
      <c r="E319" s="26"/>
      <c r="G319" s="27"/>
      <c r="H319" s="11"/>
      <c r="I319" s="11"/>
      <c r="J319" s="25"/>
      <c r="K319" s="25"/>
      <c r="L319" s="25"/>
      <c r="O319" s="25"/>
      <c r="P319" s="25"/>
      <c r="Q319" s="25"/>
      <c r="R319" s="25"/>
      <c r="U319" s="25"/>
    </row>
    <row r="320" spans="1:23">
      <c r="C320" s="26"/>
      <c r="D320" s="26"/>
    </row>
    <row r="321" spans="3:4">
      <c r="C321" s="26"/>
      <c r="D321" s="26"/>
    </row>
    <row r="322" spans="3:4">
      <c r="C322" s="26"/>
      <c r="D322" s="26"/>
    </row>
    <row r="323" spans="3:4">
      <c r="C323" s="26"/>
      <c r="D323" s="26"/>
    </row>
    <row r="324" spans="3:4">
      <c r="C324" s="26"/>
      <c r="D324" s="26"/>
    </row>
    <row r="325" spans="3:4">
      <c r="C325" s="26"/>
      <c r="D325" s="26"/>
    </row>
    <row r="326" spans="3:4">
      <c r="C326" s="26"/>
      <c r="D326" s="26"/>
    </row>
    <row r="327" spans="3:4">
      <c r="C327" s="26"/>
      <c r="D327" s="26"/>
    </row>
    <row r="328" spans="3:4">
      <c r="C328" s="26"/>
      <c r="D328" s="26"/>
    </row>
    <row r="329" spans="3:4">
      <c r="C329" s="26"/>
      <c r="D329" s="26"/>
    </row>
    <row r="330" spans="3:4">
      <c r="C330" s="26"/>
      <c r="D330" s="26"/>
    </row>
    <row r="331" spans="3:4">
      <c r="C331"/>
      <c r="D331"/>
    </row>
    <row r="332" spans="3:4">
      <c r="C332" s="28"/>
      <c r="D332" s="28"/>
    </row>
    <row r="333" spans="3:4">
      <c r="C333" s="14"/>
      <c r="D333" s="14"/>
    </row>
    <row r="336" spans="3:4">
      <c r="C336" s="14"/>
      <c r="D336" s="14"/>
    </row>
    <row r="337" spans="3:4">
      <c r="C337" s="14"/>
      <c r="D337" s="14"/>
    </row>
    <row r="338" spans="3:4">
      <c r="C338" s="14"/>
      <c r="D338" s="14"/>
    </row>
    <row r="340" spans="3:4">
      <c r="C340" s="14"/>
      <c r="D340" s="14"/>
    </row>
    <row r="341" spans="3:4">
      <c r="C341" s="30"/>
      <c r="D341" s="30"/>
    </row>
    <row r="342" spans="3:4">
      <c r="C342" s="30"/>
      <c r="D342" s="30"/>
    </row>
    <row r="343" spans="3:4">
      <c r="C343" s="30"/>
      <c r="D343" s="30"/>
    </row>
    <row r="344" spans="3:4">
      <c r="C344" s="30"/>
      <c r="D344" s="30"/>
    </row>
    <row r="345" spans="3:4">
      <c r="C345" s="30"/>
      <c r="D345" s="30"/>
    </row>
    <row r="346" spans="3:4">
      <c r="C346" s="30"/>
      <c r="D346" s="30"/>
    </row>
    <row r="347" spans="3:4">
      <c r="C347" s="30"/>
      <c r="D347" s="30"/>
    </row>
    <row r="348" spans="3:4">
      <c r="C348" s="30"/>
      <c r="D348" s="30"/>
    </row>
    <row r="349" spans="3:4">
      <c r="C349" s="30"/>
      <c r="D349" s="30"/>
    </row>
    <row r="350" spans="3:4">
      <c r="C350" s="30"/>
      <c r="D350" s="30"/>
    </row>
    <row r="351" spans="3:4">
      <c r="C351" s="30"/>
      <c r="D351" s="30"/>
    </row>
    <row r="352" spans="3:4">
      <c r="C352" s="30"/>
      <c r="D352" s="30"/>
    </row>
    <row r="353" spans="3:4">
      <c r="C353" s="30"/>
      <c r="D353" s="30"/>
    </row>
    <row r="354" spans="3:4">
      <c r="C354" s="30"/>
      <c r="D354" s="30"/>
    </row>
    <row r="355" spans="3:4">
      <c r="C355" s="30"/>
      <c r="D355" s="30"/>
    </row>
    <row r="356" spans="3:4">
      <c r="C356" s="30"/>
      <c r="D356" s="30"/>
    </row>
    <row r="357" spans="3:4">
      <c r="C357" s="30"/>
      <c r="D357" s="30"/>
    </row>
    <row r="358" spans="3:4">
      <c r="C358" s="30"/>
      <c r="D358" s="30"/>
    </row>
  </sheetData>
  <autoFilter ref="A8:S319" xr:uid="{00000000-0009-0000-0000-000005000000}"/>
  <sortState xmlns:xlrd2="http://schemas.microsoft.com/office/spreadsheetml/2017/richdata2" ref="A312:F319">
    <sortCondition ref="A312:A319"/>
  </sortState>
  <phoneticPr fontId="11" type="noConversion"/>
  <conditionalFormatting sqref="A5">
    <cfRule type="duplicateValues" dxfId="6" priority="1"/>
  </conditionalFormatting>
  <conditionalFormatting sqref="A6">
    <cfRule type="duplicateValues" dxfId="5" priority="2"/>
  </conditionalFormatting>
  <conditionalFormatting sqref="A7:A8">
    <cfRule type="duplicateValues" dxfId="4" priority="12"/>
  </conditionalFormatting>
  <conditionalFormatting sqref="A202">
    <cfRule type="duplicateValues" dxfId="3" priority="10"/>
  </conditionalFormatting>
  <conditionalFormatting sqref="A203:A307 A9:A201">
    <cfRule type="duplicateValues" dxfId="2" priority="11"/>
  </conditionalFormatting>
  <conditionalFormatting sqref="C332:D332">
    <cfRule type="duplicateValues" dxfId="1" priority="3"/>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298"/>
  <sheetViews>
    <sheetView workbookViewId="0">
      <pane xSplit="2" ySplit="2" topLeftCell="C3" activePane="bottomRight" state="frozen"/>
      <selection activeCell="B3" sqref="B3"/>
      <selection pane="topRight" activeCell="B3" sqref="B3"/>
      <selection pane="bottomLeft" activeCell="B3" sqref="B3"/>
      <selection pane="bottomRight" activeCell="Q2" sqref="Q2"/>
    </sheetView>
  </sheetViews>
  <sheetFormatPr defaultRowHeight="15"/>
  <cols>
    <col min="2" max="2" width="20.42578125" bestFit="1" customWidth="1"/>
    <col min="3" max="7" width="14.28515625" hidden="1" customWidth="1"/>
    <col min="8" max="8" width="14.28515625" bestFit="1" customWidth="1"/>
    <col min="9" max="13" width="13.85546875" bestFit="1" customWidth="1"/>
    <col min="14" max="14" width="21.5703125" bestFit="1" customWidth="1"/>
  </cols>
  <sheetData>
    <row r="1" spans="1:17">
      <c r="A1" t="s">
        <v>606</v>
      </c>
      <c r="B1" t="s">
        <v>596</v>
      </c>
      <c r="C1" s="5">
        <v>2019</v>
      </c>
      <c r="D1" s="5">
        <v>2020</v>
      </c>
      <c r="E1" s="5">
        <v>2021</v>
      </c>
      <c r="F1" s="5">
        <v>2022</v>
      </c>
      <c r="G1" s="5">
        <v>2023</v>
      </c>
      <c r="H1" s="5">
        <v>2024</v>
      </c>
      <c r="I1" s="5">
        <v>2025</v>
      </c>
      <c r="J1" s="5">
        <v>2026</v>
      </c>
      <c r="K1" s="5">
        <v>2027</v>
      </c>
      <c r="L1" s="5">
        <v>2028</v>
      </c>
      <c r="M1" s="5">
        <v>2029</v>
      </c>
      <c r="N1" t="s">
        <v>1175</v>
      </c>
      <c r="Q1" t="s">
        <v>1176</v>
      </c>
    </row>
    <row r="2" spans="1:17">
      <c r="A2" t="s">
        <v>633</v>
      </c>
      <c r="B2" t="s">
        <v>634</v>
      </c>
      <c r="C2" s="6">
        <f t="shared" ref="C2:J2" si="0">SUM(C3:C297)</f>
        <v>2243795589</v>
      </c>
      <c r="D2" s="6">
        <f t="shared" si="0"/>
        <v>2276315760</v>
      </c>
      <c r="E2" s="6">
        <f t="shared" si="0"/>
        <v>2380406000</v>
      </c>
      <c r="F2" s="6">
        <f t="shared" si="0"/>
        <v>2547417684</v>
      </c>
      <c r="G2" s="6">
        <f t="shared" si="0"/>
        <v>2559873129</v>
      </c>
      <c r="H2" s="6">
        <f t="shared" si="0"/>
        <v>2749004491</v>
      </c>
      <c r="I2" s="6">
        <f t="shared" si="0"/>
        <v>2939913769</v>
      </c>
      <c r="J2" s="6">
        <f t="shared" si="0"/>
        <v>2636543279</v>
      </c>
      <c r="K2" s="6">
        <f t="shared" ref="K2:L2" si="1">SUM(K3:K297)</f>
        <v>1159537273</v>
      </c>
      <c r="L2" s="6">
        <f t="shared" si="1"/>
        <v>725481120</v>
      </c>
      <c r="M2" s="6">
        <f t="shared" ref="M2" si="2">SUM(M3:M297)</f>
        <v>27114267</v>
      </c>
      <c r="N2" s="6"/>
    </row>
    <row r="3" spans="1:17">
      <c r="A3" t="s">
        <v>0</v>
      </c>
      <c r="B3" t="s">
        <v>1</v>
      </c>
      <c r="C3" s="2">
        <v>79075</v>
      </c>
      <c r="D3" s="2">
        <v>79075</v>
      </c>
      <c r="E3" s="2">
        <v>150000</v>
      </c>
      <c r="F3" s="2">
        <v>150000</v>
      </c>
      <c r="G3" s="2">
        <v>150000</v>
      </c>
      <c r="H3" s="2">
        <v>150000</v>
      </c>
      <c r="I3" s="2">
        <v>150000</v>
      </c>
      <c r="J3" s="2">
        <v>150000</v>
      </c>
      <c r="K3" s="2">
        <v>0</v>
      </c>
      <c r="L3" s="2">
        <v>0</v>
      </c>
      <c r="M3" s="177">
        <v>0</v>
      </c>
      <c r="N3" s="2"/>
    </row>
    <row r="4" spans="1:17">
      <c r="A4" t="s">
        <v>2</v>
      </c>
      <c r="B4" t="s">
        <v>3</v>
      </c>
      <c r="C4" s="2">
        <v>40000</v>
      </c>
      <c r="D4" s="2">
        <v>40000</v>
      </c>
      <c r="E4" s="2">
        <v>50000</v>
      </c>
      <c r="F4" s="2">
        <v>50000</v>
      </c>
      <c r="G4" s="2">
        <v>50000</v>
      </c>
      <c r="H4" s="2">
        <v>50000</v>
      </c>
      <c r="I4" s="2">
        <v>36000</v>
      </c>
      <c r="J4" s="2">
        <v>36000</v>
      </c>
      <c r="K4" s="2">
        <v>0</v>
      </c>
      <c r="L4" s="2">
        <v>0</v>
      </c>
      <c r="M4" s="177">
        <v>0</v>
      </c>
      <c r="N4" s="2"/>
    </row>
    <row r="5" spans="1:17">
      <c r="A5" t="s">
        <v>4</v>
      </c>
      <c r="B5" t="s">
        <v>5</v>
      </c>
      <c r="C5" s="2">
        <v>3200000</v>
      </c>
      <c r="D5" s="2">
        <v>3350000</v>
      </c>
      <c r="E5" s="2">
        <v>2350000</v>
      </c>
      <c r="F5" s="2">
        <v>2435000</v>
      </c>
      <c r="G5" s="2">
        <v>2560000</v>
      </c>
      <c r="H5" s="2">
        <v>2825000</v>
      </c>
      <c r="I5" s="2">
        <v>3050000</v>
      </c>
      <c r="J5" s="2">
        <v>3300000</v>
      </c>
      <c r="K5" s="2">
        <v>0</v>
      </c>
      <c r="L5" s="2">
        <v>0</v>
      </c>
      <c r="M5" s="177">
        <v>0</v>
      </c>
      <c r="N5" s="2"/>
    </row>
    <row r="6" spans="1:17">
      <c r="A6" t="s">
        <v>6</v>
      </c>
      <c r="B6" t="s">
        <v>7</v>
      </c>
      <c r="C6" s="2">
        <v>465000</v>
      </c>
      <c r="D6" s="2">
        <v>511000</v>
      </c>
      <c r="E6" s="2">
        <v>525000</v>
      </c>
      <c r="F6" s="2">
        <v>525000</v>
      </c>
      <c r="G6" s="2">
        <v>545000</v>
      </c>
      <c r="H6" s="2">
        <v>555000</v>
      </c>
      <c r="I6" s="2">
        <v>641000</v>
      </c>
      <c r="J6" s="2">
        <v>665000</v>
      </c>
      <c r="K6" s="2">
        <v>0</v>
      </c>
      <c r="L6" s="2">
        <v>0</v>
      </c>
      <c r="M6" s="177">
        <v>0</v>
      </c>
      <c r="N6" s="2"/>
    </row>
    <row r="7" spans="1:17">
      <c r="A7" t="s">
        <v>8</v>
      </c>
      <c r="B7" t="s">
        <v>9</v>
      </c>
      <c r="C7" s="2">
        <v>596719</v>
      </c>
      <c r="D7" s="2">
        <v>656391</v>
      </c>
      <c r="E7" s="2">
        <v>877500</v>
      </c>
      <c r="F7" s="2">
        <v>877500</v>
      </c>
      <c r="G7" s="2">
        <v>914000</v>
      </c>
      <c r="H7" s="2">
        <v>914000</v>
      </c>
      <c r="I7" s="2">
        <v>2305550</v>
      </c>
      <c r="J7" s="2">
        <v>0</v>
      </c>
      <c r="K7" s="2">
        <v>0</v>
      </c>
      <c r="L7" s="2">
        <v>0</v>
      </c>
      <c r="M7" s="177">
        <v>0</v>
      </c>
      <c r="N7" s="2"/>
    </row>
    <row r="8" spans="1:17">
      <c r="A8" t="s">
        <v>10</v>
      </c>
      <c r="B8" t="s">
        <v>11</v>
      </c>
      <c r="C8" s="2">
        <v>2337122</v>
      </c>
      <c r="D8" s="2">
        <v>2570834</v>
      </c>
      <c r="E8" s="2">
        <v>2827917</v>
      </c>
      <c r="F8" s="2">
        <v>3110709</v>
      </c>
      <c r="G8" s="2">
        <v>4261000</v>
      </c>
      <c r="H8" s="2">
        <v>4474000</v>
      </c>
      <c r="I8" s="2">
        <v>4698000</v>
      </c>
      <c r="J8" s="2">
        <v>4933000</v>
      </c>
      <c r="K8" s="2">
        <v>0</v>
      </c>
      <c r="L8" s="2">
        <v>0</v>
      </c>
      <c r="M8" s="177">
        <v>0</v>
      </c>
      <c r="N8" s="2"/>
    </row>
    <row r="9" spans="1:17">
      <c r="A9" t="s">
        <v>12</v>
      </c>
      <c r="B9" t="s">
        <v>13</v>
      </c>
      <c r="C9" s="2">
        <v>652000</v>
      </c>
      <c r="D9" s="2">
        <v>635000</v>
      </c>
      <c r="E9" s="2">
        <v>648000</v>
      </c>
      <c r="F9" s="2">
        <v>1018827</v>
      </c>
      <c r="G9" s="2">
        <v>1049392</v>
      </c>
      <c r="H9" s="2">
        <v>1080874</v>
      </c>
      <c r="I9" s="2">
        <v>1113300</v>
      </c>
      <c r="J9" s="2">
        <v>0</v>
      </c>
      <c r="K9" s="2">
        <v>0</v>
      </c>
      <c r="L9" s="2">
        <v>0</v>
      </c>
      <c r="M9" s="177">
        <v>0</v>
      </c>
      <c r="N9" s="2"/>
    </row>
    <row r="10" spans="1:17">
      <c r="A10" t="s">
        <v>14</v>
      </c>
      <c r="B10" t="s">
        <v>15</v>
      </c>
      <c r="C10" s="2">
        <v>13200000</v>
      </c>
      <c r="D10" s="2">
        <v>14850000</v>
      </c>
      <c r="E10" s="2">
        <v>16500000</v>
      </c>
      <c r="F10" s="2">
        <v>18150000</v>
      </c>
      <c r="G10" s="2">
        <v>0</v>
      </c>
      <c r="H10" s="2">
        <v>23000000</v>
      </c>
      <c r="I10" s="2">
        <v>23850000</v>
      </c>
      <c r="J10" s="2">
        <v>24700000</v>
      </c>
      <c r="K10" s="2">
        <v>0</v>
      </c>
      <c r="L10" s="2">
        <v>0</v>
      </c>
      <c r="M10" s="177">
        <v>0</v>
      </c>
      <c r="N10" s="2"/>
    </row>
    <row r="11" spans="1:17">
      <c r="A11" t="s">
        <v>16</v>
      </c>
      <c r="B11" t="s">
        <v>17</v>
      </c>
      <c r="C11" s="2">
        <v>314807</v>
      </c>
      <c r="D11" s="2">
        <v>330547</v>
      </c>
      <c r="E11" s="2">
        <v>335521</v>
      </c>
      <c r="F11" s="2">
        <v>346314</v>
      </c>
      <c r="G11" s="2">
        <v>355497</v>
      </c>
      <c r="H11" s="2">
        <v>360403</v>
      </c>
      <c r="I11" s="2">
        <v>369413</v>
      </c>
      <c r="J11" s="2">
        <v>378648</v>
      </c>
      <c r="K11" s="2">
        <v>0</v>
      </c>
      <c r="L11" s="2">
        <v>0</v>
      </c>
      <c r="M11" s="177">
        <v>0</v>
      </c>
      <c r="N11" s="2"/>
    </row>
    <row r="12" spans="1:17">
      <c r="A12" t="s">
        <v>18</v>
      </c>
      <c r="B12" t="s">
        <v>19</v>
      </c>
      <c r="C12" s="2">
        <v>1400000</v>
      </c>
      <c r="D12" s="2">
        <v>1500000</v>
      </c>
      <c r="E12" s="2">
        <v>0</v>
      </c>
      <c r="F12" s="2">
        <v>1445090</v>
      </c>
      <c r="G12" s="2">
        <v>1560697</v>
      </c>
      <c r="H12" s="2">
        <v>1747483</v>
      </c>
      <c r="I12" s="2">
        <v>1870680</v>
      </c>
      <c r="J12" s="2">
        <v>0</v>
      </c>
      <c r="K12" s="2">
        <v>0</v>
      </c>
      <c r="L12" s="2">
        <v>0</v>
      </c>
      <c r="M12" s="177">
        <v>0</v>
      </c>
      <c r="N12" s="2"/>
    </row>
    <row r="13" spans="1:17">
      <c r="A13" t="s">
        <v>20</v>
      </c>
      <c r="B13" t="s">
        <v>21</v>
      </c>
      <c r="C13" s="2">
        <v>1000000</v>
      </c>
      <c r="D13" s="2">
        <v>1000000</v>
      </c>
      <c r="E13" s="2">
        <v>1125000</v>
      </c>
      <c r="F13" s="2">
        <v>1175000</v>
      </c>
      <c r="G13" s="2">
        <v>0</v>
      </c>
      <c r="H13" s="2">
        <v>1430000</v>
      </c>
      <c r="I13" s="2">
        <v>1475000</v>
      </c>
      <c r="J13" s="2">
        <v>0</v>
      </c>
      <c r="K13" s="2">
        <v>0</v>
      </c>
      <c r="L13" s="2">
        <v>0</v>
      </c>
      <c r="M13" s="177">
        <v>0</v>
      </c>
      <c r="N13" s="2"/>
    </row>
    <row r="14" spans="1:17">
      <c r="A14" t="s">
        <v>22</v>
      </c>
      <c r="B14" t="s">
        <v>23</v>
      </c>
      <c r="C14" s="2">
        <v>2412401</v>
      </c>
      <c r="D14" s="2">
        <v>2774261</v>
      </c>
      <c r="E14" s="2">
        <v>3190400</v>
      </c>
      <c r="F14" s="2">
        <v>3668960</v>
      </c>
      <c r="G14" s="2">
        <v>3782032</v>
      </c>
      <c r="H14" s="2">
        <v>3895493</v>
      </c>
      <c r="I14" s="2">
        <v>4291787</v>
      </c>
      <c r="J14" s="2">
        <v>4420541</v>
      </c>
      <c r="K14" s="2">
        <v>4553157</v>
      </c>
      <c r="L14" s="2">
        <v>4689752</v>
      </c>
      <c r="M14" s="177">
        <v>0</v>
      </c>
      <c r="N14" s="2"/>
    </row>
    <row r="15" spans="1:17">
      <c r="A15" t="s">
        <v>24</v>
      </c>
      <c r="B15" t="s">
        <v>25</v>
      </c>
      <c r="C15" s="2">
        <v>23000000</v>
      </c>
      <c r="D15" s="2">
        <v>24000000</v>
      </c>
      <c r="E15" s="2">
        <v>25000000</v>
      </c>
      <c r="F15" s="2">
        <v>26000000</v>
      </c>
      <c r="G15" s="2">
        <v>28533131</v>
      </c>
      <c r="H15" s="2">
        <v>29959787</v>
      </c>
      <c r="I15" s="2">
        <v>31457777</v>
      </c>
      <c r="J15" s="2">
        <v>33030666</v>
      </c>
      <c r="K15" s="2">
        <v>0</v>
      </c>
      <c r="L15" s="2">
        <v>0</v>
      </c>
      <c r="M15" s="177">
        <v>0</v>
      </c>
      <c r="N15" s="2"/>
    </row>
    <row r="16" spans="1:17">
      <c r="A16" t="s">
        <v>26</v>
      </c>
      <c r="B16" t="s">
        <v>27</v>
      </c>
      <c r="C16" s="2">
        <v>1426962</v>
      </c>
      <c r="D16" s="2">
        <v>1449314</v>
      </c>
      <c r="E16" s="2">
        <v>1536273</v>
      </c>
      <c r="F16" s="2">
        <v>1671774</v>
      </c>
      <c r="G16" s="2">
        <v>1738474</v>
      </c>
      <c r="H16" s="2">
        <v>1884500</v>
      </c>
      <c r="I16" s="2">
        <v>1955326</v>
      </c>
      <c r="J16" s="2">
        <v>0</v>
      </c>
      <c r="K16" s="2">
        <v>0</v>
      </c>
      <c r="L16" s="2">
        <v>0</v>
      </c>
      <c r="M16" s="177">
        <v>0</v>
      </c>
      <c r="N16" s="2"/>
    </row>
    <row r="17" spans="1:14">
      <c r="A17" t="s">
        <v>28</v>
      </c>
      <c r="B17" t="s">
        <v>29</v>
      </c>
      <c r="C17" s="2">
        <v>0</v>
      </c>
      <c r="D17" s="2">
        <v>0</v>
      </c>
      <c r="E17" s="2">
        <v>0</v>
      </c>
      <c r="F17" s="2">
        <v>0</v>
      </c>
      <c r="G17" s="2">
        <v>0</v>
      </c>
      <c r="H17" s="2">
        <v>0</v>
      </c>
      <c r="I17" s="2">
        <v>0</v>
      </c>
      <c r="J17" s="2">
        <v>0</v>
      </c>
      <c r="K17" s="2">
        <v>0</v>
      </c>
      <c r="L17" s="2">
        <v>0</v>
      </c>
      <c r="M17" s="177">
        <v>0</v>
      </c>
      <c r="N17" s="2"/>
    </row>
    <row r="18" spans="1:14">
      <c r="A18" t="s">
        <v>30</v>
      </c>
      <c r="B18" t="s">
        <v>31</v>
      </c>
      <c r="C18" s="2">
        <v>650000</v>
      </c>
      <c r="D18" s="2">
        <v>650000</v>
      </c>
      <c r="E18" s="2">
        <v>485000</v>
      </c>
      <c r="F18" s="2">
        <v>500000</v>
      </c>
      <c r="G18" s="2">
        <v>500000</v>
      </c>
      <c r="H18" s="2">
        <v>515000</v>
      </c>
      <c r="I18" s="2">
        <v>785000</v>
      </c>
      <c r="J18" s="2">
        <v>800000</v>
      </c>
      <c r="K18" s="2">
        <v>815000</v>
      </c>
      <c r="L18" s="2">
        <v>835000</v>
      </c>
      <c r="M18" s="177">
        <v>0</v>
      </c>
      <c r="N18" s="2"/>
    </row>
    <row r="19" spans="1:14">
      <c r="A19" t="s">
        <v>32</v>
      </c>
      <c r="B19" t="s">
        <v>33</v>
      </c>
      <c r="C19" s="2">
        <v>3354086</v>
      </c>
      <c r="D19" s="2">
        <v>3454709</v>
      </c>
      <c r="E19" s="2">
        <v>3539532</v>
      </c>
      <c r="F19" s="2">
        <v>3608822</v>
      </c>
      <c r="G19" s="2">
        <v>3850000</v>
      </c>
      <c r="H19" s="2">
        <v>3950000</v>
      </c>
      <c r="I19" s="2">
        <v>3989500</v>
      </c>
      <c r="J19" s="2">
        <v>4196000</v>
      </c>
      <c r="K19" s="2">
        <v>4390000</v>
      </c>
      <c r="L19" s="2">
        <v>4553000</v>
      </c>
      <c r="M19" s="177">
        <v>0</v>
      </c>
      <c r="N19" s="2"/>
    </row>
    <row r="20" spans="1:14">
      <c r="A20" t="s">
        <v>34</v>
      </c>
      <c r="B20" t="s">
        <v>35</v>
      </c>
      <c r="C20" s="2">
        <v>1462859</v>
      </c>
      <c r="D20" s="2">
        <v>1682288</v>
      </c>
      <c r="E20" s="2">
        <v>1673883</v>
      </c>
      <c r="F20" s="2">
        <v>2065314</v>
      </c>
      <c r="G20" s="2">
        <v>2508661</v>
      </c>
      <c r="H20" s="2">
        <v>2709354</v>
      </c>
      <c r="I20" s="2">
        <v>2934371</v>
      </c>
      <c r="J20" s="2">
        <v>3081090</v>
      </c>
      <c r="K20" s="2">
        <v>3235144</v>
      </c>
      <c r="L20" s="2">
        <v>3396901</v>
      </c>
      <c r="M20" s="177">
        <v>0</v>
      </c>
      <c r="N20" s="2"/>
    </row>
    <row r="21" spans="1:14">
      <c r="A21" t="s">
        <v>36</v>
      </c>
      <c r="B21" t="s">
        <v>37</v>
      </c>
      <c r="C21" s="2">
        <v>3195365</v>
      </c>
      <c r="D21" s="2">
        <v>3227319</v>
      </c>
      <c r="E21" s="2">
        <v>3259592</v>
      </c>
      <c r="F21" s="2">
        <v>3450000</v>
      </c>
      <c r="G21" s="2">
        <v>3650000</v>
      </c>
      <c r="H21" s="2">
        <v>3915000</v>
      </c>
      <c r="I21" s="2">
        <v>4000000</v>
      </c>
      <c r="J21" s="2">
        <v>0</v>
      </c>
      <c r="K21" s="2">
        <v>0</v>
      </c>
      <c r="L21" s="2">
        <v>0</v>
      </c>
      <c r="M21" s="177">
        <v>0</v>
      </c>
      <c r="N21" s="2"/>
    </row>
    <row r="22" spans="1:14">
      <c r="A22" t="s">
        <v>38</v>
      </c>
      <c r="B22" t="s">
        <v>39</v>
      </c>
      <c r="C22" s="2">
        <v>12903727</v>
      </c>
      <c r="D22" s="2">
        <v>13290839</v>
      </c>
      <c r="E22" s="2">
        <v>13689564</v>
      </c>
      <c r="F22" s="2">
        <v>12000000</v>
      </c>
      <c r="G22" s="2">
        <v>12350000</v>
      </c>
      <c r="H22" s="2">
        <v>12700000</v>
      </c>
      <c r="I22" s="2">
        <v>13050000</v>
      </c>
      <c r="J22" s="2">
        <v>0</v>
      </c>
      <c r="K22" s="2">
        <v>0</v>
      </c>
      <c r="L22" s="2">
        <v>0</v>
      </c>
      <c r="M22" s="177">
        <v>0</v>
      </c>
      <c r="N22" s="2"/>
    </row>
    <row r="23" spans="1:14">
      <c r="A23" t="s">
        <v>40</v>
      </c>
      <c r="B23" t="s">
        <v>41</v>
      </c>
      <c r="C23" s="2">
        <v>9100000</v>
      </c>
      <c r="D23" s="2">
        <v>9100000</v>
      </c>
      <c r="E23" s="2">
        <v>9100000</v>
      </c>
      <c r="F23" s="2">
        <v>5600000</v>
      </c>
      <c r="G23" s="2">
        <v>5600000</v>
      </c>
      <c r="H23" s="2">
        <v>5600000</v>
      </c>
      <c r="I23" s="2">
        <v>5600000</v>
      </c>
      <c r="J23" s="2">
        <v>8555041</v>
      </c>
      <c r="K23" s="2">
        <v>8640591</v>
      </c>
      <c r="L23" s="2">
        <v>8726997</v>
      </c>
      <c r="M23" s="177">
        <v>8814267</v>
      </c>
      <c r="N23" s="2"/>
    </row>
    <row r="24" spans="1:14">
      <c r="A24" t="s">
        <v>42</v>
      </c>
      <c r="B24" t="s">
        <v>43</v>
      </c>
      <c r="C24" s="2">
        <v>520000</v>
      </c>
      <c r="D24" s="2">
        <v>520000</v>
      </c>
      <c r="E24" s="2">
        <v>520000</v>
      </c>
      <c r="F24" s="2">
        <v>520000</v>
      </c>
      <c r="G24" s="2">
        <v>520000</v>
      </c>
      <c r="H24" s="2">
        <v>520000</v>
      </c>
      <c r="I24" s="2">
        <v>690000</v>
      </c>
      <c r="J24" s="2">
        <v>690000</v>
      </c>
      <c r="K24" s="2">
        <v>690000</v>
      </c>
      <c r="L24" s="2">
        <v>690000</v>
      </c>
      <c r="M24" s="177">
        <v>0</v>
      </c>
      <c r="N24" s="2"/>
    </row>
    <row r="25" spans="1:14">
      <c r="A25" t="s">
        <v>44</v>
      </c>
      <c r="B25" t="s">
        <v>45</v>
      </c>
      <c r="C25" s="2">
        <v>6524000</v>
      </c>
      <c r="D25" s="2">
        <v>6724000</v>
      </c>
      <c r="E25" s="2">
        <v>6924000</v>
      </c>
      <c r="F25" s="2">
        <v>7155000</v>
      </c>
      <c r="G25" s="2">
        <v>7338560</v>
      </c>
      <c r="H25" s="2">
        <v>7526780</v>
      </c>
      <c r="I25" s="2">
        <v>7718191</v>
      </c>
      <c r="J25" s="2">
        <v>0</v>
      </c>
      <c r="K25" s="2">
        <v>0</v>
      </c>
      <c r="L25" s="2">
        <v>0</v>
      </c>
      <c r="M25" s="177">
        <v>0</v>
      </c>
      <c r="N25" s="2"/>
    </row>
    <row r="26" spans="1:14">
      <c r="A26" t="s">
        <v>46</v>
      </c>
      <c r="B26" t="s">
        <v>47</v>
      </c>
      <c r="C26" s="2">
        <v>275000</v>
      </c>
      <c r="D26" s="2">
        <v>275000</v>
      </c>
      <c r="E26" s="2">
        <v>360000</v>
      </c>
      <c r="F26" s="2">
        <v>361800</v>
      </c>
      <c r="G26" s="2">
        <v>361981</v>
      </c>
      <c r="H26" s="2">
        <v>362162</v>
      </c>
      <c r="I26" s="2">
        <v>439860</v>
      </c>
      <c r="J26" s="2">
        <v>453055</v>
      </c>
      <c r="K26" s="2">
        <v>466647</v>
      </c>
      <c r="L26" s="2">
        <v>480646</v>
      </c>
      <c r="M26" s="177">
        <v>0</v>
      </c>
      <c r="N26" s="2"/>
    </row>
    <row r="27" spans="1:14">
      <c r="A27" t="s">
        <v>48</v>
      </c>
      <c r="B27" t="s">
        <v>49</v>
      </c>
      <c r="C27" s="2">
        <v>714304</v>
      </c>
      <c r="D27" s="2">
        <v>714304</v>
      </c>
      <c r="E27" s="2">
        <v>714304</v>
      </c>
      <c r="F27" s="2">
        <v>714304</v>
      </c>
      <c r="G27" s="2">
        <v>714304</v>
      </c>
      <c r="H27" s="2">
        <v>714304</v>
      </c>
      <c r="I27" s="2">
        <v>714304</v>
      </c>
      <c r="J27" s="2">
        <v>0</v>
      </c>
      <c r="K27" s="2">
        <v>0</v>
      </c>
      <c r="L27" s="2">
        <v>0</v>
      </c>
      <c r="M27" s="177">
        <v>0</v>
      </c>
      <c r="N27" s="2"/>
    </row>
    <row r="28" spans="1:14">
      <c r="A28" t="s">
        <v>50</v>
      </c>
      <c r="B28" t="s">
        <v>51</v>
      </c>
      <c r="C28" s="2">
        <v>48400000</v>
      </c>
      <c r="D28" s="2">
        <v>32775000</v>
      </c>
      <c r="E28" s="2">
        <v>45400000</v>
      </c>
      <c r="F28" s="2">
        <v>48640000</v>
      </c>
      <c r="G28" s="2">
        <v>52175000</v>
      </c>
      <c r="H28" s="2">
        <v>61661200</v>
      </c>
      <c r="I28" s="2">
        <v>65308600</v>
      </c>
      <c r="J28" s="2">
        <v>69985300</v>
      </c>
      <c r="K28" s="2">
        <v>74988200</v>
      </c>
      <c r="L28" s="2">
        <v>0</v>
      </c>
      <c r="M28" s="177">
        <v>0</v>
      </c>
      <c r="N28" s="2"/>
    </row>
    <row r="29" spans="1:14">
      <c r="A29" t="s">
        <v>52</v>
      </c>
      <c r="B29" t="s">
        <v>53</v>
      </c>
      <c r="C29" s="2">
        <v>4997000</v>
      </c>
      <c r="D29" s="2">
        <v>2685000</v>
      </c>
      <c r="E29" s="2">
        <v>3005000</v>
      </c>
      <c r="F29" s="2">
        <v>3335000</v>
      </c>
      <c r="G29" s="2">
        <v>4075000</v>
      </c>
      <c r="H29" s="2">
        <v>4300000</v>
      </c>
      <c r="I29" s="2">
        <v>4525000</v>
      </c>
      <c r="J29" s="2">
        <v>4775000</v>
      </c>
      <c r="K29" s="2">
        <v>0</v>
      </c>
      <c r="L29" s="2">
        <v>0</v>
      </c>
      <c r="M29" s="177">
        <v>0</v>
      </c>
      <c r="N29" s="2"/>
    </row>
    <row r="30" spans="1:14">
      <c r="A30" t="s">
        <v>54</v>
      </c>
      <c r="B30" t="s">
        <v>55</v>
      </c>
      <c r="C30" s="2">
        <v>2954259</v>
      </c>
      <c r="D30" s="2">
        <v>2405775</v>
      </c>
      <c r="E30" s="2">
        <v>2766641</v>
      </c>
      <c r="F30" s="2">
        <v>3181637</v>
      </c>
      <c r="G30" s="2">
        <v>2635172</v>
      </c>
      <c r="H30" s="2">
        <v>2819501</v>
      </c>
      <c r="I30" s="2">
        <v>3016734</v>
      </c>
      <c r="J30" s="2">
        <v>0</v>
      </c>
      <c r="K30" s="2">
        <v>0</v>
      </c>
      <c r="L30" s="2">
        <v>0</v>
      </c>
      <c r="M30" s="177">
        <v>0</v>
      </c>
      <c r="N30" s="2"/>
    </row>
    <row r="31" spans="1:14">
      <c r="A31" t="s">
        <v>56</v>
      </c>
      <c r="B31" t="s">
        <v>57</v>
      </c>
      <c r="C31" s="2">
        <v>550000</v>
      </c>
      <c r="D31" s="2">
        <v>321129</v>
      </c>
      <c r="E31" s="2">
        <v>353241</v>
      </c>
      <c r="F31" s="2">
        <v>388566</v>
      </c>
      <c r="G31" s="2">
        <v>419920</v>
      </c>
      <c r="H31" s="2">
        <v>432298</v>
      </c>
      <c r="I31" s="2">
        <v>560000</v>
      </c>
      <c r="J31" s="2">
        <v>580000</v>
      </c>
      <c r="K31" s="2">
        <v>600000</v>
      </c>
      <c r="L31" s="2">
        <v>0</v>
      </c>
      <c r="M31" s="177">
        <v>0</v>
      </c>
      <c r="N31" s="2"/>
    </row>
    <row r="32" spans="1:14">
      <c r="A32" t="s">
        <v>58</v>
      </c>
      <c r="B32" t="s">
        <v>59</v>
      </c>
      <c r="C32" s="2">
        <v>7750000</v>
      </c>
      <c r="D32" s="2">
        <v>7980000</v>
      </c>
      <c r="E32" s="2">
        <v>7392656</v>
      </c>
      <c r="F32" s="2">
        <v>7984068</v>
      </c>
      <c r="G32" s="2">
        <v>8622793</v>
      </c>
      <c r="H32" s="2">
        <v>9500000</v>
      </c>
      <c r="I32" s="2">
        <v>10500000</v>
      </c>
      <c r="J32" s="2">
        <v>11500000</v>
      </c>
      <c r="K32" s="2">
        <v>0</v>
      </c>
      <c r="L32" s="2">
        <v>0</v>
      </c>
      <c r="M32" s="177">
        <v>0</v>
      </c>
      <c r="N32" s="2"/>
    </row>
    <row r="33" spans="1:14">
      <c r="A33" t="s">
        <v>60</v>
      </c>
      <c r="B33" t="s">
        <v>61</v>
      </c>
      <c r="C33" s="2">
        <v>54097000</v>
      </c>
      <c r="D33" s="2">
        <v>31950000</v>
      </c>
      <c r="E33" s="2">
        <v>35300000</v>
      </c>
      <c r="F33" s="2">
        <v>38650000</v>
      </c>
      <c r="G33" s="2">
        <v>42900000</v>
      </c>
      <c r="H33" s="2">
        <v>45500000</v>
      </c>
      <c r="I33" s="2">
        <v>47800000</v>
      </c>
      <c r="J33" s="2">
        <v>0</v>
      </c>
      <c r="K33" s="2">
        <v>0</v>
      </c>
      <c r="L33" s="2">
        <v>0</v>
      </c>
      <c r="M33" s="177">
        <v>0</v>
      </c>
      <c r="N33" s="2"/>
    </row>
    <row r="34" spans="1:14">
      <c r="A34" t="s">
        <v>62</v>
      </c>
      <c r="B34" t="s">
        <v>63</v>
      </c>
      <c r="C34" s="2">
        <v>16583000</v>
      </c>
      <c r="D34" s="2">
        <v>17080000</v>
      </c>
      <c r="E34" s="2">
        <v>17593000</v>
      </c>
      <c r="F34" s="2">
        <v>17180000</v>
      </c>
      <c r="G34" s="2">
        <v>17690000</v>
      </c>
      <c r="H34" s="2">
        <v>18220000</v>
      </c>
      <c r="I34" s="2">
        <v>19130000</v>
      </c>
      <c r="J34" s="2">
        <v>19710000</v>
      </c>
      <c r="K34" s="2">
        <v>20300000</v>
      </c>
      <c r="L34" s="2">
        <v>20910000</v>
      </c>
      <c r="M34" s="177">
        <v>0</v>
      </c>
      <c r="N34" s="2"/>
    </row>
    <row r="35" spans="1:14">
      <c r="A35" t="s">
        <v>64</v>
      </c>
      <c r="B35" t="s">
        <v>65</v>
      </c>
      <c r="C35" s="2">
        <v>33260000</v>
      </c>
      <c r="D35" s="2">
        <v>34930000</v>
      </c>
      <c r="E35" s="2">
        <v>36670000</v>
      </c>
      <c r="F35" s="2">
        <v>26750000</v>
      </c>
      <c r="G35" s="2">
        <v>28200000</v>
      </c>
      <c r="H35" s="2">
        <v>29650000</v>
      </c>
      <c r="I35" s="2">
        <v>31100000</v>
      </c>
      <c r="J35" s="2">
        <v>0</v>
      </c>
      <c r="K35" s="2">
        <v>0</v>
      </c>
      <c r="L35" s="2">
        <v>0</v>
      </c>
      <c r="M35" s="177">
        <v>0</v>
      </c>
      <c r="N35" s="2"/>
    </row>
    <row r="36" spans="1:14">
      <c r="A36" t="s">
        <v>66</v>
      </c>
      <c r="B36" t="s">
        <v>67</v>
      </c>
      <c r="C36" s="2">
        <v>7572923</v>
      </c>
      <c r="D36" s="2">
        <v>6144310</v>
      </c>
      <c r="E36" s="2">
        <v>7065957</v>
      </c>
      <c r="F36" s="2">
        <v>7984531</v>
      </c>
      <c r="G36" s="2">
        <v>9053791</v>
      </c>
      <c r="H36" s="2">
        <v>10411860</v>
      </c>
      <c r="I36" s="2">
        <v>11611283</v>
      </c>
      <c r="J36" s="2">
        <v>0</v>
      </c>
      <c r="K36" s="2">
        <v>0</v>
      </c>
      <c r="L36" s="2">
        <v>0</v>
      </c>
      <c r="M36" s="177">
        <v>0</v>
      </c>
      <c r="N36" s="2"/>
    </row>
    <row r="37" spans="1:14">
      <c r="A37" t="s">
        <v>68</v>
      </c>
      <c r="B37" t="s">
        <v>69</v>
      </c>
      <c r="C37" s="2">
        <v>1460000</v>
      </c>
      <c r="D37" s="2">
        <v>1460000</v>
      </c>
      <c r="E37" s="2">
        <v>1051600</v>
      </c>
      <c r="F37" s="2">
        <v>1074800</v>
      </c>
      <c r="G37" s="2">
        <v>1098400</v>
      </c>
      <c r="H37" s="2">
        <v>1120000</v>
      </c>
      <c r="I37" s="2">
        <v>1170100</v>
      </c>
      <c r="J37" s="2">
        <v>1212900</v>
      </c>
      <c r="K37" s="2">
        <v>1258500</v>
      </c>
      <c r="L37" s="2">
        <v>1305800</v>
      </c>
      <c r="M37" s="177">
        <v>0</v>
      </c>
      <c r="N37" s="2"/>
    </row>
    <row r="38" spans="1:14">
      <c r="A38" t="s">
        <v>70</v>
      </c>
      <c r="B38" t="s">
        <v>71</v>
      </c>
      <c r="C38" s="2">
        <v>0</v>
      </c>
      <c r="D38" s="2">
        <v>0</v>
      </c>
      <c r="E38" s="2">
        <v>0</v>
      </c>
      <c r="F38" s="2">
        <v>0</v>
      </c>
      <c r="G38" s="2">
        <v>0</v>
      </c>
      <c r="H38" s="2">
        <v>0</v>
      </c>
      <c r="I38" s="2">
        <v>0</v>
      </c>
      <c r="J38" s="2">
        <v>0</v>
      </c>
      <c r="K38" s="2">
        <v>0</v>
      </c>
      <c r="L38" s="2">
        <v>0</v>
      </c>
      <c r="M38" s="177">
        <v>0</v>
      </c>
      <c r="N38" s="2"/>
    </row>
    <row r="39" spans="1:14">
      <c r="A39" t="s">
        <v>72</v>
      </c>
      <c r="B39" t="s">
        <v>73</v>
      </c>
      <c r="C39" s="2">
        <v>8102901</v>
      </c>
      <c r="D39" s="2">
        <v>9075249</v>
      </c>
      <c r="E39" s="2">
        <v>13790705</v>
      </c>
      <c r="F39" s="2">
        <v>14496559</v>
      </c>
      <c r="G39" s="2">
        <v>15235033</v>
      </c>
      <c r="H39" s="2">
        <v>16007613</v>
      </c>
      <c r="I39" s="2">
        <v>16487841</v>
      </c>
      <c r="J39" s="2">
        <v>16982477</v>
      </c>
      <c r="K39" s="2">
        <v>17491951</v>
      </c>
      <c r="L39" s="2">
        <v>18016709</v>
      </c>
      <c r="M39" s="177">
        <v>0</v>
      </c>
      <c r="N39" s="2"/>
    </row>
    <row r="40" spans="1:14">
      <c r="A40" t="s">
        <v>74</v>
      </c>
      <c r="B40" t="s">
        <v>75</v>
      </c>
      <c r="C40" s="2">
        <v>1110000</v>
      </c>
      <c r="D40" s="2">
        <v>1110000</v>
      </c>
      <c r="E40" s="2">
        <v>1358225</v>
      </c>
      <c r="F40" s="2">
        <v>1453300</v>
      </c>
      <c r="G40" s="2">
        <v>1555030</v>
      </c>
      <c r="H40" s="2">
        <v>1663885</v>
      </c>
      <c r="I40" s="2">
        <v>1721321</v>
      </c>
      <c r="J40" s="2">
        <v>1794312</v>
      </c>
      <c r="K40" s="2">
        <v>1821322</v>
      </c>
      <c r="L40" s="2">
        <v>1921346</v>
      </c>
      <c r="M40" s="177">
        <v>0</v>
      </c>
      <c r="N40" s="2"/>
    </row>
    <row r="41" spans="1:14">
      <c r="A41" t="s">
        <v>76</v>
      </c>
      <c r="B41" t="s">
        <v>77</v>
      </c>
      <c r="C41" s="2">
        <v>1455000</v>
      </c>
      <c r="D41" s="2">
        <v>1605000</v>
      </c>
      <c r="E41" s="2">
        <v>2375000</v>
      </c>
      <c r="F41" s="2">
        <v>2575000</v>
      </c>
      <c r="G41" s="2">
        <v>2775000</v>
      </c>
      <c r="H41" s="2">
        <v>2975000</v>
      </c>
      <c r="I41" s="2">
        <v>3175000</v>
      </c>
      <c r="J41" s="2">
        <v>0</v>
      </c>
      <c r="K41" s="2">
        <v>0</v>
      </c>
      <c r="L41" s="2">
        <v>0</v>
      </c>
      <c r="M41" s="177">
        <v>0</v>
      </c>
      <c r="N41" s="2"/>
    </row>
    <row r="42" spans="1:14">
      <c r="A42" t="s">
        <v>78</v>
      </c>
      <c r="B42" t="s">
        <v>79</v>
      </c>
      <c r="C42" s="2">
        <v>2592947</v>
      </c>
      <c r="D42" s="2">
        <v>2668947</v>
      </c>
      <c r="E42" s="2">
        <v>2329475</v>
      </c>
      <c r="F42" s="2">
        <v>2492539</v>
      </c>
      <c r="G42" s="2">
        <v>2667016</v>
      </c>
      <c r="H42" s="2">
        <v>3499447</v>
      </c>
      <c r="I42" s="2">
        <v>3771427</v>
      </c>
      <c r="J42" s="2">
        <v>4064113</v>
      </c>
      <c r="K42" s="2">
        <v>0</v>
      </c>
      <c r="L42" s="2">
        <v>0</v>
      </c>
      <c r="M42" s="177">
        <v>0</v>
      </c>
      <c r="N42" s="2"/>
    </row>
    <row r="43" spans="1:14">
      <c r="A43" t="s">
        <v>80</v>
      </c>
      <c r="B43" t="s">
        <v>81</v>
      </c>
      <c r="C43" s="2">
        <v>4750000</v>
      </c>
      <c r="D43" s="2">
        <v>5000000</v>
      </c>
      <c r="E43" s="2">
        <v>5400000</v>
      </c>
      <c r="F43" s="2">
        <v>5750000</v>
      </c>
      <c r="G43" s="2">
        <v>6100000</v>
      </c>
      <c r="H43" s="2">
        <v>0</v>
      </c>
      <c r="I43" s="2">
        <v>7050000</v>
      </c>
      <c r="J43" s="2">
        <v>7400000</v>
      </c>
      <c r="K43" s="2">
        <v>7775000</v>
      </c>
      <c r="L43" s="2">
        <v>0</v>
      </c>
      <c r="M43" s="177">
        <v>0</v>
      </c>
      <c r="N43" s="2"/>
    </row>
    <row r="44" spans="1:14">
      <c r="A44" t="s">
        <v>82</v>
      </c>
      <c r="B44" t="s">
        <v>83</v>
      </c>
      <c r="C44" s="2">
        <v>3500000</v>
      </c>
      <c r="D44" s="2">
        <v>3850000</v>
      </c>
      <c r="E44" s="2">
        <v>6000000</v>
      </c>
      <c r="F44" s="2">
        <v>6500000</v>
      </c>
      <c r="G44" s="2">
        <v>7000000</v>
      </c>
      <c r="H44" s="2">
        <v>7500000</v>
      </c>
      <c r="I44" s="2">
        <v>8500000</v>
      </c>
      <c r="J44" s="2">
        <v>9500000</v>
      </c>
      <c r="K44" s="2">
        <v>10500000</v>
      </c>
      <c r="L44" s="2">
        <v>11500000</v>
      </c>
      <c r="M44" s="177">
        <v>0</v>
      </c>
      <c r="N44" s="2"/>
    </row>
    <row r="45" spans="1:14">
      <c r="A45" t="s">
        <v>84</v>
      </c>
      <c r="B45" t="s">
        <v>85</v>
      </c>
      <c r="C45" s="2">
        <v>584079</v>
      </c>
      <c r="D45" s="2">
        <v>584079</v>
      </c>
      <c r="E45" s="2">
        <v>631250</v>
      </c>
      <c r="F45" s="2">
        <v>648925</v>
      </c>
      <c r="G45" s="2">
        <v>703964</v>
      </c>
      <c r="H45" s="2">
        <v>739162</v>
      </c>
      <c r="I45" s="2">
        <v>597898</v>
      </c>
      <c r="J45" s="2">
        <v>635525</v>
      </c>
      <c r="K45" s="2">
        <v>0</v>
      </c>
      <c r="L45" s="2">
        <v>0</v>
      </c>
      <c r="M45" s="177">
        <v>0</v>
      </c>
      <c r="N45" s="2"/>
    </row>
    <row r="46" spans="1:14">
      <c r="A46" t="s">
        <v>86</v>
      </c>
      <c r="B46" t="s">
        <v>87</v>
      </c>
      <c r="C46" s="2">
        <v>285134</v>
      </c>
      <c r="D46" s="2">
        <v>287985</v>
      </c>
      <c r="E46" s="2">
        <v>280674</v>
      </c>
      <c r="F46" s="2">
        <v>297515</v>
      </c>
      <c r="G46" s="2">
        <v>315366</v>
      </c>
      <c r="H46" s="2">
        <v>334287</v>
      </c>
      <c r="I46" s="2">
        <v>360684</v>
      </c>
      <c r="J46" s="2">
        <v>371504</v>
      </c>
      <c r="K46" s="2">
        <v>382649</v>
      </c>
      <c r="L46" s="2">
        <v>394129</v>
      </c>
      <c r="M46" s="177">
        <v>0</v>
      </c>
      <c r="N46" s="2"/>
    </row>
    <row r="47" spans="1:14">
      <c r="A47" t="s">
        <v>88</v>
      </c>
      <c r="B47" t="s">
        <v>89</v>
      </c>
      <c r="C47" s="2">
        <v>149000</v>
      </c>
      <c r="D47" s="2">
        <v>149000</v>
      </c>
      <c r="E47" s="2">
        <v>151980</v>
      </c>
      <c r="F47" s="2">
        <v>151980</v>
      </c>
      <c r="G47" s="2">
        <v>126891</v>
      </c>
      <c r="H47" s="2">
        <v>128921</v>
      </c>
      <c r="I47" s="2">
        <v>131371</v>
      </c>
      <c r="J47" s="2">
        <v>133998</v>
      </c>
      <c r="K47" s="2">
        <v>0</v>
      </c>
      <c r="L47" s="2">
        <v>0</v>
      </c>
      <c r="M47" s="177">
        <v>0</v>
      </c>
      <c r="N47" s="2"/>
    </row>
    <row r="48" spans="1:14">
      <c r="A48" t="s">
        <v>90</v>
      </c>
      <c r="B48" t="s">
        <v>91</v>
      </c>
      <c r="C48" s="2">
        <v>9919034</v>
      </c>
      <c r="D48" s="2">
        <v>10216605</v>
      </c>
      <c r="E48" s="2">
        <v>10523103</v>
      </c>
      <c r="F48" s="2">
        <v>11049000</v>
      </c>
      <c r="G48" s="2">
        <v>11602000</v>
      </c>
      <c r="H48" s="2">
        <v>12182000</v>
      </c>
      <c r="I48" s="2">
        <v>12791000</v>
      </c>
      <c r="J48" s="2">
        <v>16172000</v>
      </c>
      <c r="K48" s="2">
        <v>16366000</v>
      </c>
      <c r="L48" s="2">
        <v>17393000</v>
      </c>
      <c r="M48" s="177">
        <v>18300000</v>
      </c>
      <c r="N48" s="2"/>
    </row>
    <row r="49" spans="1:14">
      <c r="A49" t="s">
        <v>92</v>
      </c>
      <c r="B49" t="s">
        <v>93</v>
      </c>
      <c r="C49" s="2">
        <v>150000</v>
      </c>
      <c r="D49" s="2">
        <v>150000</v>
      </c>
      <c r="E49" s="2">
        <v>175000</v>
      </c>
      <c r="F49" s="2">
        <v>175000</v>
      </c>
      <c r="G49" s="2">
        <v>175000</v>
      </c>
      <c r="H49" s="2">
        <v>175000</v>
      </c>
      <c r="I49" s="2">
        <v>200000</v>
      </c>
      <c r="J49" s="2">
        <v>200000</v>
      </c>
      <c r="K49" s="2">
        <v>200000</v>
      </c>
      <c r="L49" s="2">
        <v>200000</v>
      </c>
      <c r="M49" s="177">
        <v>0</v>
      </c>
      <c r="N49" s="2"/>
    </row>
    <row r="50" spans="1:14">
      <c r="A50" t="s">
        <v>94</v>
      </c>
      <c r="B50" t="s">
        <v>95</v>
      </c>
      <c r="C50" s="2">
        <v>298300</v>
      </c>
      <c r="D50" s="2">
        <v>346656</v>
      </c>
      <c r="E50" s="2">
        <v>583000</v>
      </c>
      <c r="F50" s="2">
        <v>617980</v>
      </c>
      <c r="G50" s="2">
        <v>655059</v>
      </c>
      <c r="H50" s="2">
        <v>694362</v>
      </c>
      <c r="I50" s="2">
        <v>724725</v>
      </c>
      <c r="J50" s="2">
        <v>768209</v>
      </c>
      <c r="K50" s="2">
        <v>814301</v>
      </c>
      <c r="L50" s="2">
        <v>863159</v>
      </c>
      <c r="M50" s="177">
        <v>0</v>
      </c>
      <c r="N50" s="2"/>
    </row>
    <row r="51" spans="1:14">
      <c r="A51" t="s">
        <v>96</v>
      </c>
      <c r="B51" t="s">
        <v>97</v>
      </c>
      <c r="C51" s="2">
        <v>18325</v>
      </c>
      <c r="D51" s="2">
        <v>18325</v>
      </c>
      <c r="E51" s="2">
        <v>18325</v>
      </c>
      <c r="F51" s="2">
        <v>18325</v>
      </c>
      <c r="G51" s="2">
        <v>18325</v>
      </c>
      <c r="H51" s="2">
        <v>18325</v>
      </c>
      <c r="I51" s="2">
        <v>24000</v>
      </c>
      <c r="J51" s="2">
        <v>24000</v>
      </c>
      <c r="K51" s="2">
        <v>0</v>
      </c>
      <c r="L51" s="2">
        <v>0</v>
      </c>
      <c r="M51" s="177">
        <v>0</v>
      </c>
      <c r="N51" s="2"/>
    </row>
    <row r="52" spans="1:14">
      <c r="A52" t="s">
        <v>98</v>
      </c>
      <c r="B52" t="s">
        <v>99</v>
      </c>
      <c r="C52" s="2">
        <v>185000</v>
      </c>
      <c r="D52" s="2">
        <v>190000</v>
      </c>
      <c r="E52" s="2">
        <v>195000</v>
      </c>
      <c r="F52" s="2">
        <v>200000</v>
      </c>
      <c r="G52" s="2">
        <v>205000</v>
      </c>
      <c r="H52" s="2">
        <v>210000</v>
      </c>
      <c r="I52" s="2">
        <v>215000</v>
      </c>
      <c r="J52" s="2">
        <v>220000</v>
      </c>
      <c r="K52" s="2">
        <v>0</v>
      </c>
      <c r="L52" s="2">
        <v>0</v>
      </c>
      <c r="M52" s="177">
        <v>0</v>
      </c>
      <c r="N52" s="2"/>
    </row>
    <row r="53" spans="1:14">
      <c r="A53" t="s">
        <v>100</v>
      </c>
      <c r="B53" t="s">
        <v>101</v>
      </c>
      <c r="C53" s="2">
        <v>60000</v>
      </c>
      <c r="D53" s="2">
        <v>60000</v>
      </c>
      <c r="E53" s="2">
        <v>60000</v>
      </c>
      <c r="F53" s="2">
        <v>0</v>
      </c>
      <c r="G53" s="2">
        <v>0</v>
      </c>
      <c r="H53" s="2">
        <v>0</v>
      </c>
      <c r="I53" s="2">
        <v>180000</v>
      </c>
      <c r="J53" s="2">
        <v>190000</v>
      </c>
      <c r="K53" s="2">
        <v>200000</v>
      </c>
      <c r="L53" s="2">
        <v>210000</v>
      </c>
      <c r="M53" s="177">
        <v>0</v>
      </c>
      <c r="N53" s="2"/>
    </row>
    <row r="54" spans="1:14">
      <c r="A54" t="s">
        <v>102</v>
      </c>
      <c r="B54" t="s">
        <v>103</v>
      </c>
      <c r="C54" s="2">
        <v>100000</v>
      </c>
      <c r="D54" s="2">
        <v>105312</v>
      </c>
      <c r="E54" s="2">
        <v>106582</v>
      </c>
      <c r="F54" s="2">
        <v>107149</v>
      </c>
      <c r="G54" s="2">
        <v>130000</v>
      </c>
      <c r="H54" s="2">
        <v>135000</v>
      </c>
      <c r="I54" s="2">
        <v>140000</v>
      </c>
      <c r="J54" s="2">
        <v>0</v>
      </c>
      <c r="K54" s="2">
        <v>0</v>
      </c>
      <c r="L54" s="2">
        <v>0</v>
      </c>
      <c r="M54" s="177">
        <v>0</v>
      </c>
      <c r="N54" s="2"/>
    </row>
    <row r="55" spans="1:14">
      <c r="A55" t="s">
        <v>104</v>
      </c>
      <c r="B55" t="s">
        <v>105</v>
      </c>
      <c r="C55" s="2">
        <v>450000</v>
      </c>
      <c r="D55" s="2">
        <v>460000</v>
      </c>
      <c r="E55" s="2">
        <v>475000</v>
      </c>
      <c r="F55" s="2">
        <v>490000</v>
      </c>
      <c r="G55" s="2">
        <v>495000</v>
      </c>
      <c r="H55" s="2">
        <v>495000</v>
      </c>
      <c r="I55" s="2">
        <v>495000</v>
      </c>
      <c r="J55" s="2">
        <v>495000</v>
      </c>
      <c r="K55" s="2">
        <v>0</v>
      </c>
      <c r="L55" s="2">
        <v>0</v>
      </c>
      <c r="M55" s="177">
        <v>0</v>
      </c>
      <c r="N55" s="2"/>
    </row>
    <row r="56" spans="1:14">
      <c r="A56" t="s">
        <v>106</v>
      </c>
      <c r="B56" t="s">
        <v>107</v>
      </c>
      <c r="C56" s="2">
        <v>10537658</v>
      </c>
      <c r="D56" s="2">
        <v>11802177</v>
      </c>
      <c r="E56" s="2">
        <v>13218439</v>
      </c>
      <c r="F56" s="2">
        <v>14804651</v>
      </c>
      <c r="G56" s="2">
        <v>21500000</v>
      </c>
      <c r="H56" s="2">
        <v>25360000</v>
      </c>
      <c r="I56" s="2">
        <v>29680000</v>
      </c>
      <c r="J56" s="2">
        <v>34130000</v>
      </c>
      <c r="K56" s="2">
        <v>0</v>
      </c>
      <c r="L56" s="2">
        <v>0</v>
      </c>
      <c r="M56" s="177">
        <v>0</v>
      </c>
      <c r="N56" s="2"/>
    </row>
    <row r="57" spans="1:14">
      <c r="A57" t="s">
        <v>108</v>
      </c>
      <c r="B57" t="s">
        <v>109</v>
      </c>
      <c r="C57" s="2">
        <v>1850000</v>
      </c>
      <c r="D57" s="2">
        <v>1900000</v>
      </c>
      <c r="E57" s="2">
        <v>1950000</v>
      </c>
      <c r="F57" s="2">
        <v>2010000</v>
      </c>
      <c r="G57" s="2">
        <v>2010000</v>
      </c>
      <c r="H57" s="2">
        <v>2010000</v>
      </c>
      <c r="I57" s="2">
        <v>2425000</v>
      </c>
      <c r="J57" s="2">
        <v>2500000</v>
      </c>
      <c r="K57" s="2">
        <v>0</v>
      </c>
      <c r="L57" s="2">
        <v>0</v>
      </c>
      <c r="M57" s="177">
        <v>0</v>
      </c>
      <c r="N57" s="2"/>
    </row>
    <row r="58" spans="1:14">
      <c r="A58" t="s">
        <v>110</v>
      </c>
      <c r="B58" t="s">
        <v>111</v>
      </c>
      <c r="C58" s="2">
        <v>0</v>
      </c>
      <c r="D58" s="2">
        <v>0</v>
      </c>
      <c r="E58" s="2">
        <v>0</v>
      </c>
      <c r="F58" s="2">
        <v>0</v>
      </c>
      <c r="G58" s="2">
        <v>0</v>
      </c>
      <c r="H58" s="2">
        <v>0</v>
      </c>
      <c r="I58" s="2">
        <v>0</v>
      </c>
      <c r="J58" s="2">
        <v>0</v>
      </c>
      <c r="K58" s="2">
        <v>0</v>
      </c>
      <c r="L58" s="2">
        <v>0</v>
      </c>
      <c r="M58" s="177">
        <v>0</v>
      </c>
      <c r="N58" s="2"/>
    </row>
    <row r="59" spans="1:14">
      <c r="A59" t="s">
        <v>112</v>
      </c>
      <c r="B59" t="s">
        <v>113</v>
      </c>
      <c r="C59" s="2">
        <v>75000</v>
      </c>
      <c r="D59" s="2">
        <v>75000</v>
      </c>
      <c r="E59" s="2">
        <v>75000</v>
      </c>
      <c r="F59" s="2">
        <v>75000</v>
      </c>
      <c r="G59" s="2">
        <v>95000</v>
      </c>
      <c r="H59" s="2">
        <v>95000</v>
      </c>
      <c r="I59" s="2">
        <v>140000</v>
      </c>
      <c r="J59" s="2">
        <v>140000</v>
      </c>
      <c r="K59" s="2">
        <v>0</v>
      </c>
      <c r="L59" s="2">
        <v>0</v>
      </c>
      <c r="M59" s="177">
        <v>0</v>
      </c>
      <c r="N59" s="2"/>
    </row>
    <row r="60" spans="1:14">
      <c r="A60" t="s">
        <v>114</v>
      </c>
      <c r="B60" t="s">
        <v>115</v>
      </c>
      <c r="C60" s="2">
        <v>1080000</v>
      </c>
      <c r="D60" s="2">
        <v>1080000</v>
      </c>
      <c r="E60" s="2">
        <v>1080000</v>
      </c>
      <c r="F60" s="2">
        <v>1080000</v>
      </c>
      <c r="G60" s="2">
        <v>1080000</v>
      </c>
      <c r="H60" s="2">
        <v>1100000</v>
      </c>
      <c r="I60" s="2">
        <v>1100000</v>
      </c>
      <c r="J60" s="2">
        <v>1100000</v>
      </c>
      <c r="K60" s="2">
        <v>1100000</v>
      </c>
      <c r="L60" s="2">
        <v>0</v>
      </c>
      <c r="M60" s="177">
        <v>0</v>
      </c>
      <c r="N60" s="2"/>
    </row>
    <row r="61" spans="1:14">
      <c r="A61" t="s">
        <v>116</v>
      </c>
      <c r="B61" t="s">
        <v>117</v>
      </c>
      <c r="C61" s="2">
        <v>1860865</v>
      </c>
      <c r="D61" s="2">
        <v>1860865</v>
      </c>
      <c r="E61" s="2">
        <v>2214962</v>
      </c>
      <c r="F61" s="2">
        <v>2434238</v>
      </c>
      <c r="G61" s="2">
        <v>2232443</v>
      </c>
      <c r="H61" s="2">
        <v>2351209</v>
      </c>
      <c r="I61" s="2">
        <v>2476293</v>
      </c>
      <c r="J61" s="2">
        <v>2608032</v>
      </c>
      <c r="K61" s="2">
        <v>0</v>
      </c>
      <c r="L61" s="2">
        <v>0</v>
      </c>
      <c r="M61" s="177">
        <v>0</v>
      </c>
      <c r="N61" s="2"/>
    </row>
    <row r="62" spans="1:14">
      <c r="A62" t="s">
        <v>118</v>
      </c>
      <c r="B62" t="s">
        <v>119</v>
      </c>
      <c r="C62" s="2">
        <v>8460547</v>
      </c>
      <c r="D62" s="2">
        <v>7141484</v>
      </c>
      <c r="E62" s="2">
        <v>7998462</v>
      </c>
      <c r="F62" s="2">
        <v>8462372</v>
      </c>
      <c r="G62" s="2">
        <v>8359000</v>
      </c>
      <c r="H62" s="2">
        <v>8610000</v>
      </c>
      <c r="I62" s="2">
        <v>8868000</v>
      </c>
      <c r="J62" s="2">
        <v>9134000</v>
      </c>
      <c r="K62" s="2">
        <v>0</v>
      </c>
      <c r="L62" s="2">
        <v>0</v>
      </c>
      <c r="M62" s="177">
        <v>0</v>
      </c>
      <c r="N62" s="2"/>
    </row>
    <row r="63" spans="1:14">
      <c r="A63" t="s">
        <v>120</v>
      </c>
      <c r="B63" t="s">
        <v>121</v>
      </c>
      <c r="C63" s="2">
        <v>787147</v>
      </c>
      <c r="D63" s="2">
        <v>905219</v>
      </c>
      <c r="E63" s="2">
        <v>1082316</v>
      </c>
      <c r="F63" s="2">
        <v>1168901</v>
      </c>
      <c r="G63" s="2">
        <v>1259710</v>
      </c>
      <c r="H63" s="2">
        <v>1322696</v>
      </c>
      <c r="I63" s="2">
        <v>1709400</v>
      </c>
      <c r="J63" s="2">
        <v>1876455</v>
      </c>
      <c r="K63" s="2">
        <v>0</v>
      </c>
      <c r="L63" s="2">
        <v>0</v>
      </c>
      <c r="M63" s="177">
        <v>0</v>
      </c>
      <c r="N63" s="2"/>
    </row>
    <row r="64" spans="1:14">
      <c r="A64" t="s">
        <v>122</v>
      </c>
      <c r="B64" t="s">
        <v>123</v>
      </c>
      <c r="C64" s="2">
        <v>505924</v>
      </c>
      <c r="D64" s="2">
        <v>505924</v>
      </c>
      <c r="E64" s="2">
        <v>366318</v>
      </c>
      <c r="F64" s="2">
        <v>366318</v>
      </c>
      <c r="G64" s="2">
        <v>350624</v>
      </c>
      <c r="H64" s="2">
        <v>350624</v>
      </c>
      <c r="I64" s="2">
        <v>350600</v>
      </c>
      <c r="J64" s="2">
        <v>350600</v>
      </c>
      <c r="K64" s="2">
        <v>0</v>
      </c>
      <c r="L64" s="2">
        <v>0</v>
      </c>
      <c r="M64" s="177">
        <v>0</v>
      </c>
      <c r="N64" s="2"/>
    </row>
    <row r="65" spans="1:14">
      <c r="A65" t="s">
        <v>124</v>
      </c>
      <c r="B65" t="s">
        <v>125</v>
      </c>
      <c r="C65" s="2">
        <v>842366</v>
      </c>
      <c r="D65" s="2">
        <v>856534</v>
      </c>
      <c r="E65" s="2">
        <v>579000</v>
      </c>
      <c r="F65" s="2">
        <v>620000</v>
      </c>
      <c r="G65" s="2">
        <v>663000</v>
      </c>
      <c r="H65" s="2">
        <v>709000</v>
      </c>
      <c r="I65" s="2">
        <v>736108</v>
      </c>
      <c r="J65" s="2">
        <v>776152</v>
      </c>
      <c r="K65" s="2">
        <v>818374</v>
      </c>
      <c r="L65" s="2">
        <v>862894</v>
      </c>
      <c r="M65" s="177">
        <v>0</v>
      </c>
      <c r="N65" s="2"/>
    </row>
    <row r="66" spans="1:14">
      <c r="A66" t="s">
        <v>126</v>
      </c>
      <c r="B66" t="s">
        <v>127</v>
      </c>
      <c r="C66" s="2">
        <v>1370000</v>
      </c>
      <c r="D66" s="2">
        <v>1370000</v>
      </c>
      <c r="E66" s="2">
        <v>1370000</v>
      </c>
      <c r="F66" s="2">
        <v>1370000</v>
      </c>
      <c r="G66" s="2">
        <v>1370000</v>
      </c>
      <c r="H66" s="2">
        <v>1370000</v>
      </c>
      <c r="I66" s="2">
        <v>1825000</v>
      </c>
      <c r="J66" s="2">
        <v>1825000</v>
      </c>
      <c r="K66" s="2">
        <v>0</v>
      </c>
      <c r="L66" s="2">
        <v>0</v>
      </c>
      <c r="M66" s="177">
        <v>0</v>
      </c>
      <c r="N66" s="2"/>
    </row>
    <row r="67" spans="1:14">
      <c r="A67" t="s">
        <v>128</v>
      </c>
      <c r="B67" t="s">
        <v>129</v>
      </c>
      <c r="C67" s="2">
        <v>6718758</v>
      </c>
      <c r="D67" s="2">
        <v>6559024</v>
      </c>
      <c r="E67" s="2">
        <v>6952565</v>
      </c>
      <c r="F67" s="2">
        <v>7093914</v>
      </c>
      <c r="G67" s="2">
        <v>7661427</v>
      </c>
      <c r="H67" s="2">
        <v>8121113</v>
      </c>
      <c r="I67" s="2">
        <v>0</v>
      </c>
      <c r="J67" s="2">
        <v>0</v>
      </c>
      <c r="K67" s="2">
        <v>0</v>
      </c>
      <c r="L67" s="2">
        <v>0</v>
      </c>
      <c r="M67" s="177">
        <v>0</v>
      </c>
      <c r="N67" s="2"/>
    </row>
    <row r="68" spans="1:14">
      <c r="A68" t="s">
        <v>130</v>
      </c>
      <c r="B68" t="s">
        <v>131</v>
      </c>
      <c r="C68" s="2">
        <v>4006060</v>
      </c>
      <c r="D68" s="2">
        <v>1540000</v>
      </c>
      <c r="E68" s="2">
        <v>1694000</v>
      </c>
      <c r="F68" s="2">
        <v>1855000</v>
      </c>
      <c r="G68" s="2">
        <v>2004000</v>
      </c>
      <c r="H68" s="2">
        <v>2113500</v>
      </c>
      <c r="I68" s="2">
        <v>2230000</v>
      </c>
      <c r="J68" s="2">
        <v>0</v>
      </c>
      <c r="K68" s="2">
        <v>0</v>
      </c>
      <c r="L68" s="2">
        <v>0</v>
      </c>
      <c r="M68" s="177">
        <v>0</v>
      </c>
      <c r="N68" s="2"/>
    </row>
    <row r="69" spans="1:14">
      <c r="A69" t="s">
        <v>132</v>
      </c>
      <c r="B69" t="s">
        <v>133</v>
      </c>
      <c r="C69" s="2">
        <v>263500</v>
      </c>
      <c r="D69" s="2">
        <v>263500</v>
      </c>
      <c r="E69" s="2">
        <v>212375</v>
      </c>
      <c r="F69" s="2">
        <v>212375</v>
      </c>
      <c r="G69" s="2">
        <v>263500</v>
      </c>
      <c r="H69" s="2">
        <v>263500</v>
      </c>
      <c r="I69" s="2">
        <v>350151</v>
      </c>
      <c r="J69" s="2">
        <v>365000</v>
      </c>
      <c r="K69" s="2">
        <v>0</v>
      </c>
      <c r="L69" s="2">
        <v>0</v>
      </c>
      <c r="M69" s="177">
        <v>0</v>
      </c>
      <c r="N69" s="2"/>
    </row>
    <row r="70" spans="1:14">
      <c r="A70" t="s">
        <v>134</v>
      </c>
      <c r="B70" t="s">
        <v>135</v>
      </c>
      <c r="C70" s="2">
        <v>1130000</v>
      </c>
      <c r="D70" s="2">
        <v>475000</v>
      </c>
      <c r="E70" s="2">
        <v>806022</v>
      </c>
      <c r="F70" s="2">
        <v>845307</v>
      </c>
      <c r="G70" s="2">
        <v>721419</v>
      </c>
      <c r="H70" s="2">
        <v>775525</v>
      </c>
      <c r="I70" s="2">
        <v>814302</v>
      </c>
      <c r="J70" s="2">
        <v>0</v>
      </c>
      <c r="K70" s="2">
        <v>0</v>
      </c>
      <c r="L70" s="2">
        <v>0</v>
      </c>
      <c r="M70" s="177">
        <v>0</v>
      </c>
      <c r="N70" s="2"/>
    </row>
    <row r="71" spans="1:14">
      <c r="A71" t="s">
        <v>136</v>
      </c>
      <c r="B71" t="s">
        <v>137</v>
      </c>
      <c r="C71" s="2">
        <v>5200000</v>
      </c>
      <c r="D71" s="2">
        <v>5200000</v>
      </c>
      <c r="E71" s="2">
        <v>5200000</v>
      </c>
      <c r="F71" s="2">
        <v>5200000</v>
      </c>
      <c r="G71" s="2">
        <v>5200000</v>
      </c>
      <c r="H71" s="2">
        <v>5200000</v>
      </c>
      <c r="I71" s="2">
        <v>5950000</v>
      </c>
      <c r="J71" s="2">
        <v>5950000</v>
      </c>
      <c r="K71" s="2">
        <v>5950000</v>
      </c>
      <c r="L71" s="2">
        <v>5950000</v>
      </c>
      <c r="M71" s="177">
        <v>0</v>
      </c>
      <c r="N71" s="2"/>
    </row>
    <row r="72" spans="1:14">
      <c r="A72" t="s">
        <v>138</v>
      </c>
      <c r="B72" t="s">
        <v>139</v>
      </c>
      <c r="C72" s="2">
        <v>2975750</v>
      </c>
      <c r="D72" s="2">
        <v>2975750</v>
      </c>
      <c r="E72" s="2">
        <v>1999296</v>
      </c>
      <c r="F72" s="2">
        <v>2287145</v>
      </c>
      <c r="G72" s="2">
        <v>2874962</v>
      </c>
      <c r="H72" s="2">
        <v>3306206</v>
      </c>
      <c r="I72" s="2">
        <v>3227806</v>
      </c>
      <c r="J72" s="2">
        <v>3615142</v>
      </c>
      <c r="K72" s="2">
        <v>0</v>
      </c>
      <c r="L72" s="2">
        <v>0</v>
      </c>
      <c r="M72" s="177">
        <v>0</v>
      </c>
      <c r="N72" s="2"/>
    </row>
    <row r="73" spans="1:14">
      <c r="A73" t="s">
        <v>140</v>
      </c>
      <c r="B73" t="s">
        <v>141</v>
      </c>
      <c r="C73" s="2">
        <v>1900742</v>
      </c>
      <c r="D73" s="2">
        <v>1900742</v>
      </c>
      <c r="E73" s="2">
        <v>2504168</v>
      </c>
      <c r="F73" s="2">
        <v>2504168</v>
      </c>
      <c r="G73" s="2">
        <v>2629000</v>
      </c>
      <c r="H73" s="2">
        <v>2708000</v>
      </c>
      <c r="I73" s="2">
        <v>2345486</v>
      </c>
      <c r="J73" s="2">
        <v>2345486</v>
      </c>
      <c r="K73" s="2">
        <v>0</v>
      </c>
      <c r="L73" s="2">
        <v>0</v>
      </c>
      <c r="M73" s="177">
        <v>0</v>
      </c>
      <c r="N73" s="2"/>
    </row>
    <row r="74" spans="1:14">
      <c r="A74" t="s">
        <v>142</v>
      </c>
      <c r="B74" t="s">
        <v>143</v>
      </c>
      <c r="C74" s="2">
        <v>800000</v>
      </c>
      <c r="D74" s="2">
        <v>800000</v>
      </c>
      <c r="E74" s="2">
        <v>815591</v>
      </c>
      <c r="F74" s="2">
        <v>937930</v>
      </c>
      <c r="G74" s="2">
        <v>875000</v>
      </c>
      <c r="H74" s="2">
        <v>875000</v>
      </c>
      <c r="I74" s="2">
        <v>1280000</v>
      </c>
      <c r="J74" s="2">
        <v>1280000</v>
      </c>
      <c r="K74" s="2">
        <v>0</v>
      </c>
      <c r="L74" s="2">
        <v>0</v>
      </c>
      <c r="M74" s="177">
        <v>0</v>
      </c>
      <c r="N74" s="2"/>
    </row>
    <row r="75" spans="1:14">
      <c r="A75" t="s">
        <v>144</v>
      </c>
      <c r="B75" t="s">
        <v>145</v>
      </c>
      <c r="C75" s="2">
        <v>2317041</v>
      </c>
      <c r="D75" s="2">
        <v>2317041</v>
      </c>
      <c r="E75" s="2">
        <v>2125182</v>
      </c>
      <c r="F75" s="2">
        <v>2337700</v>
      </c>
      <c r="G75" s="2">
        <v>2454586</v>
      </c>
      <c r="H75" s="2">
        <v>2700044</v>
      </c>
      <c r="I75" s="2">
        <v>3298110</v>
      </c>
      <c r="J75" s="2">
        <v>3487167</v>
      </c>
      <c r="K75" s="2">
        <v>3687567</v>
      </c>
      <c r="L75" s="2">
        <v>3899991</v>
      </c>
      <c r="M75" s="177">
        <v>0</v>
      </c>
      <c r="N75" s="2"/>
    </row>
    <row r="76" spans="1:14">
      <c r="A76" t="s">
        <v>146</v>
      </c>
      <c r="B76" t="s">
        <v>147</v>
      </c>
      <c r="C76" s="2">
        <v>2514435</v>
      </c>
      <c r="D76" s="2">
        <v>2514435</v>
      </c>
      <c r="E76" s="2">
        <v>2643570</v>
      </c>
      <c r="F76" s="2">
        <v>2775749</v>
      </c>
      <c r="G76" s="2">
        <v>3034031</v>
      </c>
      <c r="H76" s="2">
        <v>3422623</v>
      </c>
      <c r="I76" s="2">
        <v>3150500</v>
      </c>
      <c r="J76" s="2">
        <v>3150500</v>
      </c>
      <c r="K76" s="2">
        <v>0</v>
      </c>
      <c r="L76" s="2">
        <v>0</v>
      </c>
      <c r="M76" s="177">
        <v>0</v>
      </c>
      <c r="N76" s="2"/>
    </row>
    <row r="77" spans="1:14">
      <c r="A77" t="s">
        <v>148</v>
      </c>
      <c r="B77" t="s">
        <v>149</v>
      </c>
      <c r="C77" s="2">
        <v>150000</v>
      </c>
      <c r="D77" s="2">
        <v>150000</v>
      </c>
      <c r="E77" s="2">
        <v>35000</v>
      </c>
      <c r="F77" s="2">
        <v>36000</v>
      </c>
      <c r="G77" s="2">
        <v>35000</v>
      </c>
      <c r="H77" s="2">
        <v>35000</v>
      </c>
      <c r="I77" s="2">
        <v>35000</v>
      </c>
      <c r="J77" s="2">
        <v>0</v>
      </c>
      <c r="K77" s="2">
        <v>0</v>
      </c>
      <c r="L77" s="2">
        <v>0</v>
      </c>
      <c r="M77" s="177">
        <v>0</v>
      </c>
      <c r="N77" s="2"/>
    </row>
    <row r="78" spans="1:14">
      <c r="A78" t="s">
        <v>150</v>
      </c>
      <c r="B78" t="s">
        <v>151</v>
      </c>
      <c r="C78" s="2">
        <v>204509</v>
      </c>
      <c r="D78" s="2">
        <v>204509</v>
      </c>
      <c r="E78" s="2">
        <v>331448</v>
      </c>
      <c r="F78" s="2">
        <v>331448</v>
      </c>
      <c r="G78" s="2">
        <v>341311</v>
      </c>
      <c r="H78" s="2">
        <v>348855</v>
      </c>
      <c r="I78" s="2">
        <v>350054</v>
      </c>
      <c r="J78" s="2">
        <v>351253</v>
      </c>
      <c r="K78" s="2">
        <v>0</v>
      </c>
      <c r="L78" s="2">
        <v>0</v>
      </c>
      <c r="M78" s="177">
        <v>0</v>
      </c>
      <c r="N78" s="2"/>
    </row>
    <row r="79" spans="1:14">
      <c r="A79" t="s">
        <v>152</v>
      </c>
      <c r="B79" t="s">
        <v>153</v>
      </c>
      <c r="C79" s="2">
        <v>820000</v>
      </c>
      <c r="D79" s="2">
        <v>820000</v>
      </c>
      <c r="E79" s="2">
        <v>593758</v>
      </c>
      <c r="F79" s="2">
        <v>682821</v>
      </c>
      <c r="G79" s="2">
        <v>622985</v>
      </c>
      <c r="H79" s="2">
        <v>658970</v>
      </c>
      <c r="I79" s="2">
        <v>658970</v>
      </c>
      <c r="J79" s="2">
        <v>658970</v>
      </c>
      <c r="K79" s="2">
        <v>0</v>
      </c>
      <c r="L79" s="2">
        <v>0</v>
      </c>
      <c r="M79" s="177">
        <v>0</v>
      </c>
      <c r="N79" s="2"/>
    </row>
    <row r="80" spans="1:14">
      <c r="A80" t="s">
        <v>154</v>
      </c>
      <c r="B80" t="s">
        <v>155</v>
      </c>
      <c r="C80" s="2">
        <v>80000</v>
      </c>
      <c r="D80" s="2">
        <v>80000</v>
      </c>
      <c r="E80" s="2">
        <v>80000</v>
      </c>
      <c r="F80" s="2">
        <v>80000</v>
      </c>
      <c r="G80" s="2">
        <v>80000</v>
      </c>
      <c r="H80" s="2">
        <v>80000</v>
      </c>
      <c r="I80" s="2">
        <v>120000</v>
      </c>
      <c r="J80" s="2">
        <v>125000</v>
      </c>
      <c r="K80" s="2">
        <v>0</v>
      </c>
      <c r="L80" s="2">
        <v>0</v>
      </c>
      <c r="M80" s="177">
        <v>0</v>
      </c>
      <c r="N80" s="2"/>
    </row>
    <row r="81" spans="1:14">
      <c r="A81" t="s">
        <v>156</v>
      </c>
      <c r="B81" t="s">
        <v>157</v>
      </c>
      <c r="C81" s="2">
        <v>500000</v>
      </c>
      <c r="D81" s="2">
        <v>500000</v>
      </c>
      <c r="E81" s="2">
        <v>392654</v>
      </c>
      <c r="F81" s="2">
        <v>400506</v>
      </c>
      <c r="G81" s="2">
        <v>473000</v>
      </c>
      <c r="H81" s="2">
        <v>473000</v>
      </c>
      <c r="I81" s="2">
        <v>636627</v>
      </c>
      <c r="J81" s="2">
        <v>729129</v>
      </c>
      <c r="K81" s="2">
        <v>0</v>
      </c>
      <c r="L81" s="2">
        <v>0</v>
      </c>
      <c r="M81" s="177">
        <v>0</v>
      </c>
      <c r="N81" s="2"/>
    </row>
    <row r="82" spans="1:14">
      <c r="A82" t="s">
        <v>158</v>
      </c>
      <c r="B82" t="s">
        <v>159</v>
      </c>
      <c r="C82" s="2">
        <v>2000000</v>
      </c>
      <c r="D82" s="2">
        <v>2000000</v>
      </c>
      <c r="E82" s="2">
        <v>1594640</v>
      </c>
      <c r="F82" s="2">
        <v>1643000</v>
      </c>
      <c r="G82" s="2">
        <v>1692600</v>
      </c>
      <c r="H82" s="2">
        <v>1822245</v>
      </c>
      <c r="I82" s="2">
        <v>1862335</v>
      </c>
      <c r="J82" s="2">
        <v>1903306</v>
      </c>
      <c r="K82" s="2">
        <v>0</v>
      </c>
      <c r="L82" s="2">
        <v>0</v>
      </c>
      <c r="M82" s="177">
        <v>0</v>
      </c>
      <c r="N82" s="2"/>
    </row>
    <row r="83" spans="1:14">
      <c r="A83" t="s">
        <v>160</v>
      </c>
      <c r="B83" t="s">
        <v>161</v>
      </c>
      <c r="C83" s="2">
        <v>384200</v>
      </c>
      <c r="D83" s="2">
        <v>384200</v>
      </c>
      <c r="E83" s="2">
        <v>400000</v>
      </c>
      <c r="F83" s="2">
        <v>400000</v>
      </c>
      <c r="G83" s="2">
        <v>410000</v>
      </c>
      <c r="H83" s="2">
        <v>410000</v>
      </c>
      <c r="I83" s="2">
        <v>803704</v>
      </c>
      <c r="J83" s="2">
        <v>884074</v>
      </c>
      <c r="K83" s="2">
        <v>972482</v>
      </c>
      <c r="L83" s="2">
        <v>1069730</v>
      </c>
      <c r="M83" s="177">
        <v>0</v>
      </c>
      <c r="N83" s="2"/>
    </row>
    <row r="84" spans="1:14">
      <c r="A84" t="s">
        <v>162</v>
      </c>
      <c r="B84" t="s">
        <v>163</v>
      </c>
      <c r="C84" s="2">
        <v>10000000</v>
      </c>
      <c r="D84" s="2">
        <v>10450000</v>
      </c>
      <c r="E84" s="2">
        <v>10950000</v>
      </c>
      <c r="F84" s="2">
        <v>11400000</v>
      </c>
      <c r="G84" s="2">
        <v>11850000</v>
      </c>
      <c r="H84" s="2">
        <v>12350000</v>
      </c>
      <c r="I84" s="2">
        <v>12850000</v>
      </c>
      <c r="J84" s="2">
        <v>0</v>
      </c>
      <c r="K84" s="2">
        <v>0</v>
      </c>
      <c r="L84" s="2">
        <v>0</v>
      </c>
      <c r="M84" s="177">
        <v>0</v>
      </c>
      <c r="N84" s="2"/>
    </row>
    <row r="85" spans="1:14">
      <c r="A85" t="s">
        <v>164</v>
      </c>
      <c r="B85" t="s">
        <v>165</v>
      </c>
      <c r="C85" s="2">
        <v>2440000</v>
      </c>
      <c r="D85" s="2">
        <v>2440000</v>
      </c>
      <c r="E85" s="2">
        <v>2440000</v>
      </c>
      <c r="F85" s="2">
        <v>2440000</v>
      </c>
      <c r="G85" s="2">
        <v>2500000</v>
      </c>
      <c r="H85" s="2">
        <v>2700000</v>
      </c>
      <c r="I85" s="2">
        <v>2700000</v>
      </c>
      <c r="J85" s="2">
        <v>2700000</v>
      </c>
      <c r="K85" s="2">
        <v>0</v>
      </c>
      <c r="L85" s="2">
        <v>0</v>
      </c>
      <c r="M85" s="177">
        <v>0</v>
      </c>
      <c r="N85" s="2"/>
    </row>
    <row r="86" spans="1:14">
      <c r="A86" t="s">
        <v>166</v>
      </c>
      <c r="B86" t="s">
        <v>167</v>
      </c>
      <c r="C86" s="2">
        <v>4300000</v>
      </c>
      <c r="D86" s="2">
        <v>4017000</v>
      </c>
      <c r="E86" s="2">
        <v>4018000</v>
      </c>
      <c r="F86" s="2">
        <v>4019000</v>
      </c>
      <c r="G86" s="2">
        <v>3400000</v>
      </c>
      <c r="H86" s="2">
        <v>3500000</v>
      </c>
      <c r="I86" s="2">
        <v>3600000</v>
      </c>
      <c r="J86" s="2">
        <v>3900000</v>
      </c>
      <c r="K86" s="2">
        <v>400000</v>
      </c>
      <c r="L86" s="2">
        <v>4100000</v>
      </c>
      <c r="M86" s="177">
        <v>0</v>
      </c>
      <c r="N86" s="2"/>
    </row>
    <row r="87" spans="1:14">
      <c r="A87" t="s">
        <v>168</v>
      </c>
      <c r="B87" t="s">
        <v>169</v>
      </c>
      <c r="C87" s="2">
        <v>75000</v>
      </c>
      <c r="D87" s="2">
        <v>75000</v>
      </c>
      <c r="E87" s="2">
        <v>75000</v>
      </c>
      <c r="F87" s="2">
        <v>75000</v>
      </c>
      <c r="G87" s="2">
        <v>75000</v>
      </c>
      <c r="H87" s="2">
        <v>75000</v>
      </c>
      <c r="I87" s="2">
        <v>85000</v>
      </c>
      <c r="J87" s="2">
        <v>85000</v>
      </c>
      <c r="K87" s="2">
        <v>85000</v>
      </c>
      <c r="L87" s="2">
        <v>0</v>
      </c>
      <c r="M87" s="177">
        <v>0</v>
      </c>
      <c r="N87" s="2"/>
    </row>
    <row r="88" spans="1:14">
      <c r="A88" t="s">
        <v>170</v>
      </c>
      <c r="B88" t="s">
        <v>171</v>
      </c>
      <c r="C88" s="2">
        <v>314681</v>
      </c>
      <c r="D88" s="2">
        <v>320975</v>
      </c>
      <c r="E88" s="2">
        <v>320975</v>
      </c>
      <c r="F88" s="2">
        <v>327395</v>
      </c>
      <c r="G88" s="2">
        <v>327395</v>
      </c>
      <c r="H88" s="2">
        <v>337217</v>
      </c>
      <c r="I88" s="2">
        <v>337217</v>
      </c>
      <c r="J88" s="2">
        <v>347344</v>
      </c>
      <c r="K88" s="2">
        <v>0</v>
      </c>
      <c r="L88" s="2">
        <v>0</v>
      </c>
      <c r="M88" s="177">
        <v>0</v>
      </c>
      <c r="N88" s="2"/>
    </row>
    <row r="89" spans="1:14">
      <c r="A89" t="s">
        <v>172</v>
      </c>
      <c r="B89" t="s">
        <v>173</v>
      </c>
      <c r="C89" s="2">
        <v>561915</v>
      </c>
      <c r="D89" s="2">
        <v>573153</v>
      </c>
      <c r="E89" s="2">
        <v>599004</v>
      </c>
      <c r="F89" s="2">
        <v>607737</v>
      </c>
      <c r="G89" s="2">
        <v>616602</v>
      </c>
      <c r="H89" s="2">
        <v>625599</v>
      </c>
      <c r="I89" s="2">
        <v>904537</v>
      </c>
      <c r="J89" s="2">
        <v>949764</v>
      </c>
      <c r="K89" s="2">
        <v>997253</v>
      </c>
      <c r="L89" s="2">
        <v>1047115</v>
      </c>
      <c r="M89" s="177">
        <v>0</v>
      </c>
      <c r="N89" s="2"/>
    </row>
    <row r="90" spans="1:14">
      <c r="A90" t="s">
        <v>174</v>
      </c>
      <c r="B90" t="s">
        <v>175</v>
      </c>
      <c r="C90" s="2">
        <v>3595000</v>
      </c>
      <c r="D90" s="2">
        <v>3775000</v>
      </c>
      <c r="E90" s="2">
        <v>3965000</v>
      </c>
      <c r="F90" s="2">
        <v>2100000</v>
      </c>
      <c r="G90" s="2">
        <v>2150000</v>
      </c>
      <c r="H90" s="2">
        <v>2200000</v>
      </c>
      <c r="I90" s="2">
        <v>2250000</v>
      </c>
      <c r="J90" s="2">
        <v>0</v>
      </c>
      <c r="K90" s="2">
        <v>0</v>
      </c>
      <c r="L90" s="2">
        <v>0</v>
      </c>
      <c r="M90" s="177">
        <v>0</v>
      </c>
      <c r="N90" s="2"/>
    </row>
    <row r="91" spans="1:14">
      <c r="A91" t="s">
        <v>176</v>
      </c>
      <c r="B91" t="s">
        <v>177</v>
      </c>
      <c r="C91" s="2">
        <v>3880000</v>
      </c>
      <c r="D91" s="2">
        <v>3030000</v>
      </c>
      <c r="E91" s="2">
        <v>3195000</v>
      </c>
      <c r="F91" s="2">
        <v>3375000</v>
      </c>
      <c r="G91" s="2">
        <v>3450000</v>
      </c>
      <c r="H91" s="2">
        <v>3550000</v>
      </c>
      <c r="I91" s="2">
        <v>3525000</v>
      </c>
      <c r="J91" s="2">
        <v>0</v>
      </c>
      <c r="K91" s="2">
        <v>0</v>
      </c>
      <c r="L91" s="2">
        <v>0</v>
      </c>
      <c r="M91" s="177">
        <v>0</v>
      </c>
      <c r="N91" s="2"/>
    </row>
    <row r="92" spans="1:14">
      <c r="A92" t="s">
        <v>178</v>
      </c>
      <c r="B92" t="s">
        <v>179</v>
      </c>
      <c r="C92" s="2">
        <v>278600000</v>
      </c>
      <c r="D92" s="2">
        <v>271300000</v>
      </c>
      <c r="E92" s="2">
        <v>271700000</v>
      </c>
      <c r="F92" s="2">
        <v>272000000</v>
      </c>
      <c r="G92" s="2">
        <v>205900000</v>
      </c>
      <c r="H92" s="2">
        <v>215900000</v>
      </c>
      <c r="I92" s="2">
        <v>225000000</v>
      </c>
      <c r="J92" s="2">
        <v>0</v>
      </c>
      <c r="K92" s="2">
        <v>0</v>
      </c>
      <c r="L92" s="2">
        <v>0</v>
      </c>
      <c r="M92" s="177">
        <v>0</v>
      </c>
      <c r="N92" s="2"/>
    </row>
    <row r="93" spans="1:14">
      <c r="A93" t="s">
        <v>180</v>
      </c>
      <c r="B93" t="s">
        <v>181</v>
      </c>
      <c r="C93" s="2">
        <v>33000000</v>
      </c>
      <c r="D93" s="2">
        <v>33000000</v>
      </c>
      <c r="E93" s="2">
        <v>33000000</v>
      </c>
      <c r="F93" s="2">
        <v>33000000</v>
      </c>
      <c r="G93" s="2">
        <v>39000000</v>
      </c>
      <c r="H93" s="2">
        <v>42000000</v>
      </c>
      <c r="I93" s="2">
        <v>45000000</v>
      </c>
      <c r="J93" s="2">
        <v>48000000</v>
      </c>
      <c r="K93" s="2">
        <v>0</v>
      </c>
      <c r="L93" s="2">
        <v>0</v>
      </c>
      <c r="M93" s="177">
        <v>0</v>
      </c>
      <c r="N93" s="2"/>
    </row>
    <row r="94" spans="1:14">
      <c r="A94" t="s">
        <v>182</v>
      </c>
      <c r="B94" t="s">
        <v>183</v>
      </c>
      <c r="C94" s="2">
        <v>6320160</v>
      </c>
      <c r="D94" s="2">
        <v>7268164</v>
      </c>
      <c r="E94" s="2">
        <v>8358411</v>
      </c>
      <c r="F94" s="2">
        <v>9612173</v>
      </c>
      <c r="G94" s="2">
        <v>11698530</v>
      </c>
      <c r="H94" s="2">
        <v>12592978</v>
      </c>
      <c r="I94" s="2">
        <v>13539615</v>
      </c>
      <c r="J94" s="2">
        <v>14510581</v>
      </c>
      <c r="K94" s="2">
        <v>0</v>
      </c>
      <c r="L94" s="2">
        <v>0</v>
      </c>
      <c r="M94" s="177">
        <v>0</v>
      </c>
      <c r="N94" s="2"/>
    </row>
    <row r="95" spans="1:14">
      <c r="A95" t="s">
        <v>184</v>
      </c>
      <c r="B95" t="s">
        <v>185</v>
      </c>
      <c r="C95" s="2">
        <v>11750000</v>
      </c>
      <c r="D95" s="2">
        <v>12000000</v>
      </c>
      <c r="E95" s="2">
        <v>12300000</v>
      </c>
      <c r="F95" s="2">
        <v>12750000</v>
      </c>
      <c r="G95" s="2">
        <v>12000000</v>
      </c>
      <c r="H95" s="2">
        <v>12000000</v>
      </c>
      <c r="I95" s="2">
        <v>12000000</v>
      </c>
      <c r="J95" s="2">
        <v>12000000</v>
      </c>
      <c r="K95" s="2">
        <v>0</v>
      </c>
      <c r="L95" s="2">
        <v>0</v>
      </c>
      <c r="M95" s="177">
        <v>0</v>
      </c>
      <c r="N95" s="2"/>
    </row>
    <row r="96" spans="1:14">
      <c r="A96" t="s">
        <v>186</v>
      </c>
      <c r="B96" t="s">
        <v>187</v>
      </c>
      <c r="C96" s="2">
        <v>47329540</v>
      </c>
      <c r="D96" s="2">
        <v>48749426</v>
      </c>
      <c r="E96" s="2">
        <v>50211909</v>
      </c>
      <c r="F96" s="2">
        <v>51718266</v>
      </c>
      <c r="G96" s="2">
        <v>63808067</v>
      </c>
      <c r="H96" s="2">
        <v>66360390</v>
      </c>
      <c r="I96" s="2">
        <v>67988856</v>
      </c>
      <c r="J96" s="2">
        <v>69873487</v>
      </c>
      <c r="K96" s="2">
        <v>0</v>
      </c>
      <c r="L96" s="2">
        <v>0</v>
      </c>
      <c r="M96" s="177">
        <v>0</v>
      </c>
      <c r="N96" s="2"/>
    </row>
    <row r="97" spans="1:14">
      <c r="A97" t="s">
        <v>188</v>
      </c>
      <c r="B97" t="s">
        <v>189</v>
      </c>
      <c r="C97" s="2">
        <v>4556285</v>
      </c>
      <c r="D97" s="2">
        <v>4784099</v>
      </c>
      <c r="E97" s="2">
        <v>5023304</v>
      </c>
      <c r="F97" s="2">
        <v>5274470</v>
      </c>
      <c r="G97" s="2">
        <v>5711006</v>
      </c>
      <c r="H97" s="2">
        <v>6053642</v>
      </c>
      <c r="I97" s="2">
        <v>6416836</v>
      </c>
      <c r="J97" s="2">
        <v>6801821</v>
      </c>
      <c r="K97" s="2">
        <v>0</v>
      </c>
      <c r="L97" s="2">
        <v>0</v>
      </c>
      <c r="M97" s="177">
        <v>0</v>
      </c>
      <c r="N97" s="2"/>
    </row>
    <row r="98" spans="1:14">
      <c r="A98" t="s">
        <v>190</v>
      </c>
      <c r="B98" t="s">
        <v>191</v>
      </c>
      <c r="C98" s="2">
        <v>57151000</v>
      </c>
      <c r="D98" s="2">
        <v>56000000</v>
      </c>
      <c r="E98" s="2">
        <v>58000000</v>
      </c>
      <c r="F98" s="2">
        <v>59000000</v>
      </c>
      <c r="G98" s="2">
        <v>41236226</v>
      </c>
      <c r="H98" s="2">
        <v>41896005</v>
      </c>
      <c r="I98" s="2">
        <v>43272122</v>
      </c>
      <c r="J98" s="2">
        <v>44093427</v>
      </c>
      <c r="K98" s="2">
        <v>0</v>
      </c>
      <c r="L98" s="2">
        <v>0</v>
      </c>
      <c r="M98" s="177">
        <v>0</v>
      </c>
      <c r="N98" s="2"/>
    </row>
    <row r="99" spans="1:14">
      <c r="A99" t="s">
        <v>192</v>
      </c>
      <c r="B99" t="s">
        <v>193</v>
      </c>
      <c r="C99" s="2">
        <v>291554</v>
      </c>
      <c r="D99" s="2">
        <v>320709</v>
      </c>
      <c r="E99" s="2">
        <v>352780</v>
      </c>
      <c r="F99" s="2">
        <v>388058</v>
      </c>
      <c r="G99" s="2">
        <v>142561</v>
      </c>
      <c r="H99" s="2">
        <v>145215</v>
      </c>
      <c r="I99" s="2">
        <v>147923</v>
      </c>
      <c r="J99" s="2">
        <v>150684</v>
      </c>
      <c r="K99" s="2">
        <v>0</v>
      </c>
      <c r="L99" s="2">
        <v>0</v>
      </c>
      <c r="M99" s="177">
        <v>0</v>
      </c>
      <c r="N99" s="2"/>
    </row>
    <row r="100" spans="1:14">
      <c r="A100" t="s">
        <v>194</v>
      </c>
      <c r="B100" t="s">
        <v>195</v>
      </c>
      <c r="C100" s="2">
        <v>68000000</v>
      </c>
      <c r="D100" s="2">
        <v>74000000</v>
      </c>
      <c r="E100" s="2">
        <v>79000000</v>
      </c>
      <c r="F100" s="2">
        <v>83000000</v>
      </c>
      <c r="G100" s="2">
        <v>70000000</v>
      </c>
      <c r="H100" s="2">
        <v>75000000</v>
      </c>
      <c r="I100" s="2">
        <v>79000000</v>
      </c>
      <c r="J100" s="2">
        <v>84000000</v>
      </c>
      <c r="K100" s="2">
        <v>0</v>
      </c>
      <c r="L100" s="2">
        <v>0</v>
      </c>
      <c r="M100" s="177">
        <v>0</v>
      </c>
      <c r="N100" s="2"/>
    </row>
    <row r="101" spans="1:14">
      <c r="A101" t="s">
        <v>196</v>
      </c>
      <c r="B101" s="14" t="s">
        <v>954</v>
      </c>
      <c r="C101" s="2">
        <v>12662093</v>
      </c>
      <c r="D101" s="2">
        <v>13168576</v>
      </c>
      <c r="E101" s="2">
        <v>7850000</v>
      </c>
      <c r="F101" s="2">
        <v>8250000</v>
      </c>
      <c r="G101" s="2">
        <v>8700000</v>
      </c>
      <c r="H101" s="2">
        <v>9150000</v>
      </c>
      <c r="I101" s="2">
        <v>9259768</v>
      </c>
      <c r="J101" s="2">
        <v>9722756</v>
      </c>
      <c r="K101" s="2">
        <v>10208894</v>
      </c>
      <c r="L101" s="2">
        <v>10719339</v>
      </c>
      <c r="M101" s="177">
        <v>0</v>
      </c>
      <c r="N101" s="2"/>
    </row>
    <row r="102" spans="1:14">
      <c r="A102" t="s">
        <v>197</v>
      </c>
      <c r="B102" t="s">
        <v>198</v>
      </c>
      <c r="C102" s="2">
        <v>8450000</v>
      </c>
      <c r="D102" s="2">
        <v>7800000</v>
      </c>
      <c r="E102" s="2">
        <v>7820000</v>
      </c>
      <c r="F102" s="2">
        <v>7820000</v>
      </c>
      <c r="G102" s="2">
        <v>8690124</v>
      </c>
      <c r="H102" s="2">
        <v>9094041</v>
      </c>
      <c r="I102" s="2">
        <v>9544833</v>
      </c>
      <c r="J102" s="2">
        <v>10017970</v>
      </c>
      <c r="K102" s="2">
        <v>0</v>
      </c>
      <c r="L102" s="2">
        <v>0</v>
      </c>
      <c r="M102" s="177">
        <v>0</v>
      </c>
      <c r="N102" s="2"/>
    </row>
    <row r="103" spans="1:14">
      <c r="A103" t="s">
        <v>199</v>
      </c>
      <c r="B103" t="s">
        <v>200</v>
      </c>
      <c r="C103" s="2">
        <v>45400000</v>
      </c>
      <c r="D103" s="2">
        <v>47750000</v>
      </c>
      <c r="E103" s="2">
        <v>37652132</v>
      </c>
      <c r="F103" s="2">
        <v>41187668</v>
      </c>
      <c r="G103" s="2">
        <v>45055190</v>
      </c>
      <c r="H103" s="2">
        <v>49285872</v>
      </c>
      <c r="I103" s="2">
        <v>51841820</v>
      </c>
      <c r="J103" s="2">
        <v>54433911</v>
      </c>
      <c r="K103" s="2">
        <v>57155606</v>
      </c>
      <c r="L103" s="2">
        <v>60013386</v>
      </c>
      <c r="M103" s="177">
        <v>0</v>
      </c>
      <c r="N103" s="2"/>
    </row>
    <row r="104" spans="1:14">
      <c r="A104" t="s">
        <v>201</v>
      </c>
      <c r="B104" t="s">
        <v>202</v>
      </c>
      <c r="C104" s="2">
        <v>10710073</v>
      </c>
      <c r="D104" s="2">
        <v>11823067</v>
      </c>
      <c r="E104" s="2">
        <v>16419347</v>
      </c>
      <c r="F104" s="2">
        <v>17895669</v>
      </c>
      <c r="G104" s="2">
        <v>19504860</v>
      </c>
      <c r="H104" s="2">
        <v>21258878</v>
      </c>
      <c r="I104" s="2">
        <v>28265963</v>
      </c>
      <c r="J104" s="2">
        <v>29746071</v>
      </c>
      <c r="K104" s="2">
        <v>0</v>
      </c>
      <c r="L104" s="2">
        <v>0</v>
      </c>
      <c r="M104" s="177">
        <v>0</v>
      </c>
      <c r="N104" s="2"/>
    </row>
    <row r="105" spans="1:14">
      <c r="A105" t="s">
        <v>203</v>
      </c>
      <c r="B105" t="s">
        <v>204</v>
      </c>
      <c r="C105" s="2">
        <v>14250000</v>
      </c>
      <c r="D105" s="2">
        <v>15100000</v>
      </c>
      <c r="E105" s="2">
        <v>15950000</v>
      </c>
      <c r="F105" s="2">
        <v>16900000</v>
      </c>
      <c r="G105" s="2">
        <v>20585000</v>
      </c>
      <c r="H105" s="2">
        <v>21472000</v>
      </c>
      <c r="I105" s="2">
        <v>22382000</v>
      </c>
      <c r="J105" s="2">
        <v>23473000</v>
      </c>
      <c r="K105" s="2">
        <v>0</v>
      </c>
      <c r="L105" s="2">
        <v>0</v>
      </c>
      <c r="M105" s="177">
        <v>0</v>
      </c>
      <c r="N105" s="2"/>
    </row>
    <row r="106" spans="1:14">
      <c r="A106" t="s">
        <v>205</v>
      </c>
      <c r="B106" t="s">
        <v>206</v>
      </c>
      <c r="C106" s="2">
        <v>36300000</v>
      </c>
      <c r="D106" s="2">
        <v>44900000</v>
      </c>
      <c r="E106" s="2">
        <v>49850000</v>
      </c>
      <c r="F106" s="2">
        <v>54000000</v>
      </c>
      <c r="G106" s="2">
        <v>61000000</v>
      </c>
      <c r="H106" s="2">
        <v>64000000</v>
      </c>
      <c r="I106" s="2">
        <v>67000000</v>
      </c>
      <c r="J106" s="2">
        <v>70000000</v>
      </c>
      <c r="K106" s="2">
        <v>0</v>
      </c>
      <c r="L106" s="2">
        <v>0</v>
      </c>
      <c r="M106" s="177">
        <v>0</v>
      </c>
      <c r="N106" s="2"/>
    </row>
    <row r="107" spans="1:14">
      <c r="A107" t="s">
        <v>207</v>
      </c>
      <c r="B107" t="s">
        <v>208</v>
      </c>
      <c r="C107" s="2">
        <v>21300000</v>
      </c>
      <c r="D107" s="2">
        <v>23500000</v>
      </c>
      <c r="E107" s="2">
        <v>25602000</v>
      </c>
      <c r="F107" s="2">
        <v>28250000</v>
      </c>
      <c r="G107" s="2">
        <v>26000000</v>
      </c>
      <c r="H107" s="2">
        <v>26500000</v>
      </c>
      <c r="I107" s="2">
        <v>27500000</v>
      </c>
      <c r="J107" s="2">
        <v>28750000</v>
      </c>
      <c r="K107" s="2">
        <v>0</v>
      </c>
      <c r="L107" s="2">
        <v>0</v>
      </c>
      <c r="M107" s="177">
        <v>0</v>
      </c>
      <c r="N107" s="2"/>
    </row>
    <row r="108" spans="1:14">
      <c r="A108" t="s">
        <v>209</v>
      </c>
      <c r="B108" t="s">
        <v>210</v>
      </c>
      <c r="C108" s="2">
        <v>59200000</v>
      </c>
      <c r="D108" s="2">
        <v>62200000</v>
      </c>
      <c r="E108" s="2">
        <v>65100000</v>
      </c>
      <c r="F108" s="2">
        <v>67700000</v>
      </c>
      <c r="G108" s="2">
        <v>85600000</v>
      </c>
      <c r="H108" s="2">
        <v>89900000</v>
      </c>
      <c r="I108" s="2">
        <v>94400000</v>
      </c>
      <c r="J108" s="2">
        <v>99100000</v>
      </c>
      <c r="K108" s="2">
        <v>0</v>
      </c>
      <c r="L108" s="2">
        <v>0</v>
      </c>
      <c r="M108" s="177">
        <v>0</v>
      </c>
      <c r="N108" s="2"/>
    </row>
    <row r="109" spans="1:14">
      <c r="A109" t="s">
        <v>211</v>
      </c>
      <c r="B109" t="s">
        <v>212</v>
      </c>
      <c r="C109" s="2">
        <v>44000000</v>
      </c>
      <c r="D109" s="2">
        <v>50000000</v>
      </c>
      <c r="E109" s="2">
        <v>69000000</v>
      </c>
      <c r="F109" s="2">
        <v>76250000</v>
      </c>
      <c r="G109" s="2">
        <v>76250000</v>
      </c>
      <c r="H109" s="2">
        <v>76250000</v>
      </c>
      <c r="I109" s="2">
        <v>79300000</v>
      </c>
      <c r="J109" s="2">
        <v>82500000</v>
      </c>
      <c r="K109" s="2">
        <v>85800000</v>
      </c>
      <c r="L109" s="2">
        <v>0</v>
      </c>
      <c r="M109" s="177">
        <v>0</v>
      </c>
      <c r="N109" s="2"/>
    </row>
    <row r="110" spans="1:14">
      <c r="A110" t="s">
        <v>213</v>
      </c>
      <c r="B110" t="s">
        <v>214</v>
      </c>
      <c r="C110" s="2">
        <v>57000000</v>
      </c>
      <c r="D110" s="2">
        <v>58000000</v>
      </c>
      <c r="E110" s="2">
        <v>59000000</v>
      </c>
      <c r="F110" s="2">
        <v>60000000</v>
      </c>
      <c r="G110" s="2">
        <v>62500000</v>
      </c>
      <c r="H110" s="2">
        <v>64900000</v>
      </c>
      <c r="I110" s="2">
        <v>67500000</v>
      </c>
      <c r="J110" s="2">
        <v>70200000</v>
      </c>
      <c r="K110" s="2">
        <v>0</v>
      </c>
      <c r="L110" s="2">
        <v>0</v>
      </c>
      <c r="M110" s="177">
        <v>0</v>
      </c>
      <c r="N110" s="2"/>
    </row>
    <row r="111" spans="1:14">
      <c r="A111" t="s">
        <v>215</v>
      </c>
      <c r="B111" t="s">
        <v>216</v>
      </c>
      <c r="C111" s="2">
        <v>6652154</v>
      </c>
      <c r="D111" s="2">
        <v>8647800</v>
      </c>
      <c r="E111" s="2">
        <v>12787991</v>
      </c>
      <c r="F111" s="2">
        <v>13466996</v>
      </c>
      <c r="G111" s="2">
        <v>13851143</v>
      </c>
      <c r="H111" s="2">
        <v>14543700</v>
      </c>
      <c r="I111" s="2">
        <v>14822588</v>
      </c>
      <c r="J111" s="2">
        <v>15415483</v>
      </c>
      <c r="K111" s="2">
        <v>0</v>
      </c>
      <c r="L111" s="2">
        <v>0</v>
      </c>
      <c r="M111" s="177">
        <v>0</v>
      </c>
      <c r="N111" s="2"/>
    </row>
    <row r="112" spans="1:14">
      <c r="A112" t="s">
        <v>217</v>
      </c>
      <c r="B112" t="s">
        <v>218</v>
      </c>
      <c r="C112" s="2">
        <v>10600000</v>
      </c>
      <c r="D112" s="2">
        <v>10800000</v>
      </c>
      <c r="E112" s="2">
        <v>11000000</v>
      </c>
      <c r="F112" s="2">
        <v>10000000</v>
      </c>
      <c r="G112" s="2">
        <v>10300000</v>
      </c>
      <c r="H112" s="2">
        <v>10500000</v>
      </c>
      <c r="I112" s="2">
        <v>11900000</v>
      </c>
      <c r="J112" s="2">
        <v>12250000</v>
      </c>
      <c r="K112" s="2">
        <v>12600000</v>
      </c>
      <c r="L112" s="2">
        <v>12950000</v>
      </c>
      <c r="M112" s="177">
        <v>0</v>
      </c>
      <c r="N112" s="2"/>
    </row>
    <row r="113" spans="1:14">
      <c r="A113" t="s">
        <v>219</v>
      </c>
      <c r="B113" t="s">
        <v>220</v>
      </c>
      <c r="C113" s="2">
        <v>11405613</v>
      </c>
      <c r="D113" s="2">
        <v>11975894</v>
      </c>
      <c r="E113" s="2">
        <v>12574688</v>
      </c>
      <c r="F113" s="2">
        <v>13203423</v>
      </c>
      <c r="G113" s="2">
        <v>16972500</v>
      </c>
      <c r="H113" s="2">
        <v>17777000</v>
      </c>
      <c r="I113" s="2">
        <v>18706500</v>
      </c>
      <c r="J113" s="2">
        <v>19558500</v>
      </c>
      <c r="K113" s="2">
        <v>0</v>
      </c>
      <c r="L113" s="2">
        <v>0</v>
      </c>
      <c r="M113" s="177">
        <v>0</v>
      </c>
      <c r="N113" s="2"/>
    </row>
    <row r="114" spans="1:14">
      <c r="A114" t="s">
        <v>221</v>
      </c>
      <c r="B114" t="s">
        <v>222</v>
      </c>
      <c r="C114" s="2">
        <v>22900000</v>
      </c>
      <c r="D114" s="2">
        <v>18000000</v>
      </c>
      <c r="E114" s="2">
        <v>18000000</v>
      </c>
      <c r="F114" s="2">
        <v>18000000</v>
      </c>
      <c r="G114" s="2">
        <v>20000000</v>
      </c>
      <c r="H114" s="2">
        <v>20000000</v>
      </c>
      <c r="I114" s="2">
        <v>21000000</v>
      </c>
      <c r="J114" s="2">
        <v>22000000</v>
      </c>
      <c r="K114" s="2">
        <v>23000000</v>
      </c>
      <c r="L114" s="2">
        <v>0</v>
      </c>
      <c r="M114" s="177">
        <v>0</v>
      </c>
      <c r="N114" s="2"/>
    </row>
    <row r="115" spans="1:14">
      <c r="A115" t="s">
        <v>223</v>
      </c>
      <c r="B115" t="s">
        <v>224</v>
      </c>
      <c r="C115" s="2">
        <v>24650304</v>
      </c>
      <c r="D115" s="2">
        <v>25020059</v>
      </c>
      <c r="E115" s="2">
        <v>25520460</v>
      </c>
      <c r="F115" s="2">
        <v>27880220</v>
      </c>
      <c r="G115" s="2">
        <v>30386678</v>
      </c>
      <c r="H115" s="2">
        <v>33118717</v>
      </c>
      <c r="I115" s="2">
        <v>36096640</v>
      </c>
      <c r="J115" s="2">
        <v>0</v>
      </c>
      <c r="K115" s="2">
        <v>0</v>
      </c>
      <c r="L115" s="2">
        <v>0</v>
      </c>
      <c r="M115" s="177">
        <v>0</v>
      </c>
      <c r="N115" s="2"/>
    </row>
    <row r="116" spans="1:14">
      <c r="A116" t="s">
        <v>225</v>
      </c>
      <c r="B116" t="s">
        <v>226</v>
      </c>
      <c r="C116" s="2">
        <v>125000</v>
      </c>
      <c r="D116" s="2">
        <v>125000</v>
      </c>
      <c r="E116" s="2">
        <v>85000</v>
      </c>
      <c r="F116" s="2">
        <v>85000</v>
      </c>
      <c r="G116" s="2">
        <v>125000</v>
      </c>
      <c r="H116" s="2">
        <v>135000</v>
      </c>
      <c r="I116" s="2">
        <v>150000</v>
      </c>
      <c r="J116" s="2">
        <v>0</v>
      </c>
      <c r="K116" s="2">
        <v>0</v>
      </c>
      <c r="L116" s="2">
        <v>0</v>
      </c>
      <c r="M116" s="177">
        <v>0</v>
      </c>
      <c r="N116" s="2"/>
    </row>
    <row r="117" spans="1:14">
      <c r="A117" t="s">
        <v>227</v>
      </c>
      <c r="B117" t="s">
        <v>228</v>
      </c>
      <c r="C117" s="2">
        <v>495000</v>
      </c>
      <c r="D117" s="2">
        <v>495000</v>
      </c>
      <c r="E117" s="2">
        <v>495000</v>
      </c>
      <c r="F117" s="2">
        <v>495000</v>
      </c>
      <c r="G117" s="2">
        <v>495000</v>
      </c>
      <c r="H117" s="2">
        <v>495000</v>
      </c>
      <c r="I117" s="2">
        <v>495000</v>
      </c>
      <c r="J117" s="2">
        <v>495000</v>
      </c>
      <c r="K117" s="2">
        <v>0</v>
      </c>
      <c r="L117" s="2">
        <v>0</v>
      </c>
      <c r="M117" s="177">
        <v>0</v>
      </c>
      <c r="N117" s="2"/>
    </row>
    <row r="118" spans="1:14">
      <c r="A118" t="s">
        <v>229</v>
      </c>
      <c r="B118" t="s">
        <v>230</v>
      </c>
      <c r="C118" s="2">
        <v>776867</v>
      </c>
      <c r="D118" s="2">
        <v>776867</v>
      </c>
      <c r="E118" s="2">
        <v>776867</v>
      </c>
      <c r="F118" s="2">
        <v>776867</v>
      </c>
      <c r="G118" s="2">
        <v>613786</v>
      </c>
      <c r="H118" s="2">
        <v>625701</v>
      </c>
      <c r="I118" s="2">
        <v>638464</v>
      </c>
      <c r="J118" s="2">
        <v>653400</v>
      </c>
      <c r="K118" s="2">
        <v>0</v>
      </c>
      <c r="L118" s="2">
        <v>0</v>
      </c>
      <c r="M118" s="177">
        <v>0</v>
      </c>
      <c r="N118" s="2"/>
    </row>
    <row r="119" spans="1:14">
      <c r="A119" t="s">
        <v>231</v>
      </c>
      <c r="B119" t="s">
        <v>232</v>
      </c>
      <c r="C119" s="2">
        <v>4512578</v>
      </c>
      <c r="D119" s="2">
        <v>4625392</v>
      </c>
      <c r="E119" s="2">
        <v>4741027</v>
      </c>
      <c r="F119" s="2">
        <v>4859552</v>
      </c>
      <c r="G119" s="2">
        <v>9700000</v>
      </c>
      <c r="H119" s="2">
        <v>10200000</v>
      </c>
      <c r="I119" s="2">
        <v>10700000</v>
      </c>
      <c r="J119" s="2">
        <v>11225000</v>
      </c>
      <c r="K119" s="2">
        <v>0</v>
      </c>
      <c r="L119" s="2">
        <v>0</v>
      </c>
      <c r="M119" s="177">
        <v>0</v>
      </c>
      <c r="N119" s="2"/>
    </row>
    <row r="120" spans="1:14">
      <c r="A120" t="s">
        <v>233</v>
      </c>
      <c r="B120" t="s">
        <v>234</v>
      </c>
      <c r="C120" s="2">
        <v>1650108</v>
      </c>
      <c r="D120" s="2">
        <v>1666605</v>
      </c>
      <c r="E120" s="2">
        <v>1683268</v>
      </c>
      <c r="F120" s="2">
        <v>1700097</v>
      </c>
      <c r="G120" s="2">
        <v>1804449</v>
      </c>
      <c r="H120" s="2">
        <v>1804449</v>
      </c>
      <c r="I120" s="2">
        <v>1804449</v>
      </c>
      <c r="J120" s="2">
        <v>1804449</v>
      </c>
      <c r="K120" s="2">
        <v>0</v>
      </c>
      <c r="L120" s="2">
        <v>0</v>
      </c>
      <c r="M120" s="177">
        <v>0</v>
      </c>
      <c r="N120" s="2"/>
    </row>
    <row r="121" spans="1:14">
      <c r="A121" t="s">
        <v>235</v>
      </c>
      <c r="B121" t="s">
        <v>236</v>
      </c>
      <c r="C121" s="2">
        <v>2200000</v>
      </c>
      <c r="D121" s="2">
        <v>2200000</v>
      </c>
      <c r="E121" s="2">
        <v>2700000</v>
      </c>
      <c r="F121" s="2">
        <v>2700000</v>
      </c>
      <c r="G121" s="2">
        <v>2700000</v>
      </c>
      <c r="H121" s="2">
        <v>2700000</v>
      </c>
      <c r="I121" s="2">
        <v>3400000</v>
      </c>
      <c r="J121" s="2">
        <v>3700000</v>
      </c>
      <c r="K121" s="2">
        <v>4000000</v>
      </c>
      <c r="L121" s="2">
        <v>4300000</v>
      </c>
      <c r="M121" s="177">
        <v>0</v>
      </c>
      <c r="N121" s="2"/>
    </row>
    <row r="122" spans="1:14">
      <c r="A122" t="s">
        <v>237</v>
      </c>
      <c r="B122" t="s">
        <v>238</v>
      </c>
      <c r="C122" s="2">
        <v>75000</v>
      </c>
      <c r="D122" s="2">
        <v>75000</v>
      </c>
      <c r="E122" s="2">
        <v>75000</v>
      </c>
      <c r="F122" s="2">
        <v>75000</v>
      </c>
      <c r="G122" s="2">
        <v>75000</v>
      </c>
      <c r="H122" s="2">
        <v>75000</v>
      </c>
      <c r="I122" s="2">
        <v>75000</v>
      </c>
      <c r="J122" s="2">
        <v>75000</v>
      </c>
      <c r="K122" s="2">
        <v>75000</v>
      </c>
      <c r="L122" s="2">
        <v>75000</v>
      </c>
      <c r="M122" s="177">
        <v>0</v>
      </c>
      <c r="N122" s="2"/>
    </row>
    <row r="123" spans="1:14">
      <c r="A123" t="s">
        <v>239</v>
      </c>
      <c r="B123" t="s">
        <v>240</v>
      </c>
      <c r="C123" s="2">
        <v>300000</v>
      </c>
      <c r="D123" s="2">
        <v>300000</v>
      </c>
      <c r="E123" s="2">
        <v>300000</v>
      </c>
      <c r="F123" s="2">
        <v>300000</v>
      </c>
      <c r="G123" s="2">
        <v>300000</v>
      </c>
      <c r="H123" s="2">
        <v>300000</v>
      </c>
      <c r="I123" s="2">
        <v>300000</v>
      </c>
      <c r="J123" s="2">
        <v>300000</v>
      </c>
      <c r="K123" s="2">
        <v>300000</v>
      </c>
      <c r="L123" s="2">
        <v>0</v>
      </c>
      <c r="M123" s="177">
        <v>0</v>
      </c>
      <c r="N123" s="2"/>
    </row>
    <row r="124" spans="1:14">
      <c r="A124" t="s">
        <v>241</v>
      </c>
      <c r="B124" t="s">
        <v>242</v>
      </c>
      <c r="C124" s="2">
        <v>225000</v>
      </c>
      <c r="D124" s="2">
        <v>225000</v>
      </c>
      <c r="E124" s="2">
        <v>295000</v>
      </c>
      <c r="F124" s="2">
        <v>295000</v>
      </c>
      <c r="G124" s="2">
        <v>295000</v>
      </c>
      <c r="H124" s="2">
        <v>295000</v>
      </c>
      <c r="I124" s="2">
        <v>325000</v>
      </c>
      <c r="J124" s="2">
        <v>325000</v>
      </c>
      <c r="K124" s="2">
        <v>0</v>
      </c>
      <c r="L124" s="2">
        <v>0</v>
      </c>
      <c r="M124" s="177">
        <v>0</v>
      </c>
      <c r="N124" s="2"/>
    </row>
    <row r="125" spans="1:14">
      <c r="A125" t="s">
        <v>243</v>
      </c>
      <c r="B125" t="s">
        <v>244</v>
      </c>
      <c r="C125" s="2">
        <v>412000</v>
      </c>
      <c r="D125" s="2">
        <v>290000</v>
      </c>
      <c r="E125" s="2">
        <v>290000</v>
      </c>
      <c r="F125" s="2">
        <v>540000</v>
      </c>
      <c r="G125" s="2">
        <v>575000</v>
      </c>
      <c r="H125" s="2">
        <v>620000</v>
      </c>
      <c r="I125" s="2">
        <v>640000</v>
      </c>
      <c r="J125" s="2">
        <v>660000</v>
      </c>
      <c r="K125" s="2">
        <v>0</v>
      </c>
      <c r="L125" s="2">
        <v>0</v>
      </c>
      <c r="M125" s="177">
        <v>0</v>
      </c>
      <c r="N125" s="2"/>
    </row>
    <row r="126" spans="1:14">
      <c r="A126" t="s">
        <v>245</v>
      </c>
      <c r="B126" t="s">
        <v>246</v>
      </c>
      <c r="C126" s="2">
        <v>110000</v>
      </c>
      <c r="D126" s="2">
        <v>110000</v>
      </c>
      <c r="E126" s="2">
        <v>110000</v>
      </c>
      <c r="F126" s="2">
        <v>110000</v>
      </c>
      <c r="G126" s="2">
        <v>110000</v>
      </c>
      <c r="H126" s="2">
        <v>110000</v>
      </c>
      <c r="I126" s="2">
        <v>110000</v>
      </c>
      <c r="J126" s="2">
        <v>110000</v>
      </c>
      <c r="K126" s="2">
        <v>0</v>
      </c>
      <c r="L126" s="2">
        <v>0</v>
      </c>
      <c r="M126" s="177">
        <v>0</v>
      </c>
      <c r="N126" s="2"/>
    </row>
    <row r="127" spans="1:14">
      <c r="A127" t="s">
        <v>247</v>
      </c>
      <c r="B127" t="s">
        <v>248</v>
      </c>
      <c r="C127" s="2">
        <v>90000</v>
      </c>
      <c r="D127" s="2">
        <v>90000</v>
      </c>
      <c r="E127" s="2">
        <v>90000</v>
      </c>
      <c r="F127" s="2">
        <v>90000</v>
      </c>
      <c r="G127" s="2">
        <v>116000</v>
      </c>
      <c r="H127" s="2">
        <v>116000</v>
      </c>
      <c r="I127" s="2">
        <v>116000</v>
      </c>
      <c r="J127" s="2">
        <v>116000</v>
      </c>
      <c r="K127" s="2">
        <v>0</v>
      </c>
      <c r="L127" s="2">
        <v>0</v>
      </c>
      <c r="M127" s="177">
        <v>0</v>
      </c>
      <c r="N127" s="2"/>
    </row>
    <row r="128" spans="1:14">
      <c r="A128" t="s">
        <v>249</v>
      </c>
      <c r="B128" t="s">
        <v>250</v>
      </c>
      <c r="C128" s="2">
        <v>60000</v>
      </c>
      <c r="D128" s="2">
        <v>60000</v>
      </c>
      <c r="E128" s="2">
        <v>60000</v>
      </c>
      <c r="F128" s="2">
        <v>60000</v>
      </c>
      <c r="G128" s="2">
        <v>60000</v>
      </c>
      <c r="H128" s="2">
        <v>60000</v>
      </c>
      <c r="I128" s="2">
        <v>80000</v>
      </c>
      <c r="J128" s="2">
        <v>80000</v>
      </c>
      <c r="K128" s="2">
        <v>80000</v>
      </c>
      <c r="L128" s="2">
        <v>0</v>
      </c>
      <c r="M128" s="177">
        <v>0</v>
      </c>
      <c r="N128" s="2"/>
    </row>
    <row r="129" spans="1:14">
      <c r="A129" t="s">
        <v>251</v>
      </c>
      <c r="B129" t="s">
        <v>252</v>
      </c>
      <c r="C129" s="2">
        <v>1943620</v>
      </c>
      <c r="D129" s="2">
        <v>1943620</v>
      </c>
      <c r="E129" s="2">
        <v>2472769</v>
      </c>
      <c r="F129" s="2">
        <v>2522224</v>
      </c>
      <c r="G129" s="2">
        <v>2572668</v>
      </c>
      <c r="H129" s="2">
        <v>2624121</v>
      </c>
      <c r="I129" s="2">
        <v>2729887</v>
      </c>
      <c r="J129" s="2">
        <v>2808634</v>
      </c>
      <c r="K129" s="2">
        <v>2887381</v>
      </c>
      <c r="L129" s="2">
        <v>2966127</v>
      </c>
      <c r="M129" s="177">
        <v>0</v>
      </c>
      <c r="N129" s="2"/>
    </row>
    <row r="130" spans="1:14">
      <c r="A130" t="s">
        <v>253</v>
      </c>
      <c r="B130" t="s">
        <v>254</v>
      </c>
      <c r="C130" s="2">
        <v>2830000</v>
      </c>
      <c r="D130" s="2">
        <v>2880000</v>
      </c>
      <c r="E130" s="2">
        <v>3260000</v>
      </c>
      <c r="F130" s="2">
        <v>3350000</v>
      </c>
      <c r="G130" s="2">
        <v>3425000</v>
      </c>
      <c r="H130" s="2">
        <v>3465000</v>
      </c>
      <c r="I130" s="2">
        <v>3568000</v>
      </c>
      <c r="J130" s="2">
        <v>3676000</v>
      </c>
      <c r="K130" s="2">
        <v>0</v>
      </c>
      <c r="L130" s="2">
        <v>0</v>
      </c>
      <c r="M130" s="177">
        <v>0</v>
      </c>
      <c r="N130" s="2"/>
    </row>
    <row r="131" spans="1:14">
      <c r="A131" t="s">
        <v>255</v>
      </c>
      <c r="B131" t="s">
        <v>256</v>
      </c>
      <c r="C131" s="2">
        <v>1026823</v>
      </c>
      <c r="D131" s="2">
        <v>700000</v>
      </c>
      <c r="E131" s="2">
        <v>700000</v>
      </c>
      <c r="F131" s="2">
        <v>700000</v>
      </c>
      <c r="G131" s="2">
        <v>700000</v>
      </c>
      <c r="H131" s="2">
        <v>700000</v>
      </c>
      <c r="I131" s="2">
        <v>700000</v>
      </c>
      <c r="J131" s="2">
        <v>700000</v>
      </c>
      <c r="K131" s="2">
        <v>0</v>
      </c>
      <c r="L131" s="2">
        <v>0</v>
      </c>
      <c r="M131" s="177">
        <v>0</v>
      </c>
      <c r="N131" s="2"/>
    </row>
    <row r="132" spans="1:14">
      <c r="A132" t="s">
        <v>257</v>
      </c>
      <c r="B132" t="s">
        <v>258</v>
      </c>
      <c r="C132" s="2">
        <v>925000</v>
      </c>
      <c r="D132" s="2">
        <v>687924</v>
      </c>
      <c r="E132" s="2">
        <v>756716</v>
      </c>
      <c r="F132" s="2">
        <v>832388</v>
      </c>
      <c r="G132" s="2">
        <v>1075000</v>
      </c>
      <c r="H132" s="2">
        <v>1155000</v>
      </c>
      <c r="I132" s="2">
        <v>1245000</v>
      </c>
      <c r="J132" s="2">
        <v>0</v>
      </c>
      <c r="K132" s="2">
        <v>0</v>
      </c>
      <c r="L132" s="2">
        <v>0</v>
      </c>
      <c r="M132" s="177">
        <v>0</v>
      </c>
      <c r="N132" s="2"/>
    </row>
    <row r="133" spans="1:14">
      <c r="A133" t="s">
        <v>259</v>
      </c>
      <c r="B133" t="s">
        <v>260</v>
      </c>
      <c r="C133" s="2">
        <v>190000</v>
      </c>
      <c r="D133" s="2">
        <v>190000</v>
      </c>
      <c r="E133" s="2">
        <v>190000</v>
      </c>
      <c r="F133" s="2">
        <v>190000</v>
      </c>
      <c r="G133" s="2">
        <v>190000</v>
      </c>
      <c r="H133" s="2">
        <v>190000</v>
      </c>
      <c r="I133" s="2">
        <v>190000</v>
      </c>
      <c r="J133" s="2">
        <v>0</v>
      </c>
      <c r="K133" s="2">
        <v>0</v>
      </c>
      <c r="L133" s="2">
        <v>0</v>
      </c>
      <c r="M133" s="177">
        <v>0</v>
      </c>
      <c r="N133" s="2"/>
    </row>
    <row r="134" spans="1:14">
      <c r="A134" t="s">
        <v>261</v>
      </c>
      <c r="B134" t="s">
        <v>262</v>
      </c>
      <c r="C134" s="2">
        <v>946000</v>
      </c>
      <c r="D134" s="2">
        <v>687299</v>
      </c>
      <c r="E134" s="2">
        <v>721664</v>
      </c>
      <c r="F134" s="2">
        <v>757747</v>
      </c>
      <c r="G134" s="2">
        <v>930000</v>
      </c>
      <c r="H134" s="2">
        <v>985000</v>
      </c>
      <c r="I134" s="2">
        <v>1015000</v>
      </c>
      <c r="J134" s="2">
        <v>0</v>
      </c>
      <c r="K134" s="2">
        <v>0</v>
      </c>
      <c r="L134" s="2">
        <v>0</v>
      </c>
      <c r="M134" s="177">
        <v>0</v>
      </c>
      <c r="N134" s="2"/>
    </row>
    <row r="135" spans="1:14">
      <c r="A135" t="s">
        <v>263</v>
      </c>
      <c r="B135" t="s">
        <v>264</v>
      </c>
      <c r="C135" s="2">
        <v>805000</v>
      </c>
      <c r="D135" s="2">
        <v>805000</v>
      </c>
      <c r="E135" s="2">
        <v>900000</v>
      </c>
      <c r="F135" s="2">
        <v>950000</v>
      </c>
      <c r="G135" s="2">
        <v>1050000</v>
      </c>
      <c r="H135" s="2">
        <v>1115000</v>
      </c>
      <c r="I135" s="2">
        <v>1250000</v>
      </c>
      <c r="J135" s="2">
        <v>1385000</v>
      </c>
      <c r="K135" s="2">
        <v>1520000</v>
      </c>
      <c r="L135" s="2">
        <v>1655000</v>
      </c>
      <c r="M135" s="177">
        <v>0</v>
      </c>
      <c r="N135" s="2"/>
    </row>
    <row r="136" spans="1:14">
      <c r="A136" t="s">
        <v>265</v>
      </c>
      <c r="B136" t="s">
        <v>266</v>
      </c>
      <c r="C136" s="2">
        <v>683833</v>
      </c>
      <c r="D136" s="2">
        <v>718025</v>
      </c>
      <c r="E136" s="2">
        <v>906687</v>
      </c>
      <c r="F136" s="2">
        <v>1015489</v>
      </c>
      <c r="G136" s="2">
        <v>1075489</v>
      </c>
      <c r="H136" s="2">
        <v>1135489</v>
      </c>
      <c r="I136" s="2">
        <v>1195489</v>
      </c>
      <c r="J136" s="2">
        <v>1255489</v>
      </c>
      <c r="K136" s="2">
        <v>0</v>
      </c>
      <c r="L136" s="2">
        <v>0</v>
      </c>
      <c r="M136" s="177">
        <v>0</v>
      </c>
      <c r="N136" s="2"/>
    </row>
    <row r="137" spans="1:14">
      <c r="A137" t="s">
        <v>267</v>
      </c>
      <c r="B137" t="s">
        <v>268</v>
      </c>
      <c r="C137" s="2">
        <v>560000</v>
      </c>
      <c r="D137" s="2">
        <v>600000</v>
      </c>
      <c r="E137" s="2">
        <v>640000</v>
      </c>
      <c r="F137" s="2">
        <v>680000</v>
      </c>
      <c r="G137" s="2">
        <v>945000</v>
      </c>
      <c r="H137" s="2">
        <v>990000</v>
      </c>
      <c r="I137" s="2">
        <v>1015000</v>
      </c>
      <c r="J137" s="2">
        <v>0</v>
      </c>
      <c r="K137" s="2">
        <v>0</v>
      </c>
      <c r="L137" s="2">
        <v>0</v>
      </c>
      <c r="M137" s="177">
        <v>0</v>
      </c>
      <c r="N137" s="2"/>
    </row>
    <row r="138" spans="1:14">
      <c r="A138" t="s">
        <v>269</v>
      </c>
      <c r="B138" t="s">
        <v>270</v>
      </c>
      <c r="C138" s="2">
        <v>250000</v>
      </c>
      <c r="D138" s="2">
        <v>250000</v>
      </c>
      <c r="E138" s="2">
        <v>250000</v>
      </c>
      <c r="F138" s="2">
        <v>250000</v>
      </c>
      <c r="G138" s="2">
        <v>250000</v>
      </c>
      <c r="H138" s="2">
        <v>250000</v>
      </c>
      <c r="I138" s="2">
        <v>250000</v>
      </c>
      <c r="J138" s="2">
        <v>250000</v>
      </c>
      <c r="K138" s="2">
        <v>0</v>
      </c>
      <c r="L138" s="2">
        <v>0</v>
      </c>
      <c r="M138" s="177">
        <v>0</v>
      </c>
      <c r="N138" s="2"/>
    </row>
    <row r="139" spans="1:14">
      <c r="A139" t="s">
        <v>271</v>
      </c>
      <c r="B139" t="s">
        <v>272</v>
      </c>
      <c r="C139" s="2">
        <v>1100000</v>
      </c>
      <c r="D139" s="2">
        <v>895000</v>
      </c>
      <c r="E139" s="2">
        <v>895000</v>
      </c>
      <c r="F139" s="2">
        <v>1100000</v>
      </c>
      <c r="G139" s="2">
        <v>1150000</v>
      </c>
      <c r="H139" s="2">
        <v>1200000</v>
      </c>
      <c r="I139" s="2">
        <v>1640000</v>
      </c>
      <c r="J139" s="2">
        <v>1780000</v>
      </c>
      <c r="K139" s="2">
        <v>1930000</v>
      </c>
      <c r="L139" s="2">
        <v>0</v>
      </c>
      <c r="M139" s="177">
        <v>0</v>
      </c>
      <c r="N139" s="2"/>
    </row>
    <row r="140" spans="1:14">
      <c r="A140" t="s">
        <v>273</v>
      </c>
      <c r="B140" t="s">
        <v>274</v>
      </c>
      <c r="C140" s="2">
        <v>1100000</v>
      </c>
      <c r="D140" s="2">
        <v>864849</v>
      </c>
      <c r="E140" s="2">
        <v>916740</v>
      </c>
      <c r="F140" s="2">
        <v>971743</v>
      </c>
      <c r="G140" s="2">
        <v>1200000</v>
      </c>
      <c r="H140" s="2">
        <v>1200000</v>
      </c>
      <c r="I140" s="2">
        <v>1200000</v>
      </c>
      <c r="J140" s="2">
        <v>0</v>
      </c>
      <c r="K140" s="2">
        <v>0</v>
      </c>
      <c r="L140" s="2">
        <v>0</v>
      </c>
      <c r="M140" s="177">
        <v>0</v>
      </c>
      <c r="N140" s="2"/>
    </row>
    <row r="141" spans="1:14">
      <c r="A141" t="s">
        <v>275</v>
      </c>
      <c r="B141" t="s">
        <v>276</v>
      </c>
      <c r="C141" s="2">
        <v>350000</v>
      </c>
      <c r="D141" s="2">
        <v>350000</v>
      </c>
      <c r="E141" s="2">
        <v>350000</v>
      </c>
      <c r="F141" s="2">
        <v>350000</v>
      </c>
      <c r="G141" s="2">
        <v>350000</v>
      </c>
      <c r="H141" s="2">
        <v>350000</v>
      </c>
      <c r="I141" s="2">
        <v>350000</v>
      </c>
      <c r="J141" s="2">
        <v>0</v>
      </c>
      <c r="K141" s="2">
        <v>0</v>
      </c>
      <c r="L141" s="2">
        <v>0</v>
      </c>
      <c r="M141" s="177">
        <v>0</v>
      </c>
      <c r="N141" s="2"/>
    </row>
    <row r="142" spans="1:14">
      <c r="A142" t="s">
        <v>277</v>
      </c>
      <c r="B142" t="s">
        <v>278</v>
      </c>
      <c r="C142" s="2">
        <v>5000000</v>
      </c>
      <c r="D142" s="2">
        <v>5100000</v>
      </c>
      <c r="E142" s="2">
        <v>5215000</v>
      </c>
      <c r="F142" s="2">
        <v>5415000</v>
      </c>
      <c r="G142" s="2">
        <v>5650000</v>
      </c>
      <c r="H142" s="2">
        <v>5850000</v>
      </c>
      <c r="I142" s="2">
        <v>6965000</v>
      </c>
      <c r="J142" s="2">
        <v>7313250</v>
      </c>
      <c r="K142" s="2">
        <v>7605780</v>
      </c>
      <c r="L142" s="2">
        <v>7833953</v>
      </c>
      <c r="M142" s="177">
        <v>0</v>
      </c>
      <c r="N142" s="2"/>
    </row>
    <row r="143" spans="1:14">
      <c r="A143" t="s">
        <v>279</v>
      </c>
      <c r="B143" t="s">
        <v>280</v>
      </c>
      <c r="C143" s="2">
        <v>1188000</v>
      </c>
      <c r="D143" s="2">
        <v>1188000</v>
      </c>
      <c r="E143" s="2">
        <v>1188000</v>
      </c>
      <c r="F143" s="2">
        <v>932927</v>
      </c>
      <c r="G143" s="2">
        <v>932927</v>
      </c>
      <c r="H143" s="2">
        <v>932927</v>
      </c>
      <c r="I143" s="2">
        <v>932927</v>
      </c>
      <c r="J143" s="2">
        <v>0</v>
      </c>
      <c r="K143" s="2">
        <v>0</v>
      </c>
      <c r="L143" s="2">
        <v>0</v>
      </c>
      <c r="M143" s="177">
        <v>0</v>
      </c>
      <c r="N143" s="2"/>
    </row>
    <row r="144" spans="1:14">
      <c r="A144" t="s">
        <v>281</v>
      </c>
      <c r="B144" t="s">
        <v>282</v>
      </c>
      <c r="C144" s="2">
        <v>3300000</v>
      </c>
      <c r="D144" s="2">
        <v>3500000</v>
      </c>
      <c r="E144" s="2">
        <v>0</v>
      </c>
      <c r="F144" s="2">
        <v>4500000</v>
      </c>
      <c r="G144" s="2">
        <v>4600000</v>
      </c>
      <c r="H144" s="2">
        <v>0</v>
      </c>
      <c r="I144" s="2">
        <v>6200000</v>
      </c>
      <c r="J144" s="2">
        <v>6200000</v>
      </c>
      <c r="K144" s="2">
        <v>0</v>
      </c>
      <c r="L144" s="2">
        <v>0</v>
      </c>
      <c r="M144" s="177">
        <v>0</v>
      </c>
      <c r="N144" s="2"/>
    </row>
    <row r="145" spans="1:14">
      <c r="A145" t="s">
        <v>283</v>
      </c>
      <c r="B145" t="s">
        <v>284</v>
      </c>
      <c r="C145" s="2">
        <v>295000</v>
      </c>
      <c r="D145" s="2">
        <v>185000</v>
      </c>
      <c r="E145" s="2">
        <v>195000</v>
      </c>
      <c r="F145" s="2">
        <v>195000</v>
      </c>
      <c r="G145" s="2">
        <v>195000</v>
      </c>
      <c r="H145" s="2">
        <v>215000</v>
      </c>
      <c r="I145" s="2">
        <v>215000</v>
      </c>
      <c r="J145" s="2">
        <v>0</v>
      </c>
      <c r="K145" s="2">
        <v>0</v>
      </c>
      <c r="L145" s="2">
        <v>0</v>
      </c>
      <c r="M145" s="177">
        <v>0</v>
      </c>
      <c r="N145" s="2"/>
    </row>
    <row r="146" spans="1:14">
      <c r="A146" t="s">
        <v>285</v>
      </c>
      <c r="B146" t="s">
        <v>286</v>
      </c>
      <c r="C146" s="2">
        <v>903098</v>
      </c>
      <c r="D146" s="2">
        <v>1083718</v>
      </c>
      <c r="E146" s="2">
        <v>1300462</v>
      </c>
      <c r="F146" s="2">
        <v>1300112</v>
      </c>
      <c r="G146" s="2">
        <v>1358617</v>
      </c>
      <c r="H146" s="2">
        <v>1419755</v>
      </c>
      <c r="I146" s="2">
        <v>1918071</v>
      </c>
      <c r="J146" s="2">
        <v>2013974</v>
      </c>
      <c r="K146" s="2">
        <v>2114673</v>
      </c>
      <c r="L146" s="2">
        <v>0</v>
      </c>
      <c r="M146" s="177">
        <v>0</v>
      </c>
      <c r="N146" s="2"/>
    </row>
    <row r="147" spans="1:14">
      <c r="A147" t="s">
        <v>287</v>
      </c>
      <c r="B147" t="s">
        <v>288</v>
      </c>
      <c r="C147" s="2">
        <v>210000</v>
      </c>
      <c r="D147" s="2">
        <v>215000</v>
      </c>
      <c r="E147" s="2">
        <v>215000</v>
      </c>
      <c r="F147" s="2">
        <v>215000</v>
      </c>
      <c r="G147" s="2">
        <v>0</v>
      </c>
      <c r="H147" s="2">
        <v>0</v>
      </c>
      <c r="I147" s="2">
        <v>205000</v>
      </c>
      <c r="J147" s="2">
        <v>205000</v>
      </c>
      <c r="K147" s="2">
        <v>205000</v>
      </c>
      <c r="L147" s="2">
        <v>0</v>
      </c>
      <c r="M147" s="177">
        <v>0</v>
      </c>
      <c r="N147" s="2"/>
    </row>
    <row r="148" spans="1:14">
      <c r="A148" t="s">
        <v>289</v>
      </c>
      <c r="B148" t="s">
        <v>290</v>
      </c>
      <c r="C148" s="2">
        <v>275000</v>
      </c>
      <c r="D148" s="2">
        <v>275000</v>
      </c>
      <c r="E148" s="2">
        <v>240000</v>
      </c>
      <c r="F148" s="2">
        <v>240000</v>
      </c>
      <c r="G148" s="2">
        <v>250000</v>
      </c>
      <c r="H148" s="2">
        <v>250000</v>
      </c>
      <c r="I148" s="2">
        <v>250000</v>
      </c>
      <c r="J148" s="2">
        <v>250000</v>
      </c>
      <c r="K148" s="2">
        <v>0</v>
      </c>
      <c r="L148" s="2">
        <v>0</v>
      </c>
      <c r="M148" s="177">
        <v>0</v>
      </c>
      <c r="N148" s="2"/>
    </row>
    <row r="149" spans="1:14">
      <c r="A149" t="s">
        <v>291</v>
      </c>
      <c r="B149" t="s">
        <v>292</v>
      </c>
      <c r="C149" s="2">
        <v>386000</v>
      </c>
      <c r="D149" s="2">
        <v>398328</v>
      </c>
      <c r="E149" s="2">
        <v>600000</v>
      </c>
      <c r="F149" s="2">
        <v>550000</v>
      </c>
      <c r="G149" s="2">
        <v>550000</v>
      </c>
      <c r="H149" s="2">
        <v>600000</v>
      </c>
      <c r="I149" s="2">
        <v>625000</v>
      </c>
      <c r="J149" s="2">
        <v>0</v>
      </c>
      <c r="K149" s="2">
        <v>0</v>
      </c>
      <c r="L149" s="2">
        <v>0</v>
      </c>
      <c r="M149" s="177">
        <v>0</v>
      </c>
      <c r="N149" s="2"/>
    </row>
    <row r="150" spans="1:14">
      <c r="A150" t="s">
        <v>293</v>
      </c>
      <c r="B150" t="s">
        <v>294</v>
      </c>
      <c r="C150" s="2">
        <v>305000</v>
      </c>
      <c r="D150" s="2">
        <v>350000</v>
      </c>
      <c r="E150" s="2">
        <v>465000</v>
      </c>
      <c r="F150" s="2">
        <v>465000</v>
      </c>
      <c r="G150" s="2">
        <v>475000</v>
      </c>
      <c r="H150" s="2">
        <v>475000</v>
      </c>
      <c r="I150" s="2">
        <v>502000</v>
      </c>
      <c r="J150" s="2">
        <v>502000</v>
      </c>
      <c r="K150" s="2">
        <v>0</v>
      </c>
      <c r="L150" s="2">
        <v>0</v>
      </c>
      <c r="M150" s="177">
        <v>0</v>
      </c>
      <c r="N150" s="2"/>
    </row>
    <row r="151" spans="1:14">
      <c r="A151" t="s">
        <v>295</v>
      </c>
      <c r="B151" t="s">
        <v>296</v>
      </c>
      <c r="C151" s="2">
        <v>270000</v>
      </c>
      <c r="D151" s="2">
        <v>270000</v>
      </c>
      <c r="E151" s="2">
        <v>375000</v>
      </c>
      <c r="F151" s="2">
        <v>375000</v>
      </c>
      <c r="G151" s="2">
        <v>375000</v>
      </c>
      <c r="H151" s="2">
        <v>375000</v>
      </c>
      <c r="I151" s="2">
        <v>375000</v>
      </c>
      <c r="J151" s="2">
        <v>375000</v>
      </c>
      <c r="K151" s="2">
        <v>0</v>
      </c>
      <c r="L151" s="2">
        <v>0</v>
      </c>
      <c r="M151" s="177">
        <v>0</v>
      </c>
      <c r="N151" s="2"/>
    </row>
    <row r="152" spans="1:14">
      <c r="A152" t="s">
        <v>297</v>
      </c>
      <c r="B152" t="s">
        <v>298</v>
      </c>
      <c r="C152" s="2">
        <v>1109000</v>
      </c>
      <c r="D152" s="2">
        <v>1131000</v>
      </c>
      <c r="E152" s="2">
        <v>738000</v>
      </c>
      <c r="F152" s="2">
        <v>760000</v>
      </c>
      <c r="G152" s="2">
        <v>782000</v>
      </c>
      <c r="H152" s="2">
        <v>805000</v>
      </c>
      <c r="I152" s="2">
        <v>1135091</v>
      </c>
      <c r="J152" s="2">
        <v>1169144</v>
      </c>
      <c r="K152" s="2">
        <v>1204218</v>
      </c>
      <c r="L152" s="2">
        <v>1240345</v>
      </c>
      <c r="M152" s="177">
        <v>0</v>
      </c>
      <c r="N152" s="2"/>
    </row>
    <row r="153" spans="1:14">
      <c r="A153" t="s">
        <v>299</v>
      </c>
      <c r="B153" t="s">
        <v>300</v>
      </c>
      <c r="C153" s="2">
        <v>573905</v>
      </c>
      <c r="D153" s="2">
        <v>585383</v>
      </c>
      <c r="E153" s="2">
        <v>597090</v>
      </c>
      <c r="F153" s="2">
        <v>609032</v>
      </c>
      <c r="G153" s="2">
        <v>641803</v>
      </c>
      <c r="H153" s="2">
        <v>673894</v>
      </c>
      <c r="I153" s="2">
        <v>707588</v>
      </c>
      <c r="J153" s="2">
        <v>742968</v>
      </c>
      <c r="K153" s="2">
        <v>0</v>
      </c>
      <c r="L153" s="2">
        <v>0</v>
      </c>
      <c r="M153" s="177">
        <v>0</v>
      </c>
      <c r="N153" s="2"/>
    </row>
    <row r="154" spans="1:14">
      <c r="A154" t="s">
        <v>301</v>
      </c>
      <c r="B154" t="s">
        <v>302</v>
      </c>
      <c r="C154" s="2">
        <v>736752</v>
      </c>
      <c r="D154" s="2">
        <v>751487</v>
      </c>
      <c r="E154" s="2">
        <v>735020</v>
      </c>
      <c r="F154" s="2">
        <v>751925</v>
      </c>
      <c r="G154" s="2">
        <v>776529</v>
      </c>
      <c r="H154" s="2">
        <v>807343</v>
      </c>
      <c r="I154" s="2">
        <v>946724</v>
      </c>
      <c r="J154" s="2">
        <v>990095</v>
      </c>
      <c r="K154" s="2">
        <v>1024570</v>
      </c>
      <c r="L154" s="2">
        <v>1042216</v>
      </c>
      <c r="M154" s="177">
        <v>0</v>
      </c>
      <c r="N154" s="2"/>
    </row>
    <row r="155" spans="1:14">
      <c r="A155" t="s">
        <v>303</v>
      </c>
      <c r="B155" t="s">
        <v>304</v>
      </c>
      <c r="C155" s="2">
        <v>7330000</v>
      </c>
      <c r="D155" s="2">
        <v>7330000</v>
      </c>
      <c r="E155" s="2">
        <v>5500000</v>
      </c>
      <c r="F155" s="2">
        <v>5500000</v>
      </c>
      <c r="G155" s="2">
        <v>5500000</v>
      </c>
      <c r="H155" s="2">
        <v>7100000</v>
      </c>
      <c r="I155" s="2">
        <v>7600000</v>
      </c>
      <c r="J155" s="2">
        <v>8200000</v>
      </c>
      <c r="K155" s="2">
        <v>0</v>
      </c>
      <c r="L155" s="2">
        <v>0</v>
      </c>
      <c r="M155" s="177">
        <v>0</v>
      </c>
      <c r="N155" s="2"/>
    </row>
    <row r="156" spans="1:14">
      <c r="A156" t="s">
        <v>305</v>
      </c>
      <c r="B156" t="s">
        <v>306</v>
      </c>
      <c r="C156" s="2">
        <v>505862</v>
      </c>
      <c r="D156" s="2">
        <v>505862</v>
      </c>
      <c r="E156" s="2">
        <v>560397</v>
      </c>
      <c r="F156" s="2">
        <v>655664</v>
      </c>
      <c r="G156" s="2">
        <v>586817</v>
      </c>
      <c r="H156" s="2">
        <v>639631</v>
      </c>
      <c r="I156" s="2">
        <v>730500</v>
      </c>
      <c r="J156" s="2">
        <v>818200</v>
      </c>
      <c r="K156" s="2">
        <v>0</v>
      </c>
      <c r="L156" s="2">
        <v>0</v>
      </c>
      <c r="M156" s="177">
        <v>0</v>
      </c>
      <c r="N156" s="2"/>
    </row>
    <row r="157" spans="1:14">
      <c r="A157" t="s">
        <v>307</v>
      </c>
      <c r="B157" t="s">
        <v>308</v>
      </c>
      <c r="C157" s="2">
        <v>2641258</v>
      </c>
      <c r="D157" s="2">
        <v>2641258</v>
      </c>
      <c r="E157" s="2">
        <v>2641258</v>
      </c>
      <c r="F157" s="2">
        <v>2720495</v>
      </c>
      <c r="G157" s="2">
        <v>2802110</v>
      </c>
      <c r="H157" s="2">
        <v>2802110</v>
      </c>
      <c r="I157" s="2">
        <v>2886173</v>
      </c>
      <c r="J157" s="2">
        <v>2972758</v>
      </c>
      <c r="K157" s="2">
        <v>3061940</v>
      </c>
      <c r="L157" s="2">
        <v>0</v>
      </c>
      <c r="M157" s="177">
        <v>0</v>
      </c>
      <c r="N157" s="2"/>
    </row>
    <row r="158" spans="1:14">
      <c r="A158" t="s">
        <v>309</v>
      </c>
      <c r="B158" t="s">
        <v>310</v>
      </c>
      <c r="C158" s="2">
        <v>4654330</v>
      </c>
      <c r="D158" s="2">
        <v>4654330</v>
      </c>
      <c r="E158" s="2">
        <v>0</v>
      </c>
      <c r="F158" s="2">
        <v>3831125</v>
      </c>
      <c r="G158" s="2">
        <v>3831125</v>
      </c>
      <c r="H158" s="2">
        <v>3831125</v>
      </c>
      <c r="I158" s="2">
        <v>3831125</v>
      </c>
      <c r="J158" s="2">
        <v>0</v>
      </c>
      <c r="K158" s="2">
        <v>0</v>
      </c>
      <c r="L158" s="2">
        <v>0</v>
      </c>
      <c r="M158" s="177">
        <v>0</v>
      </c>
      <c r="N158" s="2"/>
    </row>
    <row r="159" spans="1:14">
      <c r="A159" t="s">
        <v>311</v>
      </c>
      <c r="B159" t="s">
        <v>312</v>
      </c>
      <c r="C159" s="2">
        <v>1914895</v>
      </c>
      <c r="D159" s="2">
        <v>1363969</v>
      </c>
      <c r="E159" s="2">
        <v>1418528</v>
      </c>
      <c r="F159" s="2">
        <v>1475269</v>
      </c>
      <c r="G159" s="2">
        <v>1541656</v>
      </c>
      <c r="H159" s="2">
        <v>1611031</v>
      </c>
      <c r="I159" s="2">
        <v>1683527</v>
      </c>
      <c r="J159" s="2">
        <v>0</v>
      </c>
      <c r="K159" s="2">
        <v>0</v>
      </c>
      <c r="L159" s="2">
        <v>0</v>
      </c>
      <c r="M159" s="177">
        <v>0</v>
      </c>
      <c r="N159" s="2"/>
    </row>
    <row r="160" spans="1:14">
      <c r="A160" t="s">
        <v>313</v>
      </c>
      <c r="B160" t="s">
        <v>314</v>
      </c>
      <c r="C160" s="2">
        <v>36000</v>
      </c>
      <c r="D160" s="2">
        <v>36000</v>
      </c>
      <c r="E160" s="2">
        <v>36000</v>
      </c>
      <c r="F160" s="2">
        <v>36000</v>
      </c>
      <c r="G160" s="2">
        <v>36000</v>
      </c>
      <c r="H160" s="2">
        <v>36000</v>
      </c>
      <c r="I160" s="2">
        <v>40000</v>
      </c>
      <c r="J160" s="2">
        <v>40000</v>
      </c>
      <c r="K160" s="2">
        <v>40000</v>
      </c>
      <c r="L160" s="2">
        <v>40000</v>
      </c>
      <c r="M160" s="177">
        <v>0</v>
      </c>
      <c r="N160" s="2"/>
    </row>
    <row r="161" spans="1:14">
      <c r="A161" t="s">
        <v>315</v>
      </c>
      <c r="B161" t="s">
        <v>316</v>
      </c>
      <c r="C161" s="2">
        <v>995380</v>
      </c>
      <c r="D161" s="2">
        <v>995380</v>
      </c>
      <c r="E161" s="2">
        <v>1175719</v>
      </c>
      <c r="F161" s="2">
        <v>1187476</v>
      </c>
      <c r="G161" s="2">
        <v>1199351</v>
      </c>
      <c r="H161" s="2">
        <v>1211344</v>
      </c>
      <c r="I161" s="2">
        <v>1953118</v>
      </c>
      <c r="J161" s="2">
        <v>2070305</v>
      </c>
      <c r="K161" s="2">
        <v>2194523</v>
      </c>
      <c r="L161" s="2">
        <v>2326195</v>
      </c>
      <c r="M161" s="177">
        <v>0</v>
      </c>
      <c r="N161" s="2"/>
    </row>
    <row r="162" spans="1:14">
      <c r="A162" t="s">
        <v>317</v>
      </c>
      <c r="B162" t="s">
        <v>318</v>
      </c>
      <c r="C162" s="2">
        <v>919590</v>
      </c>
      <c r="D162" s="2">
        <v>612158</v>
      </c>
      <c r="E162" s="2">
        <v>642766</v>
      </c>
      <c r="F162" s="2">
        <v>674904</v>
      </c>
      <c r="G162" s="2">
        <v>708649</v>
      </c>
      <c r="H162" s="2">
        <v>783697</v>
      </c>
      <c r="I162" s="2">
        <v>825232</v>
      </c>
      <c r="J162" s="2">
        <v>846854</v>
      </c>
      <c r="K162" s="2">
        <v>869041</v>
      </c>
      <c r="L162" s="2">
        <v>0</v>
      </c>
      <c r="M162" s="177">
        <v>0</v>
      </c>
      <c r="N162" s="2"/>
    </row>
    <row r="163" spans="1:14">
      <c r="A163" t="s">
        <v>319</v>
      </c>
      <c r="B163" t="s">
        <v>320</v>
      </c>
      <c r="C163" s="2">
        <v>672176</v>
      </c>
      <c r="D163" s="2">
        <v>672176</v>
      </c>
      <c r="E163" s="2">
        <v>931940</v>
      </c>
      <c r="F163" s="2">
        <v>1144955</v>
      </c>
      <c r="G163" s="2">
        <v>1384679</v>
      </c>
      <c r="H163" s="2">
        <v>1488530</v>
      </c>
      <c r="I163" s="2">
        <v>1598039</v>
      </c>
      <c r="J163" s="2">
        <v>1661961</v>
      </c>
      <c r="K163" s="2">
        <v>1728439</v>
      </c>
      <c r="L163" s="2">
        <v>1797577</v>
      </c>
      <c r="M163" s="177">
        <v>0</v>
      </c>
      <c r="N163" s="2"/>
    </row>
    <row r="164" spans="1:14">
      <c r="A164" t="s">
        <v>321</v>
      </c>
      <c r="B164" t="s">
        <v>322</v>
      </c>
      <c r="C164" s="2">
        <v>664000</v>
      </c>
      <c r="D164" s="2">
        <v>664000</v>
      </c>
      <c r="E164" s="2">
        <v>664000</v>
      </c>
      <c r="F164" s="2">
        <v>664000</v>
      </c>
      <c r="G164" s="2">
        <v>602000</v>
      </c>
      <c r="H164" s="2">
        <v>602000</v>
      </c>
      <c r="I164" s="2">
        <v>602000</v>
      </c>
      <c r="J164" s="2">
        <v>602000</v>
      </c>
      <c r="K164" s="2">
        <v>0</v>
      </c>
      <c r="L164" s="2">
        <v>0</v>
      </c>
      <c r="M164" s="177">
        <v>0</v>
      </c>
      <c r="N164" s="2"/>
    </row>
    <row r="165" spans="1:14">
      <c r="A165" t="s">
        <v>323</v>
      </c>
      <c r="B165" t="s">
        <v>324</v>
      </c>
      <c r="C165" s="2">
        <v>1900000</v>
      </c>
      <c r="D165" s="2">
        <v>1950000</v>
      </c>
      <c r="E165" s="2">
        <v>2000000</v>
      </c>
      <c r="F165" s="2">
        <v>2050000</v>
      </c>
      <c r="G165" s="2">
        <v>2100000</v>
      </c>
      <c r="H165" s="2">
        <v>2150000</v>
      </c>
      <c r="I165" s="2">
        <v>2500000</v>
      </c>
      <c r="J165" s="2">
        <v>2600000</v>
      </c>
      <c r="K165" s="2">
        <v>2700000</v>
      </c>
      <c r="L165" s="2">
        <v>2800000</v>
      </c>
      <c r="M165" s="177">
        <v>0</v>
      </c>
      <c r="N165" s="2"/>
    </row>
    <row r="166" spans="1:14">
      <c r="A166" t="s">
        <v>325</v>
      </c>
      <c r="B166" t="s">
        <v>326</v>
      </c>
      <c r="C166" s="2">
        <v>830000</v>
      </c>
      <c r="D166" s="2">
        <v>900000</v>
      </c>
      <c r="E166" s="2">
        <v>878240</v>
      </c>
      <c r="F166" s="2">
        <v>922152</v>
      </c>
      <c r="G166" s="2">
        <v>1053696</v>
      </c>
      <c r="H166" s="2">
        <v>1116918</v>
      </c>
      <c r="I166" s="2">
        <v>1506558</v>
      </c>
      <c r="J166" s="2">
        <v>1581886</v>
      </c>
      <c r="K166" s="2">
        <v>1660980</v>
      </c>
      <c r="L166" s="2">
        <v>1744029</v>
      </c>
      <c r="M166" s="177">
        <v>0</v>
      </c>
      <c r="N166" s="2"/>
    </row>
    <row r="167" spans="1:14">
      <c r="A167" t="s">
        <v>327</v>
      </c>
      <c r="B167" t="s">
        <v>328</v>
      </c>
      <c r="C167" s="2">
        <v>1497371</v>
      </c>
      <c r="D167" s="2">
        <v>1497371</v>
      </c>
      <c r="E167" s="2">
        <v>1229600</v>
      </c>
      <c r="F167" s="2">
        <v>1229600</v>
      </c>
      <c r="G167" s="2">
        <v>1229600</v>
      </c>
      <c r="H167" s="2">
        <v>1229600</v>
      </c>
      <c r="I167" s="2">
        <v>1565030</v>
      </c>
      <c r="J167" s="2">
        <v>1565030</v>
      </c>
      <c r="K167" s="2">
        <v>0</v>
      </c>
      <c r="L167" s="2">
        <v>0</v>
      </c>
      <c r="M167" s="177">
        <v>0</v>
      </c>
      <c r="N167" s="2"/>
    </row>
    <row r="168" spans="1:14">
      <c r="A168" t="s">
        <v>329</v>
      </c>
      <c r="B168" t="s">
        <v>330</v>
      </c>
      <c r="C168" s="2">
        <v>3370370</v>
      </c>
      <c r="D168" s="2">
        <v>3471481</v>
      </c>
      <c r="E168" s="2">
        <v>2756000</v>
      </c>
      <c r="F168" s="2">
        <v>2838548</v>
      </c>
      <c r="G168" s="2">
        <v>2932497</v>
      </c>
      <c r="H168" s="2">
        <v>3020160</v>
      </c>
      <c r="I168" s="2">
        <v>3320000</v>
      </c>
      <c r="J168" s="2">
        <v>3445000</v>
      </c>
      <c r="K168" s="2">
        <v>3574000</v>
      </c>
      <c r="L168" s="2">
        <v>3706000</v>
      </c>
      <c r="M168" s="177">
        <v>0</v>
      </c>
      <c r="N168" s="2"/>
    </row>
    <row r="169" spans="1:14">
      <c r="A169" t="s">
        <v>331</v>
      </c>
      <c r="B169" t="s">
        <v>332</v>
      </c>
      <c r="C169" s="2">
        <v>860371</v>
      </c>
      <c r="D169" s="2">
        <v>860371</v>
      </c>
      <c r="E169" s="2">
        <v>632000</v>
      </c>
      <c r="F169" s="2">
        <v>632000</v>
      </c>
      <c r="G169" s="2">
        <v>632000</v>
      </c>
      <c r="H169" s="2">
        <v>632000</v>
      </c>
      <c r="I169" s="2">
        <v>975000</v>
      </c>
      <c r="J169" s="2">
        <v>975000</v>
      </c>
      <c r="K169" s="2">
        <v>975000</v>
      </c>
      <c r="L169" s="2">
        <v>975000</v>
      </c>
      <c r="M169" s="177">
        <v>0</v>
      </c>
      <c r="N169" s="2"/>
    </row>
    <row r="170" spans="1:14">
      <c r="A170" t="s">
        <v>333</v>
      </c>
      <c r="B170" t="s">
        <v>334</v>
      </c>
      <c r="C170" s="2">
        <v>711000</v>
      </c>
      <c r="D170" s="2">
        <v>711000</v>
      </c>
      <c r="E170" s="2">
        <v>525000</v>
      </c>
      <c r="F170" s="2">
        <v>525000</v>
      </c>
      <c r="G170" s="2">
        <v>525000</v>
      </c>
      <c r="H170" s="2">
        <v>525000</v>
      </c>
      <c r="I170" s="2">
        <v>875000</v>
      </c>
      <c r="J170" s="2">
        <v>875000</v>
      </c>
      <c r="K170" s="2">
        <v>875000</v>
      </c>
      <c r="L170" s="2">
        <v>875000</v>
      </c>
      <c r="M170" s="177">
        <v>0</v>
      </c>
      <c r="N170" s="2"/>
    </row>
    <row r="171" spans="1:14">
      <c r="A171" t="s">
        <v>335</v>
      </c>
      <c r="B171" t="s">
        <v>336</v>
      </c>
      <c r="C171" s="2">
        <v>450000</v>
      </c>
      <c r="D171" s="2">
        <v>450000</v>
      </c>
      <c r="E171" s="2">
        <v>450000</v>
      </c>
      <c r="F171" s="2">
        <v>579000</v>
      </c>
      <c r="G171" s="2">
        <v>579000</v>
      </c>
      <c r="H171" s="2">
        <v>579000</v>
      </c>
      <c r="I171" s="2">
        <v>651000</v>
      </c>
      <c r="J171" s="2">
        <v>651000</v>
      </c>
      <c r="K171" s="2">
        <v>651000</v>
      </c>
      <c r="L171" s="2">
        <v>0</v>
      </c>
      <c r="M171" s="177">
        <v>0</v>
      </c>
      <c r="N171" s="2"/>
    </row>
    <row r="172" spans="1:14">
      <c r="A172" t="s">
        <v>337</v>
      </c>
      <c r="B172" t="s">
        <v>338</v>
      </c>
      <c r="C172" s="2">
        <v>724500</v>
      </c>
      <c r="D172" s="2">
        <v>724500</v>
      </c>
      <c r="E172" s="2">
        <v>0</v>
      </c>
      <c r="F172" s="2">
        <v>544125</v>
      </c>
      <c r="G172" s="2">
        <v>544125</v>
      </c>
      <c r="H172" s="2">
        <v>675000</v>
      </c>
      <c r="I172" s="2">
        <v>675000</v>
      </c>
      <c r="J172" s="2">
        <v>675000</v>
      </c>
      <c r="K172" s="2">
        <v>675000</v>
      </c>
      <c r="L172" s="2">
        <v>0</v>
      </c>
      <c r="M172" s="177">
        <v>0</v>
      </c>
      <c r="N172" s="2"/>
    </row>
    <row r="173" spans="1:14">
      <c r="A173" t="s">
        <v>339</v>
      </c>
      <c r="B173" t="s">
        <v>340</v>
      </c>
      <c r="C173" s="2">
        <v>0</v>
      </c>
      <c r="D173" s="2">
        <v>0</v>
      </c>
      <c r="E173" s="2">
        <v>0</v>
      </c>
      <c r="F173" s="2">
        <v>0</v>
      </c>
      <c r="G173" s="2">
        <v>0</v>
      </c>
      <c r="H173" s="2">
        <v>0</v>
      </c>
      <c r="I173" s="2">
        <v>0</v>
      </c>
      <c r="J173" s="2">
        <v>0</v>
      </c>
      <c r="K173" s="2">
        <v>0</v>
      </c>
      <c r="L173" s="2">
        <v>0</v>
      </c>
      <c r="M173" s="177">
        <v>0</v>
      </c>
      <c r="N173" s="2"/>
    </row>
    <row r="174" spans="1:14">
      <c r="A174" t="s">
        <v>341</v>
      </c>
      <c r="B174" t="s">
        <v>342</v>
      </c>
      <c r="C174" s="2">
        <v>1760445</v>
      </c>
      <c r="D174" s="2">
        <v>1786945</v>
      </c>
      <c r="E174" s="2">
        <v>1573148</v>
      </c>
      <c r="F174" s="2">
        <v>1606681</v>
      </c>
      <c r="G174" s="2">
        <v>1637634</v>
      </c>
      <c r="H174" s="2">
        <v>2152933</v>
      </c>
      <c r="I174" s="2">
        <v>2256695</v>
      </c>
      <c r="J174" s="2">
        <v>2329392</v>
      </c>
      <c r="K174" s="2">
        <v>0</v>
      </c>
      <c r="L174" s="2">
        <v>0</v>
      </c>
      <c r="M174" s="177">
        <v>0</v>
      </c>
      <c r="N174" s="2"/>
    </row>
    <row r="175" spans="1:14">
      <c r="A175" t="s">
        <v>343</v>
      </c>
      <c r="B175" t="s">
        <v>344</v>
      </c>
      <c r="C175" s="2">
        <v>425000</v>
      </c>
      <c r="D175" s="2">
        <v>425000</v>
      </c>
      <c r="E175" s="2">
        <v>495000</v>
      </c>
      <c r="F175" s="2">
        <v>495000</v>
      </c>
      <c r="G175" s="2">
        <v>495000</v>
      </c>
      <c r="H175" s="2">
        <v>495000</v>
      </c>
      <c r="I175" s="2">
        <v>495000</v>
      </c>
      <c r="J175" s="2">
        <v>495000</v>
      </c>
      <c r="K175" s="2">
        <v>0</v>
      </c>
      <c r="L175" s="2">
        <v>0</v>
      </c>
      <c r="M175" s="177">
        <v>0</v>
      </c>
      <c r="N175" s="2"/>
    </row>
    <row r="176" spans="1:14">
      <c r="A176" t="s">
        <v>345</v>
      </c>
      <c r="B176" t="s">
        <v>346</v>
      </c>
      <c r="C176" s="2">
        <v>575000</v>
      </c>
      <c r="D176" s="2">
        <v>583000</v>
      </c>
      <c r="E176" s="2">
        <v>675910</v>
      </c>
      <c r="F176" s="2">
        <v>695760</v>
      </c>
      <c r="G176" s="2">
        <v>714981</v>
      </c>
      <c r="H176" s="2">
        <v>720000</v>
      </c>
      <c r="I176" s="2">
        <v>730000</v>
      </c>
      <c r="J176" s="2">
        <v>745000</v>
      </c>
      <c r="K176" s="2">
        <v>0</v>
      </c>
      <c r="L176" s="2">
        <v>0</v>
      </c>
      <c r="M176" s="177">
        <v>0</v>
      </c>
      <c r="N176" s="2"/>
    </row>
    <row r="177" spans="1:14">
      <c r="A177" t="s">
        <v>347</v>
      </c>
      <c r="B177" t="s">
        <v>348</v>
      </c>
      <c r="C177" s="2">
        <v>4975000</v>
      </c>
      <c r="D177" s="2">
        <v>5475000</v>
      </c>
      <c r="E177" s="2">
        <v>6025000</v>
      </c>
      <c r="F177" s="2">
        <v>6625000</v>
      </c>
      <c r="G177" s="2">
        <v>7000000</v>
      </c>
      <c r="H177" s="2">
        <v>9600000</v>
      </c>
      <c r="I177" s="2">
        <v>9875000</v>
      </c>
      <c r="J177" s="2">
        <v>10150000</v>
      </c>
      <c r="K177" s="2">
        <v>0</v>
      </c>
      <c r="L177" s="2">
        <v>0</v>
      </c>
      <c r="M177" s="177">
        <v>0</v>
      </c>
      <c r="N177" s="2"/>
    </row>
    <row r="178" spans="1:14">
      <c r="A178" t="s">
        <v>349</v>
      </c>
      <c r="B178" t="s">
        <v>350</v>
      </c>
      <c r="C178" s="2">
        <v>31500000</v>
      </c>
      <c r="D178" s="2">
        <v>33000000</v>
      </c>
      <c r="E178" s="2">
        <v>52349127</v>
      </c>
      <c r="F178" s="2">
        <v>55725189</v>
      </c>
      <c r="G178" s="2">
        <v>62976738</v>
      </c>
      <c r="H178" s="2">
        <v>65357581</v>
      </c>
      <c r="I178" s="2">
        <v>67998879</v>
      </c>
      <c r="J178" s="2">
        <v>70716915</v>
      </c>
      <c r="K178" s="2">
        <v>0</v>
      </c>
      <c r="L178" s="2">
        <v>0</v>
      </c>
      <c r="M178" s="177">
        <v>0</v>
      </c>
      <c r="N178" s="2"/>
    </row>
    <row r="179" spans="1:14">
      <c r="A179" t="s">
        <v>351</v>
      </c>
      <c r="B179" t="s">
        <v>352</v>
      </c>
      <c r="C179" s="2">
        <v>70000000</v>
      </c>
      <c r="D179" s="2">
        <v>72000000</v>
      </c>
      <c r="E179" s="2">
        <v>74000000</v>
      </c>
      <c r="F179" s="2">
        <v>76000000</v>
      </c>
      <c r="G179" s="2">
        <v>77500000</v>
      </c>
      <c r="H179" s="2">
        <v>79000000</v>
      </c>
      <c r="I179" s="2">
        <v>80500000</v>
      </c>
      <c r="J179" s="2">
        <v>82000000</v>
      </c>
      <c r="K179" s="2">
        <v>0</v>
      </c>
      <c r="L179" s="2">
        <v>0</v>
      </c>
      <c r="M179" s="177">
        <v>0</v>
      </c>
      <c r="N179" s="2"/>
    </row>
    <row r="180" spans="1:14">
      <c r="A180" t="s">
        <v>353</v>
      </c>
      <c r="B180" t="s">
        <v>354</v>
      </c>
      <c r="C180" s="2">
        <v>607000</v>
      </c>
      <c r="D180" s="2">
        <v>619000</v>
      </c>
      <c r="E180" s="2">
        <v>383145</v>
      </c>
      <c r="F180" s="2">
        <v>410950</v>
      </c>
      <c r="G180" s="2">
        <v>441485</v>
      </c>
      <c r="H180" s="2">
        <v>480828</v>
      </c>
      <c r="I180" s="2">
        <v>514564</v>
      </c>
      <c r="J180" s="2">
        <v>559277</v>
      </c>
      <c r="K180" s="2">
        <v>587241</v>
      </c>
      <c r="L180" s="2">
        <v>616603</v>
      </c>
      <c r="M180" s="177">
        <v>0</v>
      </c>
      <c r="N180" s="2"/>
    </row>
    <row r="181" spans="1:14">
      <c r="A181" t="s">
        <v>355</v>
      </c>
      <c r="B181" t="s">
        <v>356</v>
      </c>
      <c r="C181" s="2">
        <v>9961000</v>
      </c>
      <c r="D181" s="2">
        <v>10957000</v>
      </c>
      <c r="E181" s="2">
        <v>12053000</v>
      </c>
      <c r="F181" s="2">
        <v>13258000</v>
      </c>
      <c r="G181" s="2">
        <v>15378000</v>
      </c>
      <c r="H181" s="2">
        <v>16532000</v>
      </c>
      <c r="I181" s="2">
        <v>17524000</v>
      </c>
      <c r="J181" s="2">
        <v>18313000</v>
      </c>
      <c r="K181" s="2">
        <v>0</v>
      </c>
      <c r="L181" s="2">
        <v>0</v>
      </c>
      <c r="M181" s="177">
        <v>0</v>
      </c>
      <c r="N181" s="2"/>
    </row>
    <row r="182" spans="1:14">
      <c r="A182" t="s">
        <v>357</v>
      </c>
      <c r="B182" t="s">
        <v>358</v>
      </c>
      <c r="C182" s="2">
        <v>20000000</v>
      </c>
      <c r="D182" s="2">
        <v>24000000</v>
      </c>
      <c r="E182" s="2">
        <v>28000000</v>
      </c>
      <c r="F182" s="2">
        <v>32500000</v>
      </c>
      <c r="G182" s="2">
        <v>38000000</v>
      </c>
      <c r="H182" s="2">
        <v>45000000</v>
      </c>
      <c r="I182" s="2">
        <v>38000000</v>
      </c>
      <c r="J182" s="2">
        <v>42000000</v>
      </c>
      <c r="K182" s="2">
        <v>45000000</v>
      </c>
      <c r="L182" s="2">
        <v>50000000</v>
      </c>
      <c r="M182" s="177">
        <v>0</v>
      </c>
      <c r="N182" s="2"/>
    </row>
    <row r="183" spans="1:14">
      <c r="A183" t="s">
        <v>359</v>
      </c>
      <c r="B183" t="s">
        <v>360</v>
      </c>
      <c r="C183" s="2">
        <v>6650000</v>
      </c>
      <c r="D183" s="2">
        <v>7250000</v>
      </c>
      <c r="E183" s="2">
        <v>6000000</v>
      </c>
      <c r="F183" s="2">
        <v>6500000</v>
      </c>
      <c r="G183" s="2">
        <v>5800000</v>
      </c>
      <c r="H183" s="2">
        <v>6000000</v>
      </c>
      <c r="I183" s="2">
        <v>6250000</v>
      </c>
      <c r="J183" s="2">
        <v>6450000</v>
      </c>
      <c r="K183" s="2">
        <v>0</v>
      </c>
      <c r="L183" s="2">
        <v>0</v>
      </c>
      <c r="M183" s="177">
        <v>0</v>
      </c>
      <c r="N183" s="2"/>
    </row>
    <row r="184" spans="1:14">
      <c r="A184" t="s">
        <v>361</v>
      </c>
      <c r="B184" t="s">
        <v>362</v>
      </c>
      <c r="C184" s="2">
        <v>3300000</v>
      </c>
      <c r="D184" s="2">
        <v>3900000</v>
      </c>
      <c r="E184" s="2">
        <v>3900000</v>
      </c>
      <c r="F184" s="2">
        <v>4100000</v>
      </c>
      <c r="G184" s="2">
        <v>5676309</v>
      </c>
      <c r="H184" s="2">
        <v>6527756</v>
      </c>
      <c r="I184" s="2">
        <v>7506919</v>
      </c>
      <c r="J184" s="2">
        <v>8632957</v>
      </c>
      <c r="K184" s="2">
        <v>0</v>
      </c>
      <c r="L184" s="2">
        <v>0</v>
      </c>
      <c r="M184" s="177">
        <v>0</v>
      </c>
      <c r="N184" s="2"/>
    </row>
    <row r="185" spans="1:14">
      <c r="A185" t="s">
        <v>363</v>
      </c>
      <c r="B185" t="s">
        <v>364</v>
      </c>
      <c r="C185" s="2">
        <v>23500000</v>
      </c>
      <c r="D185" s="2">
        <v>23500000</v>
      </c>
      <c r="E185" s="2">
        <v>20467699</v>
      </c>
      <c r="F185" s="2">
        <v>22105114</v>
      </c>
      <c r="G185" s="2">
        <v>23873524</v>
      </c>
      <c r="H185" s="2">
        <v>25783405</v>
      </c>
      <c r="I185" s="2">
        <v>25725495</v>
      </c>
      <c r="J185" s="2">
        <v>26497260</v>
      </c>
      <c r="K185" s="2">
        <v>27292178</v>
      </c>
      <c r="L185" s="2">
        <v>28110943</v>
      </c>
      <c r="M185" s="177">
        <v>0</v>
      </c>
      <c r="N185" s="2"/>
    </row>
    <row r="186" spans="1:14">
      <c r="A186" t="s">
        <v>365</v>
      </c>
      <c r="B186" t="s">
        <v>366</v>
      </c>
      <c r="C186" s="2">
        <v>26750000</v>
      </c>
      <c r="D186" s="2">
        <v>27690000</v>
      </c>
      <c r="E186" s="2">
        <v>25140000</v>
      </c>
      <c r="F186" s="2">
        <v>26900000</v>
      </c>
      <c r="G186" s="2">
        <v>28225000</v>
      </c>
      <c r="H186" s="2">
        <v>27000000</v>
      </c>
      <c r="I186" s="2">
        <v>28010000</v>
      </c>
      <c r="J186" s="2">
        <v>29075000</v>
      </c>
      <c r="K186" s="2">
        <v>0</v>
      </c>
      <c r="L186" s="2">
        <v>0</v>
      </c>
      <c r="M186" s="177">
        <v>0</v>
      </c>
      <c r="N186" s="2"/>
    </row>
    <row r="187" spans="1:14">
      <c r="A187" t="s">
        <v>367</v>
      </c>
      <c r="B187" t="s">
        <v>368</v>
      </c>
      <c r="C187" s="2">
        <v>19000000</v>
      </c>
      <c r="D187" s="2">
        <v>20000000</v>
      </c>
      <c r="E187" s="2">
        <v>21000000</v>
      </c>
      <c r="F187" s="2">
        <v>22000000</v>
      </c>
      <c r="G187" s="2">
        <v>18939414</v>
      </c>
      <c r="H187" s="2">
        <v>20833356</v>
      </c>
      <c r="I187" s="2">
        <v>22916691</v>
      </c>
      <c r="J187" s="2">
        <v>25208361</v>
      </c>
      <c r="K187" s="2">
        <v>0</v>
      </c>
      <c r="L187" s="2">
        <v>0</v>
      </c>
      <c r="M187" s="177">
        <v>0</v>
      </c>
      <c r="N187" s="2"/>
    </row>
    <row r="188" spans="1:14">
      <c r="A188" t="s">
        <v>369</v>
      </c>
      <c r="B188" t="s">
        <v>370</v>
      </c>
      <c r="C188" s="2">
        <v>25500000</v>
      </c>
      <c r="D188" s="2">
        <v>29500000</v>
      </c>
      <c r="E188" s="2">
        <v>34000000</v>
      </c>
      <c r="F188" s="2">
        <v>39000000</v>
      </c>
      <c r="G188" s="2">
        <v>40900000</v>
      </c>
      <c r="H188" s="2">
        <v>42500000</v>
      </c>
      <c r="I188" s="2">
        <v>43800000</v>
      </c>
      <c r="J188" s="2">
        <v>45100000</v>
      </c>
      <c r="K188" s="2">
        <v>0</v>
      </c>
      <c r="L188" s="2">
        <v>0</v>
      </c>
      <c r="M188" s="177">
        <v>0</v>
      </c>
      <c r="N188" s="2"/>
    </row>
    <row r="189" spans="1:14">
      <c r="A189" t="s">
        <v>371</v>
      </c>
      <c r="B189" t="s">
        <v>372</v>
      </c>
      <c r="C189" s="2">
        <v>3695438</v>
      </c>
      <c r="D189" s="2">
        <v>3898688</v>
      </c>
      <c r="E189" s="2">
        <v>5745000</v>
      </c>
      <c r="F189" s="2">
        <v>5750000</v>
      </c>
      <c r="G189" s="2">
        <v>6350000</v>
      </c>
      <c r="H189" s="2">
        <v>7300000</v>
      </c>
      <c r="I189" s="2">
        <v>6273767</v>
      </c>
      <c r="J189" s="2">
        <v>6581917</v>
      </c>
      <c r="K189" s="2">
        <v>6905475</v>
      </c>
      <c r="L189" s="2">
        <v>7245211</v>
      </c>
      <c r="M189" s="177">
        <v>0</v>
      </c>
      <c r="N189" s="2"/>
    </row>
    <row r="190" spans="1:14">
      <c r="A190" t="s">
        <v>373</v>
      </c>
      <c r="B190" t="s">
        <v>374</v>
      </c>
      <c r="C190" s="2">
        <v>4750000</v>
      </c>
      <c r="D190" s="2">
        <v>5100000</v>
      </c>
      <c r="E190" s="2">
        <v>9250000</v>
      </c>
      <c r="F190" s="2">
        <v>9750000</v>
      </c>
      <c r="G190" s="2">
        <v>11200000</v>
      </c>
      <c r="H190" s="2">
        <v>12000000</v>
      </c>
      <c r="I190" s="2">
        <v>12800000</v>
      </c>
      <c r="J190" s="2">
        <v>13600000</v>
      </c>
      <c r="K190" s="2">
        <v>0</v>
      </c>
      <c r="L190" s="2">
        <v>0</v>
      </c>
      <c r="M190" s="177">
        <v>0</v>
      </c>
      <c r="N190" s="2"/>
    </row>
    <row r="191" spans="1:14">
      <c r="A191" t="s">
        <v>375</v>
      </c>
      <c r="B191" t="s">
        <v>376</v>
      </c>
      <c r="C191" s="2">
        <v>9600000</v>
      </c>
      <c r="D191" s="2">
        <v>9700000</v>
      </c>
      <c r="E191" s="2">
        <v>9800000</v>
      </c>
      <c r="F191" s="2">
        <v>9900000</v>
      </c>
      <c r="G191" s="2">
        <v>10593000</v>
      </c>
      <c r="H191" s="2">
        <v>11017000</v>
      </c>
      <c r="I191" s="2">
        <v>11458000</v>
      </c>
      <c r="J191" s="2">
        <v>12145000</v>
      </c>
      <c r="K191" s="2">
        <v>0</v>
      </c>
      <c r="L191" s="2">
        <v>0</v>
      </c>
      <c r="M191" s="177">
        <v>0</v>
      </c>
      <c r="N191" s="2"/>
    </row>
    <row r="192" spans="1:14">
      <c r="A192" t="s">
        <v>377</v>
      </c>
      <c r="B192" t="s">
        <v>378</v>
      </c>
      <c r="C192" s="2">
        <v>0</v>
      </c>
      <c r="D192" s="2">
        <v>0</v>
      </c>
      <c r="E192" s="2">
        <v>0</v>
      </c>
      <c r="F192" s="2">
        <v>0</v>
      </c>
      <c r="G192" s="2">
        <v>0</v>
      </c>
      <c r="H192" s="2">
        <v>0</v>
      </c>
      <c r="I192" s="2">
        <v>0</v>
      </c>
      <c r="J192" s="2">
        <v>0</v>
      </c>
      <c r="K192" s="2">
        <v>0</v>
      </c>
      <c r="L192" s="2">
        <v>0</v>
      </c>
      <c r="M192" s="177">
        <v>0</v>
      </c>
      <c r="N192" s="2"/>
    </row>
    <row r="193" spans="1:14">
      <c r="A193" t="s">
        <v>379</v>
      </c>
      <c r="B193" t="s">
        <v>380</v>
      </c>
      <c r="C193" s="2">
        <v>2225000</v>
      </c>
      <c r="D193" s="2">
        <v>2225000</v>
      </c>
      <c r="E193" s="2">
        <v>2225000</v>
      </c>
      <c r="F193" s="2">
        <v>2225000</v>
      </c>
      <c r="G193" s="2">
        <v>2350000</v>
      </c>
      <c r="H193" s="2">
        <v>2350000</v>
      </c>
      <c r="I193" s="2">
        <v>2600000</v>
      </c>
      <c r="J193" s="2">
        <v>2600000</v>
      </c>
      <c r="K193" s="2">
        <v>2750000</v>
      </c>
      <c r="L193" s="2">
        <v>2750000</v>
      </c>
      <c r="M193" s="177">
        <v>0</v>
      </c>
      <c r="N193" s="2"/>
    </row>
    <row r="194" spans="1:14">
      <c r="A194" t="s">
        <v>381</v>
      </c>
      <c r="B194" t="s">
        <v>382</v>
      </c>
      <c r="C194" s="2">
        <v>953708</v>
      </c>
      <c r="D194" s="2">
        <v>970875</v>
      </c>
      <c r="E194" s="2">
        <v>988350</v>
      </c>
      <c r="F194" s="2">
        <v>1006141</v>
      </c>
      <c r="G194" s="2">
        <v>1026264</v>
      </c>
      <c r="H194" s="2">
        <v>1046789</v>
      </c>
      <c r="I194" s="2">
        <v>1067725</v>
      </c>
      <c r="J194" s="2">
        <v>1089079</v>
      </c>
      <c r="K194" s="2">
        <v>0</v>
      </c>
      <c r="L194" s="2">
        <v>0</v>
      </c>
      <c r="M194" s="177">
        <v>0</v>
      </c>
      <c r="N194" s="2"/>
    </row>
    <row r="195" spans="1:14">
      <c r="A195" t="s">
        <v>383</v>
      </c>
      <c r="B195" t="s">
        <v>384</v>
      </c>
      <c r="C195" s="2">
        <v>2426500</v>
      </c>
      <c r="D195" s="2">
        <v>2559958</v>
      </c>
      <c r="E195" s="2">
        <v>2700755</v>
      </c>
      <c r="F195" s="2">
        <v>2849297</v>
      </c>
      <c r="G195" s="2">
        <v>2787082</v>
      </c>
      <c r="H195" s="2">
        <v>2984965</v>
      </c>
      <c r="I195" s="2">
        <v>3196897</v>
      </c>
      <c r="J195" s="2">
        <v>3423877</v>
      </c>
      <c r="K195" s="2">
        <v>0</v>
      </c>
      <c r="L195" s="2">
        <v>0</v>
      </c>
      <c r="M195" s="177">
        <v>0</v>
      </c>
      <c r="N195" s="2"/>
    </row>
    <row r="196" spans="1:14">
      <c r="A196" t="s">
        <v>385</v>
      </c>
      <c r="B196" t="s">
        <v>386</v>
      </c>
      <c r="C196" s="2">
        <v>1806509</v>
      </c>
      <c r="D196" s="2">
        <v>1500000</v>
      </c>
      <c r="E196" s="2">
        <v>1500000</v>
      </c>
      <c r="F196" s="2">
        <v>1500000</v>
      </c>
      <c r="G196" s="2">
        <v>1500000</v>
      </c>
      <c r="H196" s="2">
        <v>1500000</v>
      </c>
      <c r="I196" s="2">
        <v>1749709</v>
      </c>
      <c r="J196" s="2">
        <v>1838771</v>
      </c>
      <c r="K196" s="2">
        <v>0</v>
      </c>
      <c r="L196" s="2">
        <v>0</v>
      </c>
      <c r="M196" s="177">
        <v>0</v>
      </c>
      <c r="N196" s="2"/>
    </row>
    <row r="197" spans="1:14">
      <c r="A197" t="s">
        <v>387</v>
      </c>
      <c r="B197" t="s">
        <v>388</v>
      </c>
      <c r="C197" s="2">
        <v>9100000</v>
      </c>
      <c r="D197" s="2">
        <v>9200000</v>
      </c>
      <c r="E197" s="2">
        <v>10258000</v>
      </c>
      <c r="F197" s="2">
        <v>10566000</v>
      </c>
      <c r="G197" s="2">
        <v>10499868</v>
      </c>
      <c r="H197" s="2">
        <v>11286790</v>
      </c>
      <c r="I197" s="2">
        <v>12132731</v>
      </c>
      <c r="J197" s="2">
        <v>13042118</v>
      </c>
      <c r="K197" s="2">
        <v>0</v>
      </c>
      <c r="L197" s="2">
        <v>0</v>
      </c>
      <c r="M197" s="177">
        <v>0</v>
      </c>
      <c r="N197" s="2"/>
    </row>
    <row r="198" spans="1:14">
      <c r="A198" t="s">
        <v>389</v>
      </c>
      <c r="B198" t="s">
        <v>390</v>
      </c>
      <c r="C198" s="2">
        <v>12046115</v>
      </c>
      <c r="D198" s="2">
        <v>12564097</v>
      </c>
      <c r="E198" s="2">
        <v>13104354</v>
      </c>
      <c r="F198" s="2">
        <v>13667841</v>
      </c>
      <c r="G198" s="2">
        <v>11919069</v>
      </c>
      <c r="H198" s="2">
        <v>12515023</v>
      </c>
      <c r="I198" s="2">
        <v>13140774</v>
      </c>
      <c r="J198" s="2">
        <v>13797813</v>
      </c>
      <c r="K198" s="2">
        <v>0</v>
      </c>
      <c r="L198" s="2">
        <v>0</v>
      </c>
      <c r="M198" s="177">
        <v>0</v>
      </c>
      <c r="N198" s="2"/>
    </row>
    <row r="199" spans="1:14">
      <c r="A199" t="s">
        <v>391</v>
      </c>
      <c r="B199" t="s">
        <v>392</v>
      </c>
      <c r="C199" s="2">
        <v>7623438</v>
      </c>
      <c r="D199" s="2">
        <v>7852141</v>
      </c>
      <c r="E199" s="2">
        <v>8087705</v>
      </c>
      <c r="F199" s="2">
        <v>8330336</v>
      </c>
      <c r="G199" s="2">
        <v>7407024</v>
      </c>
      <c r="H199" s="2">
        <v>7629235</v>
      </c>
      <c r="I199" s="2">
        <v>7858112</v>
      </c>
      <c r="J199" s="2">
        <v>8093855</v>
      </c>
      <c r="K199" s="2">
        <v>0</v>
      </c>
      <c r="L199" s="2">
        <v>0</v>
      </c>
      <c r="M199" s="177">
        <v>0</v>
      </c>
      <c r="N199" s="2"/>
    </row>
    <row r="200" spans="1:14">
      <c r="A200" t="s">
        <v>393</v>
      </c>
      <c r="B200" t="s">
        <v>394</v>
      </c>
      <c r="C200" s="2">
        <v>1250000</v>
      </c>
      <c r="D200" s="2">
        <v>874605</v>
      </c>
      <c r="E200" s="2">
        <v>874605</v>
      </c>
      <c r="F200" s="2">
        <v>964783</v>
      </c>
      <c r="G200" s="2">
        <v>993717</v>
      </c>
      <c r="H200" s="2">
        <v>1023519</v>
      </c>
      <c r="I200" s="2">
        <v>1054215</v>
      </c>
      <c r="J200" s="2">
        <v>0</v>
      </c>
      <c r="K200" s="2">
        <v>0</v>
      </c>
      <c r="L200" s="2">
        <v>0</v>
      </c>
      <c r="M200" s="177">
        <v>0</v>
      </c>
      <c r="N200" s="2"/>
    </row>
    <row r="201" spans="1:14">
      <c r="A201" t="s">
        <v>395</v>
      </c>
      <c r="B201" t="s">
        <v>396</v>
      </c>
      <c r="C201" s="2">
        <v>877000</v>
      </c>
      <c r="D201" s="2">
        <v>965000</v>
      </c>
      <c r="E201" s="2">
        <v>1075000</v>
      </c>
      <c r="F201" s="2">
        <v>1164000</v>
      </c>
      <c r="G201" s="2">
        <v>1198920</v>
      </c>
      <c r="H201" s="2">
        <v>1234888</v>
      </c>
      <c r="I201" s="2">
        <v>1271934</v>
      </c>
      <c r="J201" s="2">
        <v>1310092</v>
      </c>
      <c r="K201" s="2">
        <v>0</v>
      </c>
      <c r="L201" s="2">
        <v>0</v>
      </c>
      <c r="M201" s="177">
        <v>0</v>
      </c>
      <c r="N201" s="2"/>
    </row>
    <row r="202" spans="1:14">
      <c r="A202" t="s">
        <v>397</v>
      </c>
      <c r="B202" t="s">
        <v>398</v>
      </c>
      <c r="C202" s="2">
        <v>15417716</v>
      </c>
      <c r="D202" s="2">
        <v>11316941</v>
      </c>
      <c r="E202" s="2">
        <v>11882329</v>
      </c>
      <c r="F202" s="2">
        <v>13593622</v>
      </c>
      <c r="G202" s="2">
        <v>14953028</v>
      </c>
      <c r="H202" s="2">
        <v>16448331</v>
      </c>
      <c r="I202" s="2">
        <v>19601250</v>
      </c>
      <c r="J202" s="2">
        <v>21953400</v>
      </c>
      <c r="K202" s="2">
        <v>24587800</v>
      </c>
      <c r="L202" s="2">
        <v>27538350</v>
      </c>
      <c r="M202" s="177">
        <v>0</v>
      </c>
      <c r="N202" s="2"/>
    </row>
    <row r="203" spans="1:14">
      <c r="A203" t="s">
        <v>399</v>
      </c>
      <c r="B203" t="s">
        <v>400</v>
      </c>
      <c r="C203" s="2">
        <v>175000</v>
      </c>
      <c r="D203" s="2">
        <v>175000</v>
      </c>
      <c r="E203" s="2">
        <v>229400</v>
      </c>
      <c r="F203" s="2">
        <v>229400</v>
      </c>
      <c r="G203" s="2">
        <v>229400</v>
      </c>
      <c r="H203" s="2">
        <v>250000</v>
      </c>
      <c r="I203" s="2">
        <v>265000</v>
      </c>
      <c r="J203" s="2">
        <v>280000</v>
      </c>
      <c r="K203" s="2">
        <v>0</v>
      </c>
      <c r="L203" s="2">
        <v>0</v>
      </c>
      <c r="M203" s="177">
        <v>0</v>
      </c>
      <c r="N203" s="2"/>
    </row>
    <row r="204" spans="1:14">
      <c r="A204" t="s">
        <v>401</v>
      </c>
      <c r="B204" t="s">
        <v>402</v>
      </c>
      <c r="C204" s="2">
        <v>155000</v>
      </c>
      <c r="D204" s="2">
        <v>155000</v>
      </c>
      <c r="E204" s="2">
        <v>155000</v>
      </c>
      <c r="F204" s="2">
        <v>155000</v>
      </c>
      <c r="G204" s="2">
        <v>155000</v>
      </c>
      <c r="H204" s="2">
        <v>155000</v>
      </c>
      <c r="I204" s="2">
        <v>155000</v>
      </c>
      <c r="J204" s="2">
        <v>0</v>
      </c>
      <c r="K204" s="2">
        <v>0</v>
      </c>
      <c r="L204" s="2">
        <v>0</v>
      </c>
      <c r="M204" s="177">
        <v>0</v>
      </c>
      <c r="N204" s="2"/>
    </row>
    <row r="205" spans="1:14">
      <c r="A205" t="s">
        <v>403</v>
      </c>
      <c r="B205" t="s">
        <v>404</v>
      </c>
      <c r="C205" s="2">
        <v>0</v>
      </c>
      <c r="D205" s="2">
        <v>0</v>
      </c>
      <c r="E205" s="2">
        <v>0</v>
      </c>
      <c r="F205" s="2">
        <v>0</v>
      </c>
      <c r="G205" s="2">
        <v>0</v>
      </c>
      <c r="H205" s="2">
        <v>0</v>
      </c>
      <c r="I205" s="2">
        <v>0</v>
      </c>
      <c r="J205" s="2">
        <v>0</v>
      </c>
      <c r="K205" s="2">
        <v>0</v>
      </c>
      <c r="L205" s="2">
        <v>0</v>
      </c>
      <c r="M205" s="177">
        <v>0</v>
      </c>
      <c r="N205" s="2"/>
    </row>
    <row r="206" spans="1:14">
      <c r="A206" t="s">
        <v>405</v>
      </c>
      <c r="B206" t="s">
        <v>406</v>
      </c>
      <c r="C206" s="2">
        <v>2000000</v>
      </c>
      <c r="D206" s="2">
        <v>2000000</v>
      </c>
      <c r="E206" s="2">
        <v>2100000</v>
      </c>
      <c r="F206" s="2">
        <v>2210000</v>
      </c>
      <c r="G206" s="2">
        <v>2300000</v>
      </c>
      <c r="H206" s="2">
        <v>2410000</v>
      </c>
      <c r="I206" s="2">
        <v>2530000</v>
      </c>
      <c r="J206" s="2">
        <v>2660000</v>
      </c>
      <c r="K206" s="2">
        <v>0</v>
      </c>
      <c r="L206" s="2">
        <v>0</v>
      </c>
      <c r="M206" s="177">
        <v>0</v>
      </c>
      <c r="N206" s="2"/>
    </row>
    <row r="207" spans="1:14">
      <c r="A207" t="s">
        <v>407</v>
      </c>
      <c r="B207" t="s">
        <v>408</v>
      </c>
      <c r="C207" s="2">
        <v>44220000</v>
      </c>
      <c r="D207" s="2">
        <v>45320000</v>
      </c>
      <c r="E207" s="2">
        <v>48880000</v>
      </c>
      <c r="F207" s="2">
        <v>53250000</v>
      </c>
      <c r="G207" s="2">
        <v>65500000</v>
      </c>
      <c r="H207" s="2">
        <v>67000000</v>
      </c>
      <c r="I207" s="2">
        <v>69000000</v>
      </c>
      <c r="J207" s="2">
        <v>71000000</v>
      </c>
      <c r="K207" s="2">
        <v>0</v>
      </c>
      <c r="L207" s="2">
        <v>0</v>
      </c>
      <c r="M207" s="177">
        <v>0</v>
      </c>
      <c r="N207" s="2"/>
    </row>
    <row r="208" spans="1:14">
      <c r="A208" t="s">
        <v>409</v>
      </c>
      <c r="B208" t="s">
        <v>410</v>
      </c>
      <c r="C208" s="2">
        <v>9548300</v>
      </c>
      <c r="D208" s="2">
        <v>10980500</v>
      </c>
      <c r="E208" s="2">
        <v>12627600</v>
      </c>
      <c r="F208" s="2">
        <v>14521800</v>
      </c>
      <c r="G208" s="2">
        <v>18150000</v>
      </c>
      <c r="H208" s="2">
        <v>19800000</v>
      </c>
      <c r="I208" s="2">
        <v>21550000</v>
      </c>
      <c r="J208" s="2">
        <v>23600000</v>
      </c>
      <c r="K208" s="2">
        <v>0</v>
      </c>
      <c r="L208" s="2">
        <v>0</v>
      </c>
      <c r="M208" s="177">
        <v>0</v>
      </c>
      <c r="N208" s="2"/>
    </row>
    <row r="209" spans="1:14">
      <c r="A209" t="s">
        <v>411</v>
      </c>
      <c r="B209" t="s">
        <v>412</v>
      </c>
      <c r="C209" s="2">
        <v>31636355</v>
      </c>
      <c r="D209" s="2">
        <v>36381808</v>
      </c>
      <c r="E209" s="2">
        <v>41839079</v>
      </c>
      <c r="F209" s="2">
        <v>48144941</v>
      </c>
      <c r="G209" s="2">
        <v>43425750</v>
      </c>
      <c r="H209" s="2">
        <v>45179064</v>
      </c>
      <c r="I209" s="2">
        <v>47003169</v>
      </c>
      <c r="J209" s="2">
        <v>48900922</v>
      </c>
      <c r="K209" s="2">
        <v>0</v>
      </c>
      <c r="L209" s="2">
        <v>0</v>
      </c>
      <c r="M209" s="177">
        <v>0</v>
      </c>
      <c r="N209" s="2"/>
    </row>
    <row r="210" spans="1:14">
      <c r="A210" t="s">
        <v>413</v>
      </c>
      <c r="B210" t="s">
        <v>414</v>
      </c>
      <c r="C210" s="2">
        <v>49000000</v>
      </c>
      <c r="D210" s="2">
        <v>57000000</v>
      </c>
      <c r="E210" s="2">
        <v>66500000</v>
      </c>
      <c r="F210" s="2">
        <v>78500000</v>
      </c>
      <c r="G210" s="2">
        <v>63500000</v>
      </c>
      <c r="H210" s="2">
        <v>67100000</v>
      </c>
      <c r="I210" s="2">
        <v>70800000</v>
      </c>
      <c r="J210" s="2">
        <v>74800000</v>
      </c>
      <c r="K210" s="2">
        <v>0</v>
      </c>
      <c r="L210" s="2">
        <v>0</v>
      </c>
      <c r="M210" s="177">
        <v>0</v>
      </c>
      <c r="N210" s="2"/>
    </row>
    <row r="211" spans="1:14">
      <c r="A211" t="s">
        <v>415</v>
      </c>
      <c r="B211" t="s">
        <v>416</v>
      </c>
      <c r="C211" s="2">
        <v>14541698</v>
      </c>
      <c r="D211" s="2">
        <v>15123366</v>
      </c>
      <c r="E211" s="2">
        <v>8950000</v>
      </c>
      <c r="F211" s="2">
        <v>9200000</v>
      </c>
      <c r="G211" s="2">
        <v>9500000</v>
      </c>
      <c r="H211" s="2">
        <v>9750000</v>
      </c>
      <c r="I211" s="2">
        <v>13460000</v>
      </c>
      <c r="J211" s="2">
        <v>13796000</v>
      </c>
      <c r="K211" s="2">
        <v>14141000</v>
      </c>
      <c r="L211" s="2">
        <v>14500000</v>
      </c>
      <c r="M211" s="177">
        <v>0</v>
      </c>
      <c r="N211" s="2"/>
    </row>
    <row r="212" spans="1:14">
      <c r="A212" t="s">
        <v>417</v>
      </c>
      <c r="B212" t="s">
        <v>418</v>
      </c>
      <c r="C212" s="2">
        <v>26500000</v>
      </c>
      <c r="D212" s="2">
        <v>26500000</v>
      </c>
      <c r="E212" s="2">
        <v>26500000</v>
      </c>
      <c r="F212" s="2">
        <v>26500000</v>
      </c>
      <c r="G212" s="2">
        <v>0</v>
      </c>
      <c r="H212" s="2">
        <v>25000000</v>
      </c>
      <c r="I212" s="2">
        <v>26250000</v>
      </c>
      <c r="J212" s="2">
        <v>27562500</v>
      </c>
      <c r="K212" s="2">
        <v>28940625</v>
      </c>
      <c r="L212" s="2">
        <v>0</v>
      </c>
      <c r="M212" s="177">
        <v>0</v>
      </c>
      <c r="N212" s="2"/>
    </row>
    <row r="213" spans="1:14">
      <c r="A213" t="s">
        <v>419</v>
      </c>
      <c r="B213" t="s">
        <v>420</v>
      </c>
      <c r="C213" s="2">
        <v>196000</v>
      </c>
      <c r="D213" s="2">
        <v>160000</v>
      </c>
      <c r="E213" s="2">
        <v>168000</v>
      </c>
      <c r="F213" s="2">
        <v>177000</v>
      </c>
      <c r="G213" s="2">
        <v>88000</v>
      </c>
      <c r="H213" s="2">
        <v>99000</v>
      </c>
      <c r="I213" s="2">
        <v>103000</v>
      </c>
      <c r="J213" s="2">
        <v>106000</v>
      </c>
      <c r="K213" s="2">
        <v>0</v>
      </c>
      <c r="L213" s="2">
        <v>0</v>
      </c>
      <c r="M213" s="177">
        <v>0</v>
      </c>
      <c r="N213" s="2"/>
    </row>
    <row r="214" spans="1:14">
      <c r="A214" t="s">
        <v>421</v>
      </c>
      <c r="B214" t="s">
        <v>422</v>
      </c>
      <c r="C214" s="2">
        <v>10350062</v>
      </c>
      <c r="D214" s="2">
        <v>11902571</v>
      </c>
      <c r="E214" s="2">
        <v>13687957</v>
      </c>
      <c r="F214" s="2">
        <v>15741150</v>
      </c>
      <c r="G214" s="2">
        <v>15890376</v>
      </c>
      <c r="H214" s="2">
        <v>16767086</v>
      </c>
      <c r="I214" s="2">
        <v>17672509</v>
      </c>
      <c r="J214" s="2">
        <v>18607442</v>
      </c>
      <c r="K214" s="2">
        <v>0</v>
      </c>
      <c r="L214" s="2">
        <v>0</v>
      </c>
      <c r="M214" s="177">
        <v>0</v>
      </c>
      <c r="N214" s="2"/>
    </row>
    <row r="215" spans="1:14">
      <c r="A215" t="s">
        <v>423</v>
      </c>
      <c r="B215" t="s">
        <v>424</v>
      </c>
      <c r="C215" s="2">
        <v>15085000</v>
      </c>
      <c r="D215" s="2">
        <v>17350000</v>
      </c>
      <c r="E215" s="2">
        <v>19950000</v>
      </c>
      <c r="F215" s="2">
        <v>22945000</v>
      </c>
      <c r="G215" s="2">
        <v>24545000</v>
      </c>
      <c r="H215" s="2">
        <v>26999000</v>
      </c>
      <c r="I215" s="2">
        <v>29698000</v>
      </c>
      <c r="J215" s="2">
        <v>32668000</v>
      </c>
      <c r="K215" s="2">
        <v>0</v>
      </c>
      <c r="L215" s="2">
        <v>0</v>
      </c>
      <c r="M215" s="177">
        <v>0</v>
      </c>
      <c r="N215" s="2"/>
    </row>
    <row r="216" spans="1:14">
      <c r="A216" t="s">
        <v>425</v>
      </c>
      <c r="B216" t="s">
        <v>426</v>
      </c>
      <c r="C216" s="2">
        <v>6725902</v>
      </c>
      <c r="D216" s="2">
        <v>6894049</v>
      </c>
      <c r="E216" s="2">
        <v>0</v>
      </c>
      <c r="F216" s="2">
        <v>6081871</v>
      </c>
      <c r="G216" s="2">
        <v>6446783</v>
      </c>
      <c r="H216" s="2">
        <v>6833590</v>
      </c>
      <c r="I216" s="2">
        <v>7539000</v>
      </c>
      <c r="J216" s="2">
        <v>7765170</v>
      </c>
      <c r="K216" s="2">
        <v>7998125</v>
      </c>
      <c r="L216" s="2">
        <v>8238069</v>
      </c>
      <c r="M216" s="177">
        <v>0</v>
      </c>
      <c r="N216" s="2"/>
    </row>
    <row r="217" spans="1:14">
      <c r="A217" t="s">
        <v>427</v>
      </c>
      <c r="B217" t="s">
        <v>428</v>
      </c>
      <c r="C217" s="2">
        <v>2372865</v>
      </c>
      <c r="D217" s="2">
        <v>2705066</v>
      </c>
      <c r="E217" s="2">
        <v>3083775</v>
      </c>
      <c r="F217" s="2">
        <v>3515504</v>
      </c>
      <c r="G217" s="2">
        <v>3912643</v>
      </c>
      <c r="H217" s="2">
        <v>4382161</v>
      </c>
      <c r="I217" s="2">
        <v>4820377</v>
      </c>
      <c r="J217" s="2">
        <v>5206007</v>
      </c>
      <c r="K217" s="2">
        <v>0</v>
      </c>
      <c r="L217" s="2">
        <v>0</v>
      </c>
      <c r="M217" s="177">
        <v>0</v>
      </c>
      <c r="N217" s="2"/>
    </row>
    <row r="218" spans="1:14">
      <c r="A218" t="s">
        <v>429</v>
      </c>
      <c r="B218" t="s">
        <v>430</v>
      </c>
      <c r="C218" s="2">
        <v>520596</v>
      </c>
      <c r="D218" s="2">
        <v>520596</v>
      </c>
      <c r="E218" s="2">
        <v>520596</v>
      </c>
      <c r="F218" s="2">
        <v>520596</v>
      </c>
      <c r="G218" s="2">
        <v>950000</v>
      </c>
      <c r="H218" s="2">
        <v>950000</v>
      </c>
      <c r="I218" s="2">
        <v>950000</v>
      </c>
      <c r="J218" s="2">
        <v>950000</v>
      </c>
      <c r="K218" s="2">
        <v>0</v>
      </c>
      <c r="L218" s="2">
        <v>0</v>
      </c>
      <c r="M218" s="177">
        <v>0</v>
      </c>
      <c r="N218" s="2"/>
    </row>
    <row r="219" spans="1:14">
      <c r="A219" t="s">
        <v>431</v>
      </c>
      <c r="B219" t="s">
        <v>432</v>
      </c>
      <c r="C219" s="2">
        <v>4449366</v>
      </c>
      <c r="D219" s="2">
        <v>4449366</v>
      </c>
      <c r="E219" s="2">
        <v>4449366</v>
      </c>
      <c r="F219" s="2">
        <v>4449366</v>
      </c>
      <c r="G219" s="2">
        <v>5000000</v>
      </c>
      <c r="H219" s="2">
        <v>5000000</v>
      </c>
      <c r="I219" s="2">
        <v>5000000</v>
      </c>
      <c r="J219" s="2">
        <v>5000000</v>
      </c>
      <c r="K219" s="2">
        <v>0</v>
      </c>
      <c r="L219" s="2">
        <v>0</v>
      </c>
      <c r="M219" s="177">
        <v>0</v>
      </c>
      <c r="N219" s="2"/>
    </row>
    <row r="220" spans="1:14">
      <c r="A220" t="s">
        <v>433</v>
      </c>
      <c r="B220" t="s">
        <v>434</v>
      </c>
      <c r="C220" s="2">
        <v>13049199</v>
      </c>
      <c r="D220" s="2">
        <v>13484964</v>
      </c>
      <c r="E220" s="2">
        <v>13163041</v>
      </c>
      <c r="F220" s="2">
        <v>13952824</v>
      </c>
      <c r="G220" s="2">
        <v>14650465</v>
      </c>
      <c r="H220" s="2">
        <v>15236482</v>
      </c>
      <c r="I220" s="2">
        <v>16150671</v>
      </c>
      <c r="J220" s="2">
        <v>16958204</v>
      </c>
      <c r="K220" s="2">
        <v>17806115</v>
      </c>
      <c r="L220" s="2">
        <v>18696420</v>
      </c>
      <c r="M220" s="177">
        <v>0</v>
      </c>
      <c r="N220" s="2"/>
    </row>
    <row r="221" spans="1:14">
      <c r="A221" t="s">
        <v>435</v>
      </c>
      <c r="B221" t="s">
        <v>436</v>
      </c>
      <c r="C221" s="2">
        <v>32000000</v>
      </c>
      <c r="D221" s="2">
        <v>35000000</v>
      </c>
      <c r="E221" s="2">
        <v>38000000</v>
      </c>
      <c r="F221" s="2">
        <v>65700000</v>
      </c>
      <c r="G221" s="2">
        <v>73800000</v>
      </c>
      <c r="H221" s="2">
        <v>82100000</v>
      </c>
      <c r="I221" s="2">
        <v>95000000</v>
      </c>
      <c r="J221" s="2">
        <v>99000000</v>
      </c>
      <c r="K221" s="2">
        <v>103000000</v>
      </c>
      <c r="L221" s="2">
        <v>0</v>
      </c>
      <c r="M221" s="177">
        <v>0</v>
      </c>
      <c r="N221" s="2"/>
    </row>
    <row r="222" spans="1:14">
      <c r="A222" t="s">
        <v>437</v>
      </c>
      <c r="B222" t="s">
        <v>438</v>
      </c>
      <c r="C222" s="2">
        <v>115000</v>
      </c>
      <c r="D222" s="2">
        <v>125000</v>
      </c>
      <c r="E222" s="2">
        <v>125000</v>
      </c>
      <c r="F222" s="2">
        <v>160000</v>
      </c>
      <c r="G222" s="2">
        <v>165000</v>
      </c>
      <c r="H222" s="2">
        <v>225000</v>
      </c>
      <c r="I222" s="2">
        <v>225000</v>
      </c>
      <c r="J222" s="2">
        <v>0</v>
      </c>
      <c r="K222" s="2">
        <v>0</v>
      </c>
      <c r="L222" s="2">
        <v>0</v>
      </c>
      <c r="M222" s="177">
        <v>0</v>
      </c>
      <c r="N222" s="2"/>
    </row>
    <row r="223" spans="1:14">
      <c r="A223" t="s">
        <v>439</v>
      </c>
      <c r="B223" t="s">
        <v>440</v>
      </c>
      <c r="C223" s="2">
        <v>185000</v>
      </c>
      <c r="D223" s="2">
        <v>200000</v>
      </c>
      <c r="E223" s="2">
        <v>215000</v>
      </c>
      <c r="F223" s="2">
        <v>242508</v>
      </c>
      <c r="G223" s="2">
        <v>253619</v>
      </c>
      <c r="H223" s="2">
        <v>266424</v>
      </c>
      <c r="I223" s="2">
        <v>275000</v>
      </c>
      <c r="J223" s="2">
        <v>280000</v>
      </c>
      <c r="K223" s="2">
        <v>285000</v>
      </c>
      <c r="L223" s="2">
        <v>0</v>
      </c>
      <c r="M223" s="177">
        <v>0</v>
      </c>
      <c r="N223" s="2"/>
    </row>
    <row r="224" spans="1:14">
      <c r="A224" t="s">
        <v>441</v>
      </c>
      <c r="B224" t="s">
        <v>442</v>
      </c>
      <c r="C224" s="2">
        <v>1785000</v>
      </c>
      <c r="D224" s="2">
        <v>1995000</v>
      </c>
      <c r="E224" s="2">
        <v>2240000</v>
      </c>
      <c r="F224" s="2">
        <v>3375550</v>
      </c>
      <c r="G224" s="2">
        <v>3611575</v>
      </c>
      <c r="H224" s="2">
        <v>3864120</v>
      </c>
      <c r="I224" s="2">
        <v>4308998</v>
      </c>
      <c r="J224" s="2">
        <v>4524298</v>
      </c>
      <c r="K224" s="2">
        <v>4750363</v>
      </c>
      <c r="L224" s="2">
        <v>0</v>
      </c>
      <c r="M224" s="177">
        <v>0</v>
      </c>
      <c r="N224" s="2"/>
    </row>
    <row r="225" spans="1:14">
      <c r="A225" t="s">
        <v>443</v>
      </c>
      <c r="B225" t="s">
        <v>444</v>
      </c>
      <c r="C225" s="2">
        <v>976836</v>
      </c>
      <c r="D225" s="2">
        <v>1035446</v>
      </c>
      <c r="E225" s="2">
        <v>1097573</v>
      </c>
      <c r="F225" s="2">
        <v>1385117</v>
      </c>
      <c r="G225" s="2">
        <v>1523629</v>
      </c>
      <c r="H225" s="2">
        <v>1675992</v>
      </c>
      <c r="I225" s="2">
        <v>1983826</v>
      </c>
      <c r="J225" s="2">
        <v>2132613</v>
      </c>
      <c r="K225" s="2">
        <v>2292559</v>
      </c>
      <c r="L225" s="2">
        <v>0</v>
      </c>
      <c r="M225" s="177">
        <v>0</v>
      </c>
      <c r="N225" s="2"/>
    </row>
    <row r="226" spans="1:14">
      <c r="A226" t="s">
        <v>445</v>
      </c>
      <c r="B226" t="s">
        <v>446</v>
      </c>
      <c r="C226" s="2">
        <v>9500000</v>
      </c>
      <c r="D226" s="2">
        <v>9900000</v>
      </c>
      <c r="E226" s="2">
        <v>10500000</v>
      </c>
      <c r="F226" s="2">
        <v>16450000</v>
      </c>
      <c r="G226" s="2">
        <v>17750000</v>
      </c>
      <c r="H226" s="2">
        <v>19000000</v>
      </c>
      <c r="I226" s="2">
        <v>29340000</v>
      </c>
      <c r="J226" s="2">
        <v>30510000</v>
      </c>
      <c r="K226" s="2">
        <v>31730000</v>
      </c>
      <c r="L226" s="2">
        <v>0</v>
      </c>
      <c r="M226" s="177">
        <v>0</v>
      </c>
      <c r="N226" s="2"/>
    </row>
    <row r="227" spans="1:14">
      <c r="A227" t="s">
        <v>447</v>
      </c>
      <c r="B227" t="s">
        <v>448</v>
      </c>
      <c r="C227" s="2">
        <v>13646750</v>
      </c>
      <c r="D227" s="2">
        <v>14738500</v>
      </c>
      <c r="E227" s="2">
        <v>27665500</v>
      </c>
      <c r="F227" s="2">
        <v>29211000</v>
      </c>
      <c r="G227" s="2">
        <v>31110000</v>
      </c>
      <c r="H227" s="2">
        <v>33132000</v>
      </c>
      <c r="I227" s="2">
        <v>43893000</v>
      </c>
      <c r="J227" s="2">
        <v>45648000</v>
      </c>
      <c r="K227" s="2">
        <v>47500000</v>
      </c>
      <c r="L227" s="2">
        <v>0</v>
      </c>
      <c r="M227" s="177">
        <v>0</v>
      </c>
      <c r="N227" s="2"/>
    </row>
    <row r="228" spans="1:14">
      <c r="A228" t="s">
        <v>449</v>
      </c>
      <c r="B228" t="s">
        <v>450</v>
      </c>
      <c r="C228" s="2">
        <v>997304</v>
      </c>
      <c r="D228" s="2">
        <v>1097035</v>
      </c>
      <c r="E228" s="2">
        <v>1206738</v>
      </c>
      <c r="F228" s="2">
        <v>1318023</v>
      </c>
      <c r="G228" s="2">
        <v>1449825</v>
      </c>
      <c r="H228" s="2">
        <v>1594808</v>
      </c>
      <c r="I228" s="2">
        <v>1924698</v>
      </c>
      <c r="J228" s="2">
        <v>2020770</v>
      </c>
      <c r="K228" s="2">
        <v>2121644</v>
      </c>
      <c r="L228" s="2">
        <v>0</v>
      </c>
      <c r="M228" s="177">
        <v>0</v>
      </c>
      <c r="N228" s="2"/>
    </row>
    <row r="229" spans="1:14">
      <c r="A229" t="s">
        <v>451</v>
      </c>
      <c r="B229" t="s">
        <v>452</v>
      </c>
      <c r="C229" s="2">
        <v>5800000</v>
      </c>
      <c r="D229" s="2">
        <v>6400000</v>
      </c>
      <c r="E229" s="2">
        <v>7000000</v>
      </c>
      <c r="F229" s="2">
        <v>8700000</v>
      </c>
      <c r="G229" s="2">
        <v>9300000</v>
      </c>
      <c r="H229" s="2">
        <v>9900000</v>
      </c>
      <c r="I229" s="2">
        <v>16125000</v>
      </c>
      <c r="J229" s="2">
        <v>17100000</v>
      </c>
      <c r="K229" s="2">
        <v>17950000</v>
      </c>
      <c r="L229" s="2">
        <v>0</v>
      </c>
      <c r="M229" s="177">
        <v>0</v>
      </c>
      <c r="N229" s="2"/>
    </row>
    <row r="230" spans="1:14">
      <c r="A230" t="s">
        <v>453</v>
      </c>
      <c r="B230" t="s">
        <v>454</v>
      </c>
      <c r="C230" s="2">
        <v>13000000</v>
      </c>
      <c r="D230" s="2">
        <v>13400000</v>
      </c>
      <c r="E230" s="2">
        <v>9945273</v>
      </c>
      <c r="F230" s="2">
        <v>10939800</v>
      </c>
      <c r="G230" s="2">
        <v>12033780</v>
      </c>
      <c r="H230" s="2">
        <v>13237159</v>
      </c>
      <c r="I230" s="2">
        <v>13600000</v>
      </c>
      <c r="J230" s="2">
        <v>13900000</v>
      </c>
      <c r="K230" s="2">
        <v>14500000</v>
      </c>
      <c r="L230" s="2">
        <v>14900000</v>
      </c>
      <c r="M230" s="177">
        <v>0</v>
      </c>
      <c r="N230" s="2"/>
    </row>
    <row r="231" spans="1:14">
      <c r="A231" t="s">
        <v>455</v>
      </c>
      <c r="B231" t="s">
        <v>456</v>
      </c>
      <c r="C231" s="2">
        <v>1068175</v>
      </c>
      <c r="D231" s="2">
        <v>1281811</v>
      </c>
      <c r="E231" s="2">
        <v>1538173</v>
      </c>
      <c r="F231" s="2">
        <v>1484202</v>
      </c>
      <c r="G231" s="2">
        <v>1564881</v>
      </c>
      <c r="H231" s="2">
        <v>1647984</v>
      </c>
      <c r="I231" s="2">
        <v>1751942</v>
      </c>
      <c r="J231" s="2">
        <v>1852678</v>
      </c>
      <c r="K231" s="2">
        <v>1952723</v>
      </c>
      <c r="L231" s="2">
        <v>0</v>
      </c>
      <c r="M231" s="177">
        <v>0</v>
      </c>
      <c r="N231" s="2"/>
    </row>
    <row r="232" spans="1:14">
      <c r="A232" t="s">
        <v>457</v>
      </c>
      <c r="B232" t="s">
        <v>458</v>
      </c>
      <c r="C232" s="2">
        <v>3446815</v>
      </c>
      <c r="D232" s="2">
        <v>6319162</v>
      </c>
      <c r="E232" s="2">
        <v>6951077</v>
      </c>
      <c r="F232" s="2">
        <v>7574504</v>
      </c>
      <c r="G232" s="2">
        <v>8142592</v>
      </c>
      <c r="H232" s="2">
        <v>8753286</v>
      </c>
      <c r="I232" s="2">
        <v>9823477</v>
      </c>
      <c r="J232" s="2">
        <v>10314651</v>
      </c>
      <c r="K232" s="2">
        <v>10830384</v>
      </c>
      <c r="L232" s="2">
        <v>0</v>
      </c>
      <c r="M232" s="177">
        <v>0</v>
      </c>
      <c r="N232" s="2"/>
    </row>
    <row r="233" spans="1:14">
      <c r="A233" t="s">
        <v>459</v>
      </c>
      <c r="B233" t="s">
        <v>460</v>
      </c>
      <c r="C233" s="2">
        <v>2000000</v>
      </c>
      <c r="D233" s="2">
        <v>2000000</v>
      </c>
      <c r="E233" s="2">
        <v>2000000</v>
      </c>
      <c r="F233" s="2">
        <v>2550000</v>
      </c>
      <c r="G233" s="2">
        <v>2550000</v>
      </c>
      <c r="H233" s="2">
        <v>2550000</v>
      </c>
      <c r="I233" s="2">
        <v>3517590</v>
      </c>
      <c r="J233" s="2">
        <v>3737439</v>
      </c>
      <c r="K233" s="2">
        <v>3924311</v>
      </c>
      <c r="L233" s="2">
        <v>0</v>
      </c>
      <c r="M233" s="177">
        <v>0</v>
      </c>
      <c r="N233" s="2"/>
    </row>
    <row r="234" spans="1:14">
      <c r="A234" t="s">
        <v>461</v>
      </c>
      <c r="B234" t="s">
        <v>462</v>
      </c>
      <c r="C234" s="2">
        <v>1664500</v>
      </c>
      <c r="D234" s="2">
        <v>1864200</v>
      </c>
      <c r="E234" s="2">
        <v>2087900</v>
      </c>
      <c r="F234" s="2">
        <v>2196049</v>
      </c>
      <c r="G234" s="2">
        <v>2415654</v>
      </c>
      <c r="H234" s="2">
        <v>2657220</v>
      </c>
      <c r="I234" s="2">
        <v>3357835</v>
      </c>
      <c r="J234" s="2">
        <v>3609673</v>
      </c>
      <c r="K234" s="2">
        <v>3880399</v>
      </c>
      <c r="L234" s="2">
        <v>0</v>
      </c>
      <c r="M234" s="177">
        <v>0</v>
      </c>
      <c r="N234" s="2"/>
    </row>
    <row r="235" spans="1:14">
      <c r="A235" t="s">
        <v>463</v>
      </c>
      <c r="B235" t="s">
        <v>464</v>
      </c>
      <c r="C235" s="2">
        <v>45000</v>
      </c>
      <c r="D235" s="2">
        <v>45000</v>
      </c>
      <c r="E235" s="2">
        <v>74255</v>
      </c>
      <c r="F235" s="2">
        <v>76060</v>
      </c>
      <c r="G235" s="2">
        <v>77909</v>
      </c>
      <c r="H235" s="2">
        <v>79802</v>
      </c>
      <c r="I235" s="2">
        <v>98500</v>
      </c>
      <c r="J235" s="2">
        <v>98500</v>
      </c>
      <c r="K235" s="2">
        <v>98500</v>
      </c>
      <c r="L235" s="2">
        <v>98500</v>
      </c>
      <c r="M235" s="177">
        <v>0</v>
      </c>
      <c r="N235" s="2"/>
    </row>
    <row r="236" spans="1:14">
      <c r="A236" t="s">
        <v>465</v>
      </c>
      <c r="B236" t="s">
        <v>466</v>
      </c>
      <c r="C236" s="2">
        <v>1000000</v>
      </c>
      <c r="D236" s="2">
        <v>1000000</v>
      </c>
      <c r="E236" s="2">
        <v>1000000</v>
      </c>
      <c r="F236" s="2">
        <v>1000000</v>
      </c>
      <c r="G236" s="2">
        <v>1000000</v>
      </c>
      <c r="H236" s="2">
        <v>1000000</v>
      </c>
      <c r="I236" s="2">
        <v>1345000</v>
      </c>
      <c r="J236" s="2">
        <v>1410000</v>
      </c>
      <c r="K236" s="2">
        <v>1465000</v>
      </c>
      <c r="L236" s="2">
        <v>1525000</v>
      </c>
      <c r="M236" s="177">
        <v>0</v>
      </c>
      <c r="N236" s="2"/>
    </row>
    <row r="237" spans="1:14">
      <c r="A237" t="s">
        <v>467</v>
      </c>
      <c r="B237" t="s">
        <v>468</v>
      </c>
      <c r="C237" s="2">
        <v>50000</v>
      </c>
      <c r="D237" s="2">
        <v>50000</v>
      </c>
      <c r="E237" s="2">
        <v>50000</v>
      </c>
      <c r="F237" s="2">
        <v>50000</v>
      </c>
      <c r="G237" s="2">
        <v>75000</v>
      </c>
      <c r="H237" s="2">
        <v>75000</v>
      </c>
      <c r="I237" s="2">
        <v>75000</v>
      </c>
      <c r="J237" s="2">
        <v>75000</v>
      </c>
      <c r="K237" s="2">
        <v>0</v>
      </c>
      <c r="L237" s="2">
        <v>0</v>
      </c>
      <c r="M237" s="177">
        <v>0</v>
      </c>
      <c r="N237" s="2"/>
    </row>
    <row r="238" spans="1:14">
      <c r="A238" t="s">
        <v>469</v>
      </c>
      <c r="B238" t="s">
        <v>470</v>
      </c>
      <c r="C238" s="2">
        <v>152000</v>
      </c>
      <c r="D238" s="2">
        <v>152000</v>
      </c>
      <c r="E238" s="2">
        <v>152000</v>
      </c>
      <c r="F238" s="2">
        <v>152000</v>
      </c>
      <c r="G238" s="2">
        <v>152000</v>
      </c>
      <c r="H238" s="2">
        <v>152000</v>
      </c>
      <c r="I238" s="2">
        <v>152000</v>
      </c>
      <c r="J238" s="2">
        <v>152000</v>
      </c>
      <c r="K238" s="2">
        <v>0</v>
      </c>
      <c r="L238" s="2">
        <v>0</v>
      </c>
      <c r="M238" s="177">
        <v>0</v>
      </c>
      <c r="N238" s="2"/>
    </row>
    <row r="239" spans="1:14">
      <c r="A239" t="s">
        <v>471</v>
      </c>
      <c r="B239" t="s">
        <v>472</v>
      </c>
      <c r="C239" s="2">
        <v>1590688</v>
      </c>
      <c r="D239" s="2">
        <v>1622502</v>
      </c>
      <c r="E239" s="2">
        <v>1687402</v>
      </c>
      <c r="F239" s="2">
        <v>1738024</v>
      </c>
      <c r="G239" s="2">
        <v>2160000</v>
      </c>
      <c r="H239" s="2">
        <v>2245000</v>
      </c>
      <c r="I239" s="2">
        <v>2335000</v>
      </c>
      <c r="J239" s="2">
        <v>2435000</v>
      </c>
      <c r="K239" s="2">
        <v>0</v>
      </c>
      <c r="L239" s="2">
        <v>0</v>
      </c>
      <c r="M239" s="177">
        <v>0</v>
      </c>
      <c r="N239" s="2"/>
    </row>
    <row r="240" spans="1:14">
      <c r="A240" t="s">
        <v>473</v>
      </c>
      <c r="B240" t="s">
        <v>474</v>
      </c>
      <c r="C240" s="2">
        <v>250000</v>
      </c>
      <c r="D240" s="2">
        <v>250000</v>
      </c>
      <c r="E240" s="2">
        <v>250000</v>
      </c>
      <c r="F240" s="2">
        <v>250000</v>
      </c>
      <c r="G240" s="2">
        <v>250000</v>
      </c>
      <c r="H240" s="2">
        <v>250000</v>
      </c>
      <c r="I240" s="2">
        <v>325000</v>
      </c>
      <c r="J240" s="2">
        <v>325000</v>
      </c>
      <c r="K240" s="2">
        <v>325000</v>
      </c>
      <c r="L240" s="2">
        <v>325000</v>
      </c>
      <c r="M240" s="177">
        <v>0</v>
      </c>
      <c r="N240" s="2"/>
    </row>
    <row r="241" spans="1:14">
      <c r="A241" t="s">
        <v>475</v>
      </c>
      <c r="B241" t="s">
        <v>476</v>
      </c>
      <c r="C241" s="2">
        <v>91000</v>
      </c>
      <c r="D241" s="2">
        <v>92000</v>
      </c>
      <c r="E241" s="2">
        <v>93000</v>
      </c>
      <c r="F241" s="2">
        <v>94500</v>
      </c>
      <c r="G241" s="2">
        <v>96500</v>
      </c>
      <c r="H241" s="2">
        <v>98500</v>
      </c>
      <c r="I241" s="2">
        <v>101500</v>
      </c>
      <c r="J241" s="2">
        <v>0</v>
      </c>
      <c r="K241" s="2">
        <v>0</v>
      </c>
      <c r="L241" s="2">
        <v>0</v>
      </c>
      <c r="M241" s="177">
        <v>0</v>
      </c>
      <c r="N241" s="2"/>
    </row>
    <row r="242" spans="1:14">
      <c r="A242" t="s">
        <v>477</v>
      </c>
      <c r="B242" t="s">
        <v>478</v>
      </c>
      <c r="C242" s="2">
        <v>30000</v>
      </c>
      <c r="D242" s="2">
        <v>30000</v>
      </c>
      <c r="E242" s="2">
        <v>30000</v>
      </c>
      <c r="F242" s="2">
        <v>30000</v>
      </c>
      <c r="G242" s="2">
        <v>30000</v>
      </c>
      <c r="H242" s="2">
        <v>40000</v>
      </c>
      <c r="I242" s="2">
        <v>40000</v>
      </c>
      <c r="J242" s="2">
        <v>40000</v>
      </c>
      <c r="K242" s="2">
        <v>40000</v>
      </c>
      <c r="L242" s="2">
        <v>0</v>
      </c>
      <c r="M242" s="177">
        <v>0</v>
      </c>
      <c r="N242" s="2"/>
    </row>
    <row r="243" spans="1:14">
      <c r="A243" t="s">
        <v>479</v>
      </c>
      <c r="B243" t="s">
        <v>480</v>
      </c>
      <c r="C243" s="2">
        <v>125000</v>
      </c>
      <c r="D243" s="2">
        <v>125000</v>
      </c>
      <c r="E243" s="2">
        <v>175000</v>
      </c>
      <c r="F243" s="2">
        <v>175000</v>
      </c>
      <c r="G243" s="2">
        <v>175000</v>
      </c>
      <c r="H243" s="2">
        <v>175000</v>
      </c>
      <c r="I243" s="2">
        <v>209000</v>
      </c>
      <c r="J243" s="2">
        <v>209000</v>
      </c>
      <c r="K243" s="2">
        <v>209000</v>
      </c>
      <c r="L243" s="2">
        <v>209000</v>
      </c>
      <c r="M243" s="177">
        <v>0</v>
      </c>
      <c r="N243" s="2"/>
    </row>
    <row r="244" spans="1:14">
      <c r="A244" t="s">
        <v>481</v>
      </c>
      <c r="B244" t="s">
        <v>482</v>
      </c>
      <c r="C244" s="2">
        <v>287000</v>
      </c>
      <c r="D244" s="2">
        <v>287000</v>
      </c>
      <c r="E244" s="2">
        <v>287000</v>
      </c>
      <c r="F244" s="2">
        <v>342273</v>
      </c>
      <c r="G244" s="2">
        <v>350830</v>
      </c>
      <c r="H244" s="2">
        <v>359601</v>
      </c>
      <c r="I244" s="2">
        <v>368591</v>
      </c>
      <c r="J244" s="2">
        <v>0</v>
      </c>
      <c r="K244" s="2">
        <v>0</v>
      </c>
      <c r="L244" s="2">
        <v>0</v>
      </c>
      <c r="M244" s="177">
        <v>0</v>
      </c>
      <c r="N244" s="2"/>
    </row>
    <row r="245" spans="1:14">
      <c r="A245" t="s">
        <v>483</v>
      </c>
      <c r="B245" t="s">
        <v>484</v>
      </c>
      <c r="C245" s="2">
        <v>300000</v>
      </c>
      <c r="D245" s="2">
        <v>300000</v>
      </c>
      <c r="E245" s="2">
        <v>375000</v>
      </c>
      <c r="F245" s="2">
        <v>375000</v>
      </c>
      <c r="G245" s="2">
        <v>375000</v>
      </c>
      <c r="H245" s="2">
        <v>375000</v>
      </c>
      <c r="I245" s="2">
        <v>418150</v>
      </c>
      <c r="J245" s="2">
        <v>468216</v>
      </c>
      <c r="K245" s="2">
        <v>490219</v>
      </c>
      <c r="L245" s="2">
        <v>513275</v>
      </c>
      <c r="M245" s="177">
        <v>0</v>
      </c>
      <c r="N245" s="2"/>
    </row>
    <row r="246" spans="1:14">
      <c r="A246" t="s">
        <v>485</v>
      </c>
      <c r="B246" t="s">
        <v>486</v>
      </c>
      <c r="C246" s="2">
        <v>1459925</v>
      </c>
      <c r="D246" s="2">
        <v>859062</v>
      </c>
      <c r="E246" s="2">
        <v>910606</v>
      </c>
      <c r="F246" s="2">
        <v>965242</v>
      </c>
      <c r="G246" s="2">
        <v>1023157</v>
      </c>
      <c r="H246" s="2">
        <v>1546384</v>
      </c>
      <c r="I246" s="2">
        <v>1622665</v>
      </c>
      <c r="J246" s="2">
        <v>1702760</v>
      </c>
      <c r="K246" s="2">
        <v>1786860</v>
      </c>
      <c r="L246" s="2">
        <v>0</v>
      </c>
      <c r="M246" s="177">
        <v>0</v>
      </c>
      <c r="N246" s="2"/>
    </row>
    <row r="247" spans="1:14">
      <c r="A247" t="s">
        <v>487</v>
      </c>
      <c r="B247" t="s">
        <v>488</v>
      </c>
      <c r="C247" s="2">
        <v>11700000</v>
      </c>
      <c r="D247" s="2">
        <v>12300000</v>
      </c>
      <c r="E247" s="2">
        <v>10100000</v>
      </c>
      <c r="F247" s="2">
        <v>10925000</v>
      </c>
      <c r="G247" s="2">
        <v>11800000</v>
      </c>
      <c r="H247" s="2">
        <v>12750000</v>
      </c>
      <c r="I247" s="2">
        <v>0</v>
      </c>
      <c r="J247" s="2">
        <v>0</v>
      </c>
      <c r="K247" s="2">
        <v>0</v>
      </c>
      <c r="L247" s="2">
        <v>0</v>
      </c>
      <c r="M247" s="177">
        <v>0</v>
      </c>
      <c r="N247" s="2"/>
    </row>
    <row r="248" spans="1:14">
      <c r="A248" t="s">
        <v>489</v>
      </c>
      <c r="B248" t="s">
        <v>490</v>
      </c>
      <c r="C248" s="2">
        <v>42000000</v>
      </c>
      <c r="D248" s="2">
        <v>44500000</v>
      </c>
      <c r="E248" s="2">
        <v>43125000</v>
      </c>
      <c r="F248" s="2">
        <v>45700000</v>
      </c>
      <c r="G248" s="2">
        <v>48250000</v>
      </c>
      <c r="H248" s="2">
        <v>50875000</v>
      </c>
      <c r="I248" s="2">
        <v>52401000</v>
      </c>
      <c r="J248" s="2">
        <v>53973000</v>
      </c>
      <c r="K248" s="2">
        <v>55592000</v>
      </c>
      <c r="L248" s="2">
        <v>57260000</v>
      </c>
      <c r="M248" s="177">
        <v>0</v>
      </c>
      <c r="N248" s="2"/>
    </row>
    <row r="249" spans="1:14">
      <c r="A249" t="s">
        <v>491</v>
      </c>
      <c r="B249" t="s">
        <v>492</v>
      </c>
      <c r="C249" s="2">
        <v>16547000</v>
      </c>
      <c r="D249" s="2">
        <v>17209000</v>
      </c>
      <c r="E249" s="2">
        <v>16750000</v>
      </c>
      <c r="F249" s="2">
        <v>18100000</v>
      </c>
      <c r="G249" s="2">
        <v>19350000</v>
      </c>
      <c r="H249" s="2">
        <v>20500000</v>
      </c>
      <c r="I249" s="2">
        <v>25452404</v>
      </c>
      <c r="J249" s="2">
        <v>26725025</v>
      </c>
      <c r="K249" s="2">
        <v>28061276</v>
      </c>
      <c r="L249" s="2">
        <v>29464340</v>
      </c>
      <c r="M249" s="177">
        <v>0</v>
      </c>
      <c r="N249" s="2"/>
    </row>
    <row r="250" spans="1:14">
      <c r="A250" t="s">
        <v>493</v>
      </c>
      <c r="B250" t="s">
        <v>494</v>
      </c>
      <c r="C250" s="2">
        <v>27100000</v>
      </c>
      <c r="D250" s="2">
        <v>27900000</v>
      </c>
      <c r="E250" s="2">
        <v>30900000</v>
      </c>
      <c r="F250" s="2">
        <v>31970000</v>
      </c>
      <c r="G250" s="2">
        <v>34200000</v>
      </c>
      <c r="H250" s="2">
        <v>36500000</v>
      </c>
      <c r="I250" s="2">
        <v>39415000</v>
      </c>
      <c r="J250" s="2">
        <v>42529000</v>
      </c>
      <c r="K250" s="2">
        <v>45889000</v>
      </c>
      <c r="L250" s="2">
        <v>49514000</v>
      </c>
      <c r="M250" s="177">
        <v>0</v>
      </c>
      <c r="N250" s="2"/>
    </row>
    <row r="251" spans="1:14">
      <c r="A251" t="s">
        <v>495</v>
      </c>
      <c r="B251" t="s">
        <v>496</v>
      </c>
      <c r="C251" s="2">
        <v>1690000</v>
      </c>
      <c r="D251" s="2">
        <v>1690000</v>
      </c>
      <c r="E251" s="2">
        <v>1678103</v>
      </c>
      <c r="F251" s="2">
        <v>1879475</v>
      </c>
      <c r="G251" s="2">
        <v>2105012</v>
      </c>
      <c r="H251" s="2">
        <v>2357614</v>
      </c>
      <c r="I251" s="2">
        <v>2715368</v>
      </c>
      <c r="J251" s="2">
        <v>2849372</v>
      </c>
      <c r="K251" s="2">
        <v>2990076</v>
      </c>
      <c r="L251" s="2">
        <v>3137815</v>
      </c>
      <c r="M251" s="177">
        <v>0</v>
      </c>
      <c r="N251" s="2"/>
    </row>
    <row r="252" spans="1:14">
      <c r="A252" t="s">
        <v>497</v>
      </c>
      <c r="B252" t="s">
        <v>498</v>
      </c>
      <c r="C252" s="2">
        <v>2267000</v>
      </c>
      <c r="D252" s="2">
        <v>2301000</v>
      </c>
      <c r="E252" s="2">
        <v>2500000</v>
      </c>
      <c r="F252" s="2">
        <v>2750000</v>
      </c>
      <c r="G252" s="2">
        <v>3000000</v>
      </c>
      <c r="H252" s="2">
        <v>3250000</v>
      </c>
      <c r="I252" s="2">
        <v>3500000</v>
      </c>
      <c r="J252" s="2">
        <v>3750000</v>
      </c>
      <c r="K252" s="2">
        <v>3900000</v>
      </c>
      <c r="L252" s="2">
        <v>4100000</v>
      </c>
      <c r="M252" s="177">
        <v>0</v>
      </c>
      <c r="N252" s="2"/>
    </row>
    <row r="253" spans="1:14">
      <c r="A253" t="s">
        <v>499</v>
      </c>
      <c r="B253" t="s">
        <v>500</v>
      </c>
      <c r="C253" s="2">
        <v>4119985</v>
      </c>
      <c r="D253" s="2">
        <v>4198856</v>
      </c>
      <c r="E253" s="2">
        <v>3732229</v>
      </c>
      <c r="F253" s="2">
        <v>4105452</v>
      </c>
      <c r="G253" s="2">
        <v>4515997</v>
      </c>
      <c r="H253" s="2">
        <v>4967597</v>
      </c>
      <c r="I253" s="2">
        <v>5513424</v>
      </c>
      <c r="J253" s="2">
        <v>5886159</v>
      </c>
      <c r="K253" s="2">
        <v>6189745</v>
      </c>
      <c r="L253" s="2">
        <v>6400128</v>
      </c>
      <c r="M253" s="177">
        <v>0</v>
      </c>
      <c r="N253" s="2"/>
    </row>
    <row r="254" spans="1:14">
      <c r="A254" t="s">
        <v>501</v>
      </c>
      <c r="B254" t="s">
        <v>502</v>
      </c>
      <c r="C254" s="2">
        <v>3067927</v>
      </c>
      <c r="D254" s="2">
        <v>3067927</v>
      </c>
      <c r="E254" s="2">
        <v>3213815</v>
      </c>
      <c r="F254" s="2">
        <v>3535196</v>
      </c>
      <c r="G254" s="2">
        <v>3888716</v>
      </c>
      <c r="H254" s="2">
        <v>4277587</v>
      </c>
      <c r="I254" s="2">
        <v>4893164</v>
      </c>
      <c r="J254" s="2">
        <v>5076658</v>
      </c>
      <c r="K254" s="2">
        <v>5267033</v>
      </c>
      <c r="L254" s="2">
        <v>5451379</v>
      </c>
      <c r="M254" s="177">
        <v>0</v>
      </c>
      <c r="N254" s="2"/>
    </row>
    <row r="255" spans="1:14">
      <c r="A255" t="s">
        <v>503</v>
      </c>
      <c r="B255" t="s">
        <v>504</v>
      </c>
      <c r="C255" s="2">
        <v>997000</v>
      </c>
      <c r="D255" s="2">
        <v>997000</v>
      </c>
      <c r="E255" s="2">
        <v>997000</v>
      </c>
      <c r="F255" s="2">
        <v>997000</v>
      </c>
      <c r="G255" s="2">
        <v>997000</v>
      </c>
      <c r="H255" s="2">
        <v>997000</v>
      </c>
      <c r="I255" s="2">
        <v>997000</v>
      </c>
      <c r="J255" s="2">
        <v>997000</v>
      </c>
      <c r="K255" s="2">
        <v>0</v>
      </c>
      <c r="L255" s="2">
        <v>0</v>
      </c>
      <c r="M255" s="177">
        <v>0</v>
      </c>
      <c r="N255" s="2"/>
    </row>
    <row r="256" spans="1:14">
      <c r="A256" t="s">
        <v>505</v>
      </c>
      <c r="B256" t="s">
        <v>506</v>
      </c>
      <c r="C256" s="2">
        <v>230730</v>
      </c>
      <c r="D256" s="2">
        <v>230730</v>
      </c>
      <c r="E256" s="2">
        <v>350730</v>
      </c>
      <c r="F256" s="2">
        <v>350730</v>
      </c>
      <c r="G256" s="2">
        <v>137000</v>
      </c>
      <c r="H256" s="2">
        <v>140000</v>
      </c>
      <c r="I256" s="2">
        <v>140000</v>
      </c>
      <c r="J256" s="2">
        <v>140000</v>
      </c>
      <c r="K256" s="2">
        <v>0</v>
      </c>
      <c r="L256" s="2">
        <v>0</v>
      </c>
      <c r="M256" s="177">
        <v>0</v>
      </c>
      <c r="N256" s="2"/>
    </row>
    <row r="257" spans="1:14">
      <c r="A257" t="s">
        <v>507</v>
      </c>
      <c r="B257" t="s">
        <v>508</v>
      </c>
      <c r="C257" s="2">
        <v>11687674</v>
      </c>
      <c r="D257" s="2">
        <v>11921427</v>
      </c>
      <c r="E257" s="2">
        <v>11010402</v>
      </c>
      <c r="F257" s="2">
        <v>11285662</v>
      </c>
      <c r="G257" s="2">
        <v>11567804</v>
      </c>
      <c r="H257" s="2">
        <v>11856999</v>
      </c>
      <c r="I257" s="2">
        <v>15063022</v>
      </c>
      <c r="J257" s="2">
        <v>15665543</v>
      </c>
      <c r="K257" s="2">
        <v>16292164</v>
      </c>
      <c r="L257" s="2">
        <v>16943851</v>
      </c>
      <c r="M257" s="177">
        <v>0</v>
      </c>
      <c r="N257" s="2"/>
    </row>
    <row r="258" spans="1:14">
      <c r="A258" t="s">
        <v>509</v>
      </c>
      <c r="B258" t="s">
        <v>510</v>
      </c>
      <c r="C258" s="2">
        <v>2300000</v>
      </c>
      <c r="D258" s="2">
        <v>2450000</v>
      </c>
      <c r="E258" s="2">
        <v>2600000</v>
      </c>
      <c r="F258" s="2">
        <v>2750000</v>
      </c>
      <c r="G258" s="2">
        <v>4100000</v>
      </c>
      <c r="H258" s="2">
        <v>4500000</v>
      </c>
      <c r="I258" s="2">
        <v>4900000</v>
      </c>
      <c r="J258" s="2">
        <v>5400000</v>
      </c>
      <c r="K258" s="2">
        <v>0</v>
      </c>
      <c r="L258" s="2">
        <v>0</v>
      </c>
      <c r="M258" s="177">
        <v>0</v>
      </c>
      <c r="N258" s="2"/>
    </row>
    <row r="259" spans="1:14">
      <c r="A259" t="s">
        <v>511</v>
      </c>
      <c r="B259" t="s">
        <v>512</v>
      </c>
      <c r="C259" s="2">
        <v>688031</v>
      </c>
      <c r="D259" s="2">
        <v>734966</v>
      </c>
      <c r="E259" s="2">
        <v>734966</v>
      </c>
      <c r="F259" s="2">
        <v>734966</v>
      </c>
      <c r="G259" s="2">
        <v>734966</v>
      </c>
      <c r="H259" s="2">
        <v>734966</v>
      </c>
      <c r="I259" s="2">
        <v>734966</v>
      </c>
      <c r="J259" s="2">
        <v>0</v>
      </c>
      <c r="K259" s="2">
        <v>0</v>
      </c>
      <c r="L259" s="2">
        <v>0</v>
      </c>
      <c r="M259" s="177">
        <v>0</v>
      </c>
      <c r="N259" s="2"/>
    </row>
    <row r="260" spans="1:14">
      <c r="A260" t="s">
        <v>513</v>
      </c>
      <c r="B260" t="s">
        <v>514</v>
      </c>
      <c r="C260" s="2">
        <v>2300000</v>
      </c>
      <c r="D260" s="2">
        <v>2375000</v>
      </c>
      <c r="E260" s="2">
        <v>2500000</v>
      </c>
      <c r="F260" s="2">
        <v>2525000</v>
      </c>
      <c r="G260" s="2">
        <v>3336572</v>
      </c>
      <c r="H260" s="2">
        <v>3436669</v>
      </c>
      <c r="I260" s="2">
        <v>3550079</v>
      </c>
      <c r="J260" s="2">
        <v>3677882</v>
      </c>
      <c r="K260" s="2">
        <v>0</v>
      </c>
      <c r="L260" s="2">
        <v>0</v>
      </c>
      <c r="M260" s="177">
        <v>0</v>
      </c>
      <c r="N260" s="2"/>
    </row>
    <row r="261" spans="1:14">
      <c r="A261" t="s">
        <v>515</v>
      </c>
      <c r="B261" t="s">
        <v>516</v>
      </c>
      <c r="C261" s="2">
        <v>520846</v>
      </c>
      <c r="D261" s="2">
        <v>562433</v>
      </c>
      <c r="E261" s="2">
        <v>622156</v>
      </c>
      <c r="F261" s="2">
        <v>640535</v>
      </c>
      <c r="G261" s="2">
        <v>731953</v>
      </c>
      <c r="H261" s="2">
        <v>761218</v>
      </c>
      <c r="I261" s="2">
        <v>761326</v>
      </c>
      <c r="J261" s="2">
        <v>837434</v>
      </c>
      <c r="K261" s="2">
        <v>0</v>
      </c>
      <c r="L261" s="2">
        <v>0</v>
      </c>
      <c r="M261" s="177">
        <v>0</v>
      </c>
      <c r="N261" s="2"/>
    </row>
    <row r="262" spans="1:14">
      <c r="A262" t="s">
        <v>517</v>
      </c>
      <c r="B262" t="s">
        <v>518</v>
      </c>
      <c r="C262" s="2">
        <v>560600</v>
      </c>
      <c r="D262" s="2">
        <v>590000</v>
      </c>
      <c r="E262" s="2">
        <v>670000</v>
      </c>
      <c r="F262" s="2">
        <v>670000</v>
      </c>
      <c r="G262" s="2">
        <v>685000</v>
      </c>
      <c r="H262" s="2">
        <v>685000</v>
      </c>
      <c r="I262" s="2">
        <v>685000</v>
      </c>
      <c r="J262" s="2">
        <v>0</v>
      </c>
      <c r="K262" s="2">
        <v>0</v>
      </c>
      <c r="L262" s="2">
        <v>0</v>
      </c>
      <c r="M262" s="177">
        <v>0</v>
      </c>
      <c r="N262" s="2"/>
    </row>
    <row r="263" spans="1:14">
      <c r="A263" t="s">
        <v>519</v>
      </c>
      <c r="B263" t="s">
        <v>520</v>
      </c>
      <c r="C263" s="2">
        <v>34900000</v>
      </c>
      <c r="D263" s="2">
        <v>35900000</v>
      </c>
      <c r="E263" s="2">
        <v>31000000</v>
      </c>
      <c r="F263" s="2">
        <v>32000000</v>
      </c>
      <c r="G263" s="2">
        <v>33500000</v>
      </c>
      <c r="H263" s="2">
        <v>35000000</v>
      </c>
      <c r="I263" s="2">
        <v>37000000</v>
      </c>
      <c r="J263" s="2">
        <v>39000000</v>
      </c>
      <c r="K263" s="2">
        <v>41000000</v>
      </c>
      <c r="L263" s="2">
        <v>43000000</v>
      </c>
      <c r="M263" s="177">
        <v>0</v>
      </c>
      <c r="N263" s="2"/>
    </row>
    <row r="264" spans="1:14">
      <c r="A264" t="s">
        <v>521</v>
      </c>
      <c r="B264" t="s">
        <v>522</v>
      </c>
      <c r="C264" s="2">
        <v>15060000</v>
      </c>
      <c r="D264" s="2">
        <v>15360000</v>
      </c>
      <c r="E264" s="2">
        <v>8273000</v>
      </c>
      <c r="F264" s="2">
        <v>8687000</v>
      </c>
      <c r="G264" s="2">
        <v>11000000</v>
      </c>
      <c r="H264" s="2">
        <v>12000000</v>
      </c>
      <c r="I264" s="2">
        <v>14000000</v>
      </c>
      <c r="J264" s="2">
        <v>15000000</v>
      </c>
      <c r="K264" s="2">
        <v>16000000</v>
      </c>
      <c r="L264" s="2">
        <v>17000000</v>
      </c>
      <c r="M264" s="177">
        <v>0</v>
      </c>
      <c r="N264" s="2"/>
    </row>
    <row r="265" spans="1:14">
      <c r="A265" t="s">
        <v>523</v>
      </c>
      <c r="B265" t="s">
        <v>524</v>
      </c>
      <c r="C265" s="2">
        <v>7340000</v>
      </c>
      <c r="D265" s="2">
        <v>7500000</v>
      </c>
      <c r="E265" s="2">
        <v>6000000</v>
      </c>
      <c r="F265" s="2">
        <v>6400000</v>
      </c>
      <c r="G265" s="2">
        <v>6800000</v>
      </c>
      <c r="H265" s="2">
        <v>7250000</v>
      </c>
      <c r="I265" s="2">
        <v>7500000</v>
      </c>
      <c r="J265" s="2">
        <v>7850000</v>
      </c>
      <c r="K265" s="2">
        <v>8250000</v>
      </c>
      <c r="L265" s="2">
        <v>8500000</v>
      </c>
      <c r="M265" s="177">
        <v>0</v>
      </c>
      <c r="N265" s="2"/>
    </row>
    <row r="266" spans="1:14">
      <c r="A266" t="s">
        <v>525</v>
      </c>
      <c r="B266" t="s">
        <v>526</v>
      </c>
      <c r="C266" s="2">
        <v>6250000</v>
      </c>
      <c r="D266" s="2">
        <v>6450000</v>
      </c>
      <c r="E266" s="2">
        <v>6700000</v>
      </c>
      <c r="F266" s="2">
        <v>7200000</v>
      </c>
      <c r="G266" s="2">
        <v>7600000</v>
      </c>
      <c r="H266" s="2">
        <v>8000000</v>
      </c>
      <c r="I266" s="2">
        <v>10150000</v>
      </c>
      <c r="J266" s="2">
        <v>10750000</v>
      </c>
      <c r="K266" s="2">
        <v>11400000</v>
      </c>
      <c r="L266" s="2">
        <v>12075000</v>
      </c>
      <c r="M266" s="177">
        <v>0</v>
      </c>
      <c r="N266" s="2"/>
    </row>
    <row r="267" spans="1:14">
      <c r="A267" t="s">
        <v>527</v>
      </c>
      <c r="B267" t="s">
        <v>528</v>
      </c>
      <c r="C267" s="2">
        <v>4225000</v>
      </c>
      <c r="D267" s="2">
        <v>4250000</v>
      </c>
      <c r="E267" s="2">
        <v>4027516</v>
      </c>
      <c r="F267" s="2">
        <v>4269167</v>
      </c>
      <c r="G267" s="2">
        <v>4525317</v>
      </c>
      <c r="H267" s="2">
        <v>4796836</v>
      </c>
      <c r="I267" s="2">
        <v>6000000</v>
      </c>
      <c r="J267" s="2">
        <v>6300000</v>
      </c>
      <c r="K267" s="2">
        <v>6600000</v>
      </c>
      <c r="L267" s="2">
        <v>6900000</v>
      </c>
      <c r="M267" s="177">
        <v>0</v>
      </c>
      <c r="N267" s="2"/>
    </row>
    <row r="268" spans="1:14">
      <c r="A268" t="s">
        <v>529</v>
      </c>
      <c r="B268" t="s">
        <v>530</v>
      </c>
      <c r="C268" s="2">
        <v>3900000</v>
      </c>
      <c r="D268" s="2">
        <v>4000000</v>
      </c>
      <c r="E268" s="2">
        <v>2500000</v>
      </c>
      <c r="F268" s="2">
        <v>2700000</v>
      </c>
      <c r="G268" s="2">
        <v>2900000</v>
      </c>
      <c r="H268" s="2">
        <v>3100000</v>
      </c>
      <c r="I268" s="2">
        <v>3500000</v>
      </c>
      <c r="J268" s="2">
        <v>3700000</v>
      </c>
      <c r="K268" s="2">
        <v>3900000</v>
      </c>
      <c r="L268" s="2">
        <v>4100000</v>
      </c>
      <c r="M268" s="177">
        <v>0</v>
      </c>
      <c r="N268" s="2"/>
    </row>
    <row r="269" spans="1:14">
      <c r="A269" t="s">
        <v>531</v>
      </c>
      <c r="B269" t="s">
        <v>532</v>
      </c>
      <c r="C269" s="2">
        <v>5970000</v>
      </c>
      <c r="D269" s="2">
        <v>6060000</v>
      </c>
      <c r="E269" s="2">
        <v>5000000</v>
      </c>
      <c r="F269" s="2">
        <v>5100000</v>
      </c>
      <c r="G269" s="2">
        <v>5200000</v>
      </c>
      <c r="H269" s="2">
        <v>5350000</v>
      </c>
      <c r="I269" s="2">
        <v>5125133</v>
      </c>
      <c r="J269" s="2">
        <v>5264076</v>
      </c>
      <c r="K269" s="2">
        <v>5331844</v>
      </c>
      <c r="L269" s="2">
        <v>5420910</v>
      </c>
      <c r="M269" s="177">
        <v>0</v>
      </c>
      <c r="N269" s="2"/>
    </row>
    <row r="270" spans="1:14">
      <c r="A270" t="s">
        <v>533</v>
      </c>
      <c r="B270" t="s">
        <v>534</v>
      </c>
      <c r="C270" s="2">
        <v>614000</v>
      </c>
      <c r="D270" s="2">
        <v>614000</v>
      </c>
      <c r="E270" s="2">
        <v>614000</v>
      </c>
      <c r="F270" s="2">
        <v>614000</v>
      </c>
      <c r="G270" s="2">
        <v>300000</v>
      </c>
      <c r="H270" s="2">
        <v>300000</v>
      </c>
      <c r="I270" s="2">
        <v>400000</v>
      </c>
      <c r="J270" s="2">
        <v>400000</v>
      </c>
      <c r="K270" s="2">
        <v>400000</v>
      </c>
      <c r="L270" s="2">
        <v>400000</v>
      </c>
      <c r="M270" s="177">
        <v>0</v>
      </c>
      <c r="N270" s="2"/>
    </row>
    <row r="271" spans="1:14">
      <c r="A271" t="s">
        <v>535</v>
      </c>
      <c r="B271" t="s">
        <v>536</v>
      </c>
      <c r="C271" s="2">
        <v>170000</v>
      </c>
      <c r="D271" s="2">
        <v>85000</v>
      </c>
      <c r="E271" s="2">
        <v>90000</v>
      </c>
      <c r="F271" s="2">
        <v>130000</v>
      </c>
      <c r="G271" s="2">
        <v>132000</v>
      </c>
      <c r="H271" s="2">
        <v>132000</v>
      </c>
      <c r="I271" s="2">
        <v>132000</v>
      </c>
      <c r="J271" s="2">
        <v>0</v>
      </c>
      <c r="K271" s="2">
        <v>0</v>
      </c>
      <c r="L271" s="2">
        <v>0</v>
      </c>
      <c r="M271" s="177">
        <v>0</v>
      </c>
      <c r="N271" s="2"/>
    </row>
    <row r="272" spans="1:14">
      <c r="A272" t="s">
        <v>537</v>
      </c>
      <c r="B272" t="s">
        <v>538</v>
      </c>
      <c r="C272" s="2">
        <v>127000</v>
      </c>
      <c r="D272" s="2">
        <v>127000</v>
      </c>
      <c r="E272" s="2">
        <v>236818</v>
      </c>
      <c r="F272" s="2">
        <v>236818</v>
      </c>
      <c r="G272" s="2">
        <v>236818</v>
      </c>
      <c r="H272" s="2">
        <v>236818</v>
      </c>
      <c r="I272" s="2">
        <v>224644</v>
      </c>
      <c r="J272" s="2">
        <v>231384</v>
      </c>
      <c r="K272" s="2">
        <v>0</v>
      </c>
      <c r="L272" s="2">
        <v>0</v>
      </c>
      <c r="M272" s="177">
        <v>0</v>
      </c>
      <c r="N272" s="2"/>
    </row>
    <row r="273" spans="1:14">
      <c r="A273" t="s">
        <v>539</v>
      </c>
      <c r="B273" t="s">
        <v>540</v>
      </c>
      <c r="C273" s="2">
        <v>5500000</v>
      </c>
      <c r="D273" s="2">
        <v>5500000</v>
      </c>
      <c r="E273" s="2">
        <v>5300000</v>
      </c>
      <c r="F273" s="2">
        <v>5300000</v>
      </c>
      <c r="G273" s="2">
        <v>5300000</v>
      </c>
      <c r="H273" s="2">
        <v>5300000</v>
      </c>
      <c r="I273" s="2">
        <v>6300000</v>
      </c>
      <c r="J273" s="2">
        <v>6300000</v>
      </c>
      <c r="K273" s="2">
        <v>6300000</v>
      </c>
      <c r="L273" s="2">
        <v>6300000</v>
      </c>
      <c r="M273" s="177">
        <v>0</v>
      </c>
      <c r="N273" s="2"/>
    </row>
    <row r="274" spans="1:14">
      <c r="A274" t="s">
        <v>541</v>
      </c>
      <c r="B274" t="s">
        <v>542</v>
      </c>
      <c r="C274" s="2">
        <v>750000</v>
      </c>
      <c r="D274" s="2">
        <v>750000</v>
      </c>
      <c r="E274" s="2">
        <v>900000</v>
      </c>
      <c r="F274" s="2">
        <v>900000</v>
      </c>
      <c r="G274" s="2">
        <v>960000</v>
      </c>
      <c r="H274" s="2">
        <v>990000</v>
      </c>
      <c r="I274" s="2">
        <v>1090000</v>
      </c>
      <c r="J274" s="2">
        <v>1140000</v>
      </c>
      <c r="K274" s="2">
        <v>0</v>
      </c>
      <c r="L274" s="2">
        <v>0</v>
      </c>
      <c r="M274" s="177">
        <v>0</v>
      </c>
      <c r="N274" s="2"/>
    </row>
    <row r="275" spans="1:14">
      <c r="A275" t="s">
        <v>543</v>
      </c>
      <c r="B275" t="s">
        <v>544</v>
      </c>
      <c r="C275" s="2">
        <v>270000</v>
      </c>
      <c r="D275" s="2">
        <v>270000</v>
      </c>
      <c r="E275" s="2">
        <v>420574</v>
      </c>
      <c r="F275" s="2">
        <v>441603</v>
      </c>
      <c r="G275" s="2">
        <v>441000</v>
      </c>
      <c r="H275" s="2">
        <v>441000</v>
      </c>
      <c r="I275" s="2">
        <v>441000</v>
      </c>
      <c r="J275" s="2">
        <v>0</v>
      </c>
      <c r="K275" s="2">
        <v>0</v>
      </c>
      <c r="L275" s="2">
        <v>0</v>
      </c>
      <c r="M275" s="177">
        <v>0</v>
      </c>
      <c r="N275" s="2"/>
    </row>
    <row r="276" spans="1:14">
      <c r="A276" t="s">
        <v>545</v>
      </c>
      <c r="B276" t="s">
        <v>546</v>
      </c>
      <c r="C276" s="2">
        <v>165000</v>
      </c>
      <c r="D276" s="2">
        <v>165000</v>
      </c>
      <c r="E276" s="2">
        <v>176040</v>
      </c>
      <c r="F276" s="2">
        <v>176040</v>
      </c>
      <c r="G276" s="2">
        <v>176040</v>
      </c>
      <c r="H276" s="2">
        <v>176040</v>
      </c>
      <c r="I276" s="2">
        <v>176040</v>
      </c>
      <c r="J276" s="2">
        <v>0</v>
      </c>
      <c r="K276" s="2">
        <v>0</v>
      </c>
      <c r="L276" s="2">
        <v>0</v>
      </c>
      <c r="M276" s="177">
        <v>0</v>
      </c>
      <c r="N276" s="2"/>
    </row>
    <row r="277" spans="1:14">
      <c r="A277" t="s">
        <v>547</v>
      </c>
      <c r="B277" t="s">
        <v>548</v>
      </c>
      <c r="C277" s="2">
        <v>110000</v>
      </c>
      <c r="D277" s="2">
        <v>110000</v>
      </c>
      <c r="E277" s="2">
        <v>110000</v>
      </c>
      <c r="F277" s="2">
        <v>110000</v>
      </c>
      <c r="G277" s="2">
        <v>110000</v>
      </c>
      <c r="H277" s="2">
        <v>110000</v>
      </c>
      <c r="I277" s="2">
        <v>240000</v>
      </c>
      <c r="J277" s="2">
        <v>0</v>
      </c>
      <c r="K277" s="2">
        <v>0</v>
      </c>
      <c r="L277" s="2">
        <v>0</v>
      </c>
      <c r="M277" s="177">
        <v>0</v>
      </c>
      <c r="N277" s="2"/>
    </row>
    <row r="278" spans="1:14">
      <c r="A278" t="s">
        <v>549</v>
      </c>
      <c r="B278" t="s">
        <v>550</v>
      </c>
      <c r="C278" s="2">
        <v>496935</v>
      </c>
      <c r="D278" s="2">
        <v>375000</v>
      </c>
      <c r="E278" s="2">
        <v>398947</v>
      </c>
      <c r="F278" s="2">
        <v>398947</v>
      </c>
      <c r="G278" s="2">
        <v>398947</v>
      </c>
      <c r="H278" s="2">
        <v>398947</v>
      </c>
      <c r="I278" s="2">
        <v>398947</v>
      </c>
      <c r="J278" s="2">
        <v>0</v>
      </c>
      <c r="K278" s="2">
        <v>0</v>
      </c>
      <c r="L278" s="2">
        <v>0</v>
      </c>
      <c r="M278" s="177">
        <v>0</v>
      </c>
      <c r="N278" s="2"/>
    </row>
    <row r="279" spans="1:14">
      <c r="A279" t="s">
        <v>551</v>
      </c>
      <c r="B279" t="s">
        <v>552</v>
      </c>
      <c r="C279" s="2">
        <v>370000</v>
      </c>
      <c r="D279" s="2">
        <v>370000</v>
      </c>
      <c r="E279" s="2">
        <v>231137</v>
      </c>
      <c r="F279" s="2">
        <v>241591</v>
      </c>
      <c r="G279" s="2">
        <v>236390</v>
      </c>
      <c r="H279" s="2">
        <v>243482</v>
      </c>
      <c r="I279" s="2">
        <v>248361</v>
      </c>
      <c r="J279" s="2">
        <v>255812</v>
      </c>
      <c r="K279" s="2">
        <v>0</v>
      </c>
      <c r="L279" s="2">
        <v>0</v>
      </c>
      <c r="M279" s="177">
        <v>0</v>
      </c>
      <c r="N279" s="2"/>
    </row>
    <row r="280" spans="1:14">
      <c r="A280" t="s">
        <v>553</v>
      </c>
      <c r="B280" t="s">
        <v>554</v>
      </c>
      <c r="C280" s="2">
        <v>305000</v>
      </c>
      <c r="D280" s="2">
        <v>335000</v>
      </c>
      <c r="E280" s="2">
        <v>448000</v>
      </c>
      <c r="F280" s="2">
        <v>448000</v>
      </c>
      <c r="G280" s="2">
        <v>434500</v>
      </c>
      <c r="H280" s="2">
        <v>456500</v>
      </c>
      <c r="I280" s="2">
        <v>473943</v>
      </c>
      <c r="J280" s="2">
        <v>492901</v>
      </c>
      <c r="K280" s="2">
        <v>0</v>
      </c>
      <c r="L280" s="2">
        <v>0</v>
      </c>
      <c r="M280" s="177">
        <v>0</v>
      </c>
      <c r="N280" s="2"/>
    </row>
    <row r="281" spans="1:14">
      <c r="A281" t="s">
        <v>555</v>
      </c>
      <c r="B281" t="s">
        <v>556</v>
      </c>
      <c r="C281" s="2">
        <v>510000</v>
      </c>
      <c r="D281" s="2">
        <v>510000</v>
      </c>
      <c r="E281" s="2">
        <v>400000</v>
      </c>
      <c r="F281" s="2">
        <v>415000</v>
      </c>
      <c r="G281" s="2">
        <v>404393</v>
      </c>
      <c r="H281" s="2">
        <v>416524</v>
      </c>
      <c r="I281" s="2">
        <v>430749</v>
      </c>
      <c r="J281" s="2">
        <v>443671</v>
      </c>
      <c r="K281" s="2">
        <v>0</v>
      </c>
      <c r="L281" s="2">
        <v>0</v>
      </c>
      <c r="M281" s="177">
        <v>0</v>
      </c>
      <c r="N281" s="2"/>
    </row>
    <row r="282" spans="1:14">
      <c r="A282" t="s">
        <v>557</v>
      </c>
      <c r="B282" t="s">
        <v>558</v>
      </c>
      <c r="C282" s="2">
        <v>676000</v>
      </c>
      <c r="D282" s="2">
        <v>667000</v>
      </c>
      <c r="E282" s="2">
        <v>667000</v>
      </c>
      <c r="F282" s="2">
        <v>667000</v>
      </c>
      <c r="G282" s="2">
        <v>667000</v>
      </c>
      <c r="H282" s="2">
        <v>667000</v>
      </c>
      <c r="I282" s="2">
        <v>667000</v>
      </c>
      <c r="J282" s="2">
        <v>667000</v>
      </c>
      <c r="K282" s="2">
        <v>667000</v>
      </c>
      <c r="L282" s="2">
        <v>0</v>
      </c>
      <c r="M282" s="177">
        <v>0</v>
      </c>
      <c r="N282" s="2"/>
    </row>
    <row r="283" spans="1:14">
      <c r="A283" t="s">
        <v>559</v>
      </c>
      <c r="B283" t="s">
        <v>560</v>
      </c>
      <c r="C283" s="2">
        <v>922500</v>
      </c>
      <c r="D283" s="2">
        <v>922500</v>
      </c>
      <c r="E283" s="2">
        <v>922500</v>
      </c>
      <c r="F283" s="2">
        <v>922500</v>
      </c>
      <c r="G283" s="2">
        <v>922500</v>
      </c>
      <c r="H283" s="2">
        <v>922500</v>
      </c>
      <c r="I283" s="2">
        <v>922500</v>
      </c>
      <c r="J283" s="2">
        <v>922500</v>
      </c>
      <c r="K283" s="2">
        <v>0</v>
      </c>
      <c r="L283" s="2">
        <v>0</v>
      </c>
      <c r="M283" s="177">
        <v>0</v>
      </c>
      <c r="N283" s="2"/>
    </row>
    <row r="284" spans="1:14">
      <c r="A284" t="s">
        <v>561</v>
      </c>
      <c r="B284" t="s">
        <v>562</v>
      </c>
      <c r="C284" s="2">
        <v>3099000</v>
      </c>
      <c r="D284" s="2">
        <v>3250000</v>
      </c>
      <c r="E284" s="2">
        <v>2750000</v>
      </c>
      <c r="F284" s="2">
        <v>2950000</v>
      </c>
      <c r="G284" s="2">
        <v>3175000</v>
      </c>
      <c r="H284" s="2">
        <v>3400000</v>
      </c>
      <c r="I284" s="2">
        <v>4050000</v>
      </c>
      <c r="J284" s="2">
        <v>4275000</v>
      </c>
      <c r="K284" s="2">
        <v>4475000</v>
      </c>
      <c r="L284" s="2">
        <v>4700000</v>
      </c>
      <c r="M284" s="177">
        <v>0</v>
      </c>
      <c r="N284" s="2"/>
    </row>
    <row r="285" spans="1:14">
      <c r="A285" t="s">
        <v>563</v>
      </c>
      <c r="B285" t="s">
        <v>564</v>
      </c>
      <c r="C285" s="2">
        <v>14400000</v>
      </c>
      <c r="D285" s="2">
        <v>14600000</v>
      </c>
      <c r="E285" s="2">
        <v>14694709</v>
      </c>
      <c r="F285" s="2">
        <v>15282497</v>
      </c>
      <c r="G285" s="2">
        <v>15893797</v>
      </c>
      <c r="H285" s="2">
        <v>16529549</v>
      </c>
      <c r="I285" s="2">
        <v>21500000</v>
      </c>
      <c r="J285" s="2">
        <v>22450000</v>
      </c>
      <c r="K285" s="2">
        <v>23500000</v>
      </c>
      <c r="L285" s="2">
        <v>24550000</v>
      </c>
      <c r="M285" s="177">
        <v>0</v>
      </c>
      <c r="N285" s="2"/>
    </row>
    <row r="286" spans="1:14">
      <c r="A286" t="s">
        <v>565</v>
      </c>
      <c r="B286" t="s">
        <v>566</v>
      </c>
      <c r="C286" s="2">
        <v>3462000</v>
      </c>
      <c r="D286" s="2">
        <v>3602000</v>
      </c>
      <c r="E286" s="2">
        <v>3746000</v>
      </c>
      <c r="F286" s="2">
        <v>4155352</v>
      </c>
      <c r="G286" s="2">
        <v>4464999</v>
      </c>
      <c r="H286" s="2">
        <v>4753174</v>
      </c>
      <c r="I286" s="2">
        <v>5968508</v>
      </c>
      <c r="J286" s="2">
        <v>6410956</v>
      </c>
      <c r="K286" s="2">
        <v>6822238</v>
      </c>
      <c r="L286" s="2">
        <v>7123991</v>
      </c>
      <c r="M286" s="177">
        <v>0</v>
      </c>
      <c r="N286" s="2"/>
    </row>
    <row r="287" spans="1:14">
      <c r="A287" t="s">
        <v>567</v>
      </c>
      <c r="B287" t="s">
        <v>568</v>
      </c>
      <c r="C287" s="2">
        <v>5730736</v>
      </c>
      <c r="D287" s="2">
        <v>3097205</v>
      </c>
      <c r="E287" s="2">
        <v>3468869</v>
      </c>
      <c r="F287" s="2">
        <v>3550187</v>
      </c>
      <c r="G287" s="2">
        <v>3905205</v>
      </c>
      <c r="H287" s="2">
        <v>4865720</v>
      </c>
      <c r="I287" s="2">
        <v>5352292</v>
      </c>
      <c r="J287" s="2">
        <v>5780475</v>
      </c>
      <c r="K287" s="2">
        <v>6242913</v>
      </c>
      <c r="L287" s="2">
        <v>0</v>
      </c>
      <c r="M287" s="177">
        <v>0</v>
      </c>
      <c r="N287" s="2"/>
    </row>
    <row r="288" spans="1:14">
      <c r="A288" t="s">
        <v>569</v>
      </c>
      <c r="B288" t="s">
        <v>570</v>
      </c>
      <c r="C288" s="2">
        <v>320000</v>
      </c>
      <c r="D288" s="2">
        <v>325000</v>
      </c>
      <c r="E288" s="2">
        <v>385000</v>
      </c>
      <c r="F288" s="2">
        <v>400000</v>
      </c>
      <c r="G288" s="2">
        <v>415000</v>
      </c>
      <c r="H288" s="2">
        <v>430000</v>
      </c>
      <c r="I288" s="2">
        <v>551500</v>
      </c>
      <c r="J288" s="2">
        <v>573560</v>
      </c>
      <c r="K288" s="2">
        <v>596502</v>
      </c>
      <c r="L288" s="2">
        <v>620362</v>
      </c>
      <c r="M288" s="177">
        <v>0</v>
      </c>
      <c r="N288" s="2"/>
    </row>
    <row r="289" spans="1:14">
      <c r="A289" t="s">
        <v>571</v>
      </c>
      <c r="B289" t="s">
        <v>572</v>
      </c>
      <c r="C289" s="2">
        <v>1660000</v>
      </c>
      <c r="D289" s="2">
        <v>1725000</v>
      </c>
      <c r="E289" s="2">
        <v>1800000</v>
      </c>
      <c r="F289" s="2">
        <v>1850000</v>
      </c>
      <c r="G289" s="2">
        <v>2000000</v>
      </c>
      <c r="H289" s="2">
        <v>2150000</v>
      </c>
      <c r="I289" s="2">
        <v>2300000</v>
      </c>
      <c r="J289" s="2">
        <v>2450000</v>
      </c>
      <c r="K289" s="2">
        <v>0</v>
      </c>
      <c r="L289" s="2">
        <v>0</v>
      </c>
      <c r="M289" s="177">
        <v>0</v>
      </c>
      <c r="N289" s="2"/>
    </row>
    <row r="290" spans="1:14">
      <c r="A290" t="s">
        <v>573</v>
      </c>
      <c r="B290" t="s">
        <v>574</v>
      </c>
      <c r="C290" s="2">
        <v>2582904</v>
      </c>
      <c r="D290" s="2">
        <v>2582904</v>
      </c>
      <c r="E290" s="2">
        <v>2800000</v>
      </c>
      <c r="F290" s="2">
        <v>3100000</v>
      </c>
      <c r="G290" s="2">
        <v>3400000</v>
      </c>
      <c r="H290" s="2">
        <v>3700000</v>
      </c>
      <c r="I290" s="2">
        <v>5013617</v>
      </c>
      <c r="J290" s="2">
        <v>5214162</v>
      </c>
      <c r="K290" s="2">
        <v>5422728</v>
      </c>
      <c r="L290" s="2">
        <v>5639637</v>
      </c>
      <c r="M290" s="177">
        <v>0</v>
      </c>
      <c r="N290" s="2"/>
    </row>
    <row r="291" spans="1:14">
      <c r="A291" t="s">
        <v>575</v>
      </c>
      <c r="B291" t="s">
        <v>576</v>
      </c>
      <c r="C291" s="2">
        <v>1320000</v>
      </c>
      <c r="D291" s="2">
        <v>1360000</v>
      </c>
      <c r="E291" s="2">
        <v>1400000</v>
      </c>
      <c r="F291" s="2">
        <v>1420000</v>
      </c>
      <c r="G291" s="2">
        <v>1460000</v>
      </c>
      <c r="H291" s="2">
        <v>1500000</v>
      </c>
      <c r="I291" s="2">
        <v>1540000</v>
      </c>
      <c r="J291" s="2">
        <v>0</v>
      </c>
      <c r="K291" s="2">
        <v>0</v>
      </c>
      <c r="L291" s="2">
        <v>0</v>
      </c>
      <c r="M291" s="177">
        <v>0</v>
      </c>
      <c r="N291" s="2"/>
    </row>
    <row r="292" spans="1:14">
      <c r="A292" t="s">
        <v>577</v>
      </c>
      <c r="B292" t="s">
        <v>578</v>
      </c>
      <c r="C292" s="2">
        <v>1400000</v>
      </c>
      <c r="D292" s="2">
        <v>1150000</v>
      </c>
      <c r="E292" s="2">
        <v>1200000</v>
      </c>
      <c r="F292" s="2">
        <v>1250000</v>
      </c>
      <c r="G292" s="2">
        <v>1350000</v>
      </c>
      <c r="H292" s="2">
        <v>1469480</v>
      </c>
      <c r="I292" s="2">
        <v>1565100</v>
      </c>
      <c r="J292" s="2">
        <v>1643400</v>
      </c>
      <c r="K292" s="2">
        <v>1709050</v>
      </c>
      <c r="L292" s="2">
        <v>0</v>
      </c>
      <c r="M292" s="177">
        <v>0</v>
      </c>
      <c r="N292" s="2"/>
    </row>
    <row r="293" spans="1:14">
      <c r="A293" t="s">
        <v>579</v>
      </c>
      <c r="B293" t="s">
        <v>580</v>
      </c>
      <c r="C293" s="2">
        <v>626000</v>
      </c>
      <c r="D293" s="2">
        <v>626000</v>
      </c>
      <c r="E293" s="2">
        <v>626000</v>
      </c>
      <c r="F293" s="2">
        <v>715000</v>
      </c>
      <c r="G293" s="2">
        <v>760000</v>
      </c>
      <c r="H293" s="2">
        <v>810000</v>
      </c>
      <c r="I293" s="2">
        <v>1124000</v>
      </c>
      <c r="J293" s="2">
        <v>1248000</v>
      </c>
      <c r="K293" s="2">
        <v>1383000</v>
      </c>
      <c r="L293" s="2">
        <v>1538000</v>
      </c>
      <c r="M293" s="177">
        <v>0</v>
      </c>
      <c r="N293" s="2"/>
    </row>
    <row r="294" spans="1:14">
      <c r="A294" t="s">
        <v>581</v>
      </c>
      <c r="B294" t="s">
        <v>582</v>
      </c>
      <c r="C294" s="2">
        <v>900000</v>
      </c>
      <c r="D294" s="2">
        <v>900000</v>
      </c>
      <c r="E294" s="2">
        <v>1100000</v>
      </c>
      <c r="F294" s="2">
        <v>1100000</v>
      </c>
      <c r="G294" s="2">
        <v>1300000</v>
      </c>
      <c r="H294" s="2">
        <v>1350000</v>
      </c>
      <c r="I294" s="2">
        <v>1400000</v>
      </c>
      <c r="J294" s="2">
        <v>1475000</v>
      </c>
      <c r="K294" s="2">
        <v>0</v>
      </c>
      <c r="L294" s="2">
        <v>0</v>
      </c>
      <c r="M294" s="177">
        <v>0</v>
      </c>
      <c r="N294" s="2"/>
    </row>
    <row r="295" spans="1:14">
      <c r="A295" t="s">
        <v>583</v>
      </c>
      <c r="B295" t="s">
        <v>584</v>
      </c>
      <c r="C295" s="2">
        <v>1200000</v>
      </c>
      <c r="D295" s="2">
        <v>1200000</v>
      </c>
      <c r="E295" s="2">
        <v>1350000</v>
      </c>
      <c r="F295" s="2">
        <v>1350000</v>
      </c>
      <c r="G295" s="2">
        <v>1525000</v>
      </c>
      <c r="H295" s="2">
        <v>1525000</v>
      </c>
      <c r="I295" s="2">
        <v>1675000</v>
      </c>
      <c r="J295" s="2">
        <v>1675000</v>
      </c>
      <c r="K295" s="2">
        <v>0</v>
      </c>
      <c r="L295" s="2">
        <v>0</v>
      </c>
      <c r="M295" s="177">
        <v>0</v>
      </c>
      <c r="N295" s="2"/>
    </row>
    <row r="296" spans="1:14">
      <c r="A296" t="s">
        <v>585</v>
      </c>
      <c r="B296" t="s">
        <v>586</v>
      </c>
      <c r="C296" s="2">
        <v>5965626</v>
      </c>
      <c r="D296" s="2">
        <v>5965626</v>
      </c>
      <c r="E296" s="2">
        <v>5965626</v>
      </c>
      <c r="F296" s="2">
        <v>5965626</v>
      </c>
      <c r="G296" s="2">
        <v>6901236</v>
      </c>
      <c r="H296" s="2">
        <v>6901236</v>
      </c>
      <c r="I296" s="2">
        <v>6901236</v>
      </c>
      <c r="J296" s="2">
        <v>6901236</v>
      </c>
      <c r="K296" s="2">
        <v>0</v>
      </c>
      <c r="L296" s="2">
        <v>0</v>
      </c>
      <c r="M296" s="177">
        <v>0</v>
      </c>
      <c r="N296" s="2"/>
    </row>
    <row r="297" spans="1:14">
      <c r="A297" t="s">
        <v>587</v>
      </c>
      <c r="B297" t="s">
        <v>588</v>
      </c>
      <c r="C297" s="2">
        <v>247000</v>
      </c>
      <c r="D297" s="2">
        <v>252000</v>
      </c>
      <c r="E297" s="2">
        <v>257000</v>
      </c>
      <c r="F297" s="2">
        <v>262000</v>
      </c>
      <c r="G297" s="2">
        <v>330000</v>
      </c>
      <c r="H297" s="2">
        <v>338783</v>
      </c>
      <c r="I297" s="2">
        <v>348892</v>
      </c>
      <c r="J297" s="2">
        <v>359305</v>
      </c>
      <c r="K297" s="2">
        <v>0</v>
      </c>
      <c r="L297" s="2">
        <v>0</v>
      </c>
      <c r="M297" s="177">
        <v>0</v>
      </c>
      <c r="N297" s="2"/>
    </row>
    <row r="298" spans="1:14">
      <c r="A298" s="20" t="s">
        <v>633</v>
      </c>
      <c r="B298" s="20" t="s">
        <v>648</v>
      </c>
      <c r="C298" s="6">
        <f t="shared" ref="C298:L298" si="3">SUM(C3:C297)</f>
        <v>2243795589</v>
      </c>
      <c r="D298" s="6">
        <f t="shared" si="3"/>
        <v>2276315760</v>
      </c>
      <c r="E298" s="6">
        <f t="shared" si="3"/>
        <v>2380406000</v>
      </c>
      <c r="F298" s="6">
        <f t="shared" si="3"/>
        <v>2547417684</v>
      </c>
      <c r="G298" s="6">
        <f t="shared" si="3"/>
        <v>2559873129</v>
      </c>
      <c r="H298" s="6">
        <f t="shared" si="3"/>
        <v>2749004491</v>
      </c>
      <c r="I298" s="6">
        <f t="shared" si="3"/>
        <v>2939913769</v>
      </c>
      <c r="J298" s="6">
        <f t="shared" si="3"/>
        <v>2636543279</v>
      </c>
      <c r="K298" s="6">
        <f t="shared" si="3"/>
        <v>1159537273</v>
      </c>
      <c r="L298" s="6">
        <f t="shared" si="3"/>
        <v>725481120</v>
      </c>
      <c r="M298" s="6">
        <f t="shared" ref="M298" si="4">SUM(M3:M297)</f>
        <v>27114267</v>
      </c>
    </row>
  </sheetData>
  <autoFilter ref="A1:M1" xr:uid="{00000000-0001-0000-0600-000000000000}"/>
  <sortState xmlns:xlrd2="http://schemas.microsoft.com/office/spreadsheetml/2017/richdata2" ref="A3:J297">
    <sortCondition ref="A3:A297"/>
  </sortState>
  <conditionalFormatting sqref="A298">
    <cfRule type="duplicateValues" dxfId="0" priority="1"/>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B2:G15"/>
  <sheetViews>
    <sheetView workbookViewId="0">
      <selection activeCell="B3" sqref="B3"/>
    </sheetView>
  </sheetViews>
  <sheetFormatPr defaultRowHeight="15"/>
  <cols>
    <col min="2" max="2" width="10.5703125" bestFit="1" customWidth="1"/>
    <col min="3" max="3" width="9.85546875" bestFit="1" customWidth="1"/>
  </cols>
  <sheetData>
    <row r="2" spans="2:7">
      <c r="B2" s="37" t="s">
        <v>1165</v>
      </c>
      <c r="C2" s="37" t="s">
        <v>1164</v>
      </c>
    </row>
    <row r="3" spans="2:7">
      <c r="B3" s="37" t="s">
        <v>991</v>
      </c>
      <c r="C3" s="37" t="s">
        <v>991</v>
      </c>
      <c r="E3" s="37" t="s">
        <v>991</v>
      </c>
    </row>
    <row r="4" spans="2:7">
      <c r="B4">
        <v>2026</v>
      </c>
      <c r="C4">
        <v>2025</v>
      </c>
      <c r="D4" t="s">
        <v>1047</v>
      </c>
      <c r="E4" t="s">
        <v>1043</v>
      </c>
      <c r="F4" t="s">
        <v>653</v>
      </c>
      <c r="G4" t="s">
        <v>1044</v>
      </c>
    </row>
    <row r="5" spans="2:7">
      <c r="B5">
        <v>2027</v>
      </c>
      <c r="C5">
        <v>2026</v>
      </c>
      <c r="D5" t="s">
        <v>1049</v>
      </c>
      <c r="E5" t="s">
        <v>1045</v>
      </c>
      <c r="F5" t="s">
        <v>651</v>
      </c>
      <c r="G5" t="s">
        <v>1005</v>
      </c>
    </row>
    <row r="6" spans="2:7">
      <c r="B6">
        <v>2028</v>
      </c>
      <c r="C6">
        <v>2027</v>
      </c>
      <c r="D6" t="s">
        <v>1051</v>
      </c>
      <c r="E6" t="s">
        <v>1046</v>
      </c>
    </row>
    <row r="7" spans="2:7">
      <c r="B7">
        <v>2029</v>
      </c>
      <c r="C7">
        <v>2028</v>
      </c>
      <c r="D7" t="s">
        <v>1053</v>
      </c>
      <c r="E7" t="s">
        <v>1048</v>
      </c>
    </row>
    <row r="8" spans="2:7">
      <c r="B8">
        <v>2030</v>
      </c>
      <c r="C8">
        <v>2029</v>
      </c>
      <c r="D8" t="s">
        <v>1114</v>
      </c>
      <c r="E8" t="s">
        <v>1050</v>
      </c>
    </row>
    <row r="9" spans="2:7">
      <c r="B9">
        <v>2031</v>
      </c>
      <c r="C9">
        <v>2030</v>
      </c>
      <c r="D9" t="s">
        <v>1143</v>
      </c>
      <c r="E9" t="s">
        <v>1052</v>
      </c>
    </row>
    <row r="10" spans="2:7">
      <c r="B10">
        <v>2032</v>
      </c>
      <c r="C10">
        <v>2031</v>
      </c>
      <c r="D10" t="s">
        <v>1144</v>
      </c>
      <c r="E10" t="s">
        <v>1054</v>
      </c>
    </row>
    <row r="11" spans="2:7">
      <c r="C11">
        <v>2032</v>
      </c>
      <c r="D11" t="s">
        <v>1163</v>
      </c>
      <c r="E11" t="s">
        <v>1055</v>
      </c>
    </row>
    <row r="12" spans="2:7">
      <c r="E12" t="s">
        <v>1056</v>
      </c>
    </row>
    <row r="13" spans="2:7">
      <c r="E13" t="s">
        <v>1057</v>
      </c>
    </row>
    <row r="14" spans="2:7">
      <c r="E14" t="s">
        <v>1058</v>
      </c>
    </row>
    <row r="15" spans="2:7">
      <c r="E15" t="s">
        <v>1059</v>
      </c>
    </row>
  </sheetData>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Instructions for Pre-Ballot</vt:lpstr>
      <vt:lpstr>LevyCalc</vt:lpstr>
      <vt:lpstr>Pre-Ballot Approval</vt:lpstr>
      <vt:lpstr>Data</vt:lpstr>
      <vt:lpstr>District AAFTE</vt:lpstr>
      <vt:lpstr>Voter Approved</vt:lpstr>
      <vt:lpstr>Sheet1</vt:lpstr>
      <vt:lpstr>CY</vt:lpstr>
      <vt:lpstr>Data</vt:lpstr>
      <vt:lpstr>enrollment</vt:lpstr>
      <vt:lpstr>LevyCalc!Print_Area</vt:lpstr>
      <vt:lpstr>'Pre-Ballot Approval'!Print_Area</vt:lpstr>
      <vt:lpstr>LevyCalc!Print_Titles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Levy Authority and LEA Estimator</dc:title>
  <dc:creator>Melissa Jarmon</dc:creator>
  <cp:keywords>2023Levy;2023LEA;Pre-ballot</cp:keywords>
  <cp:lastModifiedBy>Melissa Jarmon</cp:lastModifiedBy>
  <cp:lastPrinted>2022-12-10T01:09:28Z</cp:lastPrinted>
  <dcterms:created xsi:type="dcterms:W3CDTF">2018-05-30T18:28:14Z</dcterms:created>
  <dcterms:modified xsi:type="dcterms:W3CDTF">2024-11-13T23:41:40Z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2024-05-22T17:42:45Z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1470f750-437a-4b99-b27b-043ff99bd2e1</vt:lpwstr>
  </property>
  <property fmtid="{D5CDD505-2E9C-101B-9397-08002B2CF9AE}" pid="8" name="MSIP_Label_9145f431-4c8c-42c6-a5a5-ba6d3bdea585_ContentBits">
    <vt:lpwstr>0</vt:lpwstr>
  </property>
</Properties>
</file>